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20" yWindow="105" windowWidth="15120" windowHeight="8010"/>
  </bookViews>
  <sheets>
    <sheet name="Реестр" sheetId="1" r:id="rId1"/>
  </sheets>
  <externalReferences>
    <externalReference r:id="rId2"/>
    <externalReference r:id="rId3"/>
    <externalReference r:id="rId4"/>
  </externalReferences>
  <definedNames>
    <definedName name="_xlnm._FilterDatabase" localSheetId="0" hidden="1">Реестр!$A$12:$DX$1152</definedName>
    <definedName name="Form">[1]Списки!$A$1:$A$5</definedName>
    <definedName name="_xlnm.Print_Area" localSheetId="0">Реестр!$A$737:$B$1145</definedName>
    <definedName name="оп">[2]Лист2!$A$1:$A$7</definedName>
    <definedName name="ОПФ">[3]Лист2!$A$1:$A$6</definedName>
  </definedNames>
  <calcPr calcId="145621"/>
</workbook>
</file>

<file path=xl/calcChain.xml><?xml version="1.0" encoding="utf-8"?>
<calcChain xmlns="http://schemas.openxmlformats.org/spreadsheetml/2006/main">
  <c r="BH657" i="1" l="1"/>
  <c r="G657" i="1"/>
  <c r="H657" i="1"/>
  <c r="I657" i="1"/>
  <c r="J657" i="1"/>
  <c r="K657" i="1"/>
  <c r="L657" i="1"/>
  <c r="M657" i="1"/>
  <c r="N657" i="1"/>
  <c r="O657" i="1"/>
  <c r="P657" i="1"/>
  <c r="Q657" i="1"/>
  <c r="R657" i="1"/>
  <c r="S657" i="1"/>
  <c r="T657" i="1"/>
  <c r="U657" i="1"/>
  <c r="V657" i="1"/>
  <c r="W657" i="1"/>
  <c r="X657" i="1"/>
  <c r="Y657" i="1"/>
  <c r="Z657" i="1"/>
  <c r="AA657" i="1"/>
  <c r="AB657" i="1"/>
  <c r="AC657" i="1"/>
  <c r="AE657" i="1"/>
  <c r="AF657" i="1"/>
  <c r="AG657" i="1"/>
  <c r="AH657" i="1"/>
  <c r="AI657" i="1"/>
  <c r="AJ657" i="1"/>
  <c r="AK657" i="1"/>
  <c r="AL657" i="1"/>
  <c r="AM657" i="1"/>
  <c r="AN657" i="1"/>
  <c r="AO657" i="1"/>
  <c r="AP657" i="1"/>
  <c r="AQ657" i="1"/>
  <c r="AR657" i="1"/>
  <c r="AS657" i="1"/>
  <c r="AT657" i="1"/>
  <c r="AU657" i="1"/>
  <c r="AW657" i="1"/>
  <c r="AX657" i="1"/>
  <c r="AY657" i="1"/>
  <c r="AZ657" i="1"/>
  <c r="BA657" i="1"/>
  <c r="BB657" i="1"/>
  <c r="BC657" i="1"/>
  <c r="BD657" i="1"/>
  <c r="BE657" i="1"/>
  <c r="BF657" i="1"/>
  <c r="BG657" i="1"/>
  <c r="G733" i="1"/>
  <c r="H733" i="1"/>
  <c r="I733" i="1"/>
  <c r="L733" i="1"/>
  <c r="M733" i="1"/>
  <c r="O733" i="1"/>
  <c r="P733" i="1"/>
  <c r="Q733" i="1"/>
  <c r="R733" i="1"/>
  <c r="S733" i="1"/>
  <c r="T733" i="1"/>
  <c r="U733" i="1"/>
  <c r="V733" i="1"/>
  <c r="W733" i="1"/>
  <c r="X733" i="1"/>
  <c r="Y733" i="1"/>
  <c r="Z733" i="1"/>
  <c r="AA733" i="1"/>
  <c r="AB733" i="1"/>
  <c r="AC733" i="1"/>
  <c r="AG733" i="1"/>
  <c r="AH733" i="1"/>
  <c r="AI733" i="1"/>
  <c r="AJ733" i="1"/>
  <c r="AK733" i="1"/>
  <c r="AL733" i="1"/>
  <c r="AM733" i="1"/>
  <c r="AN733" i="1"/>
  <c r="AO733" i="1"/>
  <c r="AP733" i="1"/>
  <c r="AQ733" i="1"/>
  <c r="AR733" i="1"/>
  <c r="AS733" i="1"/>
  <c r="AT733" i="1"/>
  <c r="AU733" i="1"/>
  <c r="AW733" i="1"/>
  <c r="AX733" i="1"/>
  <c r="AY733" i="1"/>
  <c r="AZ733" i="1"/>
  <c r="BA733" i="1"/>
  <c r="BB733" i="1"/>
  <c r="BC733" i="1"/>
  <c r="BD733" i="1"/>
  <c r="BE733" i="1"/>
  <c r="BF733" i="1"/>
  <c r="BG733" i="1"/>
  <c r="BH733" i="1"/>
  <c r="E704" i="1" l="1"/>
  <c r="E703" i="1" l="1"/>
  <c r="H955" i="1"/>
  <c r="H191" i="1"/>
  <c r="J87" i="1"/>
  <c r="AM190" i="1"/>
  <c r="F844" i="1" l="1"/>
  <c r="F845" i="1"/>
  <c r="F850" i="1"/>
  <c r="F851" i="1"/>
  <c r="F852" i="1"/>
  <c r="F814" i="1"/>
  <c r="F815" i="1"/>
  <c r="F816" i="1"/>
  <c r="F817" i="1"/>
  <c r="F832" i="1"/>
  <c r="F765" i="1"/>
  <c r="F738" i="1"/>
  <c r="F752" i="1"/>
  <c r="F753" i="1"/>
  <c r="F678" i="1"/>
  <c r="F679" i="1"/>
  <c r="F680" i="1"/>
  <c r="F681" i="1"/>
  <c r="F687" i="1"/>
  <c r="F702" i="1"/>
  <c r="F715" i="1"/>
  <c r="F653" i="1"/>
  <c r="F610" i="1"/>
  <c r="F611" i="1"/>
  <c r="F612" i="1"/>
  <c r="F629" i="1"/>
  <c r="F630" i="1"/>
  <c r="F632" i="1"/>
  <c r="F633" i="1"/>
  <c r="F634" i="1"/>
  <c r="F635" i="1"/>
  <c r="F636" i="1"/>
  <c r="F554" i="1"/>
  <c r="F555" i="1"/>
  <c r="F557" i="1"/>
  <c r="F566" i="1"/>
  <c r="F512" i="1"/>
  <c r="F524" i="1"/>
  <c r="F525" i="1"/>
  <c r="F528" i="1"/>
  <c r="F468" i="1"/>
  <c r="F473" i="1"/>
  <c r="F489" i="1"/>
  <c r="F492" i="1"/>
  <c r="F507" i="1"/>
  <c r="F508" i="1"/>
  <c r="F421" i="1"/>
  <c r="F434" i="1"/>
  <c r="F439" i="1"/>
  <c r="F442" i="1"/>
  <c r="F443" i="1"/>
  <c r="F370" i="1"/>
  <c r="F371" i="1"/>
  <c r="F372" i="1"/>
  <c r="F373" i="1"/>
  <c r="F379" i="1"/>
  <c r="F380" i="1"/>
  <c r="F339" i="1"/>
  <c r="F346" i="1"/>
  <c r="F347" i="1"/>
  <c r="F316" i="1"/>
  <c r="F320" i="1"/>
  <c r="F264" i="1"/>
  <c r="F281" i="1"/>
  <c r="F282" i="1"/>
  <c r="F283" i="1"/>
  <c r="F284" i="1"/>
  <c r="F290" i="1"/>
  <c r="F291" i="1"/>
  <c r="F237" i="1"/>
  <c r="F238" i="1"/>
  <c r="F231" i="1"/>
  <c r="F218" i="1"/>
  <c r="F219" i="1"/>
  <c r="F228" i="1"/>
  <c r="F209" i="1"/>
  <c r="F184" i="1"/>
  <c r="F138" i="1"/>
  <c r="F142" i="1"/>
  <c r="F116" i="1"/>
  <c r="F71" i="1"/>
  <c r="F82" i="1"/>
  <c r="F1143" i="1"/>
  <c r="F1123" i="1"/>
  <c r="F1125" i="1"/>
  <c r="F1126" i="1"/>
  <c r="F1127" i="1"/>
  <c r="F1128" i="1"/>
  <c r="F1129" i="1"/>
  <c r="F1140" i="1"/>
  <c r="F1104" i="1"/>
  <c r="F1108" i="1"/>
  <c r="F1090" i="1"/>
  <c r="F1058" i="1"/>
  <c r="F1022" i="1"/>
  <c r="F1023" i="1"/>
  <c r="F994" i="1"/>
  <c r="F1007" i="1"/>
  <c r="F1008" i="1"/>
  <c r="F1009" i="1"/>
  <c r="F1010" i="1"/>
  <c r="F1011" i="1"/>
  <c r="F957" i="1"/>
  <c r="F968" i="1"/>
  <c r="F984" i="1"/>
  <c r="F985" i="1"/>
  <c r="F986" i="1"/>
  <c r="F929" i="1"/>
  <c r="F932" i="1"/>
  <c r="F933" i="1"/>
  <c r="F942" i="1"/>
  <c r="F943" i="1"/>
  <c r="F944" i="1"/>
  <c r="F945" i="1"/>
  <c r="F871" i="1"/>
  <c r="F878" i="1"/>
  <c r="F884" i="1"/>
  <c r="F890" i="1"/>
  <c r="F902" i="1"/>
  <c r="F903" i="1"/>
  <c r="F904" i="1"/>
  <c r="F905" i="1"/>
  <c r="F906" i="1"/>
  <c r="F907" i="1"/>
  <c r="F908" i="1"/>
  <c r="F909" i="1"/>
  <c r="F910" i="1"/>
  <c r="F911" i="1"/>
  <c r="F912" i="1"/>
  <c r="F913" i="1"/>
  <c r="F859" i="1"/>
  <c r="F860" i="1"/>
  <c r="E612" i="1"/>
  <c r="E512" i="1"/>
  <c r="D512" i="1" l="1"/>
  <c r="D612" i="1"/>
  <c r="E218" i="1"/>
  <c r="D218" i="1" s="1"/>
  <c r="F232" i="1" l="1"/>
  <c r="BN1153" i="1" l="1"/>
  <c r="BN1144" i="1"/>
  <c r="BN1142" i="1"/>
  <c r="BN1114" i="1"/>
  <c r="BN1094" i="1"/>
  <c r="BN1060" i="1"/>
  <c r="BN1024" i="1"/>
  <c r="BN1012" i="1"/>
  <c r="BN988" i="1"/>
  <c r="BN947" i="1"/>
  <c r="BN915" i="1"/>
  <c r="BN863" i="1"/>
  <c r="BN853" i="1"/>
  <c r="BN837" i="1"/>
  <c r="BN768" i="1"/>
  <c r="BN755" i="1"/>
  <c r="BN733" i="1"/>
  <c r="BN657" i="1"/>
  <c r="BN638" i="1"/>
  <c r="BN593" i="1"/>
  <c r="BN539" i="1"/>
  <c r="BN535" i="1"/>
  <c r="BN510" i="1"/>
  <c r="BN461" i="1"/>
  <c r="BN453" i="1"/>
  <c r="BN403" i="1"/>
  <c r="BN382" i="1"/>
  <c r="BN349" i="1"/>
  <c r="BN335" i="1"/>
  <c r="BN328" i="1"/>
  <c r="BN294" i="1"/>
  <c r="BN240" i="1"/>
  <c r="BN232" i="1"/>
  <c r="BN230" i="1"/>
  <c r="BN213" i="1"/>
  <c r="BN190" i="1"/>
  <c r="BN175" i="1"/>
  <c r="BN127" i="1"/>
  <c r="BN85" i="1"/>
  <c r="BN69" i="1"/>
  <c r="BN1154" i="1" l="1"/>
  <c r="AH295" i="1"/>
  <c r="E1145" i="1" l="1"/>
  <c r="E1146" i="1"/>
  <c r="E1147" i="1"/>
  <c r="E1148" i="1"/>
  <c r="E1149" i="1"/>
  <c r="E1150" i="1"/>
  <c r="E1151" i="1"/>
  <c r="E1152" i="1"/>
  <c r="E1143"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15" i="1"/>
  <c r="E1098" i="1"/>
  <c r="E1099" i="1"/>
  <c r="E1100" i="1"/>
  <c r="E1101" i="1"/>
  <c r="E1102" i="1"/>
  <c r="E1104" i="1"/>
  <c r="E1105" i="1"/>
  <c r="E1107" i="1"/>
  <c r="E1108" i="1"/>
  <c r="E1109" i="1"/>
  <c r="E1110" i="1"/>
  <c r="E1111" i="1"/>
  <c r="E1112" i="1"/>
  <c r="E1113" i="1"/>
  <c r="E1095" i="1"/>
  <c r="E1062" i="1"/>
  <c r="E1063" i="1"/>
  <c r="E1064" i="1"/>
  <c r="E1065" i="1"/>
  <c r="E1067" i="1"/>
  <c r="E1070" i="1"/>
  <c r="E1071" i="1"/>
  <c r="E1072" i="1"/>
  <c r="E1073" i="1"/>
  <c r="E1074" i="1"/>
  <c r="E1075" i="1"/>
  <c r="E1076" i="1"/>
  <c r="E1077" i="1"/>
  <c r="E1079" i="1"/>
  <c r="E1080" i="1"/>
  <c r="E1081" i="1"/>
  <c r="E1082" i="1"/>
  <c r="E1083" i="1"/>
  <c r="E1084" i="1"/>
  <c r="E1085" i="1"/>
  <c r="E1086" i="1"/>
  <c r="E1087" i="1"/>
  <c r="E1088" i="1"/>
  <c r="E1089" i="1"/>
  <c r="E1090" i="1"/>
  <c r="E1091" i="1"/>
  <c r="E1092" i="1"/>
  <c r="E1093" i="1"/>
  <c r="E1061" i="1"/>
  <c r="E1029" i="1"/>
  <c r="E1030" i="1"/>
  <c r="E1031" i="1"/>
  <c r="E1032"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25" i="1"/>
  <c r="E1014" i="1"/>
  <c r="E1017" i="1"/>
  <c r="E1019" i="1"/>
  <c r="E1020" i="1"/>
  <c r="E1021" i="1"/>
  <c r="E1022" i="1"/>
  <c r="E1023" i="1"/>
  <c r="E1013" i="1"/>
  <c r="E990" i="1"/>
  <c r="E991" i="1"/>
  <c r="E993" i="1"/>
  <c r="E994" i="1"/>
  <c r="E995" i="1"/>
  <c r="E996" i="1"/>
  <c r="E997" i="1"/>
  <c r="E998" i="1"/>
  <c r="E999" i="1"/>
  <c r="E1000" i="1"/>
  <c r="E1001" i="1"/>
  <c r="E1002" i="1"/>
  <c r="E1003" i="1"/>
  <c r="E1004" i="1"/>
  <c r="E1005" i="1"/>
  <c r="E1006" i="1"/>
  <c r="E1007" i="1"/>
  <c r="E1008" i="1"/>
  <c r="E1009" i="1"/>
  <c r="E1010" i="1"/>
  <c r="E1011" i="1"/>
  <c r="D1011" i="1" s="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D985" i="1" s="1"/>
  <c r="E986" i="1"/>
  <c r="E987" i="1"/>
  <c r="E948" i="1"/>
  <c r="E919" i="1"/>
  <c r="E920" i="1"/>
  <c r="E922" i="1"/>
  <c r="E924" i="1"/>
  <c r="E925" i="1"/>
  <c r="E926" i="1"/>
  <c r="E927" i="1"/>
  <c r="E928" i="1"/>
  <c r="E929" i="1"/>
  <c r="E930" i="1"/>
  <c r="E931" i="1"/>
  <c r="E932" i="1"/>
  <c r="E933" i="1"/>
  <c r="D933" i="1" s="1"/>
  <c r="E934" i="1"/>
  <c r="E935" i="1"/>
  <c r="E936" i="1"/>
  <c r="E937" i="1"/>
  <c r="E938" i="1"/>
  <c r="E939" i="1"/>
  <c r="E940" i="1"/>
  <c r="E941" i="1"/>
  <c r="E942" i="1"/>
  <c r="D942" i="1" s="1"/>
  <c r="E943" i="1"/>
  <c r="E944" i="1"/>
  <c r="E945" i="1"/>
  <c r="D945" i="1" s="1"/>
  <c r="E946" i="1"/>
  <c r="E916" i="1"/>
  <c r="E865" i="1"/>
  <c r="E866" i="1"/>
  <c r="E867" i="1"/>
  <c r="E868" i="1"/>
  <c r="E869"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D904" i="1" s="1"/>
  <c r="E905" i="1"/>
  <c r="E906" i="1"/>
  <c r="E907" i="1"/>
  <c r="E908" i="1"/>
  <c r="E909" i="1"/>
  <c r="E910" i="1"/>
  <c r="D910" i="1" s="1"/>
  <c r="E911" i="1"/>
  <c r="E912" i="1"/>
  <c r="D912" i="1" s="1"/>
  <c r="E913" i="1"/>
  <c r="D913" i="1" s="1"/>
  <c r="E914" i="1"/>
  <c r="E864" i="1"/>
  <c r="E854" i="1"/>
  <c r="E856" i="1"/>
  <c r="E857" i="1"/>
  <c r="E858" i="1"/>
  <c r="E859" i="1"/>
  <c r="E860" i="1"/>
  <c r="E861" i="1"/>
  <c r="E862" i="1"/>
  <c r="E770" i="1"/>
  <c r="E772" i="1"/>
  <c r="E773" i="1"/>
  <c r="E775" i="1"/>
  <c r="E776" i="1"/>
  <c r="E777" i="1"/>
  <c r="E778" i="1"/>
  <c r="E779" i="1"/>
  <c r="E780" i="1"/>
  <c r="E781" i="1"/>
  <c r="E782" i="1"/>
  <c r="E784" i="1"/>
  <c r="E785" i="1"/>
  <c r="E787" i="1"/>
  <c r="E788" i="1"/>
  <c r="E789" i="1"/>
  <c r="E790" i="1"/>
  <c r="E791" i="1"/>
  <c r="E793" i="1"/>
  <c r="E794" i="1"/>
  <c r="E795" i="1"/>
  <c r="E797" i="1"/>
  <c r="E799" i="1"/>
  <c r="E800" i="1"/>
  <c r="E801" i="1"/>
  <c r="E802" i="1"/>
  <c r="E803" i="1"/>
  <c r="E804" i="1"/>
  <c r="E805" i="1"/>
  <c r="E806" i="1"/>
  <c r="E807" i="1"/>
  <c r="E808" i="1"/>
  <c r="E809" i="1"/>
  <c r="E810" i="1"/>
  <c r="E812" i="1"/>
  <c r="E813" i="1"/>
  <c r="E814" i="1"/>
  <c r="E815" i="1"/>
  <c r="E816" i="1"/>
  <c r="D816" i="1" s="1"/>
  <c r="E817" i="1"/>
  <c r="E818" i="1"/>
  <c r="E819" i="1"/>
  <c r="E820" i="1"/>
  <c r="E822" i="1"/>
  <c r="E825" i="1"/>
  <c r="E826" i="1"/>
  <c r="E827" i="1"/>
  <c r="E828" i="1"/>
  <c r="E829" i="1"/>
  <c r="E830" i="1"/>
  <c r="E831" i="1"/>
  <c r="E832" i="1"/>
  <c r="E833" i="1"/>
  <c r="E834" i="1"/>
  <c r="E835" i="1"/>
  <c r="E836" i="1"/>
  <c r="E757" i="1"/>
  <c r="E758" i="1"/>
  <c r="E759" i="1"/>
  <c r="E760" i="1"/>
  <c r="E761" i="1"/>
  <c r="E762" i="1"/>
  <c r="E763" i="1"/>
  <c r="E764" i="1"/>
  <c r="E765" i="1"/>
  <c r="E766" i="1"/>
  <c r="E767" i="1"/>
  <c r="E756" i="1"/>
  <c r="E736" i="1"/>
  <c r="E737" i="1"/>
  <c r="E738" i="1"/>
  <c r="E739" i="1"/>
  <c r="E740" i="1"/>
  <c r="E741" i="1"/>
  <c r="E742" i="1"/>
  <c r="E743" i="1"/>
  <c r="E744" i="1"/>
  <c r="E745" i="1"/>
  <c r="E746" i="1"/>
  <c r="E747" i="1"/>
  <c r="E748" i="1"/>
  <c r="E749" i="1"/>
  <c r="E750" i="1"/>
  <c r="E751" i="1"/>
  <c r="E752" i="1"/>
  <c r="E753" i="1"/>
  <c r="E754" i="1"/>
  <c r="E734" i="1"/>
  <c r="E659" i="1"/>
  <c r="E660" i="1"/>
  <c r="E661" i="1"/>
  <c r="E662" i="1"/>
  <c r="E663" i="1"/>
  <c r="E664" i="1"/>
  <c r="E665" i="1"/>
  <c r="E666" i="1"/>
  <c r="E667" i="1"/>
  <c r="E668" i="1"/>
  <c r="E669" i="1"/>
  <c r="E670" i="1"/>
  <c r="E671" i="1"/>
  <c r="E672"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639" i="1"/>
  <c r="E640" i="1"/>
  <c r="E641" i="1"/>
  <c r="E642" i="1"/>
  <c r="E643" i="1"/>
  <c r="E644" i="1"/>
  <c r="E645" i="1"/>
  <c r="E646" i="1"/>
  <c r="E647" i="1"/>
  <c r="E648" i="1"/>
  <c r="E649" i="1"/>
  <c r="E650" i="1"/>
  <c r="E651" i="1"/>
  <c r="E652" i="1"/>
  <c r="E653" i="1"/>
  <c r="E654" i="1"/>
  <c r="E655" i="1"/>
  <c r="E656" i="1"/>
  <c r="E597" i="1"/>
  <c r="E598" i="1"/>
  <c r="E599" i="1"/>
  <c r="E601" i="1"/>
  <c r="E603" i="1"/>
  <c r="E604" i="1"/>
  <c r="E605" i="1"/>
  <c r="E606" i="1"/>
  <c r="E607" i="1"/>
  <c r="E608" i="1"/>
  <c r="E609" i="1"/>
  <c r="E610" i="1"/>
  <c r="E611" i="1"/>
  <c r="E613" i="1"/>
  <c r="E614" i="1"/>
  <c r="E615" i="1"/>
  <c r="E616" i="1"/>
  <c r="E617" i="1"/>
  <c r="E618" i="1"/>
  <c r="E619" i="1"/>
  <c r="E620" i="1"/>
  <c r="E621" i="1"/>
  <c r="E622" i="1"/>
  <c r="E623" i="1"/>
  <c r="E624" i="1"/>
  <c r="E625" i="1"/>
  <c r="E626" i="1"/>
  <c r="E627" i="1"/>
  <c r="E628" i="1"/>
  <c r="E629" i="1"/>
  <c r="D629" i="1" s="1"/>
  <c r="E630" i="1"/>
  <c r="E631" i="1"/>
  <c r="E632" i="1"/>
  <c r="E633" i="1"/>
  <c r="E634" i="1"/>
  <c r="D634" i="1" s="1"/>
  <c r="E635" i="1"/>
  <c r="E636" i="1"/>
  <c r="E637" i="1"/>
  <c r="E542" i="1"/>
  <c r="E543" i="1"/>
  <c r="E544" i="1"/>
  <c r="E545" i="1"/>
  <c r="E546" i="1"/>
  <c r="E547"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3" i="1"/>
  <c r="E584" i="1"/>
  <c r="E585" i="1"/>
  <c r="E586" i="1"/>
  <c r="E587" i="1"/>
  <c r="E588" i="1"/>
  <c r="E589" i="1"/>
  <c r="E590" i="1"/>
  <c r="E591" i="1"/>
  <c r="E592" i="1"/>
  <c r="E537" i="1"/>
  <c r="E538" i="1"/>
  <c r="E536" i="1"/>
  <c r="E513" i="1"/>
  <c r="E514" i="1"/>
  <c r="E515" i="1"/>
  <c r="E516" i="1"/>
  <c r="E517" i="1"/>
  <c r="E518" i="1"/>
  <c r="E519" i="1"/>
  <c r="E520" i="1"/>
  <c r="E521" i="1"/>
  <c r="E522" i="1"/>
  <c r="E523" i="1"/>
  <c r="E524" i="1"/>
  <c r="E525" i="1"/>
  <c r="E526" i="1"/>
  <c r="E527" i="1"/>
  <c r="E528" i="1"/>
  <c r="E529" i="1"/>
  <c r="E530" i="1"/>
  <c r="E531" i="1"/>
  <c r="E532" i="1"/>
  <c r="E533" i="1"/>
  <c r="E534" i="1"/>
  <c r="E511" i="1"/>
  <c r="E463" i="1"/>
  <c r="E464" i="1"/>
  <c r="E465" i="1"/>
  <c r="E467" i="1"/>
  <c r="E468" i="1"/>
  <c r="E470" i="1"/>
  <c r="E471" i="1"/>
  <c r="E472" i="1"/>
  <c r="E473" i="1"/>
  <c r="D473" i="1" s="1"/>
  <c r="E474" i="1"/>
  <c r="E475" i="1"/>
  <c r="E476" i="1"/>
  <c r="E477" i="1"/>
  <c r="E478" i="1"/>
  <c r="E479" i="1"/>
  <c r="E480" i="1"/>
  <c r="E481" i="1"/>
  <c r="E482" i="1"/>
  <c r="E483" i="1"/>
  <c r="E484" i="1"/>
  <c r="E485" i="1"/>
  <c r="E486" i="1"/>
  <c r="E487" i="1"/>
  <c r="E488" i="1"/>
  <c r="E489" i="1"/>
  <c r="E490" i="1"/>
  <c r="E491" i="1"/>
  <c r="E492" i="1"/>
  <c r="E493" i="1"/>
  <c r="E495" i="1"/>
  <c r="E496" i="1"/>
  <c r="E497" i="1"/>
  <c r="E498" i="1"/>
  <c r="E499" i="1"/>
  <c r="E500" i="1"/>
  <c r="E501" i="1"/>
  <c r="E502" i="1"/>
  <c r="E503" i="1"/>
  <c r="E504" i="1"/>
  <c r="E505" i="1"/>
  <c r="E506" i="1"/>
  <c r="E507" i="1"/>
  <c r="D507" i="1" s="1"/>
  <c r="E508" i="1"/>
  <c r="E509" i="1"/>
  <c r="E455" i="1"/>
  <c r="E456" i="1"/>
  <c r="E457" i="1"/>
  <c r="E458" i="1"/>
  <c r="E459" i="1"/>
  <c r="E460" i="1"/>
  <c r="E454" i="1"/>
  <c r="E405" i="1"/>
  <c r="E406" i="1"/>
  <c r="E407" i="1"/>
  <c r="E408" i="1"/>
  <c r="E409" i="1"/>
  <c r="E410" i="1"/>
  <c r="E411" i="1"/>
  <c r="E412" i="1"/>
  <c r="E413" i="1"/>
  <c r="E414" i="1"/>
  <c r="E415" i="1"/>
  <c r="E416" i="1"/>
  <c r="E417" i="1"/>
  <c r="E418" i="1"/>
  <c r="E419" i="1"/>
  <c r="E420" i="1"/>
  <c r="E421" i="1"/>
  <c r="D421" i="1" s="1"/>
  <c r="E422" i="1"/>
  <c r="E423" i="1"/>
  <c r="E424" i="1"/>
  <c r="E425" i="1"/>
  <c r="E426" i="1"/>
  <c r="E427" i="1"/>
  <c r="E428" i="1"/>
  <c r="E429" i="1"/>
  <c r="E430" i="1"/>
  <c r="E431" i="1"/>
  <c r="E432" i="1"/>
  <c r="E433" i="1"/>
  <c r="E434" i="1"/>
  <c r="E435" i="1"/>
  <c r="E436" i="1"/>
  <c r="E437" i="1"/>
  <c r="E438" i="1"/>
  <c r="E439" i="1"/>
  <c r="E440" i="1"/>
  <c r="E441" i="1"/>
  <c r="E442" i="1"/>
  <c r="E443" i="1"/>
  <c r="E444" i="1"/>
  <c r="E445" i="1"/>
  <c r="E447" i="1"/>
  <c r="E448" i="1"/>
  <c r="E449" i="1"/>
  <c r="E450" i="1"/>
  <c r="E451" i="1"/>
  <c r="E452" i="1"/>
  <c r="E404" i="1"/>
  <c r="E384" i="1"/>
  <c r="E385" i="1"/>
  <c r="E386" i="1"/>
  <c r="E387" i="1"/>
  <c r="E388" i="1"/>
  <c r="E389" i="1"/>
  <c r="E390" i="1"/>
  <c r="E391" i="1"/>
  <c r="E392" i="1"/>
  <c r="E393" i="1"/>
  <c r="E394" i="1"/>
  <c r="E395" i="1"/>
  <c r="E396" i="1"/>
  <c r="E397" i="1"/>
  <c r="E398" i="1"/>
  <c r="E399" i="1"/>
  <c r="E400" i="1"/>
  <c r="E401" i="1"/>
  <c r="E402" i="1"/>
  <c r="E383" i="1"/>
  <c r="E351" i="1"/>
  <c r="E352" i="1"/>
  <c r="E353" i="1"/>
  <c r="E354" i="1"/>
  <c r="E356" i="1"/>
  <c r="E358" i="1"/>
  <c r="E359" i="1"/>
  <c r="E360" i="1"/>
  <c r="E361" i="1"/>
  <c r="E362" i="1"/>
  <c r="E363" i="1"/>
  <c r="E364" i="1"/>
  <c r="E365" i="1"/>
  <c r="E366" i="1"/>
  <c r="E367" i="1"/>
  <c r="E368" i="1"/>
  <c r="E369" i="1"/>
  <c r="E370" i="1"/>
  <c r="E371" i="1"/>
  <c r="E372" i="1"/>
  <c r="D372" i="1" s="1"/>
  <c r="E373" i="1"/>
  <c r="E374" i="1"/>
  <c r="E375" i="1"/>
  <c r="E376" i="1"/>
  <c r="E377" i="1"/>
  <c r="E378" i="1"/>
  <c r="E379" i="1"/>
  <c r="E380" i="1"/>
  <c r="E381" i="1"/>
  <c r="E350" i="1"/>
  <c r="E336" i="1"/>
  <c r="E337" i="1"/>
  <c r="E338" i="1"/>
  <c r="E339" i="1"/>
  <c r="E340" i="1"/>
  <c r="E341" i="1"/>
  <c r="E342" i="1"/>
  <c r="E343" i="1"/>
  <c r="E344" i="1"/>
  <c r="E345" i="1"/>
  <c r="E346" i="1"/>
  <c r="E347" i="1"/>
  <c r="E348" i="1"/>
  <c r="E330" i="1"/>
  <c r="E331" i="1"/>
  <c r="E332" i="1"/>
  <c r="E333" i="1"/>
  <c r="E334" i="1"/>
  <c r="E329" i="1"/>
  <c r="E296" i="1"/>
  <c r="E297" i="1"/>
  <c r="E298" i="1"/>
  <c r="E299" i="1"/>
  <c r="E300" i="1"/>
  <c r="E301" i="1"/>
  <c r="E302" i="1"/>
  <c r="E303" i="1"/>
  <c r="E304" i="1"/>
  <c r="E305" i="1"/>
  <c r="E306" i="1"/>
  <c r="E308" i="1"/>
  <c r="E309" i="1"/>
  <c r="E310" i="1"/>
  <c r="E311" i="1"/>
  <c r="E312" i="1"/>
  <c r="E313" i="1"/>
  <c r="E314" i="1"/>
  <c r="E315" i="1"/>
  <c r="E316" i="1"/>
  <c r="E317" i="1"/>
  <c r="E318" i="1"/>
  <c r="E319" i="1"/>
  <c r="E320" i="1"/>
  <c r="E321" i="1"/>
  <c r="E322" i="1"/>
  <c r="E324" i="1"/>
  <c r="E325" i="1"/>
  <c r="E326" i="1"/>
  <c r="E327" i="1"/>
  <c r="E242" i="1"/>
  <c r="E243" i="1"/>
  <c r="E244" i="1"/>
  <c r="E245" i="1"/>
  <c r="E246" i="1"/>
  <c r="E247" i="1"/>
  <c r="E248" i="1"/>
  <c r="E249" i="1"/>
  <c r="E250" i="1"/>
  <c r="E251" i="1"/>
  <c r="E252" i="1"/>
  <c r="E253"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41" i="1"/>
  <c r="E233" i="1"/>
  <c r="E234" i="1"/>
  <c r="E235" i="1"/>
  <c r="E236" i="1"/>
  <c r="E237" i="1"/>
  <c r="E238" i="1"/>
  <c r="E239" i="1"/>
  <c r="E231" i="1"/>
  <c r="E232" i="1" s="1"/>
  <c r="E216" i="1"/>
  <c r="E217" i="1"/>
  <c r="E219" i="1"/>
  <c r="E220" i="1"/>
  <c r="E221" i="1"/>
  <c r="E222" i="1"/>
  <c r="E223" i="1"/>
  <c r="E224" i="1"/>
  <c r="E225" i="1"/>
  <c r="E226" i="1"/>
  <c r="E227" i="1"/>
  <c r="E228" i="1"/>
  <c r="D228" i="1" s="1"/>
  <c r="E229" i="1"/>
  <c r="E214" i="1"/>
  <c r="E192" i="1"/>
  <c r="E193" i="1"/>
  <c r="E194" i="1"/>
  <c r="E195" i="1"/>
  <c r="E196" i="1"/>
  <c r="E198" i="1"/>
  <c r="E199" i="1"/>
  <c r="E200" i="1"/>
  <c r="E201" i="1"/>
  <c r="E202" i="1"/>
  <c r="E203" i="1"/>
  <c r="E204" i="1"/>
  <c r="E205" i="1"/>
  <c r="E206" i="1"/>
  <c r="E207" i="1"/>
  <c r="E208" i="1"/>
  <c r="E209" i="1"/>
  <c r="E210" i="1"/>
  <c r="E211" i="1"/>
  <c r="E212" i="1"/>
  <c r="E191" i="1"/>
  <c r="E177" i="1"/>
  <c r="E178" i="1"/>
  <c r="E179" i="1"/>
  <c r="E180" i="1"/>
  <c r="E181" i="1"/>
  <c r="E182" i="1"/>
  <c r="E183" i="1"/>
  <c r="E184" i="1"/>
  <c r="E185" i="1"/>
  <c r="E186" i="1"/>
  <c r="E187" i="1"/>
  <c r="E188" i="1"/>
  <c r="E189" i="1"/>
  <c r="E176"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5" i="1"/>
  <c r="E156" i="1"/>
  <c r="E157" i="1"/>
  <c r="E158" i="1"/>
  <c r="E159" i="1"/>
  <c r="E160" i="1"/>
  <c r="E161" i="1"/>
  <c r="E162" i="1"/>
  <c r="E163" i="1"/>
  <c r="E164" i="1"/>
  <c r="E165" i="1"/>
  <c r="E168" i="1"/>
  <c r="E169" i="1"/>
  <c r="E170" i="1"/>
  <c r="E171" i="1"/>
  <c r="E172" i="1"/>
  <c r="E173" i="1"/>
  <c r="E174" i="1"/>
  <c r="E88" i="1"/>
  <c r="E90" i="1"/>
  <c r="E93" i="1"/>
  <c r="E94" i="1"/>
  <c r="E95" i="1"/>
  <c r="E96" i="1"/>
  <c r="E97" i="1"/>
  <c r="E98" i="1"/>
  <c r="E99" i="1"/>
  <c r="E101" i="1"/>
  <c r="E102" i="1"/>
  <c r="E103" i="1"/>
  <c r="E105" i="1"/>
  <c r="E106" i="1"/>
  <c r="E108" i="1"/>
  <c r="E109" i="1"/>
  <c r="E110" i="1"/>
  <c r="E111" i="1"/>
  <c r="E112" i="1"/>
  <c r="E113" i="1"/>
  <c r="E114" i="1"/>
  <c r="E115" i="1"/>
  <c r="E116" i="1"/>
  <c r="E117" i="1"/>
  <c r="E118" i="1"/>
  <c r="E119" i="1"/>
  <c r="E120" i="1"/>
  <c r="E121" i="1"/>
  <c r="E122" i="1"/>
  <c r="E123" i="1"/>
  <c r="E124" i="1"/>
  <c r="E125" i="1"/>
  <c r="E126" i="1"/>
  <c r="E86" i="1"/>
  <c r="E71" i="1"/>
  <c r="E72" i="1"/>
  <c r="E73" i="1"/>
  <c r="E74" i="1"/>
  <c r="E75" i="1"/>
  <c r="E76" i="1"/>
  <c r="E77" i="1"/>
  <c r="E78" i="1"/>
  <c r="E80" i="1"/>
  <c r="E81" i="1"/>
  <c r="E82" i="1"/>
  <c r="E84" i="1"/>
  <c r="E13" i="1"/>
  <c r="E14" i="1"/>
  <c r="E15" i="1"/>
  <c r="E16" i="1"/>
  <c r="E17" i="1"/>
  <c r="E18" i="1"/>
  <c r="E19" i="1"/>
  <c r="E20" i="1"/>
  <c r="E21" i="1"/>
  <c r="E22" i="1"/>
  <c r="E23" i="1"/>
  <c r="E24" i="1"/>
  <c r="E25" i="1"/>
  <c r="E26" i="1"/>
  <c r="E27" i="1"/>
  <c r="E28" i="1"/>
  <c r="E29" i="1"/>
  <c r="E30"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M1153" i="1"/>
  <c r="M1144" i="1"/>
  <c r="M1142" i="1"/>
  <c r="M1114" i="1"/>
  <c r="M1060" i="1"/>
  <c r="M1024" i="1"/>
  <c r="M1012" i="1"/>
  <c r="M988" i="1"/>
  <c r="M947" i="1"/>
  <c r="M915" i="1"/>
  <c r="M863" i="1"/>
  <c r="M853" i="1"/>
  <c r="M837" i="1"/>
  <c r="M768" i="1"/>
  <c r="M755" i="1"/>
  <c r="M638" i="1"/>
  <c r="M593" i="1"/>
  <c r="M539" i="1"/>
  <c r="M535" i="1"/>
  <c r="M510" i="1"/>
  <c r="M461" i="1"/>
  <c r="M453" i="1"/>
  <c r="M403" i="1"/>
  <c r="M382" i="1"/>
  <c r="M349" i="1"/>
  <c r="M335" i="1"/>
  <c r="M328" i="1"/>
  <c r="M294" i="1"/>
  <c r="M240" i="1"/>
  <c r="M232" i="1"/>
  <c r="M230" i="1"/>
  <c r="M213" i="1"/>
  <c r="M190" i="1"/>
  <c r="M175" i="1"/>
  <c r="M127" i="1"/>
  <c r="M85" i="1"/>
  <c r="BR1153" i="1"/>
  <c r="BR1144" i="1"/>
  <c r="BR1142" i="1"/>
  <c r="BR1114" i="1"/>
  <c r="BR1094" i="1"/>
  <c r="BR1060" i="1"/>
  <c r="BR1024" i="1"/>
  <c r="BR1012" i="1"/>
  <c r="BR988" i="1"/>
  <c r="BR947" i="1"/>
  <c r="BR915" i="1"/>
  <c r="BR863" i="1"/>
  <c r="BR853" i="1"/>
  <c r="BR837" i="1"/>
  <c r="BR768" i="1"/>
  <c r="BR755" i="1"/>
  <c r="BR733" i="1"/>
  <c r="BR657" i="1"/>
  <c r="BR638" i="1"/>
  <c r="BR593" i="1"/>
  <c r="BR539" i="1"/>
  <c r="BR535" i="1"/>
  <c r="BR510" i="1"/>
  <c r="BR461" i="1"/>
  <c r="BR453" i="1"/>
  <c r="BR403" i="1"/>
  <c r="BR382" i="1"/>
  <c r="BR349" i="1"/>
  <c r="BR335" i="1"/>
  <c r="BR328" i="1"/>
  <c r="BR294" i="1"/>
  <c r="BR240" i="1"/>
  <c r="BR232" i="1"/>
  <c r="BR230" i="1"/>
  <c r="BR213" i="1"/>
  <c r="BR190" i="1"/>
  <c r="BR175" i="1"/>
  <c r="BR127" i="1"/>
  <c r="BR85" i="1"/>
  <c r="BR69" i="1"/>
  <c r="E838" i="1"/>
  <c r="E839" i="1"/>
  <c r="E840" i="1"/>
  <c r="E841" i="1"/>
  <c r="E842" i="1"/>
  <c r="E843" i="1"/>
  <c r="E844" i="1"/>
  <c r="E845" i="1"/>
  <c r="E846" i="1"/>
  <c r="E847" i="1"/>
  <c r="E848" i="1"/>
  <c r="E849" i="1"/>
  <c r="E850" i="1"/>
  <c r="E851" i="1"/>
  <c r="E852" i="1"/>
  <c r="AX1153" i="1"/>
  <c r="AX1144" i="1"/>
  <c r="AX1142" i="1"/>
  <c r="AX1114" i="1"/>
  <c r="AX1094" i="1"/>
  <c r="AX1060" i="1"/>
  <c r="AX1024" i="1"/>
  <c r="AX1012" i="1"/>
  <c r="AX988" i="1"/>
  <c r="AX947" i="1"/>
  <c r="AX915" i="1"/>
  <c r="AX863" i="1"/>
  <c r="AX853" i="1"/>
  <c r="AX837" i="1"/>
  <c r="AX768" i="1"/>
  <c r="AX755" i="1"/>
  <c r="AX638" i="1"/>
  <c r="AX593" i="1"/>
  <c r="AX539" i="1"/>
  <c r="AX535" i="1"/>
  <c r="AX510" i="1"/>
  <c r="AX461" i="1"/>
  <c r="AX453" i="1"/>
  <c r="AX403" i="1"/>
  <c r="AX382" i="1"/>
  <c r="AX349" i="1"/>
  <c r="AX335" i="1"/>
  <c r="AX328" i="1"/>
  <c r="AX294" i="1"/>
  <c r="AX240" i="1"/>
  <c r="AX232" i="1"/>
  <c r="AX230" i="1"/>
  <c r="AX213" i="1"/>
  <c r="AX190" i="1"/>
  <c r="AX175" i="1"/>
  <c r="AX127" i="1"/>
  <c r="AX85" i="1"/>
  <c r="AX69" i="1"/>
  <c r="N1026" i="1"/>
  <c r="E657" i="1" l="1"/>
  <c r="D468" i="1"/>
  <c r="D929" i="1"/>
  <c r="D635" i="1"/>
  <c r="D291" i="1"/>
  <c r="D611" i="1"/>
  <c r="D702" i="1"/>
  <c r="D681" i="1"/>
  <c r="D814" i="1"/>
  <c r="D371" i="1"/>
  <c r="D283" i="1"/>
  <c r="D524" i="1"/>
  <c r="D852" i="1"/>
  <c r="D284" i="1"/>
  <c r="D346" i="1"/>
  <c r="D380" i="1"/>
  <c r="D492" i="1"/>
  <c r="D489" i="1"/>
  <c r="D528" i="1"/>
  <c r="D525" i="1"/>
  <c r="D566" i="1"/>
  <c r="D680" i="1"/>
  <c r="D678" i="1"/>
  <c r="D911" i="1"/>
  <c r="D909" i="1"/>
  <c r="D905" i="1"/>
  <c r="D890" i="1"/>
  <c r="D1023" i="1"/>
  <c r="D1058" i="1"/>
  <c r="D116" i="1"/>
  <c r="D237" i="1"/>
  <c r="D379" i="1"/>
  <c r="D434" i="1"/>
  <c r="D508" i="1"/>
  <c r="D557" i="1"/>
  <c r="D753" i="1"/>
  <c r="D832" i="1"/>
  <c r="D815" i="1"/>
  <c r="D844" i="1"/>
  <c r="D859" i="1"/>
  <c r="D994" i="1"/>
  <c r="BR1154" i="1"/>
  <c r="AX1154" i="1"/>
  <c r="D142" i="1"/>
  <c r="D290" i="1"/>
  <c r="D347" i="1"/>
  <c r="D339" i="1"/>
  <c r="D370" i="1"/>
  <c r="D442" i="1"/>
  <c r="D555" i="1"/>
  <c r="D610" i="1"/>
  <c r="D653" i="1"/>
  <c r="D715" i="1"/>
  <c r="D679" i="1"/>
  <c r="D817" i="1"/>
  <c r="D851" i="1"/>
  <c r="D906" i="1"/>
  <c r="D902" i="1"/>
  <c r="D878" i="1"/>
  <c r="D871" i="1"/>
  <c r="D944" i="1"/>
  <c r="D932" i="1"/>
  <c r="D1010" i="1"/>
  <c r="D1008" i="1"/>
  <c r="D1022" i="1"/>
  <c r="D1143" i="1"/>
  <c r="D636" i="1"/>
  <c r="D884" i="1"/>
  <c r="D943" i="1"/>
  <c r="D986" i="1"/>
  <c r="D984" i="1"/>
  <c r="D1009" i="1"/>
  <c r="D264" i="1"/>
  <c r="D443" i="1"/>
  <c r="D630" i="1"/>
  <c r="D850" i="1"/>
  <c r="D860" i="1"/>
  <c r="D957" i="1"/>
  <c r="D184" i="1"/>
  <c r="D209" i="1"/>
  <c r="D219" i="1"/>
  <c r="D238" i="1"/>
  <c r="D281" i="1"/>
  <c r="D138" i="1"/>
  <c r="D231" i="1"/>
  <c r="D232" i="1" s="1"/>
  <c r="D282" i="1"/>
  <c r="D439" i="1"/>
  <c r="D554" i="1"/>
  <c r="D633" i="1"/>
  <c r="D373" i="1"/>
  <c r="D632" i="1"/>
  <c r="D320" i="1"/>
  <c r="D316" i="1"/>
  <c r="D687" i="1"/>
  <c r="D968" i="1"/>
  <c r="D1007" i="1"/>
  <c r="D752" i="1"/>
  <c r="D908" i="1"/>
  <c r="D903" i="1"/>
  <c r="D1108" i="1"/>
  <c r="D1104" i="1"/>
  <c r="D738" i="1"/>
  <c r="D845" i="1"/>
  <c r="D907" i="1"/>
  <c r="D765" i="1"/>
  <c r="D1090" i="1"/>
  <c r="N301" i="1"/>
  <c r="AV1096" i="1" l="1"/>
  <c r="AV1119" i="1"/>
  <c r="AV1115" i="1"/>
  <c r="AV1135" i="1"/>
  <c r="AV1100" i="1"/>
  <c r="AV1099" i="1"/>
  <c r="AV1098" i="1"/>
  <c r="AV1097" i="1"/>
  <c r="AV1102" i="1"/>
  <c r="AV1095" i="1"/>
  <c r="AV993" i="1"/>
  <c r="AV949" i="1"/>
  <c r="AV922" i="1"/>
  <c r="AV921" i="1"/>
  <c r="AV919" i="1"/>
  <c r="AV870" i="1"/>
  <c r="AV802" i="1"/>
  <c r="AV674" i="1"/>
  <c r="AV710" i="1"/>
  <c r="AV663" i="1"/>
  <c r="AV659" i="1"/>
  <c r="AV725" i="1"/>
  <c r="AV658" i="1"/>
  <c r="AV639" i="1"/>
  <c r="AV657" i="1" s="1"/>
  <c r="AV596" i="1"/>
  <c r="AV595" i="1"/>
  <c r="AV594" i="1"/>
  <c r="AV540" i="1"/>
  <c r="AV541" i="1"/>
  <c r="AV463" i="1"/>
  <c r="AV469" i="1"/>
  <c r="AV466" i="1"/>
  <c r="AV465" i="1"/>
  <c r="AV464" i="1"/>
  <c r="AV496" i="1"/>
  <c r="AV410" i="1"/>
  <c r="AV356" i="1"/>
  <c r="AV355" i="1"/>
  <c r="AV352" i="1"/>
  <c r="AV336" i="1"/>
  <c r="AV253" i="1"/>
  <c r="AV241" i="1"/>
  <c r="AV248" i="1"/>
  <c r="AV866" i="1"/>
  <c r="AV193" i="1"/>
  <c r="AV130" i="1"/>
  <c r="AV139" i="1"/>
  <c r="AV131" i="1"/>
  <c r="AV70" i="1"/>
  <c r="AV43" i="1"/>
  <c r="AV47" i="1"/>
  <c r="I1032" i="1"/>
  <c r="O197" i="1" l="1"/>
  <c r="J197" i="1"/>
  <c r="O494" i="1"/>
  <c r="J494" i="1"/>
  <c r="J154" i="1"/>
  <c r="E154" i="1" s="1"/>
  <c r="O1103" i="1"/>
  <c r="E1103" i="1" s="1"/>
  <c r="J79" i="1"/>
  <c r="E79" i="1" s="1"/>
  <c r="O823" i="1"/>
  <c r="E823" i="1" s="1"/>
  <c r="E197" i="1" l="1"/>
  <c r="E494" i="1"/>
  <c r="P783" i="1"/>
  <c r="P197" i="1"/>
  <c r="P494" i="1"/>
  <c r="P1103" i="1"/>
  <c r="P823" i="1"/>
  <c r="P1016" i="1"/>
  <c r="P824" i="1"/>
  <c r="P786" i="1"/>
  <c r="P792" i="1"/>
  <c r="P796" i="1"/>
  <c r="P821" i="1"/>
  <c r="P307" i="1"/>
  <c r="O783" i="1"/>
  <c r="O1016" i="1"/>
  <c r="E1016" i="1" s="1"/>
  <c r="O824" i="1"/>
  <c r="E824" i="1" s="1"/>
  <c r="O786" i="1"/>
  <c r="E786" i="1" s="1"/>
  <c r="O792" i="1"/>
  <c r="O796" i="1"/>
  <c r="E796" i="1" s="1"/>
  <c r="O307" i="1"/>
  <c r="E307" i="1" s="1"/>
  <c r="O821" i="1"/>
  <c r="E821" i="1" s="1"/>
  <c r="P581" i="1"/>
  <c r="O581" i="1"/>
  <c r="E581" i="1" s="1"/>
  <c r="P582" i="1"/>
  <c r="P323" i="1"/>
  <c r="P167" i="1"/>
  <c r="P166" i="1"/>
  <c r="P83" i="1"/>
  <c r="O582" i="1"/>
  <c r="E582" i="1" s="1"/>
  <c r="O323" i="1"/>
  <c r="E323" i="1" s="1"/>
  <c r="O167" i="1"/>
  <c r="E167" i="1" s="1"/>
  <c r="O166" i="1"/>
  <c r="E166" i="1" s="1"/>
  <c r="O83" i="1"/>
  <c r="E83" i="1" s="1"/>
  <c r="BW232" i="1"/>
  <c r="BV232" i="1"/>
  <c r="BW609" i="1"/>
  <c r="F609" i="1" s="1"/>
  <c r="D609" i="1" l="1"/>
  <c r="M1094" i="1"/>
  <c r="M69" i="1"/>
  <c r="AV388" i="1" l="1"/>
  <c r="AV385" i="1"/>
  <c r="Y328" i="1" l="1"/>
  <c r="K541" i="1"/>
  <c r="K923" i="1"/>
  <c r="K357" i="1"/>
  <c r="K735" i="1"/>
  <c r="K89" i="1"/>
  <c r="K469" i="1"/>
  <c r="K771" i="1"/>
  <c r="K673" i="1"/>
  <c r="K87" i="1"/>
  <c r="K92" i="1"/>
  <c r="K462" i="1"/>
  <c r="K917" i="1"/>
  <c r="K989" i="1"/>
  <c r="K355" i="1"/>
  <c r="K792" i="1"/>
  <c r="K1097" i="1"/>
  <c r="K446" i="1"/>
  <c r="K70" i="1"/>
  <c r="K1069" i="1"/>
  <c r="K1066" i="1"/>
  <c r="K1068" i="1"/>
  <c r="K254" i="1"/>
  <c r="K1106" i="1"/>
  <c r="K1027" i="1"/>
  <c r="K596" i="1"/>
  <c r="K594" i="1"/>
  <c r="K870" i="1"/>
  <c r="K540" i="1"/>
  <c r="K658" i="1"/>
  <c r="K602" i="1"/>
  <c r="K104" i="1"/>
  <c r="K769" i="1"/>
  <c r="K100" i="1"/>
  <c r="K774" i="1"/>
  <c r="K1033" i="1"/>
  <c r="K595" i="1"/>
  <c r="K600" i="1"/>
  <c r="K1096" i="1"/>
  <c r="K855" i="1"/>
  <c r="K31" i="1"/>
  <c r="K798" i="1"/>
  <c r="K918" i="1"/>
  <c r="K921" i="1"/>
  <c r="K811" i="1"/>
  <c r="K548" i="1"/>
  <c r="K992" i="1"/>
  <c r="K1015" i="1"/>
  <c r="K1078" i="1"/>
  <c r="K197" i="1"/>
  <c r="K1028" i="1"/>
  <c r="K255" i="1"/>
  <c r="K783" i="1"/>
  <c r="K466" i="1"/>
  <c r="K1018" i="1"/>
  <c r="K215" i="1"/>
  <c r="J541" i="1"/>
  <c r="J923" i="1"/>
  <c r="E923" i="1" s="1"/>
  <c r="J357" i="1"/>
  <c r="E357" i="1" s="1"/>
  <c r="J735" i="1"/>
  <c r="E735" i="1" s="1"/>
  <c r="J89" i="1"/>
  <c r="E89" i="1" s="1"/>
  <c r="J469" i="1"/>
  <c r="E469" i="1" s="1"/>
  <c r="J771" i="1"/>
  <c r="E771" i="1" s="1"/>
  <c r="J673" i="1"/>
  <c r="E673" i="1" s="1"/>
  <c r="E91" i="1"/>
  <c r="J92" i="1"/>
  <c r="E92" i="1" s="1"/>
  <c r="J462" i="1"/>
  <c r="E462" i="1" s="1"/>
  <c r="J917" i="1"/>
  <c r="E917" i="1" s="1"/>
  <c r="J989" i="1"/>
  <c r="E989" i="1" s="1"/>
  <c r="J355" i="1"/>
  <c r="E355" i="1" s="1"/>
  <c r="J792" i="1"/>
  <c r="E792" i="1" s="1"/>
  <c r="J1097" i="1"/>
  <c r="E1097" i="1" s="1"/>
  <c r="J446" i="1"/>
  <c r="E446" i="1" s="1"/>
  <c r="J70" i="1"/>
  <c r="E70" i="1" s="1"/>
  <c r="J1069" i="1"/>
  <c r="E1069" i="1" s="1"/>
  <c r="J1066" i="1"/>
  <c r="E1066" i="1" s="1"/>
  <c r="J1068" i="1"/>
  <c r="E1068" i="1" s="1"/>
  <c r="J254" i="1"/>
  <c r="E254" i="1" s="1"/>
  <c r="J1106" i="1"/>
  <c r="E1106" i="1" s="1"/>
  <c r="J596" i="1"/>
  <c r="E596" i="1" s="1"/>
  <c r="J594" i="1"/>
  <c r="E594" i="1" s="1"/>
  <c r="J870" i="1"/>
  <c r="E870" i="1" s="1"/>
  <c r="E87" i="1"/>
  <c r="J1027" i="1"/>
  <c r="E1027" i="1" s="1"/>
  <c r="J540" i="1"/>
  <c r="J658" i="1"/>
  <c r="J602" i="1"/>
  <c r="E602" i="1" s="1"/>
  <c r="J104" i="1"/>
  <c r="E104" i="1" s="1"/>
  <c r="J107" i="1"/>
  <c r="E107" i="1" s="1"/>
  <c r="J769" i="1"/>
  <c r="E769" i="1" s="1"/>
  <c r="J100" i="1"/>
  <c r="E100" i="1" s="1"/>
  <c r="J774" i="1"/>
  <c r="E774" i="1" s="1"/>
  <c r="J1033" i="1"/>
  <c r="E1033" i="1" s="1"/>
  <c r="J595" i="1"/>
  <c r="E595" i="1" s="1"/>
  <c r="J600" i="1"/>
  <c r="E600" i="1" s="1"/>
  <c r="J1096" i="1"/>
  <c r="E1096" i="1" s="1"/>
  <c r="J855" i="1"/>
  <c r="E855" i="1" s="1"/>
  <c r="J31" i="1"/>
  <c r="E31" i="1" s="1"/>
  <c r="J798" i="1"/>
  <c r="E798" i="1" s="1"/>
  <c r="E658" i="1" l="1"/>
  <c r="J733" i="1"/>
  <c r="K733" i="1"/>
  <c r="D82" i="1"/>
  <c r="J918" i="1"/>
  <c r="E918" i="1" s="1"/>
  <c r="J921" i="1"/>
  <c r="E921" i="1" s="1"/>
  <c r="J811" i="1"/>
  <c r="E811" i="1" s="1"/>
  <c r="J548" i="1"/>
  <c r="E548" i="1" s="1"/>
  <c r="J992" i="1"/>
  <c r="E992" i="1" s="1"/>
  <c r="J1015" i="1"/>
  <c r="E1015" i="1" s="1"/>
  <c r="J1078" i="1"/>
  <c r="E1078" i="1" s="1"/>
  <c r="J1028" i="1"/>
  <c r="E1028" i="1" s="1"/>
  <c r="J255" i="1"/>
  <c r="E255" i="1" s="1"/>
  <c r="J783" i="1"/>
  <c r="E783" i="1" s="1"/>
  <c r="J466" i="1"/>
  <c r="E466" i="1" s="1"/>
  <c r="J1018" i="1"/>
  <c r="E1018" i="1" s="1"/>
  <c r="J215" i="1"/>
  <c r="E215" i="1" s="1"/>
  <c r="J69" i="1"/>
  <c r="BI1139" i="1"/>
  <c r="BA956" i="1" l="1"/>
  <c r="AK355" i="1"/>
  <c r="AK1026" i="1"/>
  <c r="AK541" i="1"/>
  <c r="AK540" i="1"/>
  <c r="AK549" i="1"/>
  <c r="AJ541" i="1"/>
  <c r="E541" i="1" s="1"/>
  <c r="AJ540" i="1"/>
  <c r="E540" i="1" s="1"/>
  <c r="AJ1026" i="1"/>
  <c r="E1026" i="1" s="1"/>
  <c r="AT950" i="1"/>
  <c r="AD958" i="1" l="1"/>
  <c r="F958" i="1" s="1"/>
  <c r="AF598" i="1"/>
  <c r="AF1031" i="1"/>
  <c r="AF870" i="1"/>
  <c r="D958" i="1" l="1"/>
  <c r="AF1131" i="1"/>
  <c r="AF1118" i="1"/>
  <c r="AF1106" i="1"/>
  <c r="AF1097" i="1"/>
  <c r="AF1064" i="1"/>
  <c r="AF735" i="1" l="1"/>
  <c r="AF709" i="1"/>
  <c r="AF667" i="1"/>
  <c r="AF658" i="1"/>
  <c r="AF596" i="1"/>
  <c r="AF594" i="1"/>
  <c r="AF471" i="1"/>
  <c r="AF462" i="1"/>
  <c r="AF353" i="1"/>
  <c r="AF246" i="1"/>
  <c r="AS69" i="1" l="1"/>
  <c r="AS85" i="1"/>
  <c r="AS127" i="1"/>
  <c r="AS175" i="1"/>
  <c r="AS190" i="1"/>
  <c r="AS213" i="1"/>
  <c r="AS230" i="1"/>
  <c r="AS232" i="1"/>
  <c r="AS240" i="1"/>
  <c r="AS294" i="1"/>
  <c r="AS328" i="1"/>
  <c r="AS335" i="1"/>
  <c r="AS349" i="1"/>
  <c r="AS382" i="1"/>
  <c r="AS403" i="1"/>
  <c r="AS453" i="1"/>
  <c r="AS461" i="1"/>
  <c r="AS510" i="1"/>
  <c r="AS535" i="1"/>
  <c r="AS539" i="1"/>
  <c r="AS593" i="1"/>
  <c r="AS638" i="1"/>
  <c r="AS755" i="1"/>
  <c r="AS768" i="1"/>
  <c r="AS837" i="1"/>
  <c r="AS853" i="1"/>
  <c r="AS863" i="1"/>
  <c r="AS915" i="1"/>
  <c r="AS947" i="1"/>
  <c r="AS988" i="1"/>
  <c r="AS1012" i="1"/>
  <c r="AS1024" i="1"/>
  <c r="AS1060" i="1"/>
  <c r="AS1094" i="1"/>
  <c r="AS1114" i="1"/>
  <c r="AS1142" i="1"/>
  <c r="AS1144" i="1"/>
  <c r="AS1153" i="1"/>
  <c r="AY69" i="1"/>
  <c r="AY85" i="1"/>
  <c r="AY127" i="1"/>
  <c r="AY175" i="1"/>
  <c r="AY190" i="1"/>
  <c r="AY213" i="1"/>
  <c r="AY230" i="1"/>
  <c r="AY232" i="1"/>
  <c r="AY240" i="1"/>
  <c r="AY294" i="1"/>
  <c r="AY328" i="1"/>
  <c r="AY335" i="1"/>
  <c r="AY349" i="1"/>
  <c r="AY382" i="1"/>
  <c r="AY403" i="1"/>
  <c r="AY453" i="1"/>
  <c r="AY461" i="1"/>
  <c r="AY510" i="1"/>
  <c r="AY535" i="1"/>
  <c r="AY539" i="1"/>
  <c r="AY593" i="1"/>
  <c r="AY638" i="1"/>
  <c r="AY755" i="1"/>
  <c r="AY768" i="1"/>
  <c r="AY837" i="1"/>
  <c r="AY853" i="1"/>
  <c r="AY863" i="1"/>
  <c r="AY915" i="1"/>
  <c r="AY947" i="1"/>
  <c r="AY988" i="1"/>
  <c r="AY1012" i="1"/>
  <c r="AY1024" i="1"/>
  <c r="AY1060" i="1"/>
  <c r="AY1094" i="1"/>
  <c r="AY1114" i="1"/>
  <c r="AY1142" i="1"/>
  <c r="AY1144" i="1"/>
  <c r="AY1153" i="1"/>
  <c r="BD69" i="1"/>
  <c r="BE69" i="1"/>
  <c r="BD85" i="1"/>
  <c r="BE85" i="1"/>
  <c r="BD127" i="1"/>
  <c r="BE127" i="1"/>
  <c r="BD175" i="1"/>
  <c r="BE175" i="1"/>
  <c r="BD190" i="1"/>
  <c r="BE190" i="1"/>
  <c r="BD213" i="1"/>
  <c r="BE213" i="1"/>
  <c r="BD230" i="1"/>
  <c r="BE230" i="1"/>
  <c r="BD232" i="1"/>
  <c r="BE232" i="1"/>
  <c r="BD240" i="1"/>
  <c r="BE240" i="1"/>
  <c r="BD294" i="1"/>
  <c r="BE294" i="1"/>
  <c r="BD328" i="1"/>
  <c r="BE328" i="1"/>
  <c r="BD335" i="1"/>
  <c r="BE335" i="1"/>
  <c r="BD349" i="1"/>
  <c r="BE349" i="1"/>
  <c r="BD382" i="1"/>
  <c r="BE382" i="1"/>
  <c r="BD403" i="1"/>
  <c r="BE403" i="1"/>
  <c r="BD453" i="1"/>
  <c r="BE453" i="1"/>
  <c r="BD461" i="1"/>
  <c r="BE461" i="1"/>
  <c r="BD510" i="1"/>
  <c r="BE510" i="1"/>
  <c r="BD535" i="1"/>
  <c r="BE535" i="1"/>
  <c r="BD539" i="1"/>
  <c r="BE539" i="1"/>
  <c r="BD593" i="1"/>
  <c r="BE593" i="1"/>
  <c r="BD638" i="1"/>
  <c r="BE638" i="1"/>
  <c r="BD755" i="1"/>
  <c r="BE755" i="1"/>
  <c r="BD768" i="1"/>
  <c r="BE768" i="1"/>
  <c r="BD837" i="1"/>
  <c r="BE837" i="1"/>
  <c r="BD853" i="1"/>
  <c r="BE853" i="1"/>
  <c r="BD863" i="1"/>
  <c r="BE863" i="1"/>
  <c r="BD915" i="1"/>
  <c r="BE915" i="1"/>
  <c r="BD947" i="1"/>
  <c r="BE947" i="1"/>
  <c r="BD988" i="1"/>
  <c r="BE988" i="1"/>
  <c r="BD1012" i="1"/>
  <c r="BE1012" i="1"/>
  <c r="BD1024" i="1"/>
  <c r="BE1024" i="1"/>
  <c r="BD1060" i="1"/>
  <c r="BE1060" i="1"/>
  <c r="BD1094" i="1"/>
  <c r="BE1094" i="1"/>
  <c r="BD1114" i="1"/>
  <c r="BE1114" i="1"/>
  <c r="BD1142" i="1"/>
  <c r="BE1142" i="1"/>
  <c r="BD1144" i="1"/>
  <c r="BE1144" i="1"/>
  <c r="BD1153" i="1"/>
  <c r="BE1153" i="1"/>
  <c r="AS1154" i="1" l="1"/>
  <c r="BD1154" i="1"/>
  <c r="BE1154" i="1"/>
  <c r="AY1154" i="1"/>
  <c r="J127" i="1" l="1"/>
  <c r="K127" i="1"/>
  <c r="BI174" i="1"/>
  <c r="AD972" i="1"/>
  <c r="F972" i="1" s="1"/>
  <c r="D972" i="1" l="1"/>
  <c r="D71" i="1"/>
  <c r="AD714" i="1" l="1"/>
  <c r="F714" i="1" s="1"/>
  <c r="D714" i="1" l="1"/>
  <c r="N694" i="1"/>
  <c r="N733" i="1" s="1"/>
  <c r="BG470" i="1" l="1"/>
  <c r="BC375" i="1" l="1"/>
  <c r="E1144" i="1"/>
  <c r="F1144" i="1"/>
  <c r="G1144" i="1"/>
  <c r="H1144" i="1"/>
  <c r="I1144" i="1"/>
  <c r="J1144" i="1"/>
  <c r="K1144" i="1"/>
  <c r="L1144" i="1"/>
  <c r="N1144" i="1"/>
  <c r="O1144" i="1"/>
  <c r="P1144" i="1"/>
  <c r="Q1144" i="1"/>
  <c r="R1144" i="1"/>
  <c r="S1144" i="1"/>
  <c r="T1144" i="1"/>
  <c r="U1144" i="1"/>
  <c r="V1144" i="1"/>
  <c r="W1144" i="1"/>
  <c r="X1144" i="1"/>
  <c r="Y1144" i="1"/>
  <c r="Z1144" i="1"/>
  <c r="AA1144" i="1"/>
  <c r="AB1144" i="1"/>
  <c r="AC1144" i="1"/>
  <c r="AD1144" i="1"/>
  <c r="AE1144" i="1"/>
  <c r="AF1144" i="1"/>
  <c r="AG1144" i="1"/>
  <c r="AH1144" i="1"/>
  <c r="AI1144" i="1"/>
  <c r="AJ1144" i="1"/>
  <c r="AK1144" i="1"/>
  <c r="AN1144" i="1"/>
  <c r="AO1144" i="1"/>
  <c r="AP1144" i="1"/>
  <c r="AQ1144" i="1"/>
  <c r="AR1144" i="1"/>
  <c r="AT1144" i="1"/>
  <c r="AU1144" i="1"/>
  <c r="AV1144" i="1"/>
  <c r="AW1144" i="1"/>
  <c r="AZ1144" i="1"/>
  <c r="BA1144" i="1"/>
  <c r="BB1144" i="1"/>
  <c r="BC1144" i="1"/>
  <c r="BF1144" i="1"/>
  <c r="BG1144" i="1"/>
  <c r="BH1144" i="1"/>
  <c r="BI1144" i="1"/>
  <c r="BJ1144" i="1"/>
  <c r="BK1144" i="1"/>
  <c r="BL1144" i="1"/>
  <c r="BM1144" i="1"/>
  <c r="BO1144" i="1"/>
  <c r="BP1144" i="1"/>
  <c r="BQ1144" i="1"/>
  <c r="BS1144" i="1"/>
  <c r="BT1144" i="1"/>
  <c r="BU1144" i="1"/>
  <c r="BV1144" i="1"/>
  <c r="BW1144" i="1"/>
  <c r="BX1144" i="1"/>
  <c r="BY1144" i="1"/>
  <c r="BZ1144" i="1"/>
  <c r="CA1144" i="1"/>
  <c r="D1144" i="1"/>
  <c r="AJ295" i="1"/>
  <c r="E295" i="1" s="1"/>
  <c r="AK295" i="1"/>
  <c r="AT308" i="1"/>
  <c r="AV665" i="1" l="1"/>
  <c r="AV733" i="1" s="1"/>
  <c r="AL1144" i="1" l="1"/>
  <c r="AF1115" i="1"/>
  <c r="AF1061" i="1"/>
  <c r="AF949" i="1"/>
  <c r="AF948" i="1"/>
  <c r="AF866" i="1"/>
  <c r="AF668" i="1"/>
  <c r="AF541" i="1"/>
  <c r="AF466" i="1"/>
  <c r="AF215" i="1"/>
  <c r="AF18" i="1"/>
  <c r="AF16" i="1"/>
  <c r="AF954" i="1"/>
  <c r="AF1119" i="1"/>
  <c r="AF1095" i="1"/>
  <c r="AF1068" i="1"/>
  <c r="AF1066" i="1"/>
  <c r="AF1028" i="1"/>
  <c r="AF951" i="1"/>
  <c r="AF736" i="1"/>
  <c r="AF665" i="1"/>
  <c r="AF670" i="1"/>
  <c r="AF602" i="1"/>
  <c r="AF600" i="1"/>
  <c r="AF595" i="1"/>
  <c r="AF601" i="1"/>
  <c r="AF540" i="1"/>
  <c r="AF532" i="1"/>
  <c r="AF465" i="1"/>
  <c r="AF446" i="1"/>
  <c r="AF350" i="1"/>
  <c r="AF336" i="1"/>
  <c r="AF223" i="1"/>
  <c r="AF193" i="1"/>
  <c r="AF133" i="1"/>
  <c r="AF70" i="1"/>
  <c r="AM1144" i="1" l="1"/>
  <c r="BU295" i="1" l="1"/>
  <c r="AD1141" i="1" l="1"/>
  <c r="F1141" i="1" s="1"/>
  <c r="Y69" i="1"/>
  <c r="AD838" i="1" l="1"/>
  <c r="F838" i="1" s="1"/>
  <c r="AD840" i="1"/>
  <c r="F840" i="1" s="1"/>
  <c r="AD841" i="1"/>
  <c r="F841" i="1" s="1"/>
  <c r="AD843" i="1"/>
  <c r="F843" i="1" s="1"/>
  <c r="AD846" i="1"/>
  <c r="F846" i="1" s="1"/>
  <c r="AD847" i="1"/>
  <c r="F847" i="1" s="1"/>
  <c r="AD848" i="1"/>
  <c r="F848" i="1" s="1"/>
  <c r="AD849" i="1"/>
  <c r="F849" i="1" s="1"/>
  <c r="AD542" i="1"/>
  <c r="F542" i="1" s="1"/>
  <c r="AD543" i="1"/>
  <c r="F543" i="1" s="1"/>
  <c r="AD544" i="1"/>
  <c r="F544" i="1" s="1"/>
  <c r="AD545" i="1"/>
  <c r="F545" i="1" s="1"/>
  <c r="AD546" i="1"/>
  <c r="F546" i="1" s="1"/>
  <c r="AD547" i="1"/>
  <c r="F547" i="1" s="1"/>
  <c r="AD548" i="1"/>
  <c r="F548" i="1" s="1"/>
  <c r="AD549" i="1"/>
  <c r="F549" i="1" s="1"/>
  <c r="AD550" i="1"/>
  <c r="F550" i="1" s="1"/>
  <c r="AD551" i="1"/>
  <c r="F551" i="1" s="1"/>
  <c r="AD552" i="1"/>
  <c r="F552" i="1" s="1"/>
  <c r="AD553" i="1"/>
  <c r="F553" i="1" s="1"/>
  <c r="AD556" i="1"/>
  <c r="F556" i="1" s="1"/>
  <c r="AD558" i="1"/>
  <c r="F558" i="1" s="1"/>
  <c r="AD559" i="1"/>
  <c r="F559" i="1" s="1"/>
  <c r="AD560" i="1"/>
  <c r="F560" i="1" s="1"/>
  <c r="AD561" i="1"/>
  <c r="F561" i="1" s="1"/>
  <c r="AD562" i="1"/>
  <c r="F562" i="1" s="1"/>
  <c r="AD563" i="1"/>
  <c r="F563" i="1" s="1"/>
  <c r="AD564" i="1"/>
  <c r="F564" i="1" s="1"/>
  <c r="AD565" i="1"/>
  <c r="F565" i="1" s="1"/>
  <c r="AD567" i="1"/>
  <c r="F567" i="1" s="1"/>
  <c r="AD568" i="1"/>
  <c r="F568" i="1" s="1"/>
  <c r="AD569" i="1"/>
  <c r="F569" i="1" s="1"/>
  <c r="AD570" i="1"/>
  <c r="F570" i="1" s="1"/>
  <c r="AD571" i="1"/>
  <c r="F571" i="1" s="1"/>
  <c r="AD572" i="1"/>
  <c r="F572" i="1" s="1"/>
  <c r="AD573" i="1"/>
  <c r="F573" i="1" s="1"/>
  <c r="AD574" i="1"/>
  <c r="F574" i="1" s="1"/>
  <c r="AD575" i="1"/>
  <c r="F575" i="1" s="1"/>
  <c r="AD576" i="1"/>
  <c r="F576" i="1" s="1"/>
  <c r="AD577" i="1"/>
  <c r="F577" i="1" s="1"/>
  <c r="AD578" i="1"/>
  <c r="F578" i="1" s="1"/>
  <c r="AD579" i="1"/>
  <c r="F579" i="1" s="1"/>
  <c r="AD580" i="1"/>
  <c r="F580" i="1" s="1"/>
  <c r="AD581" i="1"/>
  <c r="F581" i="1" s="1"/>
  <c r="AD582" i="1"/>
  <c r="F582" i="1" s="1"/>
  <c r="AD583" i="1"/>
  <c r="F583" i="1" s="1"/>
  <c r="AD584" i="1"/>
  <c r="F584" i="1" s="1"/>
  <c r="AD585" i="1"/>
  <c r="F585" i="1" s="1"/>
  <c r="AD586" i="1"/>
  <c r="F586" i="1" s="1"/>
  <c r="AD587" i="1"/>
  <c r="F587" i="1" s="1"/>
  <c r="AD588" i="1"/>
  <c r="F588" i="1" s="1"/>
  <c r="AD589" i="1"/>
  <c r="F589" i="1" s="1"/>
  <c r="AD590" i="1"/>
  <c r="F590" i="1" s="1"/>
  <c r="AD591" i="1"/>
  <c r="F591" i="1" s="1"/>
  <c r="AD592" i="1"/>
  <c r="F592" i="1" s="1"/>
  <c r="AE954" i="1"/>
  <c r="AF1114" i="1"/>
  <c r="AF1071" i="1"/>
  <c r="AF1026" i="1"/>
  <c r="AF767" i="1"/>
  <c r="AF713" i="1"/>
  <c r="AF604" i="1"/>
  <c r="AD471" i="1"/>
  <c r="F471" i="1" s="1"/>
  <c r="AF467" i="1"/>
  <c r="AF464" i="1"/>
  <c r="AF463" i="1"/>
  <c r="AF412" i="1"/>
  <c r="AF407" i="1"/>
  <c r="AF324" i="1"/>
  <c r="AD324" i="1" s="1"/>
  <c r="F324" i="1" s="1"/>
  <c r="AF300" i="1"/>
  <c r="AF296" i="1"/>
  <c r="AF250" i="1"/>
  <c r="AF253" i="1"/>
  <c r="AF40" i="1"/>
  <c r="AD1049" i="1"/>
  <c r="F1049" i="1" s="1"/>
  <c r="AF1032" i="1"/>
  <c r="AF1027" i="1"/>
  <c r="AD939" i="1"/>
  <c r="F939" i="1" s="1"/>
  <c r="AF922" i="1"/>
  <c r="AF771" i="1"/>
  <c r="AF664" i="1"/>
  <c r="AF733" i="1" s="1"/>
  <c r="AF352" i="1"/>
  <c r="AE1096" i="1"/>
  <c r="AE1095" i="1"/>
  <c r="AE1027" i="1"/>
  <c r="AE1051" i="1"/>
  <c r="AE1042" i="1"/>
  <c r="AE1029" i="1"/>
  <c r="AE990" i="1"/>
  <c r="AE951" i="1"/>
  <c r="AE955" i="1"/>
  <c r="AE949" i="1"/>
  <c r="AE922" i="1"/>
  <c r="AE926" i="1"/>
  <c r="AE870" i="1"/>
  <c r="AE867" i="1"/>
  <c r="AE866" i="1"/>
  <c r="AE865" i="1"/>
  <c r="AE842" i="1"/>
  <c r="AD842" i="1" s="1"/>
  <c r="F842" i="1" s="1"/>
  <c r="AE839" i="1"/>
  <c r="AD839" i="1" s="1"/>
  <c r="F839" i="1" s="1"/>
  <c r="AE770" i="1"/>
  <c r="AE774" i="1"/>
  <c r="AE736" i="1"/>
  <c r="AE735" i="1"/>
  <c r="AE723" i="1"/>
  <c r="AE667" i="1"/>
  <c r="AE675" i="1"/>
  <c r="AD675" i="1" s="1"/>
  <c r="F675" i="1" s="1"/>
  <c r="AE664" i="1"/>
  <c r="AE668" i="1"/>
  <c r="AE658" i="1"/>
  <c r="AE602" i="1"/>
  <c r="AE598" i="1"/>
  <c r="AE596" i="1"/>
  <c r="AE595" i="1"/>
  <c r="AE594" i="1"/>
  <c r="AE541" i="1"/>
  <c r="AE466" i="1"/>
  <c r="AE467" i="1"/>
  <c r="AE463" i="1"/>
  <c r="AE465" i="1"/>
  <c r="AE464" i="1"/>
  <c r="AE407" i="1"/>
  <c r="AE350" i="1"/>
  <c r="AE353" i="1"/>
  <c r="AE355" i="1"/>
  <c r="AE193" i="1"/>
  <c r="AE90" i="1"/>
  <c r="AE89" i="1"/>
  <c r="AE98" i="1"/>
  <c r="AE70" i="1"/>
  <c r="AE38" i="1"/>
  <c r="AD55" i="1"/>
  <c r="F55" i="1" s="1"/>
  <c r="D675" i="1" l="1"/>
  <c r="D842" i="1"/>
  <c r="D1049" i="1"/>
  <c r="D471" i="1"/>
  <c r="D590" i="1"/>
  <c r="D586" i="1"/>
  <c r="D582" i="1"/>
  <c r="D578" i="1"/>
  <c r="D575" i="1"/>
  <c r="D569" i="1"/>
  <c r="D565" i="1"/>
  <c r="D562" i="1"/>
  <c r="D558" i="1"/>
  <c r="D552" i="1"/>
  <c r="D549" i="1"/>
  <c r="D545" i="1"/>
  <c r="D849" i="1"/>
  <c r="D843" i="1"/>
  <c r="D838" i="1"/>
  <c r="D839" i="1"/>
  <c r="D587" i="1"/>
  <c r="D583" i="1"/>
  <c r="D579" i="1"/>
  <c r="D572" i="1"/>
  <c r="D570" i="1"/>
  <c r="D560" i="1"/>
  <c r="D553" i="1"/>
  <c r="D550" i="1"/>
  <c r="D546" i="1"/>
  <c r="D846" i="1"/>
  <c r="D324" i="1"/>
  <c r="D588" i="1"/>
  <c r="D584" i="1"/>
  <c r="D580" i="1"/>
  <c r="D576" i="1"/>
  <c r="D573" i="1"/>
  <c r="D567" i="1"/>
  <c r="D563" i="1"/>
  <c r="D561" i="1"/>
  <c r="D559" i="1"/>
  <c r="D556" i="1"/>
  <c r="D551" i="1"/>
  <c r="D547" i="1"/>
  <c r="D543" i="1"/>
  <c r="D847" i="1"/>
  <c r="D840" i="1"/>
  <c r="D591" i="1"/>
  <c r="D939" i="1"/>
  <c r="D592" i="1"/>
  <c r="D589" i="1"/>
  <c r="D585" i="1"/>
  <c r="D581" i="1"/>
  <c r="D577" i="1"/>
  <c r="D574" i="1"/>
  <c r="D571" i="1"/>
  <c r="D568" i="1"/>
  <c r="D564" i="1"/>
  <c r="D548" i="1"/>
  <c r="D544" i="1"/>
  <c r="D542" i="1"/>
  <c r="D848" i="1"/>
  <c r="D841" i="1"/>
  <c r="D55" i="1"/>
  <c r="AD541" i="1"/>
  <c r="F541" i="1" s="1"/>
  <c r="AF1060" i="1"/>
  <c r="AE18" i="1"/>
  <c r="AF510" i="1"/>
  <c r="AF453" i="1"/>
  <c r="AE1119" i="1"/>
  <c r="AE1115" i="1"/>
  <c r="AE1064" i="1"/>
  <c r="AE1068" i="1"/>
  <c r="AE1066" i="1"/>
  <c r="AE1061" i="1"/>
  <c r="AE1028" i="1"/>
  <c r="AE665" i="1"/>
  <c r="AE713" i="1"/>
  <c r="AE601" i="1"/>
  <c r="AE540" i="1"/>
  <c r="AD540" i="1" s="1"/>
  <c r="F540" i="1" s="1"/>
  <c r="AE532" i="1"/>
  <c r="N467" i="1"/>
  <c r="AE733" i="1" l="1"/>
  <c r="D540" i="1"/>
  <c r="D541" i="1"/>
  <c r="N1135" i="1"/>
  <c r="AE412" i="1"/>
  <c r="AE336" i="1"/>
  <c r="AD336" i="1" s="1"/>
  <c r="AE223" i="1"/>
  <c r="AD223" i="1" s="1"/>
  <c r="F223" i="1" s="1"/>
  <c r="AE215" i="1"/>
  <c r="AE133" i="1"/>
  <c r="AE16" i="1"/>
  <c r="AD1145" i="1"/>
  <c r="F1145" i="1" s="1"/>
  <c r="AD1146" i="1"/>
  <c r="F1146" i="1" s="1"/>
  <c r="AD1147" i="1"/>
  <c r="F1147" i="1" s="1"/>
  <c r="AD1148" i="1"/>
  <c r="F1148" i="1" s="1"/>
  <c r="AD1149" i="1"/>
  <c r="F1149" i="1" s="1"/>
  <c r="AD1150" i="1"/>
  <c r="F1150" i="1" s="1"/>
  <c r="AD1151" i="1"/>
  <c r="F1151" i="1" s="1"/>
  <c r="AD1152" i="1"/>
  <c r="F1152" i="1" s="1"/>
  <c r="AD1116" i="1"/>
  <c r="F1116" i="1" s="1"/>
  <c r="AD1117" i="1"/>
  <c r="F1117" i="1" s="1"/>
  <c r="AD1118" i="1"/>
  <c r="F1118" i="1" s="1"/>
  <c r="AD1119" i="1"/>
  <c r="F1119" i="1" s="1"/>
  <c r="AD1120" i="1"/>
  <c r="F1120" i="1" s="1"/>
  <c r="AD1121" i="1"/>
  <c r="F1121" i="1" s="1"/>
  <c r="AD1122" i="1"/>
  <c r="F1122" i="1" s="1"/>
  <c r="AD1124" i="1"/>
  <c r="F1124" i="1" s="1"/>
  <c r="AD1130" i="1"/>
  <c r="F1130" i="1" s="1"/>
  <c r="AD1131" i="1"/>
  <c r="F1131" i="1" s="1"/>
  <c r="AD1132" i="1"/>
  <c r="F1132" i="1" s="1"/>
  <c r="AD1133" i="1"/>
  <c r="F1133" i="1" s="1"/>
  <c r="AD1134" i="1"/>
  <c r="F1134" i="1" s="1"/>
  <c r="AD1135" i="1"/>
  <c r="F1135" i="1" s="1"/>
  <c r="AD1136" i="1"/>
  <c r="F1136" i="1" s="1"/>
  <c r="AD1137" i="1"/>
  <c r="F1137" i="1" s="1"/>
  <c r="AD1138" i="1"/>
  <c r="F1138" i="1" s="1"/>
  <c r="AD1139" i="1"/>
  <c r="F1139" i="1" s="1"/>
  <c r="AD1115" i="1"/>
  <c r="F1115" i="1" s="1"/>
  <c r="AD1096" i="1"/>
  <c r="F1096" i="1" s="1"/>
  <c r="AD1097" i="1"/>
  <c r="AD1098" i="1"/>
  <c r="F1098" i="1" s="1"/>
  <c r="AD1099" i="1"/>
  <c r="F1099" i="1" s="1"/>
  <c r="AD1100" i="1"/>
  <c r="F1100" i="1" s="1"/>
  <c r="AD1101" i="1"/>
  <c r="F1101" i="1" s="1"/>
  <c r="AD1102" i="1"/>
  <c r="F1102" i="1" s="1"/>
  <c r="AD1103" i="1"/>
  <c r="F1103" i="1" s="1"/>
  <c r="AD1105" i="1"/>
  <c r="F1105" i="1" s="1"/>
  <c r="AD1106" i="1"/>
  <c r="F1106" i="1" s="1"/>
  <c r="AD1107" i="1"/>
  <c r="F1107" i="1" s="1"/>
  <c r="AD1109" i="1"/>
  <c r="F1109" i="1" s="1"/>
  <c r="AD1110" i="1"/>
  <c r="F1110" i="1" s="1"/>
  <c r="AD1111" i="1"/>
  <c r="F1111" i="1" s="1"/>
  <c r="AD1112" i="1"/>
  <c r="F1112" i="1" s="1"/>
  <c r="AD1113" i="1"/>
  <c r="F1113" i="1" s="1"/>
  <c r="AD1095" i="1"/>
  <c r="F1095" i="1" s="1"/>
  <c r="AD1062" i="1"/>
  <c r="F1062" i="1" s="1"/>
  <c r="AD1063" i="1"/>
  <c r="F1063" i="1" s="1"/>
  <c r="AD1064" i="1"/>
  <c r="F1064" i="1" s="1"/>
  <c r="AD1065" i="1"/>
  <c r="F1065" i="1" s="1"/>
  <c r="AD1066" i="1"/>
  <c r="F1066" i="1" s="1"/>
  <c r="AD1067" i="1"/>
  <c r="F1067" i="1" s="1"/>
  <c r="AD1068" i="1"/>
  <c r="F1068" i="1" s="1"/>
  <c r="AD1069" i="1"/>
  <c r="F1069" i="1" s="1"/>
  <c r="AD1070" i="1"/>
  <c r="F1070" i="1" s="1"/>
  <c r="AD1071" i="1"/>
  <c r="F1071" i="1" s="1"/>
  <c r="AD1072" i="1"/>
  <c r="F1072" i="1" s="1"/>
  <c r="AD1073" i="1"/>
  <c r="F1073" i="1" s="1"/>
  <c r="AD1074" i="1"/>
  <c r="F1074" i="1" s="1"/>
  <c r="AD1075" i="1"/>
  <c r="F1075" i="1" s="1"/>
  <c r="AD1076" i="1"/>
  <c r="F1076" i="1" s="1"/>
  <c r="AD1077" i="1"/>
  <c r="F1077" i="1" s="1"/>
  <c r="AD1078" i="1"/>
  <c r="F1078" i="1" s="1"/>
  <c r="AD1079" i="1"/>
  <c r="F1079" i="1" s="1"/>
  <c r="AD1080" i="1"/>
  <c r="F1080" i="1" s="1"/>
  <c r="AD1081" i="1"/>
  <c r="F1081" i="1" s="1"/>
  <c r="AD1082" i="1"/>
  <c r="F1082" i="1" s="1"/>
  <c r="AD1083" i="1"/>
  <c r="F1083" i="1" s="1"/>
  <c r="AD1084" i="1"/>
  <c r="F1084" i="1" s="1"/>
  <c r="AD1085" i="1"/>
  <c r="F1085" i="1" s="1"/>
  <c r="AD1086" i="1"/>
  <c r="F1086" i="1" s="1"/>
  <c r="AD1087" i="1"/>
  <c r="F1087" i="1" s="1"/>
  <c r="AD1088" i="1"/>
  <c r="F1088" i="1" s="1"/>
  <c r="AD1089" i="1"/>
  <c r="F1089" i="1" s="1"/>
  <c r="AD1091" i="1"/>
  <c r="F1091" i="1" s="1"/>
  <c r="AD1092" i="1"/>
  <c r="F1092" i="1" s="1"/>
  <c r="AD1093" i="1"/>
  <c r="F1093" i="1" s="1"/>
  <c r="AD1061" i="1"/>
  <c r="F1061" i="1" s="1"/>
  <c r="AD1026" i="1"/>
  <c r="AD1027" i="1"/>
  <c r="F1027" i="1" s="1"/>
  <c r="AD1028" i="1"/>
  <c r="F1028" i="1" s="1"/>
  <c r="AD1029" i="1"/>
  <c r="F1029" i="1" s="1"/>
  <c r="AD1030" i="1"/>
  <c r="F1030" i="1" s="1"/>
  <c r="AD1031" i="1"/>
  <c r="F1031" i="1" s="1"/>
  <c r="AD1032" i="1"/>
  <c r="F1032" i="1" s="1"/>
  <c r="AD1033" i="1"/>
  <c r="F1033" i="1" s="1"/>
  <c r="AD1034" i="1"/>
  <c r="F1034" i="1" s="1"/>
  <c r="AD1035" i="1"/>
  <c r="F1035" i="1" s="1"/>
  <c r="AD1036" i="1"/>
  <c r="F1036" i="1" s="1"/>
  <c r="AD1037" i="1"/>
  <c r="F1037" i="1" s="1"/>
  <c r="AD1038" i="1"/>
  <c r="F1038" i="1" s="1"/>
  <c r="AD1039" i="1"/>
  <c r="F1039" i="1" s="1"/>
  <c r="AD1040" i="1"/>
  <c r="F1040" i="1" s="1"/>
  <c r="AD1041" i="1"/>
  <c r="F1041" i="1" s="1"/>
  <c r="AD1042" i="1"/>
  <c r="F1042" i="1" s="1"/>
  <c r="AD1043" i="1"/>
  <c r="F1043" i="1" s="1"/>
  <c r="AD1044" i="1"/>
  <c r="F1044" i="1" s="1"/>
  <c r="AD1045" i="1"/>
  <c r="F1045" i="1" s="1"/>
  <c r="AD1046" i="1"/>
  <c r="F1046" i="1" s="1"/>
  <c r="AD1047" i="1"/>
  <c r="F1047" i="1" s="1"/>
  <c r="AD1048" i="1"/>
  <c r="F1048" i="1" s="1"/>
  <c r="AD1050" i="1"/>
  <c r="F1050" i="1" s="1"/>
  <c r="AD1051" i="1"/>
  <c r="F1051" i="1" s="1"/>
  <c r="AD1052" i="1"/>
  <c r="F1052" i="1" s="1"/>
  <c r="AD1053" i="1"/>
  <c r="F1053" i="1" s="1"/>
  <c r="AD1054" i="1"/>
  <c r="F1054" i="1" s="1"/>
  <c r="AD1055" i="1"/>
  <c r="F1055" i="1" s="1"/>
  <c r="AD1056" i="1"/>
  <c r="F1056" i="1" s="1"/>
  <c r="AD1057" i="1"/>
  <c r="F1057" i="1" s="1"/>
  <c r="AD1059" i="1"/>
  <c r="F1059" i="1" s="1"/>
  <c r="AD1025" i="1"/>
  <c r="F1025" i="1" s="1"/>
  <c r="AD1014" i="1"/>
  <c r="F1014" i="1" s="1"/>
  <c r="AD1015" i="1"/>
  <c r="F1015" i="1" s="1"/>
  <c r="AD1016" i="1"/>
  <c r="F1016" i="1" s="1"/>
  <c r="AD1017" i="1"/>
  <c r="F1017" i="1" s="1"/>
  <c r="AD1018" i="1"/>
  <c r="F1018" i="1" s="1"/>
  <c r="AD1019" i="1"/>
  <c r="F1019" i="1" s="1"/>
  <c r="AD1020" i="1"/>
  <c r="F1020" i="1" s="1"/>
  <c r="AD1021" i="1"/>
  <c r="F1021" i="1" s="1"/>
  <c r="AD1013" i="1"/>
  <c r="F1013" i="1" s="1"/>
  <c r="AD990" i="1"/>
  <c r="F990" i="1" s="1"/>
  <c r="AD991" i="1"/>
  <c r="F991" i="1" s="1"/>
  <c r="AD992" i="1"/>
  <c r="F992" i="1" s="1"/>
  <c r="AD993" i="1"/>
  <c r="F993" i="1" s="1"/>
  <c r="AD995" i="1"/>
  <c r="F995" i="1" s="1"/>
  <c r="AD996" i="1"/>
  <c r="F996" i="1" s="1"/>
  <c r="AD997" i="1"/>
  <c r="F997" i="1" s="1"/>
  <c r="AD998" i="1"/>
  <c r="F998" i="1" s="1"/>
  <c r="AD999" i="1"/>
  <c r="F999" i="1" s="1"/>
  <c r="AD1000" i="1"/>
  <c r="F1000" i="1" s="1"/>
  <c r="AD1001" i="1"/>
  <c r="F1001" i="1" s="1"/>
  <c r="AD1002" i="1"/>
  <c r="F1002" i="1" s="1"/>
  <c r="AD1003" i="1"/>
  <c r="F1003" i="1" s="1"/>
  <c r="AD1004" i="1"/>
  <c r="F1004" i="1" s="1"/>
  <c r="AD1005" i="1"/>
  <c r="F1005" i="1" s="1"/>
  <c r="AD1006" i="1"/>
  <c r="F1006" i="1" s="1"/>
  <c r="AD989" i="1"/>
  <c r="F989" i="1" s="1"/>
  <c r="AD949" i="1"/>
  <c r="F949" i="1" s="1"/>
  <c r="AD950" i="1"/>
  <c r="F950" i="1" s="1"/>
  <c r="AD951" i="1"/>
  <c r="F951" i="1" s="1"/>
  <c r="AD952" i="1"/>
  <c r="F952" i="1" s="1"/>
  <c r="AD953" i="1"/>
  <c r="F953" i="1" s="1"/>
  <c r="AD954" i="1"/>
  <c r="F954" i="1" s="1"/>
  <c r="AD955" i="1"/>
  <c r="F955" i="1" s="1"/>
  <c r="AD956" i="1"/>
  <c r="F956" i="1" s="1"/>
  <c r="AD959" i="1"/>
  <c r="F959" i="1" s="1"/>
  <c r="AD960" i="1"/>
  <c r="F960" i="1" s="1"/>
  <c r="AD961" i="1"/>
  <c r="F961" i="1" s="1"/>
  <c r="AD962" i="1"/>
  <c r="F962" i="1" s="1"/>
  <c r="AD963" i="1"/>
  <c r="F963" i="1" s="1"/>
  <c r="AD964" i="1"/>
  <c r="F964" i="1" s="1"/>
  <c r="AD965" i="1"/>
  <c r="F965" i="1" s="1"/>
  <c r="AD966" i="1"/>
  <c r="F966" i="1" s="1"/>
  <c r="AD967" i="1"/>
  <c r="F967" i="1" s="1"/>
  <c r="AD969" i="1"/>
  <c r="F969" i="1" s="1"/>
  <c r="AD970" i="1"/>
  <c r="F970" i="1" s="1"/>
  <c r="AD971" i="1"/>
  <c r="F971" i="1" s="1"/>
  <c r="AD973" i="1"/>
  <c r="F973" i="1" s="1"/>
  <c r="AD974" i="1"/>
  <c r="F974" i="1" s="1"/>
  <c r="AD975" i="1"/>
  <c r="F975" i="1" s="1"/>
  <c r="AD976" i="1"/>
  <c r="F976" i="1" s="1"/>
  <c r="AD977" i="1"/>
  <c r="F977" i="1" s="1"/>
  <c r="AD978" i="1"/>
  <c r="F978" i="1" s="1"/>
  <c r="AD979" i="1"/>
  <c r="F979" i="1" s="1"/>
  <c r="AD980" i="1"/>
  <c r="F980" i="1" s="1"/>
  <c r="AD981" i="1"/>
  <c r="F981" i="1" s="1"/>
  <c r="AD982" i="1"/>
  <c r="F982" i="1" s="1"/>
  <c r="AD983" i="1"/>
  <c r="F983" i="1" s="1"/>
  <c r="AD987" i="1"/>
  <c r="F987" i="1" s="1"/>
  <c r="AD948" i="1"/>
  <c r="F948" i="1" s="1"/>
  <c r="AD917" i="1"/>
  <c r="F917" i="1" s="1"/>
  <c r="AD918" i="1"/>
  <c r="F918" i="1" s="1"/>
  <c r="AD919" i="1"/>
  <c r="F919" i="1" s="1"/>
  <c r="AD920" i="1"/>
  <c r="F920" i="1" s="1"/>
  <c r="AD921" i="1"/>
  <c r="F921" i="1" s="1"/>
  <c r="AD922" i="1"/>
  <c r="F922" i="1" s="1"/>
  <c r="AD923" i="1"/>
  <c r="F923" i="1" s="1"/>
  <c r="AD924" i="1"/>
  <c r="F924" i="1" s="1"/>
  <c r="AD925" i="1"/>
  <c r="F925" i="1" s="1"/>
  <c r="AD926" i="1"/>
  <c r="F926" i="1" s="1"/>
  <c r="AD927" i="1"/>
  <c r="F927" i="1" s="1"/>
  <c r="AD928" i="1"/>
  <c r="F928" i="1" s="1"/>
  <c r="AD930" i="1"/>
  <c r="F930" i="1" s="1"/>
  <c r="AD931" i="1"/>
  <c r="F931" i="1" s="1"/>
  <c r="AD934" i="1"/>
  <c r="F934" i="1" s="1"/>
  <c r="AD935" i="1"/>
  <c r="F935" i="1" s="1"/>
  <c r="AD936" i="1"/>
  <c r="F936" i="1" s="1"/>
  <c r="AD937" i="1"/>
  <c r="F937" i="1" s="1"/>
  <c r="AD938" i="1"/>
  <c r="F938" i="1" s="1"/>
  <c r="AD940" i="1"/>
  <c r="F940" i="1" s="1"/>
  <c r="AD941" i="1"/>
  <c r="F941" i="1" s="1"/>
  <c r="AD946" i="1"/>
  <c r="F946" i="1" s="1"/>
  <c r="AD916" i="1"/>
  <c r="F916" i="1" s="1"/>
  <c r="AD864" i="1"/>
  <c r="F864" i="1" s="1"/>
  <c r="AD865" i="1"/>
  <c r="F865" i="1" s="1"/>
  <c r="AD866" i="1"/>
  <c r="F866" i="1" s="1"/>
  <c r="AD867" i="1"/>
  <c r="F867" i="1" s="1"/>
  <c r="AD868" i="1"/>
  <c r="F868" i="1" s="1"/>
  <c r="AD869" i="1"/>
  <c r="F869" i="1" s="1"/>
  <c r="AD870" i="1"/>
  <c r="F870" i="1" s="1"/>
  <c r="AD872" i="1"/>
  <c r="F872" i="1" s="1"/>
  <c r="AD873" i="1"/>
  <c r="F873" i="1" s="1"/>
  <c r="AD874" i="1"/>
  <c r="F874" i="1" s="1"/>
  <c r="AD875" i="1"/>
  <c r="F875" i="1" s="1"/>
  <c r="AD876" i="1"/>
  <c r="F876" i="1" s="1"/>
  <c r="AD877" i="1"/>
  <c r="F877" i="1" s="1"/>
  <c r="AD879" i="1"/>
  <c r="F879" i="1" s="1"/>
  <c r="AD880" i="1"/>
  <c r="F880" i="1" s="1"/>
  <c r="AD881" i="1"/>
  <c r="F881" i="1" s="1"/>
  <c r="AD882" i="1"/>
  <c r="F882" i="1" s="1"/>
  <c r="AD883" i="1"/>
  <c r="F883" i="1" s="1"/>
  <c r="AD885" i="1"/>
  <c r="F885" i="1" s="1"/>
  <c r="AD886" i="1"/>
  <c r="F886" i="1" s="1"/>
  <c r="AD887" i="1"/>
  <c r="F887" i="1" s="1"/>
  <c r="AD888" i="1"/>
  <c r="F888" i="1" s="1"/>
  <c r="AD889" i="1"/>
  <c r="F889" i="1" s="1"/>
  <c r="AD891" i="1"/>
  <c r="F891" i="1" s="1"/>
  <c r="AD892" i="1"/>
  <c r="F892" i="1" s="1"/>
  <c r="AD893" i="1"/>
  <c r="F893" i="1" s="1"/>
  <c r="AD894" i="1"/>
  <c r="AD895" i="1"/>
  <c r="F895" i="1" s="1"/>
  <c r="AD896" i="1"/>
  <c r="F896" i="1" s="1"/>
  <c r="AD897" i="1"/>
  <c r="F897" i="1" s="1"/>
  <c r="AD898" i="1"/>
  <c r="F898" i="1" s="1"/>
  <c r="AD899" i="1"/>
  <c r="F899" i="1" s="1"/>
  <c r="AD900" i="1"/>
  <c r="F900" i="1" s="1"/>
  <c r="AD901" i="1"/>
  <c r="F901" i="1" s="1"/>
  <c r="AD914" i="1"/>
  <c r="F914" i="1" s="1"/>
  <c r="AD854" i="1"/>
  <c r="F854" i="1" s="1"/>
  <c r="AD855" i="1"/>
  <c r="F855" i="1" s="1"/>
  <c r="AD856" i="1"/>
  <c r="F856" i="1" s="1"/>
  <c r="AD857" i="1"/>
  <c r="F857" i="1" s="1"/>
  <c r="AD858" i="1"/>
  <c r="F858" i="1" s="1"/>
  <c r="AD861" i="1"/>
  <c r="F861" i="1" s="1"/>
  <c r="AD862" i="1"/>
  <c r="F862" i="1" s="1"/>
  <c r="AD770" i="1"/>
  <c r="F770" i="1" s="1"/>
  <c r="AD771" i="1"/>
  <c r="F771" i="1" s="1"/>
  <c r="AD772" i="1"/>
  <c r="F772" i="1" s="1"/>
  <c r="AD773" i="1"/>
  <c r="F773" i="1" s="1"/>
  <c r="AD774" i="1"/>
  <c r="F774" i="1" s="1"/>
  <c r="AD775" i="1"/>
  <c r="F775" i="1" s="1"/>
  <c r="AD776" i="1"/>
  <c r="F776" i="1" s="1"/>
  <c r="AD777" i="1"/>
  <c r="F777" i="1" s="1"/>
  <c r="AD778" i="1"/>
  <c r="F778" i="1" s="1"/>
  <c r="AD779" i="1"/>
  <c r="F779" i="1" s="1"/>
  <c r="AD780" i="1"/>
  <c r="F780" i="1" s="1"/>
  <c r="AD781" i="1"/>
  <c r="F781" i="1" s="1"/>
  <c r="AD782" i="1"/>
  <c r="F782" i="1" s="1"/>
  <c r="AD783" i="1"/>
  <c r="F783" i="1" s="1"/>
  <c r="AD784" i="1"/>
  <c r="F784" i="1" s="1"/>
  <c r="AD785" i="1"/>
  <c r="F785" i="1" s="1"/>
  <c r="AD786" i="1"/>
  <c r="F786" i="1" s="1"/>
  <c r="AD787" i="1"/>
  <c r="F787" i="1" s="1"/>
  <c r="AD788" i="1"/>
  <c r="F788" i="1" s="1"/>
  <c r="AD789" i="1"/>
  <c r="F789" i="1" s="1"/>
  <c r="AD790" i="1"/>
  <c r="F790" i="1" s="1"/>
  <c r="AD791" i="1"/>
  <c r="F791" i="1" s="1"/>
  <c r="AD792" i="1"/>
  <c r="F792" i="1" s="1"/>
  <c r="AD793" i="1"/>
  <c r="F793" i="1" s="1"/>
  <c r="AD794" i="1"/>
  <c r="F794" i="1" s="1"/>
  <c r="AD795" i="1"/>
  <c r="F795" i="1" s="1"/>
  <c r="AD796" i="1"/>
  <c r="F796" i="1" s="1"/>
  <c r="AD797" i="1"/>
  <c r="F797" i="1" s="1"/>
  <c r="AD798" i="1"/>
  <c r="F798" i="1" s="1"/>
  <c r="AD799" i="1"/>
  <c r="F799" i="1" s="1"/>
  <c r="AD800" i="1"/>
  <c r="F800" i="1" s="1"/>
  <c r="AD801" i="1"/>
  <c r="F801" i="1" s="1"/>
  <c r="AD802" i="1"/>
  <c r="F802" i="1" s="1"/>
  <c r="AD803" i="1"/>
  <c r="F803" i="1" s="1"/>
  <c r="AD804" i="1"/>
  <c r="F804" i="1" s="1"/>
  <c r="AD805" i="1"/>
  <c r="F805" i="1" s="1"/>
  <c r="AD806" i="1"/>
  <c r="F806" i="1" s="1"/>
  <c r="AD807" i="1"/>
  <c r="F807" i="1" s="1"/>
  <c r="AD808" i="1"/>
  <c r="F808" i="1" s="1"/>
  <c r="AD809" i="1"/>
  <c r="F809" i="1" s="1"/>
  <c r="AD810" i="1"/>
  <c r="F810" i="1" s="1"/>
  <c r="AD811" i="1"/>
  <c r="F811" i="1" s="1"/>
  <c r="AD812" i="1"/>
  <c r="F812" i="1" s="1"/>
  <c r="AD813" i="1"/>
  <c r="F813" i="1" s="1"/>
  <c r="AD818" i="1"/>
  <c r="F818" i="1" s="1"/>
  <c r="AD819" i="1"/>
  <c r="F819" i="1" s="1"/>
  <c r="AD820" i="1"/>
  <c r="F820" i="1" s="1"/>
  <c r="AD821" i="1"/>
  <c r="F821" i="1" s="1"/>
  <c r="AD822" i="1"/>
  <c r="F822" i="1" s="1"/>
  <c r="AD823" i="1"/>
  <c r="F823" i="1" s="1"/>
  <c r="AD824" i="1"/>
  <c r="F824" i="1" s="1"/>
  <c r="AD825" i="1"/>
  <c r="F825" i="1" s="1"/>
  <c r="AD826" i="1"/>
  <c r="F826" i="1" s="1"/>
  <c r="AD827" i="1"/>
  <c r="F827" i="1" s="1"/>
  <c r="AD828" i="1"/>
  <c r="F828" i="1" s="1"/>
  <c r="AD829" i="1"/>
  <c r="F829" i="1" s="1"/>
  <c r="AD830" i="1"/>
  <c r="F830" i="1" s="1"/>
  <c r="AD831" i="1"/>
  <c r="F831" i="1" s="1"/>
  <c r="AD833" i="1"/>
  <c r="F833" i="1" s="1"/>
  <c r="AD834" i="1"/>
  <c r="F834" i="1" s="1"/>
  <c r="AD835" i="1"/>
  <c r="F835" i="1" s="1"/>
  <c r="AD836" i="1"/>
  <c r="F836" i="1" s="1"/>
  <c r="AD769" i="1"/>
  <c r="F769" i="1" s="1"/>
  <c r="AD757" i="1"/>
  <c r="F757" i="1" s="1"/>
  <c r="AD758" i="1"/>
  <c r="F758" i="1" s="1"/>
  <c r="AD759" i="1"/>
  <c r="F759" i="1" s="1"/>
  <c r="AD760" i="1"/>
  <c r="F760" i="1" s="1"/>
  <c r="AD761" i="1"/>
  <c r="F761" i="1" s="1"/>
  <c r="AD762" i="1"/>
  <c r="F762" i="1" s="1"/>
  <c r="AD763" i="1"/>
  <c r="F763" i="1" s="1"/>
  <c r="AD764" i="1"/>
  <c r="F764" i="1" s="1"/>
  <c r="AD766" i="1"/>
  <c r="F766" i="1" s="1"/>
  <c r="AD767" i="1"/>
  <c r="F767" i="1" s="1"/>
  <c r="AD756" i="1"/>
  <c r="F756" i="1" s="1"/>
  <c r="AD735" i="1"/>
  <c r="F735" i="1" s="1"/>
  <c r="AD736" i="1"/>
  <c r="F736" i="1" s="1"/>
  <c r="AD737" i="1"/>
  <c r="F737" i="1" s="1"/>
  <c r="AD739" i="1"/>
  <c r="F739" i="1" s="1"/>
  <c r="AD740" i="1"/>
  <c r="F740" i="1" s="1"/>
  <c r="AD741" i="1"/>
  <c r="F741" i="1" s="1"/>
  <c r="AD742" i="1"/>
  <c r="F742" i="1" s="1"/>
  <c r="AD743" i="1"/>
  <c r="F743" i="1" s="1"/>
  <c r="AD744" i="1"/>
  <c r="F744" i="1" s="1"/>
  <c r="AD745" i="1"/>
  <c r="F745" i="1" s="1"/>
  <c r="AD746" i="1"/>
  <c r="F746" i="1" s="1"/>
  <c r="AD747" i="1"/>
  <c r="F747" i="1" s="1"/>
  <c r="AD748" i="1"/>
  <c r="F748" i="1" s="1"/>
  <c r="AD749" i="1"/>
  <c r="F749" i="1" s="1"/>
  <c r="AD750" i="1"/>
  <c r="F750" i="1" s="1"/>
  <c r="AD751" i="1"/>
  <c r="F751" i="1" s="1"/>
  <c r="AD754" i="1"/>
  <c r="F754" i="1" s="1"/>
  <c r="AD734" i="1"/>
  <c r="F734" i="1" s="1"/>
  <c r="AD659" i="1"/>
  <c r="F659" i="1" s="1"/>
  <c r="AD660" i="1"/>
  <c r="F660" i="1" s="1"/>
  <c r="AD661" i="1"/>
  <c r="F661" i="1" s="1"/>
  <c r="AD662" i="1"/>
  <c r="F662" i="1" s="1"/>
  <c r="AD663" i="1"/>
  <c r="F663" i="1" s="1"/>
  <c r="AD664" i="1"/>
  <c r="F664" i="1" s="1"/>
  <c r="AD665" i="1"/>
  <c r="F665" i="1" s="1"/>
  <c r="AD666" i="1"/>
  <c r="F666" i="1" s="1"/>
  <c r="AD667" i="1"/>
  <c r="F667" i="1" s="1"/>
  <c r="AD668" i="1"/>
  <c r="F668" i="1" s="1"/>
  <c r="AD669" i="1"/>
  <c r="F669" i="1" s="1"/>
  <c r="AD670" i="1"/>
  <c r="F670" i="1" s="1"/>
  <c r="AD671" i="1"/>
  <c r="F671" i="1" s="1"/>
  <c r="AD672" i="1"/>
  <c r="F672" i="1" s="1"/>
  <c r="AD673" i="1"/>
  <c r="F673" i="1" s="1"/>
  <c r="AD674" i="1"/>
  <c r="F674" i="1" s="1"/>
  <c r="AD676" i="1"/>
  <c r="F676" i="1" s="1"/>
  <c r="AD677" i="1"/>
  <c r="F677" i="1" s="1"/>
  <c r="AD682" i="1"/>
  <c r="F682" i="1" s="1"/>
  <c r="AD683" i="1"/>
  <c r="F683" i="1" s="1"/>
  <c r="AD684" i="1"/>
  <c r="F684" i="1" s="1"/>
  <c r="AD685" i="1"/>
  <c r="F685" i="1" s="1"/>
  <c r="AD686" i="1"/>
  <c r="F686" i="1" s="1"/>
  <c r="AD688" i="1"/>
  <c r="F688" i="1" s="1"/>
  <c r="AD689" i="1"/>
  <c r="F689" i="1" s="1"/>
  <c r="AD690" i="1"/>
  <c r="F690" i="1" s="1"/>
  <c r="AD691" i="1"/>
  <c r="F691" i="1" s="1"/>
  <c r="AD692" i="1"/>
  <c r="F692" i="1" s="1"/>
  <c r="AD693" i="1"/>
  <c r="F693" i="1" s="1"/>
  <c r="AD694" i="1"/>
  <c r="F694" i="1" s="1"/>
  <c r="AD695" i="1"/>
  <c r="F695" i="1" s="1"/>
  <c r="AD696" i="1"/>
  <c r="F696" i="1" s="1"/>
  <c r="AD697" i="1"/>
  <c r="F697" i="1" s="1"/>
  <c r="AD698" i="1"/>
  <c r="F698" i="1" s="1"/>
  <c r="AD699" i="1"/>
  <c r="F699" i="1" s="1"/>
  <c r="AD700" i="1"/>
  <c r="F700" i="1" s="1"/>
  <c r="AD701" i="1"/>
  <c r="F701" i="1" s="1"/>
  <c r="AD703" i="1"/>
  <c r="F703" i="1" s="1"/>
  <c r="AD704" i="1"/>
  <c r="F704" i="1" s="1"/>
  <c r="AD705" i="1"/>
  <c r="F705" i="1" s="1"/>
  <c r="AD706" i="1"/>
  <c r="F706" i="1" s="1"/>
  <c r="AD707" i="1"/>
  <c r="F707" i="1" s="1"/>
  <c r="AD708" i="1"/>
  <c r="F708" i="1" s="1"/>
  <c r="AD709" i="1"/>
  <c r="F709" i="1" s="1"/>
  <c r="AD710" i="1"/>
  <c r="F710" i="1" s="1"/>
  <c r="AD711" i="1"/>
  <c r="F711" i="1" s="1"/>
  <c r="AD712" i="1"/>
  <c r="F712" i="1" s="1"/>
  <c r="AD713" i="1"/>
  <c r="F713" i="1" s="1"/>
  <c r="AD716" i="1"/>
  <c r="F716" i="1" s="1"/>
  <c r="AD717" i="1"/>
  <c r="F717" i="1" s="1"/>
  <c r="AD718" i="1"/>
  <c r="F718" i="1" s="1"/>
  <c r="AD719" i="1"/>
  <c r="F719" i="1" s="1"/>
  <c r="AD720" i="1"/>
  <c r="F720" i="1" s="1"/>
  <c r="AD721" i="1"/>
  <c r="F721" i="1" s="1"/>
  <c r="AD722" i="1"/>
  <c r="F722" i="1" s="1"/>
  <c r="AD723" i="1"/>
  <c r="F723" i="1" s="1"/>
  <c r="AD724" i="1"/>
  <c r="F724" i="1" s="1"/>
  <c r="AD725" i="1"/>
  <c r="F725" i="1" s="1"/>
  <c r="AD726" i="1"/>
  <c r="F726" i="1" s="1"/>
  <c r="AD727" i="1"/>
  <c r="F727" i="1" s="1"/>
  <c r="AD728" i="1"/>
  <c r="F728" i="1" s="1"/>
  <c r="AD729" i="1"/>
  <c r="F729" i="1" s="1"/>
  <c r="AD730" i="1"/>
  <c r="F730" i="1" s="1"/>
  <c r="AD731" i="1"/>
  <c r="F731" i="1" s="1"/>
  <c r="AD732" i="1"/>
  <c r="F732" i="1" s="1"/>
  <c r="AD658" i="1"/>
  <c r="AD639" i="1"/>
  <c r="F639" i="1" s="1"/>
  <c r="AD640" i="1"/>
  <c r="F640" i="1" s="1"/>
  <c r="AD641" i="1"/>
  <c r="F641" i="1" s="1"/>
  <c r="AD642" i="1"/>
  <c r="F642" i="1" s="1"/>
  <c r="AD643" i="1"/>
  <c r="F643" i="1" s="1"/>
  <c r="AD644" i="1"/>
  <c r="F644" i="1" s="1"/>
  <c r="AD645" i="1"/>
  <c r="F645" i="1" s="1"/>
  <c r="AD646" i="1"/>
  <c r="F646" i="1" s="1"/>
  <c r="AD647" i="1"/>
  <c r="F647" i="1" s="1"/>
  <c r="AD648" i="1"/>
  <c r="F648" i="1" s="1"/>
  <c r="AD649" i="1"/>
  <c r="F649" i="1" s="1"/>
  <c r="AD650" i="1"/>
  <c r="F650" i="1" s="1"/>
  <c r="AD651" i="1"/>
  <c r="F651" i="1" s="1"/>
  <c r="AD652" i="1"/>
  <c r="F652" i="1" s="1"/>
  <c r="AD654" i="1"/>
  <c r="F654" i="1" s="1"/>
  <c r="AD655" i="1"/>
  <c r="F655" i="1" s="1"/>
  <c r="AD656" i="1"/>
  <c r="F656" i="1" s="1"/>
  <c r="AD595" i="1"/>
  <c r="F595" i="1" s="1"/>
  <c r="AD596" i="1"/>
  <c r="F596" i="1" s="1"/>
  <c r="AD597" i="1"/>
  <c r="F597" i="1" s="1"/>
  <c r="AD598" i="1"/>
  <c r="F598" i="1" s="1"/>
  <c r="AD599" i="1"/>
  <c r="F599" i="1" s="1"/>
  <c r="AD600" i="1"/>
  <c r="F600" i="1" s="1"/>
  <c r="AD601" i="1"/>
  <c r="F601" i="1" s="1"/>
  <c r="AD602" i="1"/>
  <c r="F602" i="1" s="1"/>
  <c r="AD603" i="1"/>
  <c r="F603" i="1" s="1"/>
  <c r="AD604" i="1"/>
  <c r="F604" i="1" s="1"/>
  <c r="AD605" i="1"/>
  <c r="F605" i="1" s="1"/>
  <c r="AD606" i="1"/>
  <c r="F606" i="1" s="1"/>
  <c r="AD607" i="1"/>
  <c r="F607" i="1" s="1"/>
  <c r="AD608" i="1"/>
  <c r="F608" i="1" s="1"/>
  <c r="AD613" i="1"/>
  <c r="F613" i="1" s="1"/>
  <c r="AD614" i="1"/>
  <c r="F614" i="1" s="1"/>
  <c r="AD615" i="1"/>
  <c r="F615" i="1" s="1"/>
  <c r="AD616" i="1"/>
  <c r="F616" i="1" s="1"/>
  <c r="AD617" i="1"/>
  <c r="F617" i="1" s="1"/>
  <c r="AD618" i="1"/>
  <c r="F618" i="1" s="1"/>
  <c r="AD619" i="1"/>
  <c r="F619" i="1" s="1"/>
  <c r="AD620" i="1"/>
  <c r="F620" i="1" s="1"/>
  <c r="AD621" i="1"/>
  <c r="F621" i="1" s="1"/>
  <c r="AD622" i="1"/>
  <c r="F622" i="1" s="1"/>
  <c r="AD623" i="1"/>
  <c r="F623" i="1" s="1"/>
  <c r="AD624" i="1"/>
  <c r="F624" i="1" s="1"/>
  <c r="AD625" i="1"/>
  <c r="F625" i="1" s="1"/>
  <c r="AD626" i="1"/>
  <c r="F626" i="1" s="1"/>
  <c r="AD627" i="1"/>
  <c r="F627" i="1" s="1"/>
  <c r="AD628" i="1"/>
  <c r="F628" i="1" s="1"/>
  <c r="AD631" i="1"/>
  <c r="F631" i="1" s="1"/>
  <c r="AD637" i="1"/>
  <c r="F637" i="1" s="1"/>
  <c r="AD594" i="1"/>
  <c r="F594" i="1" s="1"/>
  <c r="AD537" i="1"/>
  <c r="F537" i="1" s="1"/>
  <c r="AD538" i="1"/>
  <c r="F538" i="1" s="1"/>
  <c r="AD536" i="1"/>
  <c r="AD513" i="1"/>
  <c r="F513" i="1" s="1"/>
  <c r="AD514" i="1"/>
  <c r="F514" i="1" s="1"/>
  <c r="AD515" i="1"/>
  <c r="F515" i="1" s="1"/>
  <c r="AD516" i="1"/>
  <c r="F516" i="1" s="1"/>
  <c r="AD517" i="1"/>
  <c r="F517" i="1" s="1"/>
  <c r="AD518" i="1"/>
  <c r="F518" i="1" s="1"/>
  <c r="AD519" i="1"/>
  <c r="F519" i="1" s="1"/>
  <c r="AD520" i="1"/>
  <c r="F520" i="1" s="1"/>
  <c r="AD521" i="1"/>
  <c r="F521" i="1" s="1"/>
  <c r="AD522" i="1"/>
  <c r="F522" i="1" s="1"/>
  <c r="AD523" i="1"/>
  <c r="F523" i="1" s="1"/>
  <c r="AD526" i="1"/>
  <c r="F526" i="1" s="1"/>
  <c r="AD527" i="1"/>
  <c r="F527" i="1" s="1"/>
  <c r="AD529" i="1"/>
  <c r="F529" i="1" s="1"/>
  <c r="AD530" i="1"/>
  <c r="F530" i="1" s="1"/>
  <c r="AD531" i="1"/>
  <c r="F531" i="1" s="1"/>
  <c r="AD532" i="1"/>
  <c r="AD533" i="1"/>
  <c r="F533" i="1" s="1"/>
  <c r="AD534" i="1"/>
  <c r="F534" i="1" s="1"/>
  <c r="AD511" i="1"/>
  <c r="F511" i="1" s="1"/>
  <c r="AD463" i="1"/>
  <c r="F463" i="1" s="1"/>
  <c r="AD464" i="1"/>
  <c r="AD465" i="1"/>
  <c r="F465" i="1" s="1"/>
  <c r="AD466" i="1"/>
  <c r="F466" i="1" s="1"/>
  <c r="AD467" i="1"/>
  <c r="F467" i="1" s="1"/>
  <c r="AD469" i="1"/>
  <c r="F469" i="1" s="1"/>
  <c r="AD470" i="1"/>
  <c r="F470" i="1" s="1"/>
  <c r="AD472" i="1"/>
  <c r="F472" i="1" s="1"/>
  <c r="AD474" i="1"/>
  <c r="F474" i="1" s="1"/>
  <c r="AD475" i="1"/>
  <c r="F475" i="1" s="1"/>
  <c r="AD476" i="1"/>
  <c r="F476" i="1" s="1"/>
  <c r="AD477" i="1"/>
  <c r="F477" i="1" s="1"/>
  <c r="AD478" i="1"/>
  <c r="F478" i="1" s="1"/>
  <c r="AD479" i="1"/>
  <c r="F479" i="1" s="1"/>
  <c r="AD480" i="1"/>
  <c r="F480" i="1" s="1"/>
  <c r="AD481" i="1"/>
  <c r="F481" i="1" s="1"/>
  <c r="AD482" i="1"/>
  <c r="F482" i="1" s="1"/>
  <c r="AD483" i="1"/>
  <c r="F483" i="1" s="1"/>
  <c r="AD484" i="1"/>
  <c r="F484" i="1" s="1"/>
  <c r="AD485" i="1"/>
  <c r="F485" i="1" s="1"/>
  <c r="AD486" i="1"/>
  <c r="F486" i="1" s="1"/>
  <c r="AD487" i="1"/>
  <c r="F487" i="1" s="1"/>
  <c r="AD488" i="1"/>
  <c r="F488" i="1" s="1"/>
  <c r="AD490" i="1"/>
  <c r="F490" i="1" s="1"/>
  <c r="AD491" i="1"/>
  <c r="F491" i="1" s="1"/>
  <c r="AD493" i="1"/>
  <c r="F493" i="1" s="1"/>
  <c r="AD494" i="1"/>
  <c r="F494" i="1" s="1"/>
  <c r="AD495" i="1"/>
  <c r="F495" i="1" s="1"/>
  <c r="AD496" i="1"/>
  <c r="F496" i="1" s="1"/>
  <c r="AD497" i="1"/>
  <c r="F497" i="1" s="1"/>
  <c r="AD498" i="1"/>
  <c r="F498" i="1" s="1"/>
  <c r="AD499" i="1"/>
  <c r="F499" i="1" s="1"/>
  <c r="AD500" i="1"/>
  <c r="F500" i="1" s="1"/>
  <c r="AD501" i="1"/>
  <c r="F501" i="1" s="1"/>
  <c r="AD502" i="1"/>
  <c r="F502" i="1" s="1"/>
  <c r="AD503" i="1"/>
  <c r="F503" i="1" s="1"/>
  <c r="AD504" i="1"/>
  <c r="F504" i="1" s="1"/>
  <c r="AD505" i="1"/>
  <c r="F505" i="1" s="1"/>
  <c r="AD506" i="1"/>
  <c r="F506" i="1" s="1"/>
  <c r="AD509" i="1"/>
  <c r="F509" i="1" s="1"/>
  <c r="AD462" i="1"/>
  <c r="F462" i="1" s="1"/>
  <c r="AD455" i="1"/>
  <c r="F455" i="1" s="1"/>
  <c r="AD456" i="1"/>
  <c r="F456" i="1" s="1"/>
  <c r="AD457" i="1"/>
  <c r="F457" i="1" s="1"/>
  <c r="AD458" i="1"/>
  <c r="F458" i="1" s="1"/>
  <c r="AD459" i="1"/>
  <c r="F459" i="1" s="1"/>
  <c r="AD460" i="1"/>
  <c r="F460" i="1" s="1"/>
  <c r="AD454" i="1"/>
  <c r="F454" i="1" s="1"/>
  <c r="AD405" i="1"/>
  <c r="F405" i="1" s="1"/>
  <c r="AD406" i="1"/>
  <c r="F406" i="1" s="1"/>
  <c r="AD407" i="1"/>
  <c r="F407" i="1" s="1"/>
  <c r="AD408" i="1"/>
  <c r="F408" i="1" s="1"/>
  <c r="AD409" i="1"/>
  <c r="F409" i="1" s="1"/>
  <c r="AD410" i="1"/>
  <c r="F410" i="1" s="1"/>
  <c r="AD411" i="1"/>
  <c r="F411" i="1" s="1"/>
  <c r="AD412" i="1"/>
  <c r="F412" i="1" s="1"/>
  <c r="AD413" i="1"/>
  <c r="F413" i="1" s="1"/>
  <c r="AD414" i="1"/>
  <c r="F414" i="1" s="1"/>
  <c r="AD415" i="1"/>
  <c r="F415" i="1" s="1"/>
  <c r="AD416" i="1"/>
  <c r="F416" i="1" s="1"/>
  <c r="AD417" i="1"/>
  <c r="F417" i="1" s="1"/>
  <c r="AD418" i="1"/>
  <c r="F418" i="1" s="1"/>
  <c r="AD419" i="1"/>
  <c r="F419" i="1" s="1"/>
  <c r="AD420" i="1"/>
  <c r="F420" i="1" s="1"/>
  <c r="AD422" i="1"/>
  <c r="F422" i="1" s="1"/>
  <c r="AD423" i="1"/>
  <c r="F423" i="1" s="1"/>
  <c r="AD424" i="1"/>
  <c r="F424" i="1" s="1"/>
  <c r="AD425" i="1"/>
  <c r="F425" i="1" s="1"/>
  <c r="AD426" i="1"/>
  <c r="F426" i="1" s="1"/>
  <c r="AD427" i="1"/>
  <c r="F427" i="1" s="1"/>
  <c r="AD428" i="1"/>
  <c r="F428" i="1" s="1"/>
  <c r="AD429" i="1"/>
  <c r="F429" i="1" s="1"/>
  <c r="AD430" i="1"/>
  <c r="F430" i="1" s="1"/>
  <c r="AD431" i="1"/>
  <c r="F431" i="1" s="1"/>
  <c r="AD432" i="1"/>
  <c r="F432" i="1" s="1"/>
  <c r="AD433" i="1"/>
  <c r="F433" i="1" s="1"/>
  <c r="AD435" i="1"/>
  <c r="F435" i="1" s="1"/>
  <c r="AD436" i="1"/>
  <c r="F436" i="1" s="1"/>
  <c r="AD437" i="1"/>
  <c r="F437" i="1" s="1"/>
  <c r="AD438" i="1"/>
  <c r="F438" i="1" s="1"/>
  <c r="AD440" i="1"/>
  <c r="F440" i="1" s="1"/>
  <c r="AD441" i="1"/>
  <c r="F441" i="1" s="1"/>
  <c r="AD444" i="1"/>
  <c r="F444" i="1" s="1"/>
  <c r="AD445" i="1"/>
  <c r="F445" i="1" s="1"/>
  <c r="AD446" i="1"/>
  <c r="F446" i="1" s="1"/>
  <c r="AD447" i="1"/>
  <c r="F447" i="1" s="1"/>
  <c r="AD448" i="1"/>
  <c r="F448" i="1" s="1"/>
  <c r="AD449" i="1"/>
  <c r="F449" i="1" s="1"/>
  <c r="AD450" i="1"/>
  <c r="F450" i="1" s="1"/>
  <c r="AD451" i="1"/>
  <c r="F451" i="1" s="1"/>
  <c r="AD452" i="1"/>
  <c r="F452" i="1" s="1"/>
  <c r="AD404" i="1"/>
  <c r="F404" i="1" s="1"/>
  <c r="AD384" i="1"/>
  <c r="AD385" i="1"/>
  <c r="AD386" i="1"/>
  <c r="AD387" i="1"/>
  <c r="AD388" i="1"/>
  <c r="AD389" i="1"/>
  <c r="AD390" i="1"/>
  <c r="AD391" i="1"/>
  <c r="AD392" i="1"/>
  <c r="AD393" i="1"/>
  <c r="AD394" i="1"/>
  <c r="AD395" i="1"/>
  <c r="AD396" i="1"/>
  <c r="AD397" i="1"/>
  <c r="AD398" i="1"/>
  <c r="AD399" i="1"/>
  <c r="AD400" i="1"/>
  <c r="AD401" i="1"/>
  <c r="AD402" i="1"/>
  <c r="AD383" i="1"/>
  <c r="AD351" i="1"/>
  <c r="F351" i="1" s="1"/>
  <c r="AD352" i="1"/>
  <c r="F352" i="1" s="1"/>
  <c r="AD353" i="1"/>
  <c r="F353" i="1" s="1"/>
  <c r="AD354" i="1"/>
  <c r="F354" i="1" s="1"/>
  <c r="AD355" i="1"/>
  <c r="F355" i="1" s="1"/>
  <c r="AD356" i="1"/>
  <c r="F356" i="1" s="1"/>
  <c r="AD357" i="1"/>
  <c r="F357" i="1" s="1"/>
  <c r="AD358" i="1"/>
  <c r="F358" i="1" s="1"/>
  <c r="AD359" i="1"/>
  <c r="F359" i="1" s="1"/>
  <c r="AD360" i="1"/>
  <c r="F360" i="1" s="1"/>
  <c r="AD361" i="1"/>
  <c r="F361" i="1" s="1"/>
  <c r="AD362" i="1"/>
  <c r="F362" i="1" s="1"/>
  <c r="AD363" i="1"/>
  <c r="F363" i="1" s="1"/>
  <c r="AD364" i="1"/>
  <c r="F364" i="1" s="1"/>
  <c r="AD365" i="1"/>
  <c r="F365" i="1" s="1"/>
  <c r="AD366" i="1"/>
  <c r="F366" i="1" s="1"/>
  <c r="AD367" i="1"/>
  <c r="F367" i="1" s="1"/>
  <c r="AD368" i="1"/>
  <c r="F368" i="1" s="1"/>
  <c r="AD369" i="1"/>
  <c r="F369" i="1" s="1"/>
  <c r="AD374" i="1"/>
  <c r="F374" i="1" s="1"/>
  <c r="AD375" i="1"/>
  <c r="F375" i="1" s="1"/>
  <c r="AD376" i="1"/>
  <c r="F376" i="1" s="1"/>
  <c r="AD377" i="1"/>
  <c r="F377" i="1" s="1"/>
  <c r="AD378" i="1"/>
  <c r="F378" i="1" s="1"/>
  <c r="AD381" i="1"/>
  <c r="F381" i="1" s="1"/>
  <c r="AD350" i="1"/>
  <c r="F350" i="1" s="1"/>
  <c r="AD337" i="1"/>
  <c r="F337" i="1" s="1"/>
  <c r="AD338" i="1"/>
  <c r="F338" i="1" s="1"/>
  <c r="AD340" i="1"/>
  <c r="F340" i="1" s="1"/>
  <c r="AD341" i="1"/>
  <c r="F341" i="1" s="1"/>
  <c r="AD342" i="1"/>
  <c r="F342" i="1" s="1"/>
  <c r="AD343" i="1"/>
  <c r="F343" i="1" s="1"/>
  <c r="AD344" i="1"/>
  <c r="F344" i="1" s="1"/>
  <c r="AD345" i="1"/>
  <c r="F345" i="1" s="1"/>
  <c r="AD348" i="1"/>
  <c r="F348" i="1" s="1"/>
  <c r="AD330" i="1"/>
  <c r="F330" i="1" s="1"/>
  <c r="AD331" i="1"/>
  <c r="F331" i="1" s="1"/>
  <c r="AD332" i="1"/>
  <c r="F332" i="1" s="1"/>
  <c r="AD333" i="1"/>
  <c r="F333" i="1" s="1"/>
  <c r="AD334" i="1"/>
  <c r="F334" i="1" s="1"/>
  <c r="AD329" i="1"/>
  <c r="F329" i="1" s="1"/>
  <c r="AD295" i="1"/>
  <c r="F295" i="1" s="1"/>
  <c r="AD296" i="1"/>
  <c r="F296" i="1" s="1"/>
  <c r="AD297" i="1"/>
  <c r="F297" i="1" s="1"/>
  <c r="AD298" i="1"/>
  <c r="F298" i="1" s="1"/>
  <c r="AD299" i="1"/>
  <c r="F299" i="1" s="1"/>
  <c r="AD300" i="1"/>
  <c r="F300" i="1" s="1"/>
  <c r="AD301" i="1"/>
  <c r="F301" i="1" s="1"/>
  <c r="AD302" i="1"/>
  <c r="F302" i="1" s="1"/>
  <c r="AD303" i="1"/>
  <c r="F303" i="1" s="1"/>
  <c r="AD304" i="1"/>
  <c r="F304" i="1" s="1"/>
  <c r="AD305" i="1"/>
  <c r="F305" i="1" s="1"/>
  <c r="AD306" i="1"/>
  <c r="F306" i="1" s="1"/>
  <c r="AD307" i="1"/>
  <c r="F307" i="1" s="1"/>
  <c r="AD308" i="1"/>
  <c r="F308" i="1" s="1"/>
  <c r="AD309" i="1"/>
  <c r="F309" i="1" s="1"/>
  <c r="AD310" i="1"/>
  <c r="F310" i="1" s="1"/>
  <c r="AD311" i="1"/>
  <c r="F311" i="1" s="1"/>
  <c r="AD312" i="1"/>
  <c r="F312" i="1" s="1"/>
  <c r="AD313" i="1"/>
  <c r="F313" i="1" s="1"/>
  <c r="AD314" i="1"/>
  <c r="F314" i="1" s="1"/>
  <c r="AD315" i="1"/>
  <c r="F315" i="1" s="1"/>
  <c r="AD317" i="1"/>
  <c r="F317" i="1" s="1"/>
  <c r="AD318" i="1"/>
  <c r="F318" i="1" s="1"/>
  <c r="AD319" i="1"/>
  <c r="F319" i="1" s="1"/>
  <c r="AD321" i="1"/>
  <c r="F321" i="1" s="1"/>
  <c r="AD322" i="1"/>
  <c r="F322" i="1" s="1"/>
  <c r="AD323" i="1"/>
  <c r="F323" i="1" s="1"/>
  <c r="AD325" i="1"/>
  <c r="F325" i="1" s="1"/>
  <c r="AD326" i="1"/>
  <c r="F326" i="1" s="1"/>
  <c r="AD327" i="1"/>
  <c r="F327" i="1" s="1"/>
  <c r="AD242" i="1"/>
  <c r="F242" i="1" s="1"/>
  <c r="AD243" i="1"/>
  <c r="F243" i="1" s="1"/>
  <c r="AD244" i="1"/>
  <c r="F244" i="1" s="1"/>
  <c r="AD245" i="1"/>
  <c r="F245" i="1" s="1"/>
  <c r="AD246" i="1"/>
  <c r="F246" i="1" s="1"/>
  <c r="AD247" i="1"/>
  <c r="F247" i="1" s="1"/>
  <c r="AD248" i="1"/>
  <c r="F248" i="1" s="1"/>
  <c r="AD249" i="1"/>
  <c r="F249" i="1" s="1"/>
  <c r="AD250" i="1"/>
  <c r="F250" i="1" s="1"/>
  <c r="AD251" i="1"/>
  <c r="F251" i="1" s="1"/>
  <c r="AD252" i="1"/>
  <c r="F252" i="1" s="1"/>
  <c r="AD253" i="1"/>
  <c r="F253" i="1" s="1"/>
  <c r="AD254" i="1"/>
  <c r="F254" i="1" s="1"/>
  <c r="AD255" i="1"/>
  <c r="F255" i="1" s="1"/>
  <c r="AD256" i="1"/>
  <c r="F256" i="1" s="1"/>
  <c r="AD257" i="1"/>
  <c r="F257" i="1" s="1"/>
  <c r="AD258" i="1"/>
  <c r="F258" i="1" s="1"/>
  <c r="AD259" i="1"/>
  <c r="F259" i="1" s="1"/>
  <c r="AD260" i="1"/>
  <c r="F260" i="1" s="1"/>
  <c r="AD261" i="1"/>
  <c r="F261" i="1" s="1"/>
  <c r="AD262" i="1"/>
  <c r="F262" i="1" s="1"/>
  <c r="AD263" i="1"/>
  <c r="F263" i="1" s="1"/>
  <c r="AD265" i="1"/>
  <c r="F265" i="1" s="1"/>
  <c r="AD266" i="1"/>
  <c r="F266" i="1" s="1"/>
  <c r="AD267" i="1"/>
  <c r="F267" i="1" s="1"/>
  <c r="AD268" i="1"/>
  <c r="F268" i="1" s="1"/>
  <c r="AD269" i="1"/>
  <c r="F269" i="1" s="1"/>
  <c r="AD270" i="1"/>
  <c r="F270" i="1" s="1"/>
  <c r="AD271" i="1"/>
  <c r="F271" i="1" s="1"/>
  <c r="AD272" i="1"/>
  <c r="F272" i="1" s="1"/>
  <c r="AD273" i="1"/>
  <c r="F273" i="1" s="1"/>
  <c r="AD274" i="1"/>
  <c r="F274" i="1" s="1"/>
  <c r="AD275" i="1"/>
  <c r="F275" i="1" s="1"/>
  <c r="AD276" i="1"/>
  <c r="F276" i="1" s="1"/>
  <c r="AD277" i="1"/>
  <c r="F277" i="1" s="1"/>
  <c r="AD278" i="1"/>
  <c r="F278" i="1" s="1"/>
  <c r="AD279" i="1"/>
  <c r="F279" i="1" s="1"/>
  <c r="AD280" i="1"/>
  <c r="F280" i="1" s="1"/>
  <c r="AD285" i="1"/>
  <c r="F285" i="1" s="1"/>
  <c r="AD286" i="1"/>
  <c r="F286" i="1" s="1"/>
  <c r="AD287" i="1"/>
  <c r="F287" i="1" s="1"/>
  <c r="AD288" i="1"/>
  <c r="F288" i="1" s="1"/>
  <c r="AD289" i="1"/>
  <c r="F289" i="1" s="1"/>
  <c r="AD292" i="1"/>
  <c r="F292" i="1" s="1"/>
  <c r="AD293" i="1"/>
  <c r="F293" i="1" s="1"/>
  <c r="AD241" i="1"/>
  <c r="F241" i="1" s="1"/>
  <c r="AD233" i="1"/>
  <c r="F233" i="1" s="1"/>
  <c r="AD234" i="1"/>
  <c r="F234" i="1" s="1"/>
  <c r="AD235" i="1"/>
  <c r="F235" i="1" s="1"/>
  <c r="AD236" i="1"/>
  <c r="F236" i="1" s="1"/>
  <c r="AD239" i="1"/>
  <c r="F239" i="1" s="1"/>
  <c r="AD215" i="1"/>
  <c r="F215" i="1" s="1"/>
  <c r="AD216" i="1"/>
  <c r="F216" i="1" s="1"/>
  <c r="AD217" i="1"/>
  <c r="F217" i="1" s="1"/>
  <c r="AD220" i="1"/>
  <c r="F220" i="1" s="1"/>
  <c r="AD221" i="1"/>
  <c r="F221" i="1" s="1"/>
  <c r="AD222" i="1"/>
  <c r="F222" i="1" s="1"/>
  <c r="AD224" i="1"/>
  <c r="F224" i="1" s="1"/>
  <c r="AD225" i="1"/>
  <c r="F225" i="1" s="1"/>
  <c r="AD226" i="1"/>
  <c r="F226" i="1" s="1"/>
  <c r="AD227" i="1"/>
  <c r="F227" i="1" s="1"/>
  <c r="AD229" i="1"/>
  <c r="F229" i="1" s="1"/>
  <c r="AD214" i="1"/>
  <c r="F214" i="1" s="1"/>
  <c r="AD192" i="1"/>
  <c r="F192" i="1" s="1"/>
  <c r="AD193" i="1"/>
  <c r="F193" i="1" s="1"/>
  <c r="AD194" i="1"/>
  <c r="F194" i="1" s="1"/>
  <c r="AD195" i="1"/>
  <c r="F195" i="1" s="1"/>
  <c r="AD196" i="1"/>
  <c r="F196" i="1" s="1"/>
  <c r="AD197" i="1"/>
  <c r="F197" i="1" s="1"/>
  <c r="AD198" i="1"/>
  <c r="F198" i="1" s="1"/>
  <c r="AD199" i="1"/>
  <c r="F199" i="1" s="1"/>
  <c r="AD200" i="1"/>
  <c r="F200" i="1" s="1"/>
  <c r="AD201" i="1"/>
  <c r="F201" i="1" s="1"/>
  <c r="AD202" i="1"/>
  <c r="F202" i="1" s="1"/>
  <c r="AD203" i="1"/>
  <c r="F203" i="1" s="1"/>
  <c r="AD204" i="1"/>
  <c r="F204" i="1" s="1"/>
  <c r="AD205" i="1"/>
  <c r="F205" i="1" s="1"/>
  <c r="AD206" i="1"/>
  <c r="F206" i="1" s="1"/>
  <c r="AD207" i="1"/>
  <c r="F207" i="1" s="1"/>
  <c r="AD208" i="1"/>
  <c r="F208" i="1" s="1"/>
  <c r="AD210" i="1"/>
  <c r="F210" i="1" s="1"/>
  <c r="AD211" i="1"/>
  <c r="F211" i="1" s="1"/>
  <c r="AD212" i="1"/>
  <c r="F212" i="1" s="1"/>
  <c r="AD191" i="1"/>
  <c r="F191" i="1" s="1"/>
  <c r="AD177" i="1"/>
  <c r="F177" i="1" s="1"/>
  <c r="AD178" i="1"/>
  <c r="F178" i="1" s="1"/>
  <c r="AD179" i="1"/>
  <c r="F179" i="1" s="1"/>
  <c r="AD180" i="1"/>
  <c r="F180" i="1" s="1"/>
  <c r="AD181" i="1"/>
  <c r="F181" i="1" s="1"/>
  <c r="AD182" i="1"/>
  <c r="F182" i="1" s="1"/>
  <c r="AD183" i="1"/>
  <c r="F183" i="1" s="1"/>
  <c r="AD185" i="1"/>
  <c r="F185" i="1" s="1"/>
  <c r="AD186" i="1"/>
  <c r="F186" i="1" s="1"/>
  <c r="AD187" i="1"/>
  <c r="F187" i="1" s="1"/>
  <c r="AD188" i="1"/>
  <c r="F188" i="1" s="1"/>
  <c r="AD189" i="1"/>
  <c r="F189" i="1" s="1"/>
  <c r="AD176" i="1"/>
  <c r="F176" i="1" s="1"/>
  <c r="AD128" i="1"/>
  <c r="F128" i="1" s="1"/>
  <c r="AD129" i="1"/>
  <c r="F129" i="1" s="1"/>
  <c r="AD130" i="1"/>
  <c r="F130" i="1" s="1"/>
  <c r="AD131" i="1"/>
  <c r="F131" i="1" s="1"/>
  <c r="AD132" i="1"/>
  <c r="F132" i="1" s="1"/>
  <c r="AD133" i="1"/>
  <c r="F133" i="1" s="1"/>
  <c r="AD134" i="1"/>
  <c r="F134" i="1" s="1"/>
  <c r="AD135" i="1"/>
  <c r="F135" i="1" s="1"/>
  <c r="AD136" i="1"/>
  <c r="F136" i="1" s="1"/>
  <c r="AD137" i="1"/>
  <c r="F137" i="1" s="1"/>
  <c r="AD139" i="1"/>
  <c r="F139" i="1" s="1"/>
  <c r="AD140" i="1"/>
  <c r="F140" i="1" s="1"/>
  <c r="AD141" i="1"/>
  <c r="F141" i="1" s="1"/>
  <c r="AD143" i="1"/>
  <c r="F143" i="1" s="1"/>
  <c r="AD144" i="1"/>
  <c r="F144" i="1" s="1"/>
  <c r="AD145" i="1"/>
  <c r="F145" i="1" s="1"/>
  <c r="AD146" i="1"/>
  <c r="F146" i="1" s="1"/>
  <c r="AD147" i="1"/>
  <c r="F147" i="1" s="1"/>
  <c r="AD148" i="1"/>
  <c r="F148" i="1" s="1"/>
  <c r="AD149" i="1"/>
  <c r="F149" i="1" s="1"/>
  <c r="AD150" i="1"/>
  <c r="F150" i="1" s="1"/>
  <c r="AD151" i="1"/>
  <c r="F151" i="1" s="1"/>
  <c r="AD152" i="1"/>
  <c r="F152" i="1" s="1"/>
  <c r="AD153" i="1"/>
  <c r="F153" i="1" s="1"/>
  <c r="AD154" i="1"/>
  <c r="F154" i="1" s="1"/>
  <c r="AD155" i="1"/>
  <c r="F155" i="1" s="1"/>
  <c r="AD156" i="1"/>
  <c r="F156" i="1" s="1"/>
  <c r="AD157" i="1"/>
  <c r="F157" i="1" s="1"/>
  <c r="AD158" i="1"/>
  <c r="F158" i="1" s="1"/>
  <c r="AD159" i="1"/>
  <c r="F159" i="1" s="1"/>
  <c r="AD160" i="1"/>
  <c r="F160" i="1" s="1"/>
  <c r="AD161" i="1"/>
  <c r="F161" i="1" s="1"/>
  <c r="AD162" i="1"/>
  <c r="F162" i="1" s="1"/>
  <c r="AD163" i="1"/>
  <c r="F163" i="1" s="1"/>
  <c r="AD164" i="1"/>
  <c r="F164" i="1" s="1"/>
  <c r="AD165" i="1"/>
  <c r="F165" i="1" s="1"/>
  <c r="AD166" i="1"/>
  <c r="F166" i="1" s="1"/>
  <c r="AD167" i="1"/>
  <c r="F167" i="1" s="1"/>
  <c r="AD168" i="1"/>
  <c r="F168" i="1" s="1"/>
  <c r="AD169" i="1"/>
  <c r="F169" i="1" s="1"/>
  <c r="AD170" i="1"/>
  <c r="F170" i="1" s="1"/>
  <c r="AD171" i="1"/>
  <c r="F171" i="1" s="1"/>
  <c r="AD172" i="1"/>
  <c r="F172" i="1" s="1"/>
  <c r="AD173" i="1"/>
  <c r="F173" i="1" s="1"/>
  <c r="AD174" i="1"/>
  <c r="F174" i="1" s="1"/>
  <c r="AD87" i="1"/>
  <c r="F87" i="1" s="1"/>
  <c r="AD88" i="1"/>
  <c r="F88" i="1" s="1"/>
  <c r="AD89" i="1"/>
  <c r="F89" i="1" s="1"/>
  <c r="AD90" i="1"/>
  <c r="F90" i="1" s="1"/>
  <c r="AD91" i="1"/>
  <c r="F91" i="1" s="1"/>
  <c r="AD92" i="1"/>
  <c r="F92" i="1" s="1"/>
  <c r="AD93" i="1"/>
  <c r="F93" i="1" s="1"/>
  <c r="AD94" i="1"/>
  <c r="F94" i="1" s="1"/>
  <c r="AD95" i="1"/>
  <c r="F95" i="1" s="1"/>
  <c r="AD96" i="1"/>
  <c r="F96" i="1" s="1"/>
  <c r="AD97" i="1"/>
  <c r="F97" i="1" s="1"/>
  <c r="AD98" i="1"/>
  <c r="AD99" i="1"/>
  <c r="F99" i="1" s="1"/>
  <c r="AD100" i="1"/>
  <c r="F100" i="1" s="1"/>
  <c r="AD101" i="1"/>
  <c r="F101" i="1" s="1"/>
  <c r="AD102" i="1"/>
  <c r="F102" i="1" s="1"/>
  <c r="AD103" i="1"/>
  <c r="F103" i="1" s="1"/>
  <c r="AD104" i="1"/>
  <c r="F104" i="1" s="1"/>
  <c r="AD105" i="1"/>
  <c r="F105" i="1" s="1"/>
  <c r="AD106" i="1"/>
  <c r="F106" i="1" s="1"/>
  <c r="AD107" i="1"/>
  <c r="F107" i="1" s="1"/>
  <c r="AD108" i="1"/>
  <c r="F108" i="1" s="1"/>
  <c r="AD109" i="1"/>
  <c r="F109" i="1" s="1"/>
  <c r="AD110" i="1"/>
  <c r="F110" i="1" s="1"/>
  <c r="AD111" i="1"/>
  <c r="F111" i="1" s="1"/>
  <c r="AD112" i="1"/>
  <c r="F112" i="1" s="1"/>
  <c r="AD113" i="1"/>
  <c r="F113" i="1" s="1"/>
  <c r="AD114" i="1"/>
  <c r="F114" i="1" s="1"/>
  <c r="AD115" i="1"/>
  <c r="F115" i="1" s="1"/>
  <c r="AD117" i="1"/>
  <c r="F117" i="1" s="1"/>
  <c r="AD118" i="1"/>
  <c r="F118" i="1" s="1"/>
  <c r="AD119" i="1"/>
  <c r="F119" i="1" s="1"/>
  <c r="AD120" i="1"/>
  <c r="F120" i="1" s="1"/>
  <c r="AD121" i="1"/>
  <c r="F121" i="1" s="1"/>
  <c r="AD122" i="1"/>
  <c r="F122" i="1" s="1"/>
  <c r="AD123" i="1"/>
  <c r="F123" i="1" s="1"/>
  <c r="AD124" i="1"/>
  <c r="F124" i="1" s="1"/>
  <c r="AD125" i="1"/>
  <c r="F125" i="1" s="1"/>
  <c r="AD126" i="1"/>
  <c r="F126" i="1" s="1"/>
  <c r="AD86" i="1"/>
  <c r="F86" i="1" s="1"/>
  <c r="AD72" i="1"/>
  <c r="F72" i="1" s="1"/>
  <c r="AD73" i="1"/>
  <c r="F73" i="1" s="1"/>
  <c r="AD74" i="1"/>
  <c r="F74" i="1" s="1"/>
  <c r="AD75" i="1"/>
  <c r="F75" i="1" s="1"/>
  <c r="AD76" i="1"/>
  <c r="F76" i="1" s="1"/>
  <c r="AD77" i="1"/>
  <c r="F77" i="1" s="1"/>
  <c r="AD78" i="1"/>
  <c r="F78" i="1" s="1"/>
  <c r="AD79" i="1"/>
  <c r="F79" i="1" s="1"/>
  <c r="AD80" i="1"/>
  <c r="F80" i="1" s="1"/>
  <c r="AD81" i="1"/>
  <c r="F81" i="1" s="1"/>
  <c r="AD83" i="1"/>
  <c r="F83" i="1" s="1"/>
  <c r="AD84" i="1"/>
  <c r="F84" i="1" s="1"/>
  <c r="AD70" i="1"/>
  <c r="F70" i="1" s="1"/>
  <c r="AD13" i="1"/>
  <c r="F13" i="1" s="1"/>
  <c r="AD14" i="1"/>
  <c r="F14" i="1" s="1"/>
  <c r="AD15" i="1"/>
  <c r="F15" i="1" s="1"/>
  <c r="AD16" i="1"/>
  <c r="F16" i="1" s="1"/>
  <c r="AD17" i="1"/>
  <c r="F17" i="1" s="1"/>
  <c r="AD18" i="1"/>
  <c r="F18" i="1" s="1"/>
  <c r="AD19" i="1"/>
  <c r="F19" i="1" s="1"/>
  <c r="AD20" i="1"/>
  <c r="AD21" i="1"/>
  <c r="F21" i="1" s="1"/>
  <c r="AD22" i="1"/>
  <c r="F22" i="1" s="1"/>
  <c r="AD23" i="1"/>
  <c r="F23" i="1" s="1"/>
  <c r="AD24" i="1"/>
  <c r="F24" i="1" s="1"/>
  <c r="AD25" i="1"/>
  <c r="F25" i="1" s="1"/>
  <c r="AD26" i="1"/>
  <c r="F26" i="1" s="1"/>
  <c r="AD27" i="1"/>
  <c r="F27" i="1" s="1"/>
  <c r="AD28" i="1"/>
  <c r="F28" i="1" s="1"/>
  <c r="AD29" i="1"/>
  <c r="F29" i="1" s="1"/>
  <c r="AD30" i="1"/>
  <c r="F30" i="1" s="1"/>
  <c r="AD31" i="1"/>
  <c r="F31" i="1" s="1"/>
  <c r="AD32" i="1"/>
  <c r="F32" i="1" s="1"/>
  <c r="AD33" i="1"/>
  <c r="F33" i="1" s="1"/>
  <c r="AD34" i="1"/>
  <c r="F34" i="1" s="1"/>
  <c r="AD35" i="1"/>
  <c r="F35" i="1" s="1"/>
  <c r="AD36" i="1"/>
  <c r="F36" i="1" s="1"/>
  <c r="AD37" i="1"/>
  <c r="F37" i="1" s="1"/>
  <c r="AD38" i="1"/>
  <c r="F38" i="1" s="1"/>
  <c r="AD39" i="1"/>
  <c r="F39" i="1" s="1"/>
  <c r="AD40" i="1"/>
  <c r="F40" i="1" s="1"/>
  <c r="AD41" i="1"/>
  <c r="F41" i="1" s="1"/>
  <c r="AD42" i="1"/>
  <c r="F42" i="1" s="1"/>
  <c r="AD43" i="1"/>
  <c r="F43" i="1" s="1"/>
  <c r="AD44" i="1"/>
  <c r="F44" i="1" s="1"/>
  <c r="AD45" i="1"/>
  <c r="F45" i="1" s="1"/>
  <c r="AD46" i="1"/>
  <c r="F46" i="1" s="1"/>
  <c r="AD47" i="1"/>
  <c r="F47" i="1" s="1"/>
  <c r="AD48" i="1"/>
  <c r="F48" i="1" s="1"/>
  <c r="AD49" i="1"/>
  <c r="F49" i="1" s="1"/>
  <c r="AD50" i="1"/>
  <c r="F50" i="1" s="1"/>
  <c r="AD51" i="1"/>
  <c r="F51" i="1" s="1"/>
  <c r="AD52" i="1"/>
  <c r="F52" i="1" s="1"/>
  <c r="AD53" i="1"/>
  <c r="F53" i="1" s="1"/>
  <c r="AD54" i="1"/>
  <c r="F54" i="1" s="1"/>
  <c r="AD56" i="1"/>
  <c r="F56" i="1" s="1"/>
  <c r="AD57" i="1"/>
  <c r="F57" i="1" s="1"/>
  <c r="AD58" i="1"/>
  <c r="F58" i="1" s="1"/>
  <c r="AD59" i="1"/>
  <c r="F59" i="1" s="1"/>
  <c r="AD60" i="1"/>
  <c r="F60" i="1" s="1"/>
  <c r="AD61" i="1"/>
  <c r="F61" i="1" s="1"/>
  <c r="AD62" i="1"/>
  <c r="F62" i="1" s="1"/>
  <c r="AD63" i="1"/>
  <c r="F63" i="1" s="1"/>
  <c r="AD64" i="1"/>
  <c r="F64" i="1" s="1"/>
  <c r="AD65" i="1"/>
  <c r="F65" i="1" s="1"/>
  <c r="AD66" i="1"/>
  <c r="F66" i="1" s="1"/>
  <c r="AD67" i="1"/>
  <c r="F67" i="1" s="1"/>
  <c r="AD68" i="1"/>
  <c r="F68" i="1" s="1"/>
  <c r="L536" i="1"/>
  <c r="L98" i="1"/>
  <c r="L20" i="1"/>
  <c r="F657" i="1" l="1"/>
  <c r="AD657" i="1"/>
  <c r="F658" i="1"/>
  <c r="AD733" i="1"/>
  <c r="F98" i="1"/>
  <c r="D98" i="1" s="1"/>
  <c r="F536" i="1"/>
  <c r="D536" i="1" s="1"/>
  <c r="F20" i="1"/>
  <c r="D171" i="1"/>
  <c r="D167" i="1"/>
  <c r="D163" i="1"/>
  <c r="D159" i="1"/>
  <c r="D155" i="1"/>
  <c r="D154" i="1"/>
  <c r="D152" i="1"/>
  <c r="D148" i="1"/>
  <c r="D145" i="1"/>
  <c r="D137" i="1"/>
  <c r="D172" i="1"/>
  <c r="D168" i="1"/>
  <c r="D164" i="1"/>
  <c r="D160" i="1"/>
  <c r="D156" i="1"/>
  <c r="D149" i="1"/>
  <c r="D146" i="1"/>
  <c r="D139" i="1"/>
  <c r="D173" i="1"/>
  <c r="D169" i="1"/>
  <c r="D165" i="1"/>
  <c r="D161" i="1"/>
  <c r="D157" i="1"/>
  <c r="D150" i="1"/>
  <c r="D143" i="1"/>
  <c r="D140" i="1"/>
  <c r="D135" i="1"/>
  <c r="D174" i="1"/>
  <c r="D170" i="1"/>
  <c r="D166" i="1"/>
  <c r="D162" i="1"/>
  <c r="D158" i="1"/>
  <c r="D153" i="1"/>
  <c r="D151" i="1"/>
  <c r="D147" i="1"/>
  <c r="D144" i="1"/>
  <c r="D141" i="1"/>
  <c r="D136" i="1"/>
  <c r="D132" i="1"/>
  <c r="D129" i="1"/>
  <c r="D189" i="1"/>
  <c r="D185" i="1"/>
  <c r="D181" i="1"/>
  <c r="D177" i="1"/>
  <c r="D211" i="1"/>
  <c r="D207" i="1"/>
  <c r="D203" i="1"/>
  <c r="D200" i="1"/>
  <c r="D197" i="1"/>
  <c r="D193" i="1"/>
  <c r="D227" i="1"/>
  <c r="D220" i="1"/>
  <c r="D235" i="1"/>
  <c r="D292" i="1"/>
  <c r="D286" i="1"/>
  <c r="D278" i="1"/>
  <c r="D277" i="1"/>
  <c r="D273" i="1"/>
  <c r="D269" i="1"/>
  <c r="D262" i="1"/>
  <c r="D258" i="1"/>
  <c r="D251" i="1"/>
  <c r="D247" i="1"/>
  <c r="D244" i="1"/>
  <c r="D327" i="1"/>
  <c r="D321" i="1"/>
  <c r="D315" i="1"/>
  <c r="D312" i="1"/>
  <c r="D307" i="1"/>
  <c r="D304" i="1"/>
  <c r="D303" i="1"/>
  <c r="D298" i="1"/>
  <c r="D297" i="1"/>
  <c r="D331" i="1"/>
  <c r="D344" i="1"/>
  <c r="D340" i="1"/>
  <c r="D377" i="1"/>
  <c r="D369" i="1"/>
  <c r="D366" i="1"/>
  <c r="D362" i="1"/>
  <c r="D358" i="1"/>
  <c r="D355" i="1"/>
  <c r="D351" i="1"/>
  <c r="D449" i="1"/>
  <c r="D445" i="1"/>
  <c r="D440" i="1"/>
  <c r="D436" i="1"/>
  <c r="D431" i="1"/>
  <c r="D426" i="1"/>
  <c r="D422" i="1"/>
  <c r="D419" i="1"/>
  <c r="D408" i="1"/>
  <c r="D454" i="1"/>
  <c r="D457" i="1"/>
  <c r="D455" i="1"/>
  <c r="D503" i="1"/>
  <c r="D499" i="1"/>
  <c r="D496" i="1"/>
  <c r="D493" i="1"/>
  <c r="D487" i="1"/>
  <c r="D484" i="1"/>
  <c r="D480" i="1"/>
  <c r="D477" i="1"/>
  <c r="D469" i="1"/>
  <c r="D466" i="1"/>
  <c r="D511" i="1"/>
  <c r="D522" i="1"/>
  <c r="D518" i="1"/>
  <c r="D513" i="1"/>
  <c r="D538" i="1"/>
  <c r="D628" i="1"/>
  <c r="D624" i="1"/>
  <c r="D620" i="1"/>
  <c r="D616" i="1"/>
  <c r="D613" i="1"/>
  <c r="D603" i="1"/>
  <c r="D599" i="1"/>
  <c r="D596" i="1"/>
  <c r="D655" i="1"/>
  <c r="D654" i="1"/>
  <c r="D650" i="1"/>
  <c r="D646" i="1"/>
  <c r="D642" i="1"/>
  <c r="D639" i="1"/>
  <c r="D731" i="1"/>
  <c r="D727" i="1"/>
  <c r="D723" i="1"/>
  <c r="D719" i="1"/>
  <c r="D716" i="1"/>
  <c r="D711" i="1"/>
  <c r="D707" i="1"/>
  <c r="D698" i="1"/>
  <c r="D695" i="1"/>
  <c r="D691" i="1"/>
  <c r="D688" i="1"/>
  <c r="D682" i="1"/>
  <c r="D676" i="1"/>
  <c r="D672" i="1"/>
  <c r="D668" i="1"/>
  <c r="D665" i="1"/>
  <c r="D661" i="1"/>
  <c r="D750" i="1"/>
  <c r="D746" i="1"/>
  <c r="D742" i="1"/>
  <c r="D736" i="1"/>
  <c r="D767" i="1"/>
  <c r="D764" i="1"/>
  <c r="D760" i="1"/>
  <c r="D769" i="1"/>
  <c r="D833" i="1"/>
  <c r="D826" i="1"/>
  <c r="D822" i="1"/>
  <c r="D818" i="1"/>
  <c r="D813" i="1"/>
  <c r="D809" i="1"/>
  <c r="D805" i="1"/>
  <c r="D801" i="1"/>
  <c r="D797" i="1"/>
  <c r="D793" i="1"/>
  <c r="D789" i="1"/>
  <c r="D786" i="1"/>
  <c r="D783" i="1"/>
  <c r="D780" i="1"/>
  <c r="D776" i="1"/>
  <c r="D772" i="1"/>
  <c r="D862" i="1"/>
  <c r="D856" i="1"/>
  <c r="D901" i="1"/>
  <c r="D897" i="1"/>
  <c r="D893" i="1"/>
  <c r="D889" i="1"/>
  <c r="D885" i="1"/>
  <c r="D882" i="1"/>
  <c r="D880" i="1"/>
  <c r="D877" i="1"/>
  <c r="D873" i="1"/>
  <c r="D870" i="1"/>
  <c r="D916" i="1"/>
  <c r="D940" i="1"/>
  <c r="D937" i="1"/>
  <c r="D934" i="1"/>
  <c r="D927" i="1"/>
  <c r="D926" i="1"/>
  <c r="D923" i="1"/>
  <c r="D920" i="1"/>
  <c r="D917" i="1"/>
  <c r="D982" i="1"/>
  <c r="D978" i="1"/>
  <c r="D974" i="1"/>
  <c r="D970" i="1"/>
  <c r="D961" i="1"/>
  <c r="D956" i="1"/>
  <c r="D952" i="1"/>
  <c r="D949" i="1"/>
  <c r="D1005" i="1"/>
  <c r="D993" i="1"/>
  <c r="D990" i="1"/>
  <c r="D1018" i="1"/>
  <c r="D1059" i="1"/>
  <c r="D1054" i="1"/>
  <c r="D1051" i="1"/>
  <c r="D1046" i="1"/>
  <c r="D1040" i="1"/>
  <c r="D1036" i="1"/>
  <c r="D1032" i="1"/>
  <c r="D1091" i="1"/>
  <c r="D1086" i="1"/>
  <c r="D1082" i="1"/>
  <c r="D1078" i="1"/>
  <c r="D1074" i="1"/>
  <c r="D1070" i="1"/>
  <c r="D1066" i="1"/>
  <c r="D1062" i="1"/>
  <c r="D1110" i="1"/>
  <c r="D1106" i="1"/>
  <c r="D1103" i="1"/>
  <c r="D1101" i="1"/>
  <c r="D1098" i="1"/>
  <c r="D1151" i="1"/>
  <c r="D1147" i="1"/>
  <c r="D130" i="1"/>
  <c r="D176" i="1"/>
  <c r="D186" i="1"/>
  <c r="D182" i="1"/>
  <c r="D180" i="1"/>
  <c r="D178" i="1"/>
  <c r="D208" i="1"/>
  <c r="D204" i="1"/>
  <c r="D201" i="1"/>
  <c r="D198" i="1"/>
  <c r="D194" i="1"/>
  <c r="D224" i="1"/>
  <c r="D221" i="1"/>
  <c r="D216" i="1"/>
  <c r="D239" i="1"/>
  <c r="D233" i="1"/>
  <c r="D293" i="1"/>
  <c r="D287" i="1"/>
  <c r="D279" i="1"/>
  <c r="D274" i="1"/>
  <c r="D270" i="1"/>
  <c r="D267" i="1"/>
  <c r="D263" i="1"/>
  <c r="D259" i="1"/>
  <c r="D255" i="1"/>
  <c r="D252" i="1"/>
  <c r="D248" i="1"/>
  <c r="D245" i="1"/>
  <c r="D242" i="1"/>
  <c r="D325" i="1"/>
  <c r="D322" i="1"/>
  <c r="D318" i="1"/>
  <c r="D313" i="1"/>
  <c r="D310" i="1"/>
  <c r="D305" i="1"/>
  <c r="D302" i="1"/>
  <c r="D299" i="1"/>
  <c r="D329" i="1"/>
  <c r="D332" i="1"/>
  <c r="D330" i="1"/>
  <c r="D345" i="1"/>
  <c r="D341" i="1"/>
  <c r="D337" i="1"/>
  <c r="D378" i="1"/>
  <c r="D374" i="1"/>
  <c r="D363" i="1"/>
  <c r="D359" i="1"/>
  <c r="D356" i="1"/>
  <c r="D352" i="1"/>
  <c r="D452" i="1"/>
  <c r="D450" i="1"/>
  <c r="D446" i="1"/>
  <c r="D441" i="1"/>
  <c r="D437" i="1"/>
  <c r="D432" i="1"/>
  <c r="D427" i="1"/>
  <c r="D423" i="1"/>
  <c r="D420" i="1"/>
  <c r="D415" i="1"/>
  <c r="D412" i="1"/>
  <c r="D409" i="1"/>
  <c r="D405" i="1"/>
  <c r="D458" i="1"/>
  <c r="D506" i="1"/>
  <c r="D504" i="1"/>
  <c r="D500" i="1"/>
  <c r="D497" i="1"/>
  <c r="D494" i="1"/>
  <c r="D488" i="1"/>
  <c r="D485" i="1"/>
  <c r="D481" i="1"/>
  <c r="D478" i="1"/>
  <c r="D474" i="1"/>
  <c r="D470" i="1"/>
  <c r="D467" i="1"/>
  <c r="D463" i="1"/>
  <c r="D533" i="1"/>
  <c r="D529" i="1"/>
  <c r="D523" i="1"/>
  <c r="D519" i="1"/>
  <c r="D514" i="1"/>
  <c r="D631" i="1"/>
  <c r="D625" i="1"/>
  <c r="D621" i="1"/>
  <c r="D617" i="1"/>
  <c r="D614" i="1"/>
  <c r="D604" i="1"/>
  <c r="D600" i="1"/>
  <c r="D656" i="1"/>
  <c r="D651" i="1"/>
  <c r="D649" i="1"/>
  <c r="D643" i="1"/>
  <c r="D732" i="1"/>
  <c r="D728" i="1"/>
  <c r="D724" i="1"/>
  <c r="D720" i="1"/>
  <c r="D717" i="1"/>
  <c r="D712" i="1"/>
  <c r="D708" i="1"/>
  <c r="D703" i="1"/>
  <c r="D699" i="1"/>
  <c r="D692" i="1"/>
  <c r="D683" i="1"/>
  <c r="D677" i="1"/>
  <c r="D673" i="1"/>
  <c r="D669" i="1"/>
  <c r="D662" i="1"/>
  <c r="D659" i="1"/>
  <c r="D751" i="1"/>
  <c r="D747" i="1"/>
  <c r="D743" i="1"/>
  <c r="D739" i="1"/>
  <c r="D737" i="1"/>
  <c r="D756" i="1"/>
  <c r="D762" i="1"/>
  <c r="D757" i="1"/>
  <c r="D834" i="1"/>
  <c r="D827" i="1"/>
  <c r="D823" i="1"/>
  <c r="D819" i="1"/>
  <c r="D810" i="1"/>
  <c r="D806" i="1"/>
  <c r="D802" i="1"/>
  <c r="D798" i="1"/>
  <c r="D794" i="1"/>
  <c r="D790" i="1"/>
  <c r="D787" i="1"/>
  <c r="D784" i="1"/>
  <c r="D781" i="1"/>
  <c r="D777" i="1"/>
  <c r="D773" i="1"/>
  <c r="D857" i="1"/>
  <c r="D914" i="1"/>
  <c r="D898" i="1"/>
  <c r="D891" i="1"/>
  <c r="D886" i="1"/>
  <c r="D883" i="1"/>
  <c r="D881" i="1"/>
  <c r="D874" i="1"/>
  <c r="D867" i="1"/>
  <c r="D864" i="1"/>
  <c r="D935" i="1"/>
  <c r="D928" i="1"/>
  <c r="D924" i="1"/>
  <c r="D918" i="1"/>
  <c r="D983" i="1"/>
  <c r="D979" i="1"/>
  <c r="D975" i="1"/>
  <c r="D967" i="1"/>
  <c r="D965" i="1"/>
  <c r="D962" i="1"/>
  <c r="D953" i="1"/>
  <c r="D950" i="1"/>
  <c r="D1006" i="1"/>
  <c r="D1002" i="1"/>
  <c r="D997" i="1"/>
  <c r="D995" i="1"/>
  <c r="D1019" i="1"/>
  <c r="D1025" i="1"/>
  <c r="D1055" i="1"/>
  <c r="D1052" i="1"/>
  <c r="D1047" i="1"/>
  <c r="D1041" i="1"/>
  <c r="D1038" i="1"/>
  <c r="D1033" i="1"/>
  <c r="D1029" i="1"/>
  <c r="D1027" i="1"/>
  <c r="D1087" i="1"/>
  <c r="D1083" i="1"/>
  <c r="D1079" i="1"/>
  <c r="D1075" i="1"/>
  <c r="D1071" i="1"/>
  <c r="D1067" i="1"/>
  <c r="D1063" i="1"/>
  <c r="D1111" i="1"/>
  <c r="D1109" i="1"/>
  <c r="D1107" i="1"/>
  <c r="D1099" i="1"/>
  <c r="D1152" i="1"/>
  <c r="D1148" i="1"/>
  <c r="D1145" i="1"/>
  <c r="D133" i="1"/>
  <c r="D187" i="1"/>
  <c r="D183" i="1"/>
  <c r="D212" i="1"/>
  <c r="D205" i="1"/>
  <c r="D202" i="1"/>
  <c r="D195" i="1"/>
  <c r="D214" i="1"/>
  <c r="D229" i="1"/>
  <c r="D225" i="1"/>
  <c r="D222" i="1"/>
  <c r="D217" i="1"/>
  <c r="D236" i="1"/>
  <c r="D234" i="1"/>
  <c r="D241" i="1"/>
  <c r="D288" i="1"/>
  <c r="D280" i="1"/>
  <c r="D275" i="1"/>
  <c r="D271" i="1"/>
  <c r="D265" i="1"/>
  <c r="D260" i="1"/>
  <c r="D256" i="1"/>
  <c r="D253" i="1"/>
  <c r="D249" i="1"/>
  <c r="D243" i="1"/>
  <c r="D314" i="1"/>
  <c r="D311" i="1"/>
  <c r="D308" i="1"/>
  <c r="D300" i="1"/>
  <c r="D295" i="1"/>
  <c r="D334" i="1"/>
  <c r="D333" i="1"/>
  <c r="D348" i="1"/>
  <c r="D342" i="1"/>
  <c r="D338" i="1"/>
  <c r="D381" i="1"/>
  <c r="D375" i="1"/>
  <c r="D367" i="1"/>
  <c r="D364" i="1"/>
  <c r="D360" i="1"/>
  <c r="D353" i="1"/>
  <c r="D451" i="1"/>
  <c r="D447" i="1"/>
  <c r="D438" i="1"/>
  <c r="D433" i="1"/>
  <c r="D429" i="1"/>
  <c r="D424" i="1"/>
  <c r="D416" i="1"/>
  <c r="D413" i="1"/>
  <c r="D410" i="1"/>
  <c r="D406" i="1"/>
  <c r="D459" i="1"/>
  <c r="D509" i="1"/>
  <c r="D501" i="1"/>
  <c r="D490" i="1"/>
  <c r="D486" i="1"/>
  <c r="D482" i="1"/>
  <c r="D479" i="1"/>
  <c r="D475" i="1"/>
  <c r="D534" i="1"/>
  <c r="D530" i="1"/>
  <c r="D526" i="1"/>
  <c r="D520" i="1"/>
  <c r="D516" i="1"/>
  <c r="D637" i="1"/>
  <c r="D626" i="1"/>
  <c r="D622" i="1"/>
  <c r="D618" i="1"/>
  <c r="D607" i="1"/>
  <c r="D605" i="1"/>
  <c r="D601" i="1"/>
  <c r="D597" i="1"/>
  <c r="D652" i="1"/>
  <c r="D644" i="1"/>
  <c r="D640" i="1"/>
  <c r="D658" i="1"/>
  <c r="D729" i="1"/>
  <c r="D725" i="1"/>
  <c r="D721" i="1"/>
  <c r="D713" i="1"/>
  <c r="D709" i="1"/>
  <c r="D705" i="1"/>
  <c r="D704" i="1"/>
  <c r="D700" i="1"/>
  <c r="D696" i="1"/>
  <c r="D693" i="1"/>
  <c r="D689" i="1"/>
  <c r="D685" i="1"/>
  <c r="D684" i="1"/>
  <c r="D670" i="1"/>
  <c r="D666" i="1"/>
  <c r="D663" i="1"/>
  <c r="D660" i="1"/>
  <c r="D754" i="1"/>
  <c r="D748" i="1"/>
  <c r="D744" i="1"/>
  <c r="D740" i="1"/>
  <c r="D735" i="1"/>
  <c r="D766" i="1"/>
  <c r="D761" i="1"/>
  <c r="D758" i="1"/>
  <c r="D835" i="1"/>
  <c r="D830" i="1"/>
  <c r="D828" i="1"/>
  <c r="D824" i="1"/>
  <c r="D820" i="1"/>
  <c r="D811" i="1"/>
  <c r="D807" i="1"/>
  <c r="D803" i="1"/>
  <c r="D799" i="1"/>
  <c r="D795" i="1"/>
  <c r="D791" i="1"/>
  <c r="D788" i="1"/>
  <c r="D778" i="1"/>
  <c r="D774" i="1"/>
  <c r="D770" i="1"/>
  <c r="D858" i="1"/>
  <c r="D854" i="1"/>
  <c r="D899" i="1"/>
  <c r="D895" i="1"/>
  <c r="D887" i="1"/>
  <c r="D875" i="1"/>
  <c r="D868" i="1"/>
  <c r="D865" i="1"/>
  <c r="D941" i="1"/>
  <c r="D930" i="1"/>
  <c r="D925" i="1"/>
  <c r="D921" i="1"/>
  <c r="D919" i="1"/>
  <c r="D987" i="1"/>
  <c r="D980" i="1"/>
  <c r="D976" i="1"/>
  <c r="D971" i="1"/>
  <c r="D963" i="1"/>
  <c r="D959" i="1"/>
  <c r="D954" i="1"/>
  <c r="D951" i="1"/>
  <c r="D1003" i="1"/>
  <c r="D1000" i="1"/>
  <c r="D998" i="1"/>
  <c r="D996" i="1"/>
  <c r="D991" i="1"/>
  <c r="D1013" i="1"/>
  <c r="D1020" i="1"/>
  <c r="D1016" i="1"/>
  <c r="D1014" i="1"/>
  <c r="D1056" i="1"/>
  <c r="D1048" i="1"/>
  <c r="D1044" i="1"/>
  <c r="D1042" i="1"/>
  <c r="D1037" i="1"/>
  <c r="D1034" i="1"/>
  <c r="D1030" i="1"/>
  <c r="D1028" i="1"/>
  <c r="D1093" i="1"/>
  <c r="D1092" i="1"/>
  <c r="D1088" i="1"/>
  <c r="D1084" i="1"/>
  <c r="D1080" i="1"/>
  <c r="D1076" i="1"/>
  <c r="D1072" i="1"/>
  <c r="D1068" i="1"/>
  <c r="D1064" i="1"/>
  <c r="D1112" i="1"/>
  <c r="D1105" i="1"/>
  <c r="D1102" i="1"/>
  <c r="D1100" i="1"/>
  <c r="D1096" i="1"/>
  <c r="D1149" i="1"/>
  <c r="D1146" i="1"/>
  <c r="D134" i="1"/>
  <c r="D131" i="1"/>
  <c r="D128" i="1"/>
  <c r="D188" i="1"/>
  <c r="D179" i="1"/>
  <c r="D191" i="1"/>
  <c r="D210" i="1"/>
  <c r="D206" i="1"/>
  <c r="D199" i="1"/>
  <c r="D196" i="1"/>
  <c r="D192" i="1"/>
  <c r="D226" i="1"/>
  <c r="D215" i="1"/>
  <c r="D289" i="1"/>
  <c r="D285" i="1"/>
  <c r="D276" i="1"/>
  <c r="D272" i="1"/>
  <c r="D268" i="1"/>
  <c r="D266" i="1"/>
  <c r="D261" i="1"/>
  <c r="D257" i="1"/>
  <c r="D254" i="1"/>
  <c r="D250" i="1"/>
  <c r="D246" i="1"/>
  <c r="D326" i="1"/>
  <c r="D323" i="1"/>
  <c r="D319" i="1"/>
  <c r="D317" i="1"/>
  <c r="D309" i="1"/>
  <c r="D306" i="1"/>
  <c r="D301" i="1"/>
  <c r="D296" i="1"/>
  <c r="D343" i="1"/>
  <c r="D350" i="1"/>
  <c r="D376" i="1"/>
  <c r="D368" i="1"/>
  <c r="D365" i="1"/>
  <c r="D361" i="1"/>
  <c r="D357" i="1"/>
  <c r="D354" i="1"/>
  <c r="D404" i="1"/>
  <c r="D448" i="1"/>
  <c r="D444" i="1"/>
  <c r="D435" i="1"/>
  <c r="D430" i="1"/>
  <c r="D428" i="1"/>
  <c r="D425" i="1"/>
  <c r="D418" i="1"/>
  <c r="D417" i="1"/>
  <c r="D414" i="1"/>
  <c r="D411" i="1"/>
  <c r="D407" i="1"/>
  <c r="D460" i="1"/>
  <c r="D456" i="1"/>
  <c r="D462" i="1"/>
  <c r="D505" i="1"/>
  <c r="D502" i="1"/>
  <c r="D498" i="1"/>
  <c r="D495" i="1"/>
  <c r="D491" i="1"/>
  <c r="D483" i="1"/>
  <c r="D476" i="1"/>
  <c r="D472" i="1"/>
  <c r="D465" i="1"/>
  <c r="D531" i="1"/>
  <c r="D527" i="1"/>
  <c r="D521" i="1"/>
  <c r="D517" i="1"/>
  <c r="D515" i="1"/>
  <c r="D537" i="1"/>
  <c r="D594" i="1"/>
  <c r="D627" i="1"/>
  <c r="D623" i="1"/>
  <c r="D619" i="1"/>
  <c r="D615" i="1"/>
  <c r="D608" i="1"/>
  <c r="D606" i="1"/>
  <c r="D602" i="1"/>
  <c r="D598" i="1"/>
  <c r="D595" i="1"/>
  <c r="D648" i="1"/>
  <c r="D647" i="1"/>
  <c r="D645" i="1"/>
  <c r="D641" i="1"/>
  <c r="D730" i="1"/>
  <c r="D726" i="1"/>
  <c r="D722" i="1"/>
  <c r="D718" i="1"/>
  <c r="D710" i="1"/>
  <c r="D706" i="1"/>
  <c r="D701" i="1"/>
  <c r="D697" i="1"/>
  <c r="D694" i="1"/>
  <c r="D690" i="1"/>
  <c r="D686" i="1"/>
  <c r="D674" i="1"/>
  <c r="D671" i="1"/>
  <c r="D667" i="1"/>
  <c r="D664" i="1"/>
  <c r="D734" i="1"/>
  <c r="D749" i="1"/>
  <c r="D745" i="1"/>
  <c r="D741" i="1"/>
  <c r="D763" i="1"/>
  <c r="D759" i="1"/>
  <c r="D836" i="1"/>
  <c r="D831" i="1"/>
  <c r="D829" i="1"/>
  <c r="D825" i="1"/>
  <c r="D821" i="1"/>
  <c r="D812" i="1"/>
  <c r="D808" i="1"/>
  <c r="D804" i="1"/>
  <c r="D800" i="1"/>
  <c r="D796" i="1"/>
  <c r="D792" i="1"/>
  <c r="D785" i="1"/>
  <c r="D782" i="1"/>
  <c r="D779" i="1"/>
  <c r="D775" i="1"/>
  <c r="D771" i="1"/>
  <c r="D861" i="1"/>
  <c r="D855" i="1"/>
  <c r="D900" i="1"/>
  <c r="D896" i="1"/>
  <c r="D892" i="1"/>
  <c r="D888" i="1"/>
  <c r="D879" i="1"/>
  <c r="D876" i="1"/>
  <c r="D872" i="1"/>
  <c r="D869" i="1"/>
  <c r="D866" i="1"/>
  <c r="D946" i="1"/>
  <c r="D938" i="1"/>
  <c r="D936" i="1"/>
  <c r="D931" i="1"/>
  <c r="D922" i="1"/>
  <c r="D948" i="1"/>
  <c r="D981" i="1"/>
  <c r="D977" i="1"/>
  <c r="D973" i="1"/>
  <c r="D969" i="1"/>
  <c r="D966" i="1"/>
  <c r="D964" i="1"/>
  <c r="D960" i="1"/>
  <c r="D955" i="1"/>
  <c r="D989" i="1"/>
  <c r="D1004" i="1"/>
  <c r="D1001" i="1"/>
  <c r="D999" i="1"/>
  <c r="D992" i="1"/>
  <c r="D1021" i="1"/>
  <c r="D1017" i="1"/>
  <c r="D1015" i="1"/>
  <c r="D1057" i="1"/>
  <c r="D1053" i="1"/>
  <c r="D1050" i="1"/>
  <c r="D1045" i="1"/>
  <c r="D1043" i="1"/>
  <c r="D1039" i="1"/>
  <c r="D1035" i="1"/>
  <c r="D1031" i="1"/>
  <c r="D1061" i="1"/>
  <c r="D1089" i="1"/>
  <c r="D1085" i="1"/>
  <c r="D1081" i="1"/>
  <c r="D1077" i="1"/>
  <c r="D1073" i="1"/>
  <c r="D1069" i="1"/>
  <c r="D1065" i="1"/>
  <c r="D1095" i="1"/>
  <c r="D1113" i="1"/>
  <c r="D1150" i="1"/>
  <c r="D223" i="1"/>
  <c r="D20" i="1"/>
  <c r="D68" i="1"/>
  <c r="D65" i="1"/>
  <c r="D52" i="1"/>
  <c r="D43" i="1"/>
  <c r="D37" i="1"/>
  <c r="D66" i="1"/>
  <c r="D57" i="1"/>
  <c r="D46" i="1"/>
  <c r="D31" i="1"/>
  <c r="D61" i="1"/>
  <c r="D47" i="1"/>
  <c r="D45" i="1"/>
  <c r="D39" i="1"/>
  <c r="D32" i="1"/>
  <c r="D28" i="1"/>
  <c r="D25" i="1"/>
  <c r="D22" i="1"/>
  <c r="D15" i="1"/>
  <c r="D73" i="1"/>
  <c r="D122" i="1"/>
  <c r="D118" i="1"/>
  <c r="D115" i="1"/>
  <c r="D113" i="1"/>
  <c r="D110" i="1"/>
  <c r="D106" i="1"/>
  <c r="D102" i="1"/>
  <c r="D64" i="1"/>
  <c r="D62" i="1"/>
  <c r="D54" i="1"/>
  <c r="D51" i="1"/>
  <c r="D48" i="1"/>
  <c r="D40" i="1"/>
  <c r="D36" i="1"/>
  <c r="D33" i="1"/>
  <c r="D29" i="1"/>
  <c r="D26" i="1"/>
  <c r="D23" i="1"/>
  <c r="D19" i="1"/>
  <c r="D16" i="1"/>
  <c r="D78" i="1"/>
  <c r="D77" i="1"/>
  <c r="D74" i="1"/>
  <c r="D126" i="1"/>
  <c r="D123" i="1"/>
  <c r="D119" i="1"/>
  <c r="D114" i="1"/>
  <c r="D111" i="1"/>
  <c r="D107" i="1"/>
  <c r="D103" i="1"/>
  <c r="D99" i="1"/>
  <c r="D95" i="1"/>
  <c r="D91" i="1"/>
  <c r="D87" i="1"/>
  <c r="D59" i="1"/>
  <c r="D41" i="1"/>
  <c r="D30" i="1"/>
  <c r="D17" i="1"/>
  <c r="D13" i="1"/>
  <c r="D83" i="1"/>
  <c r="D81" i="1"/>
  <c r="D79" i="1"/>
  <c r="D75" i="1"/>
  <c r="D120" i="1"/>
  <c r="D117" i="1"/>
  <c r="D112" i="1"/>
  <c r="D108" i="1"/>
  <c r="D104" i="1"/>
  <c r="D100" i="1"/>
  <c r="D96" i="1"/>
  <c r="D92" i="1"/>
  <c r="D88" i="1"/>
  <c r="D56" i="1"/>
  <c r="D53" i="1"/>
  <c r="D34" i="1"/>
  <c r="D24" i="1"/>
  <c r="D21" i="1"/>
  <c r="D14" i="1"/>
  <c r="D84" i="1"/>
  <c r="D76" i="1"/>
  <c r="D72" i="1"/>
  <c r="D124" i="1"/>
  <c r="D121" i="1"/>
  <c r="D109" i="1"/>
  <c r="D105" i="1"/>
  <c r="D101" i="1"/>
  <c r="D97" i="1"/>
  <c r="D93" i="1"/>
  <c r="D89" i="1"/>
  <c r="D63" i="1"/>
  <c r="D49" i="1"/>
  <c r="D60" i="1"/>
  <c r="D44" i="1"/>
  <c r="D38" i="1"/>
  <c r="D27" i="1"/>
  <c r="D67" i="1"/>
  <c r="D58" i="1"/>
  <c r="D50" i="1"/>
  <c r="D42" i="1"/>
  <c r="D35" i="1"/>
  <c r="D18" i="1"/>
  <c r="D80" i="1"/>
  <c r="D125" i="1"/>
  <c r="D94" i="1"/>
  <c r="D90" i="1"/>
  <c r="AD190" i="1"/>
  <c r="D657" i="1" l="1"/>
  <c r="BI894" i="1"/>
  <c r="F894" i="1" s="1"/>
  <c r="D894" i="1" l="1"/>
  <c r="BU532" i="1"/>
  <c r="F532" i="1" s="1"/>
  <c r="BU1097" i="1"/>
  <c r="F1097" i="1" s="1"/>
  <c r="BU1026" i="1"/>
  <c r="F1026" i="1" s="1"/>
  <c r="BU464" i="1"/>
  <c r="F464" i="1" s="1"/>
  <c r="BU336" i="1"/>
  <c r="F336" i="1" s="1"/>
  <c r="D1026" i="1" l="1"/>
  <c r="D464" i="1"/>
  <c r="D336" i="1"/>
  <c r="D532" i="1"/>
  <c r="D1097" i="1"/>
  <c r="G638" i="1"/>
  <c r="H638" i="1"/>
  <c r="I638" i="1"/>
  <c r="N638" i="1"/>
  <c r="O638" i="1"/>
  <c r="P638" i="1"/>
  <c r="Q638" i="1"/>
  <c r="R638" i="1"/>
  <c r="S638" i="1"/>
  <c r="T638" i="1"/>
  <c r="U638" i="1"/>
  <c r="V638" i="1"/>
  <c r="W638" i="1"/>
  <c r="X638" i="1"/>
  <c r="Y638" i="1"/>
  <c r="Z638" i="1"/>
  <c r="AA638" i="1"/>
  <c r="AB638" i="1"/>
  <c r="AC638" i="1"/>
  <c r="AD638" i="1"/>
  <c r="AE638" i="1"/>
  <c r="AF638" i="1"/>
  <c r="AG638" i="1"/>
  <c r="AH638" i="1"/>
  <c r="AI638" i="1"/>
  <c r="AJ638" i="1"/>
  <c r="AK638" i="1"/>
  <c r="AL638" i="1"/>
  <c r="AM638" i="1"/>
  <c r="AN638" i="1"/>
  <c r="AO638" i="1"/>
  <c r="AP638" i="1"/>
  <c r="AQ638" i="1"/>
  <c r="AR638" i="1"/>
  <c r="AT638" i="1"/>
  <c r="AU638" i="1"/>
  <c r="AW638" i="1"/>
  <c r="AZ638" i="1"/>
  <c r="BA638" i="1"/>
  <c r="BB638" i="1"/>
  <c r="BC638" i="1"/>
  <c r="BF638" i="1"/>
  <c r="BG638" i="1"/>
  <c r="BH638" i="1"/>
  <c r="BI638" i="1"/>
  <c r="BJ638" i="1"/>
  <c r="BK638" i="1"/>
  <c r="BL638" i="1"/>
  <c r="BM638" i="1"/>
  <c r="BO638" i="1"/>
  <c r="BP638" i="1"/>
  <c r="BQ638" i="1"/>
  <c r="BS638" i="1"/>
  <c r="BT638" i="1"/>
  <c r="BU638" i="1"/>
  <c r="BV638" i="1"/>
  <c r="BW638" i="1"/>
  <c r="BX638" i="1"/>
  <c r="BY638" i="1"/>
  <c r="BZ638" i="1"/>
  <c r="CA638" i="1"/>
  <c r="AV638" i="1" l="1"/>
  <c r="K638" i="1" l="1"/>
  <c r="J638" i="1"/>
  <c r="CA1153" i="1" l="1"/>
  <c r="BZ1153" i="1"/>
  <c r="BY1153" i="1"/>
  <c r="BX1153" i="1"/>
  <c r="BW1153" i="1"/>
  <c r="BV1153" i="1"/>
  <c r="BU1153" i="1"/>
  <c r="BT1153" i="1"/>
  <c r="BS1153" i="1"/>
  <c r="BQ1153" i="1"/>
  <c r="BP1153" i="1"/>
  <c r="BO1153" i="1"/>
  <c r="BM1153" i="1"/>
  <c r="BL1153" i="1"/>
  <c r="BK1153" i="1"/>
  <c r="BJ1153" i="1"/>
  <c r="BI1153" i="1"/>
  <c r="BH1153" i="1"/>
  <c r="BG1153" i="1"/>
  <c r="BF1153" i="1"/>
  <c r="BC1153" i="1"/>
  <c r="BB1153" i="1"/>
  <c r="BA1153" i="1"/>
  <c r="AZ1153" i="1"/>
  <c r="AW1153" i="1"/>
  <c r="AV1153" i="1"/>
  <c r="AU1153" i="1"/>
  <c r="AT1153" i="1"/>
  <c r="AR1153" i="1"/>
  <c r="AQ1153" i="1"/>
  <c r="AP1153" i="1"/>
  <c r="AO1153" i="1"/>
  <c r="AN1153" i="1"/>
  <c r="AM1153" i="1"/>
  <c r="AL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L1153" i="1"/>
  <c r="K1153" i="1"/>
  <c r="J1153" i="1"/>
  <c r="I1153" i="1"/>
  <c r="H1153" i="1"/>
  <c r="G1153" i="1"/>
  <c r="CA1142" i="1"/>
  <c r="BZ1142" i="1"/>
  <c r="BY1142" i="1"/>
  <c r="BX1142" i="1"/>
  <c r="BW1142" i="1"/>
  <c r="BV1142" i="1"/>
  <c r="BU1142" i="1"/>
  <c r="BT1142" i="1"/>
  <c r="BS1142" i="1"/>
  <c r="BQ1142" i="1"/>
  <c r="BP1142" i="1"/>
  <c r="BO1142" i="1"/>
  <c r="BM1142" i="1"/>
  <c r="BL1142" i="1"/>
  <c r="BK1142" i="1"/>
  <c r="BJ1142" i="1"/>
  <c r="BI1142" i="1"/>
  <c r="BH1142" i="1"/>
  <c r="BG1142" i="1"/>
  <c r="BF1142" i="1"/>
  <c r="BC1142" i="1"/>
  <c r="BB1142" i="1"/>
  <c r="BA1142" i="1"/>
  <c r="AW1142" i="1"/>
  <c r="AU1142" i="1"/>
  <c r="AT1142" i="1"/>
  <c r="AR1142" i="1"/>
  <c r="AQ1142" i="1"/>
  <c r="AP1142" i="1"/>
  <c r="AO1142" i="1"/>
  <c r="AN1142" i="1"/>
  <c r="AM1142" i="1"/>
  <c r="AL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K1142" i="1"/>
  <c r="J1142" i="1"/>
  <c r="I1142" i="1"/>
  <c r="H1142" i="1"/>
  <c r="G1142" i="1"/>
  <c r="AV1142" i="1"/>
  <c r="CA1114" i="1"/>
  <c r="BZ1114" i="1"/>
  <c r="BY1114" i="1"/>
  <c r="BX1114" i="1"/>
  <c r="BW1114" i="1"/>
  <c r="BV1114" i="1"/>
  <c r="BU1114" i="1"/>
  <c r="BT1114" i="1"/>
  <c r="BS1114" i="1"/>
  <c r="BQ1114" i="1"/>
  <c r="BP1114" i="1"/>
  <c r="BO1114" i="1"/>
  <c r="BM1114" i="1"/>
  <c r="BL1114" i="1"/>
  <c r="BK1114" i="1"/>
  <c r="BJ1114" i="1"/>
  <c r="BI1114" i="1"/>
  <c r="BH1114" i="1"/>
  <c r="BG1114" i="1"/>
  <c r="BF1114" i="1"/>
  <c r="BC1114" i="1"/>
  <c r="BB1114" i="1"/>
  <c r="BA1114" i="1"/>
  <c r="AZ1114" i="1"/>
  <c r="AW1114" i="1"/>
  <c r="AU1114" i="1"/>
  <c r="AT1114" i="1"/>
  <c r="AR1114" i="1"/>
  <c r="AQ1114" i="1"/>
  <c r="AP1114" i="1"/>
  <c r="AO1114" i="1"/>
  <c r="AN1114" i="1"/>
  <c r="AM1114" i="1"/>
  <c r="AL1114" i="1"/>
  <c r="AK1114" i="1"/>
  <c r="AJ1114" i="1"/>
  <c r="AI1114" i="1"/>
  <c r="AH1114" i="1"/>
  <c r="AG1114" i="1"/>
  <c r="AE1114" i="1"/>
  <c r="AD1114" i="1"/>
  <c r="AC1114" i="1"/>
  <c r="AB1114" i="1"/>
  <c r="AA1114" i="1"/>
  <c r="Z1114" i="1"/>
  <c r="Y1114" i="1"/>
  <c r="X1114" i="1"/>
  <c r="W1114" i="1"/>
  <c r="V1114" i="1"/>
  <c r="U1114" i="1"/>
  <c r="T1114" i="1"/>
  <c r="S1114" i="1"/>
  <c r="R1114" i="1"/>
  <c r="Q1114" i="1"/>
  <c r="P1114" i="1"/>
  <c r="O1114" i="1"/>
  <c r="N1114" i="1"/>
  <c r="L1114" i="1"/>
  <c r="I1114" i="1"/>
  <c r="H1114" i="1"/>
  <c r="G1114" i="1"/>
  <c r="K1114" i="1"/>
  <c r="J1114" i="1"/>
  <c r="CA1094" i="1"/>
  <c r="BZ1094" i="1"/>
  <c r="BY1094" i="1"/>
  <c r="BX1094" i="1"/>
  <c r="BW1094" i="1"/>
  <c r="BV1094" i="1"/>
  <c r="BU1094" i="1"/>
  <c r="BT1094" i="1"/>
  <c r="BS1094" i="1"/>
  <c r="BQ1094" i="1"/>
  <c r="BP1094" i="1"/>
  <c r="BO1094" i="1"/>
  <c r="BM1094" i="1"/>
  <c r="BL1094" i="1"/>
  <c r="BK1094" i="1"/>
  <c r="BJ1094" i="1"/>
  <c r="BI1094" i="1"/>
  <c r="BH1094" i="1"/>
  <c r="BG1094" i="1"/>
  <c r="BF1094" i="1"/>
  <c r="BC1094" i="1"/>
  <c r="BB1094" i="1"/>
  <c r="AW1094" i="1"/>
  <c r="AU1094" i="1"/>
  <c r="AT1094" i="1"/>
  <c r="AR1094" i="1"/>
  <c r="AQ1094" i="1"/>
  <c r="AP1094" i="1"/>
  <c r="AO1094" i="1"/>
  <c r="AN1094" i="1"/>
  <c r="AM1094" i="1"/>
  <c r="AL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K1094" i="1"/>
  <c r="J1094" i="1"/>
  <c r="I1094" i="1"/>
  <c r="H1094" i="1"/>
  <c r="G1094" i="1"/>
  <c r="CA1060" i="1"/>
  <c r="BZ1060" i="1"/>
  <c r="BY1060" i="1"/>
  <c r="BX1060" i="1"/>
  <c r="BW1060" i="1"/>
  <c r="BV1060" i="1"/>
  <c r="BU1060" i="1"/>
  <c r="BT1060" i="1"/>
  <c r="BS1060" i="1"/>
  <c r="BQ1060" i="1"/>
  <c r="BP1060" i="1"/>
  <c r="BO1060" i="1"/>
  <c r="BM1060" i="1"/>
  <c r="BL1060" i="1"/>
  <c r="BK1060" i="1"/>
  <c r="BJ1060" i="1"/>
  <c r="BI1060" i="1"/>
  <c r="BH1060" i="1"/>
  <c r="BG1060" i="1"/>
  <c r="BF1060" i="1"/>
  <c r="BC1060" i="1"/>
  <c r="BB1060" i="1"/>
  <c r="AW1060" i="1"/>
  <c r="AV1060" i="1"/>
  <c r="AU1060" i="1"/>
  <c r="AT1060" i="1"/>
  <c r="AR1060" i="1"/>
  <c r="AQ1060" i="1"/>
  <c r="AP1060" i="1"/>
  <c r="AO1060" i="1"/>
  <c r="AN1060" i="1"/>
  <c r="AM1060" i="1"/>
  <c r="AL1060" i="1"/>
  <c r="AK1060" i="1"/>
  <c r="AJ1060" i="1"/>
  <c r="AI1060" i="1"/>
  <c r="AH1060" i="1"/>
  <c r="AG1060" i="1"/>
  <c r="AE1060" i="1"/>
  <c r="AD1060" i="1"/>
  <c r="AC1060" i="1"/>
  <c r="AB1060" i="1"/>
  <c r="AA1060" i="1"/>
  <c r="Z1060" i="1"/>
  <c r="Y1060" i="1"/>
  <c r="X1060" i="1"/>
  <c r="W1060" i="1"/>
  <c r="V1060" i="1"/>
  <c r="U1060" i="1"/>
  <c r="T1060" i="1"/>
  <c r="S1060" i="1"/>
  <c r="R1060" i="1"/>
  <c r="Q1060" i="1"/>
  <c r="P1060" i="1"/>
  <c r="O1060" i="1"/>
  <c r="N1060" i="1"/>
  <c r="K1060" i="1"/>
  <c r="J1060" i="1"/>
  <c r="I1060" i="1"/>
  <c r="H1060" i="1"/>
  <c r="G1060" i="1"/>
  <c r="CA1024" i="1"/>
  <c r="BZ1024" i="1"/>
  <c r="BY1024" i="1"/>
  <c r="BX1024" i="1"/>
  <c r="BW1024" i="1"/>
  <c r="BV1024" i="1"/>
  <c r="BU1024" i="1"/>
  <c r="BT1024" i="1"/>
  <c r="BS1024" i="1"/>
  <c r="BQ1024" i="1"/>
  <c r="BP1024" i="1"/>
  <c r="BO1024" i="1"/>
  <c r="BM1024" i="1"/>
  <c r="BL1024" i="1"/>
  <c r="BK1024" i="1"/>
  <c r="BJ1024" i="1"/>
  <c r="BI1024" i="1"/>
  <c r="BH1024" i="1"/>
  <c r="BG1024" i="1"/>
  <c r="BF1024" i="1"/>
  <c r="BC1024" i="1"/>
  <c r="BB1024" i="1"/>
  <c r="AW1024" i="1"/>
  <c r="AV1024" i="1"/>
  <c r="AU1024" i="1"/>
  <c r="AT1024" i="1"/>
  <c r="AR1024" i="1"/>
  <c r="AQ1024" i="1"/>
  <c r="AP1024" i="1"/>
  <c r="AO1024" i="1"/>
  <c r="AN1024" i="1"/>
  <c r="AM1024" i="1"/>
  <c r="AL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L1024" i="1"/>
  <c r="K1024" i="1"/>
  <c r="J1024" i="1"/>
  <c r="I1024" i="1"/>
  <c r="H1024" i="1"/>
  <c r="G1024" i="1"/>
  <c r="CA1012" i="1"/>
  <c r="BZ1012" i="1"/>
  <c r="BY1012" i="1"/>
  <c r="BX1012" i="1"/>
  <c r="BW1012" i="1"/>
  <c r="BV1012" i="1"/>
  <c r="BU1012" i="1"/>
  <c r="BT1012" i="1"/>
  <c r="BS1012" i="1"/>
  <c r="BQ1012" i="1"/>
  <c r="BP1012" i="1"/>
  <c r="BO1012" i="1"/>
  <c r="BM1012" i="1"/>
  <c r="BL1012" i="1"/>
  <c r="BK1012" i="1"/>
  <c r="BJ1012" i="1"/>
  <c r="BI1012" i="1"/>
  <c r="BH1012" i="1"/>
  <c r="BG1012" i="1"/>
  <c r="BF1012" i="1"/>
  <c r="BC1012" i="1"/>
  <c r="BB1012" i="1"/>
  <c r="BA1012" i="1"/>
  <c r="AZ1012" i="1"/>
  <c r="AW1012" i="1"/>
  <c r="AV1012" i="1"/>
  <c r="AU1012" i="1"/>
  <c r="AT1012" i="1"/>
  <c r="AR1012" i="1"/>
  <c r="AQ1012" i="1"/>
  <c r="AP1012" i="1"/>
  <c r="AO1012" i="1"/>
  <c r="AN1012" i="1"/>
  <c r="AM1012" i="1"/>
  <c r="AL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L1012" i="1"/>
  <c r="K1012" i="1"/>
  <c r="J1012" i="1"/>
  <c r="I1012" i="1"/>
  <c r="H1012" i="1"/>
  <c r="G1012" i="1"/>
  <c r="CA988" i="1"/>
  <c r="BZ988" i="1"/>
  <c r="BY988" i="1"/>
  <c r="BX988" i="1"/>
  <c r="BW988" i="1"/>
  <c r="BV988" i="1"/>
  <c r="BU988" i="1"/>
  <c r="BT988" i="1"/>
  <c r="BS988" i="1"/>
  <c r="BQ988" i="1"/>
  <c r="BP988" i="1"/>
  <c r="BO988" i="1"/>
  <c r="BM988" i="1"/>
  <c r="BL988" i="1"/>
  <c r="BK988" i="1"/>
  <c r="BJ988" i="1"/>
  <c r="BI988" i="1"/>
  <c r="BH988" i="1"/>
  <c r="BG988" i="1"/>
  <c r="BF988" i="1"/>
  <c r="BC988" i="1"/>
  <c r="BB988" i="1"/>
  <c r="BA988" i="1"/>
  <c r="AZ988" i="1"/>
  <c r="AW988" i="1"/>
  <c r="AV988" i="1"/>
  <c r="AU988" i="1"/>
  <c r="AT988" i="1"/>
  <c r="AR988" i="1"/>
  <c r="AQ988" i="1"/>
  <c r="AP988" i="1"/>
  <c r="AO988" i="1"/>
  <c r="AN988" i="1"/>
  <c r="AM988" i="1"/>
  <c r="AL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J988" i="1"/>
  <c r="I988" i="1"/>
  <c r="H988" i="1"/>
  <c r="G988" i="1"/>
  <c r="CA947" i="1"/>
  <c r="BZ947" i="1"/>
  <c r="BY947" i="1"/>
  <c r="BX947" i="1"/>
  <c r="BW947" i="1"/>
  <c r="BV947" i="1"/>
  <c r="BU947" i="1"/>
  <c r="BT947" i="1"/>
  <c r="BS947" i="1"/>
  <c r="BQ947" i="1"/>
  <c r="BP947" i="1"/>
  <c r="BO947" i="1"/>
  <c r="BM947" i="1"/>
  <c r="BL947" i="1"/>
  <c r="BK947" i="1"/>
  <c r="BJ947" i="1"/>
  <c r="BI947" i="1"/>
  <c r="BH947" i="1"/>
  <c r="BG947" i="1"/>
  <c r="BF947" i="1"/>
  <c r="BC947" i="1"/>
  <c r="BB947" i="1"/>
  <c r="BA947" i="1"/>
  <c r="AZ947" i="1"/>
  <c r="AW947" i="1"/>
  <c r="AU947" i="1"/>
  <c r="AT947" i="1"/>
  <c r="AR947" i="1"/>
  <c r="AQ947" i="1"/>
  <c r="AP947" i="1"/>
  <c r="AO947" i="1"/>
  <c r="AN947" i="1"/>
  <c r="AM947" i="1"/>
  <c r="AL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I947" i="1"/>
  <c r="H947" i="1"/>
  <c r="G947" i="1"/>
  <c r="L947" i="1"/>
  <c r="J947" i="1"/>
  <c r="CA915" i="1"/>
  <c r="BZ915" i="1"/>
  <c r="BY915" i="1"/>
  <c r="BX915" i="1"/>
  <c r="BW915" i="1"/>
  <c r="BV915" i="1"/>
  <c r="BU915" i="1"/>
  <c r="BT915" i="1"/>
  <c r="BS915" i="1"/>
  <c r="BQ915" i="1"/>
  <c r="BP915" i="1"/>
  <c r="BO915" i="1"/>
  <c r="BM915" i="1"/>
  <c r="BL915" i="1"/>
  <c r="BK915" i="1"/>
  <c r="BJ915" i="1"/>
  <c r="BI915" i="1"/>
  <c r="BH915" i="1"/>
  <c r="BG915" i="1"/>
  <c r="BF915" i="1"/>
  <c r="BC915" i="1"/>
  <c r="BB915" i="1"/>
  <c r="BA915" i="1"/>
  <c r="AW915" i="1"/>
  <c r="AV915" i="1"/>
  <c r="AU915" i="1"/>
  <c r="AT915" i="1"/>
  <c r="AR915" i="1"/>
  <c r="AQ915" i="1"/>
  <c r="AP915" i="1"/>
  <c r="AO915" i="1"/>
  <c r="AN915" i="1"/>
  <c r="AM915" i="1"/>
  <c r="AL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L915" i="1"/>
  <c r="K915" i="1"/>
  <c r="J915" i="1"/>
  <c r="I915" i="1"/>
  <c r="H915" i="1"/>
  <c r="G915" i="1"/>
  <c r="CA863" i="1"/>
  <c r="BZ863" i="1"/>
  <c r="BY863" i="1"/>
  <c r="BX863" i="1"/>
  <c r="BW863" i="1"/>
  <c r="BV863" i="1"/>
  <c r="BU863" i="1"/>
  <c r="BT863" i="1"/>
  <c r="BS863" i="1"/>
  <c r="BQ863" i="1"/>
  <c r="BP863" i="1"/>
  <c r="BO863" i="1"/>
  <c r="BM863" i="1"/>
  <c r="BL863" i="1"/>
  <c r="BK863" i="1"/>
  <c r="BJ863" i="1"/>
  <c r="BI863" i="1"/>
  <c r="BH863" i="1"/>
  <c r="BG863" i="1"/>
  <c r="BF863" i="1"/>
  <c r="BC863" i="1"/>
  <c r="BB863" i="1"/>
  <c r="BA863" i="1"/>
  <c r="AZ863" i="1"/>
  <c r="AW863" i="1"/>
  <c r="AV863" i="1"/>
  <c r="AU863" i="1"/>
  <c r="AT863" i="1"/>
  <c r="AR863" i="1"/>
  <c r="AQ863" i="1"/>
  <c r="AP863" i="1"/>
  <c r="AO863" i="1"/>
  <c r="AN863" i="1"/>
  <c r="AM863" i="1"/>
  <c r="AL863" i="1"/>
  <c r="AK863" i="1"/>
  <c r="AJ863" i="1"/>
  <c r="AI863" i="1"/>
  <c r="AH863" i="1"/>
  <c r="AG863" i="1"/>
  <c r="AF863" i="1"/>
  <c r="AE863" i="1"/>
  <c r="AD863" i="1"/>
  <c r="AC863" i="1"/>
  <c r="AB863" i="1"/>
  <c r="AA863" i="1"/>
  <c r="Z863" i="1"/>
  <c r="Y863" i="1"/>
  <c r="X863" i="1"/>
  <c r="W863" i="1"/>
  <c r="V863" i="1"/>
  <c r="U863" i="1"/>
  <c r="T863" i="1"/>
  <c r="S863" i="1"/>
  <c r="R863" i="1"/>
  <c r="Q863" i="1"/>
  <c r="P863" i="1"/>
  <c r="O863" i="1"/>
  <c r="N863" i="1"/>
  <c r="L863" i="1"/>
  <c r="K863" i="1"/>
  <c r="J863" i="1"/>
  <c r="I863" i="1"/>
  <c r="H863" i="1"/>
  <c r="G863" i="1"/>
  <c r="CA853" i="1"/>
  <c r="BZ853" i="1"/>
  <c r="BY853" i="1"/>
  <c r="BX853" i="1"/>
  <c r="BW853" i="1"/>
  <c r="BV853" i="1"/>
  <c r="BU853" i="1"/>
  <c r="BT853" i="1"/>
  <c r="BS853" i="1"/>
  <c r="BQ853" i="1"/>
  <c r="BP853" i="1"/>
  <c r="BO853" i="1"/>
  <c r="BM853" i="1"/>
  <c r="BL853" i="1"/>
  <c r="BK853" i="1"/>
  <c r="BJ853" i="1"/>
  <c r="BI853" i="1"/>
  <c r="BH853" i="1"/>
  <c r="BG853" i="1"/>
  <c r="BF853" i="1"/>
  <c r="BC853" i="1"/>
  <c r="BB853" i="1"/>
  <c r="AW853" i="1"/>
  <c r="AV853" i="1"/>
  <c r="AU853" i="1"/>
  <c r="AT853" i="1"/>
  <c r="AR853" i="1"/>
  <c r="AQ853" i="1"/>
  <c r="AP853" i="1"/>
  <c r="AO853" i="1"/>
  <c r="AN853" i="1"/>
  <c r="AM853" i="1"/>
  <c r="AL853" i="1"/>
  <c r="AK853" i="1"/>
  <c r="AJ853" i="1"/>
  <c r="AI853" i="1"/>
  <c r="AH853" i="1"/>
  <c r="AG853" i="1"/>
  <c r="AF853" i="1"/>
  <c r="AE853" i="1"/>
  <c r="AD853" i="1"/>
  <c r="AC853" i="1"/>
  <c r="AB853" i="1"/>
  <c r="AA853" i="1"/>
  <c r="Z853" i="1"/>
  <c r="Y853" i="1"/>
  <c r="X853" i="1"/>
  <c r="W853" i="1"/>
  <c r="V853" i="1"/>
  <c r="U853" i="1"/>
  <c r="T853" i="1"/>
  <c r="S853" i="1"/>
  <c r="R853" i="1"/>
  <c r="Q853" i="1"/>
  <c r="P853" i="1"/>
  <c r="O853" i="1"/>
  <c r="N853" i="1"/>
  <c r="L853" i="1"/>
  <c r="K853" i="1"/>
  <c r="J853" i="1"/>
  <c r="I853" i="1"/>
  <c r="H853" i="1"/>
  <c r="G853" i="1"/>
  <c r="CA837" i="1"/>
  <c r="BZ837" i="1"/>
  <c r="BY837" i="1"/>
  <c r="BX837" i="1"/>
  <c r="BW837" i="1"/>
  <c r="BV837" i="1"/>
  <c r="BU837" i="1"/>
  <c r="BT837" i="1"/>
  <c r="BS837" i="1"/>
  <c r="BQ837" i="1"/>
  <c r="BP837" i="1"/>
  <c r="BO837" i="1"/>
  <c r="BM837" i="1"/>
  <c r="BL837" i="1"/>
  <c r="BK837" i="1"/>
  <c r="BJ837" i="1"/>
  <c r="BI837" i="1"/>
  <c r="BH837" i="1"/>
  <c r="BG837" i="1"/>
  <c r="BF837" i="1"/>
  <c r="BC837" i="1"/>
  <c r="BB837" i="1"/>
  <c r="AW837" i="1"/>
  <c r="AV837" i="1"/>
  <c r="AU837" i="1"/>
  <c r="AT837" i="1"/>
  <c r="AR837" i="1"/>
  <c r="AQ837" i="1"/>
  <c r="AP837" i="1"/>
  <c r="AO837" i="1"/>
  <c r="AN837" i="1"/>
  <c r="AM837" i="1"/>
  <c r="AL837" i="1"/>
  <c r="AK837" i="1"/>
  <c r="AJ837" i="1"/>
  <c r="AI837" i="1"/>
  <c r="AH837" i="1"/>
  <c r="AG837" i="1"/>
  <c r="AF837" i="1"/>
  <c r="AE837" i="1"/>
  <c r="AD837" i="1"/>
  <c r="AC837" i="1"/>
  <c r="AB837" i="1"/>
  <c r="AA837" i="1"/>
  <c r="Z837" i="1"/>
  <c r="Y837" i="1"/>
  <c r="X837" i="1"/>
  <c r="W837" i="1"/>
  <c r="V837" i="1"/>
  <c r="U837" i="1"/>
  <c r="T837" i="1"/>
  <c r="S837" i="1"/>
  <c r="R837" i="1"/>
  <c r="Q837" i="1"/>
  <c r="P837" i="1"/>
  <c r="O837" i="1"/>
  <c r="N837" i="1"/>
  <c r="K837" i="1"/>
  <c r="J837" i="1"/>
  <c r="I837" i="1"/>
  <c r="H837" i="1"/>
  <c r="G837" i="1"/>
  <c r="CA768" i="1"/>
  <c r="BZ768" i="1"/>
  <c r="BY768" i="1"/>
  <c r="BX768" i="1"/>
  <c r="BW768" i="1"/>
  <c r="BV768" i="1"/>
  <c r="BU768" i="1"/>
  <c r="BT768" i="1"/>
  <c r="BS768" i="1"/>
  <c r="BQ768" i="1"/>
  <c r="BP768" i="1"/>
  <c r="BO768" i="1"/>
  <c r="BM768" i="1"/>
  <c r="BL768" i="1"/>
  <c r="BK768" i="1"/>
  <c r="BJ768" i="1"/>
  <c r="BI768" i="1"/>
  <c r="BH768" i="1"/>
  <c r="BG768" i="1"/>
  <c r="BF768" i="1"/>
  <c r="BC768" i="1"/>
  <c r="BB768" i="1"/>
  <c r="BA768" i="1"/>
  <c r="AZ768" i="1"/>
  <c r="AW768" i="1"/>
  <c r="AV768" i="1"/>
  <c r="AU768" i="1"/>
  <c r="AT768" i="1"/>
  <c r="AR768" i="1"/>
  <c r="AQ768" i="1"/>
  <c r="AP768" i="1"/>
  <c r="AO768" i="1"/>
  <c r="AN768" i="1"/>
  <c r="AM768" i="1"/>
  <c r="AL768" i="1"/>
  <c r="AK768" i="1"/>
  <c r="AJ768" i="1"/>
  <c r="AI768" i="1"/>
  <c r="AH768" i="1"/>
  <c r="AG768" i="1"/>
  <c r="AF768" i="1"/>
  <c r="AE768" i="1"/>
  <c r="AD768" i="1"/>
  <c r="AC768" i="1"/>
  <c r="AB768" i="1"/>
  <c r="AA768" i="1"/>
  <c r="Z768" i="1"/>
  <c r="Y768" i="1"/>
  <c r="X768" i="1"/>
  <c r="W768" i="1"/>
  <c r="V768" i="1"/>
  <c r="U768" i="1"/>
  <c r="T768" i="1"/>
  <c r="S768" i="1"/>
  <c r="R768" i="1"/>
  <c r="Q768" i="1"/>
  <c r="P768" i="1"/>
  <c r="O768" i="1"/>
  <c r="N768" i="1"/>
  <c r="L768" i="1"/>
  <c r="K768" i="1"/>
  <c r="J768" i="1"/>
  <c r="I768" i="1"/>
  <c r="H768" i="1"/>
  <c r="G768" i="1"/>
  <c r="CA755" i="1"/>
  <c r="BZ755" i="1"/>
  <c r="BY755" i="1"/>
  <c r="BX755" i="1"/>
  <c r="BW755" i="1"/>
  <c r="BV755" i="1"/>
  <c r="BU755" i="1"/>
  <c r="BT755" i="1"/>
  <c r="BS755" i="1"/>
  <c r="BQ755" i="1"/>
  <c r="BP755" i="1"/>
  <c r="BO755" i="1"/>
  <c r="BM755" i="1"/>
  <c r="BL755" i="1"/>
  <c r="BK755" i="1"/>
  <c r="BJ755" i="1"/>
  <c r="BI755" i="1"/>
  <c r="BH755" i="1"/>
  <c r="BG755" i="1"/>
  <c r="BF755" i="1"/>
  <c r="BC755" i="1"/>
  <c r="BB755" i="1"/>
  <c r="BA755" i="1"/>
  <c r="AZ755" i="1"/>
  <c r="AW755" i="1"/>
  <c r="AV755" i="1"/>
  <c r="AU755" i="1"/>
  <c r="AT755" i="1"/>
  <c r="AR755" i="1"/>
  <c r="AQ755" i="1"/>
  <c r="AP755" i="1"/>
  <c r="AO755" i="1"/>
  <c r="AN755" i="1"/>
  <c r="AM755" i="1"/>
  <c r="AL755" i="1"/>
  <c r="AK755" i="1"/>
  <c r="AJ755" i="1"/>
  <c r="AI755" i="1"/>
  <c r="AH755" i="1"/>
  <c r="AG755" i="1"/>
  <c r="AF755" i="1"/>
  <c r="AE755" i="1"/>
  <c r="AD755" i="1"/>
  <c r="AC755" i="1"/>
  <c r="AB755" i="1"/>
  <c r="AA755" i="1"/>
  <c r="Z755" i="1"/>
  <c r="Y755" i="1"/>
  <c r="X755" i="1"/>
  <c r="W755" i="1"/>
  <c r="V755" i="1"/>
  <c r="U755" i="1"/>
  <c r="T755" i="1"/>
  <c r="S755" i="1"/>
  <c r="R755" i="1"/>
  <c r="Q755" i="1"/>
  <c r="P755" i="1"/>
  <c r="O755" i="1"/>
  <c r="N755" i="1"/>
  <c r="L755" i="1"/>
  <c r="K755" i="1"/>
  <c r="J755" i="1"/>
  <c r="I755" i="1"/>
  <c r="H755" i="1"/>
  <c r="G755" i="1"/>
  <c r="CA733" i="1"/>
  <c r="BZ733" i="1"/>
  <c r="BY733" i="1"/>
  <c r="BX733" i="1"/>
  <c r="BW733" i="1"/>
  <c r="BV733" i="1"/>
  <c r="BU733" i="1"/>
  <c r="BT733" i="1"/>
  <c r="BS733" i="1"/>
  <c r="BQ733" i="1"/>
  <c r="BP733" i="1"/>
  <c r="BO733" i="1"/>
  <c r="BM733" i="1"/>
  <c r="BL733" i="1"/>
  <c r="BK733" i="1"/>
  <c r="BJ733" i="1"/>
  <c r="BI733" i="1"/>
  <c r="CA657" i="1"/>
  <c r="BZ657" i="1"/>
  <c r="BY657" i="1"/>
  <c r="BX657" i="1"/>
  <c r="BW657" i="1"/>
  <c r="BV657" i="1"/>
  <c r="BU657" i="1"/>
  <c r="BT657" i="1"/>
  <c r="BS657" i="1"/>
  <c r="BQ657" i="1"/>
  <c r="BP657" i="1"/>
  <c r="BO657" i="1"/>
  <c r="BM657" i="1"/>
  <c r="BL657" i="1"/>
  <c r="BK657" i="1"/>
  <c r="BJ657" i="1"/>
  <c r="BI657" i="1"/>
  <c r="L638" i="1"/>
  <c r="CA593" i="1"/>
  <c r="BZ593" i="1"/>
  <c r="BY593" i="1"/>
  <c r="BX593" i="1"/>
  <c r="BW593" i="1"/>
  <c r="BV593" i="1"/>
  <c r="BU593" i="1"/>
  <c r="BT593" i="1"/>
  <c r="BS593" i="1"/>
  <c r="BQ593" i="1"/>
  <c r="BO593" i="1"/>
  <c r="BM593" i="1"/>
  <c r="BL593" i="1"/>
  <c r="BK593" i="1"/>
  <c r="BJ593" i="1"/>
  <c r="BI593" i="1"/>
  <c r="BH593" i="1"/>
  <c r="BG593" i="1"/>
  <c r="BF593" i="1"/>
  <c r="BC593" i="1"/>
  <c r="BB593" i="1"/>
  <c r="AW593" i="1"/>
  <c r="AV593" i="1"/>
  <c r="AU593" i="1"/>
  <c r="AT593" i="1"/>
  <c r="AR593" i="1"/>
  <c r="AQ593" i="1"/>
  <c r="AP593" i="1"/>
  <c r="AO593" i="1"/>
  <c r="AN593" i="1"/>
  <c r="AM593" i="1"/>
  <c r="AL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K593" i="1"/>
  <c r="J593" i="1"/>
  <c r="I593" i="1"/>
  <c r="H593" i="1"/>
  <c r="G593" i="1"/>
  <c r="CA539" i="1"/>
  <c r="BZ539" i="1"/>
  <c r="BY539" i="1"/>
  <c r="BX539" i="1"/>
  <c r="BW539" i="1"/>
  <c r="BV539" i="1"/>
  <c r="BU539" i="1"/>
  <c r="BT539" i="1"/>
  <c r="BS539" i="1"/>
  <c r="BQ539" i="1"/>
  <c r="BP539" i="1"/>
  <c r="BO539" i="1"/>
  <c r="BM539" i="1"/>
  <c r="BL539" i="1"/>
  <c r="BK539" i="1"/>
  <c r="BJ539" i="1"/>
  <c r="BI539" i="1"/>
  <c r="BH539" i="1"/>
  <c r="BG539" i="1"/>
  <c r="BF539" i="1"/>
  <c r="BC539" i="1"/>
  <c r="BB539" i="1"/>
  <c r="BA539" i="1"/>
  <c r="AZ539" i="1"/>
  <c r="AW539" i="1"/>
  <c r="AV539" i="1"/>
  <c r="AU539" i="1"/>
  <c r="AT539" i="1"/>
  <c r="AR539" i="1"/>
  <c r="AQ539" i="1"/>
  <c r="AP539" i="1"/>
  <c r="AO539" i="1"/>
  <c r="AN539" i="1"/>
  <c r="AM539" i="1"/>
  <c r="AL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L539" i="1"/>
  <c r="K539" i="1"/>
  <c r="J539" i="1"/>
  <c r="I539" i="1"/>
  <c r="H539" i="1"/>
  <c r="G539" i="1"/>
  <c r="CA535" i="1"/>
  <c r="BZ535" i="1"/>
  <c r="BY535" i="1"/>
  <c r="BX535" i="1"/>
  <c r="BW535" i="1"/>
  <c r="BV535" i="1"/>
  <c r="BU535" i="1"/>
  <c r="BT535" i="1"/>
  <c r="BS535" i="1"/>
  <c r="BQ535" i="1"/>
  <c r="BP535" i="1"/>
  <c r="BO535" i="1"/>
  <c r="BM535" i="1"/>
  <c r="BL535" i="1"/>
  <c r="BK535" i="1"/>
  <c r="BJ535" i="1"/>
  <c r="BI535" i="1"/>
  <c r="BH535" i="1"/>
  <c r="BG535" i="1"/>
  <c r="BF535" i="1"/>
  <c r="BC535" i="1"/>
  <c r="BB535" i="1"/>
  <c r="BA535" i="1"/>
  <c r="AZ535" i="1"/>
  <c r="AW535" i="1"/>
  <c r="AV535" i="1"/>
  <c r="AU535" i="1"/>
  <c r="AT535" i="1"/>
  <c r="AR535" i="1"/>
  <c r="AQ535" i="1"/>
  <c r="AP535" i="1"/>
  <c r="AO535" i="1"/>
  <c r="AN535" i="1"/>
  <c r="AM535" i="1"/>
  <c r="AL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L535" i="1"/>
  <c r="K535" i="1"/>
  <c r="J535" i="1"/>
  <c r="I535" i="1"/>
  <c r="H535" i="1"/>
  <c r="G535" i="1"/>
  <c r="CA510" i="1"/>
  <c r="BZ510" i="1"/>
  <c r="BY510" i="1"/>
  <c r="BX510" i="1"/>
  <c r="BW510" i="1"/>
  <c r="BV510" i="1"/>
  <c r="BU510" i="1"/>
  <c r="BT510" i="1"/>
  <c r="BS510" i="1"/>
  <c r="BQ510" i="1"/>
  <c r="BP510" i="1"/>
  <c r="BO510" i="1"/>
  <c r="BM510" i="1"/>
  <c r="BL510" i="1"/>
  <c r="BK510" i="1"/>
  <c r="BJ510" i="1"/>
  <c r="BI510" i="1"/>
  <c r="BH510" i="1"/>
  <c r="BG510" i="1"/>
  <c r="BF510" i="1"/>
  <c r="BC510" i="1"/>
  <c r="BB510" i="1"/>
  <c r="BA510" i="1"/>
  <c r="AZ510" i="1"/>
  <c r="AW510" i="1"/>
  <c r="AV510" i="1"/>
  <c r="AU510" i="1"/>
  <c r="AT510" i="1"/>
  <c r="AR510" i="1"/>
  <c r="AQ510" i="1"/>
  <c r="AP510" i="1"/>
  <c r="AO510" i="1"/>
  <c r="AN510" i="1"/>
  <c r="AM510" i="1"/>
  <c r="AL510" i="1"/>
  <c r="AK510" i="1"/>
  <c r="AJ510" i="1"/>
  <c r="AI510" i="1"/>
  <c r="AH510" i="1"/>
  <c r="AE510" i="1"/>
  <c r="AG510" i="1" s="1"/>
  <c r="AD510" i="1"/>
  <c r="AC510" i="1"/>
  <c r="AB510" i="1"/>
  <c r="AA510" i="1"/>
  <c r="Z510" i="1"/>
  <c r="Y510" i="1"/>
  <c r="X510" i="1"/>
  <c r="W510" i="1"/>
  <c r="V510" i="1"/>
  <c r="U510" i="1"/>
  <c r="T510" i="1"/>
  <c r="S510" i="1"/>
  <c r="R510" i="1"/>
  <c r="Q510" i="1"/>
  <c r="P510" i="1"/>
  <c r="O510" i="1"/>
  <c r="N510" i="1"/>
  <c r="L510" i="1"/>
  <c r="K510" i="1"/>
  <c r="J510" i="1"/>
  <c r="I510" i="1"/>
  <c r="H510" i="1"/>
  <c r="G510" i="1"/>
  <c r="CA461" i="1"/>
  <c r="BZ461" i="1"/>
  <c r="BY461" i="1"/>
  <c r="BX461" i="1"/>
  <c r="BW461" i="1"/>
  <c r="BV461" i="1"/>
  <c r="BU461" i="1"/>
  <c r="BT461" i="1"/>
  <c r="BS461" i="1"/>
  <c r="BQ461" i="1"/>
  <c r="BP461" i="1"/>
  <c r="BO461" i="1"/>
  <c r="BM461" i="1"/>
  <c r="BL461" i="1"/>
  <c r="BK461" i="1"/>
  <c r="BJ461" i="1"/>
  <c r="BI461" i="1"/>
  <c r="BH461" i="1"/>
  <c r="BG461" i="1"/>
  <c r="BF461" i="1"/>
  <c r="BC461" i="1"/>
  <c r="BB461" i="1"/>
  <c r="BA461" i="1"/>
  <c r="AZ461" i="1"/>
  <c r="AW461" i="1"/>
  <c r="AV461" i="1"/>
  <c r="AU461" i="1"/>
  <c r="AT461" i="1"/>
  <c r="AR461" i="1"/>
  <c r="AQ461" i="1"/>
  <c r="AP461" i="1"/>
  <c r="AO461" i="1"/>
  <c r="AN461" i="1"/>
  <c r="AM461" i="1"/>
  <c r="AL461" i="1"/>
  <c r="AK461" i="1"/>
  <c r="AJ461" i="1"/>
  <c r="AI461" i="1"/>
  <c r="AH461" i="1"/>
  <c r="AG461" i="1"/>
  <c r="AF461" i="1"/>
  <c r="AE461" i="1"/>
  <c r="AD461" i="1"/>
  <c r="AC461" i="1"/>
  <c r="AB461" i="1"/>
  <c r="AA461" i="1"/>
  <c r="Z461" i="1"/>
  <c r="Y461" i="1"/>
  <c r="X461" i="1"/>
  <c r="W461" i="1"/>
  <c r="V461" i="1"/>
  <c r="U461" i="1"/>
  <c r="T461" i="1"/>
  <c r="S461" i="1"/>
  <c r="R461" i="1"/>
  <c r="Q461" i="1"/>
  <c r="P461" i="1"/>
  <c r="O461" i="1"/>
  <c r="N461" i="1"/>
  <c r="L461" i="1"/>
  <c r="K461" i="1"/>
  <c r="J461" i="1"/>
  <c r="I461" i="1"/>
  <c r="H461" i="1"/>
  <c r="G461" i="1"/>
  <c r="CA453" i="1"/>
  <c r="BZ453" i="1"/>
  <c r="BY453" i="1"/>
  <c r="BX453" i="1"/>
  <c r="BW453" i="1"/>
  <c r="BV453" i="1"/>
  <c r="BU453" i="1"/>
  <c r="BT453" i="1"/>
  <c r="BS453" i="1"/>
  <c r="BQ453" i="1"/>
  <c r="BP453" i="1"/>
  <c r="BO453" i="1"/>
  <c r="BM453" i="1"/>
  <c r="BL453" i="1"/>
  <c r="BK453" i="1"/>
  <c r="BJ453" i="1"/>
  <c r="BI453" i="1"/>
  <c r="BH453" i="1"/>
  <c r="BG453" i="1"/>
  <c r="BF453" i="1"/>
  <c r="BC453" i="1"/>
  <c r="BB453" i="1"/>
  <c r="BA453" i="1"/>
  <c r="AZ453" i="1"/>
  <c r="AW453" i="1"/>
  <c r="AV453" i="1"/>
  <c r="AU453" i="1"/>
  <c r="AT453" i="1"/>
  <c r="AR453" i="1"/>
  <c r="AQ453" i="1"/>
  <c r="AP453" i="1"/>
  <c r="AO453" i="1"/>
  <c r="AN453" i="1"/>
  <c r="AM453" i="1"/>
  <c r="AL453" i="1"/>
  <c r="AK453" i="1"/>
  <c r="AJ453" i="1"/>
  <c r="AI453" i="1"/>
  <c r="AH453" i="1"/>
  <c r="AG453" i="1"/>
  <c r="AE453" i="1"/>
  <c r="AD453" i="1"/>
  <c r="AC453" i="1"/>
  <c r="AB453" i="1"/>
  <c r="AA453" i="1"/>
  <c r="Z453" i="1"/>
  <c r="Y453" i="1"/>
  <c r="X453" i="1"/>
  <c r="W453" i="1"/>
  <c r="V453" i="1"/>
  <c r="U453" i="1"/>
  <c r="T453" i="1"/>
  <c r="S453" i="1"/>
  <c r="R453" i="1"/>
  <c r="Q453" i="1"/>
  <c r="P453" i="1"/>
  <c r="O453" i="1"/>
  <c r="N453" i="1"/>
  <c r="L453" i="1"/>
  <c r="K453" i="1"/>
  <c r="J453" i="1"/>
  <c r="I453" i="1"/>
  <c r="H453" i="1"/>
  <c r="G453" i="1"/>
  <c r="CA403" i="1"/>
  <c r="BZ403" i="1"/>
  <c r="BY403" i="1"/>
  <c r="BX403" i="1"/>
  <c r="BW403" i="1"/>
  <c r="BV403" i="1"/>
  <c r="BU403" i="1"/>
  <c r="BT403" i="1"/>
  <c r="BS403" i="1"/>
  <c r="BQ403" i="1"/>
  <c r="BP403" i="1"/>
  <c r="BO403" i="1"/>
  <c r="BM403" i="1"/>
  <c r="BL403" i="1"/>
  <c r="BK403" i="1"/>
  <c r="BJ403" i="1"/>
  <c r="BI403" i="1"/>
  <c r="BH403" i="1"/>
  <c r="BG403" i="1"/>
  <c r="BF403" i="1"/>
  <c r="BC403" i="1"/>
  <c r="BB403" i="1"/>
  <c r="BA403" i="1"/>
  <c r="AZ403" i="1"/>
  <c r="AV403" i="1"/>
  <c r="AU403" i="1"/>
  <c r="AT403" i="1"/>
  <c r="AR403" i="1"/>
  <c r="AQ403" i="1"/>
  <c r="AP403" i="1"/>
  <c r="AO403" i="1"/>
  <c r="AN403" i="1"/>
  <c r="AM403" i="1"/>
  <c r="AL403" i="1"/>
  <c r="AK403" i="1"/>
  <c r="AJ403" i="1"/>
  <c r="AI403" i="1"/>
  <c r="AH403" i="1"/>
  <c r="AG403" i="1"/>
  <c r="AF403" i="1"/>
  <c r="AE403" i="1"/>
  <c r="AD403" i="1"/>
  <c r="AC403" i="1"/>
  <c r="AB403" i="1"/>
  <c r="AA403" i="1"/>
  <c r="Z403" i="1"/>
  <c r="Y403" i="1"/>
  <c r="X403" i="1"/>
  <c r="W403" i="1"/>
  <c r="V403" i="1"/>
  <c r="U403" i="1"/>
  <c r="T403" i="1"/>
  <c r="S403" i="1"/>
  <c r="R403" i="1"/>
  <c r="Q403" i="1"/>
  <c r="P403" i="1"/>
  <c r="O403" i="1"/>
  <c r="N403" i="1"/>
  <c r="L403" i="1"/>
  <c r="K403" i="1"/>
  <c r="J403" i="1"/>
  <c r="I403" i="1"/>
  <c r="H403" i="1"/>
  <c r="G403" i="1"/>
  <c r="CA382" i="1"/>
  <c r="BZ382" i="1"/>
  <c r="BY382" i="1"/>
  <c r="BX382" i="1"/>
  <c r="BW382" i="1"/>
  <c r="BV382" i="1"/>
  <c r="BU382" i="1"/>
  <c r="BT382" i="1"/>
  <c r="BS382" i="1"/>
  <c r="BQ382" i="1"/>
  <c r="BP382" i="1"/>
  <c r="BO382" i="1"/>
  <c r="BM382" i="1"/>
  <c r="BL382" i="1"/>
  <c r="BK382" i="1"/>
  <c r="BJ382" i="1"/>
  <c r="BI382" i="1"/>
  <c r="BH382" i="1"/>
  <c r="BG382" i="1"/>
  <c r="BF382" i="1"/>
  <c r="BC382" i="1"/>
  <c r="BB382" i="1"/>
  <c r="AW382" i="1"/>
  <c r="AV382" i="1"/>
  <c r="AU382" i="1"/>
  <c r="AT382" i="1"/>
  <c r="AR382" i="1"/>
  <c r="AQ382" i="1"/>
  <c r="AP382" i="1"/>
  <c r="AO382" i="1"/>
  <c r="AN382" i="1"/>
  <c r="AM382" i="1"/>
  <c r="AL382" i="1"/>
  <c r="AK382" i="1"/>
  <c r="AJ382" i="1"/>
  <c r="AI382" i="1"/>
  <c r="AH382" i="1"/>
  <c r="AG382" i="1"/>
  <c r="AF382" i="1"/>
  <c r="AE382" i="1"/>
  <c r="AD382" i="1"/>
  <c r="AC382" i="1"/>
  <c r="AB382" i="1"/>
  <c r="AA382" i="1"/>
  <c r="Z382" i="1"/>
  <c r="Y382" i="1"/>
  <c r="X382" i="1"/>
  <c r="W382" i="1"/>
  <c r="V382" i="1"/>
  <c r="U382" i="1"/>
  <c r="T382" i="1"/>
  <c r="S382" i="1"/>
  <c r="R382" i="1"/>
  <c r="Q382" i="1"/>
  <c r="P382" i="1"/>
  <c r="O382" i="1"/>
  <c r="N382" i="1"/>
  <c r="L382" i="1"/>
  <c r="K382" i="1"/>
  <c r="J382" i="1"/>
  <c r="I382" i="1"/>
  <c r="H382" i="1"/>
  <c r="G382" i="1"/>
  <c r="CA349" i="1"/>
  <c r="BZ349" i="1"/>
  <c r="BY349" i="1"/>
  <c r="BX349" i="1"/>
  <c r="BW349" i="1"/>
  <c r="BV349" i="1"/>
  <c r="BU349" i="1"/>
  <c r="BT349" i="1"/>
  <c r="BS349" i="1"/>
  <c r="BQ349" i="1"/>
  <c r="BP349" i="1"/>
  <c r="BO349" i="1"/>
  <c r="BM349" i="1"/>
  <c r="BL349" i="1"/>
  <c r="BK349" i="1"/>
  <c r="BJ349" i="1"/>
  <c r="BI349" i="1"/>
  <c r="BH349" i="1"/>
  <c r="BG349" i="1"/>
  <c r="BF349" i="1"/>
  <c r="BC349" i="1"/>
  <c r="BB349" i="1"/>
  <c r="BA349" i="1"/>
  <c r="AZ349" i="1"/>
  <c r="AW349" i="1"/>
  <c r="AV349" i="1"/>
  <c r="AU349" i="1"/>
  <c r="AT349" i="1"/>
  <c r="AR349" i="1"/>
  <c r="AQ349" i="1"/>
  <c r="AP349" i="1"/>
  <c r="AO349" i="1"/>
  <c r="AN349" i="1"/>
  <c r="AM349" i="1"/>
  <c r="AL349" i="1"/>
  <c r="AK349" i="1"/>
  <c r="AJ349" i="1"/>
  <c r="AI349" i="1"/>
  <c r="AH349" i="1"/>
  <c r="AG349" i="1"/>
  <c r="AF349" i="1"/>
  <c r="AE349" i="1"/>
  <c r="AD349" i="1"/>
  <c r="AC349" i="1"/>
  <c r="AB349" i="1"/>
  <c r="AA349" i="1"/>
  <c r="Z349" i="1"/>
  <c r="Y349" i="1"/>
  <c r="X349" i="1"/>
  <c r="W349" i="1"/>
  <c r="V349" i="1"/>
  <c r="U349" i="1"/>
  <c r="T349" i="1"/>
  <c r="S349" i="1"/>
  <c r="R349" i="1"/>
  <c r="Q349" i="1"/>
  <c r="P349" i="1"/>
  <c r="O349" i="1"/>
  <c r="N349" i="1"/>
  <c r="L349" i="1"/>
  <c r="K349" i="1"/>
  <c r="J349" i="1"/>
  <c r="I349" i="1"/>
  <c r="H349" i="1"/>
  <c r="G349" i="1"/>
  <c r="CA335" i="1"/>
  <c r="BZ335" i="1"/>
  <c r="BY335" i="1"/>
  <c r="BX335" i="1"/>
  <c r="BW335" i="1"/>
  <c r="BV335" i="1"/>
  <c r="BU335" i="1"/>
  <c r="BT335" i="1"/>
  <c r="BS335" i="1"/>
  <c r="BQ335" i="1"/>
  <c r="BP335" i="1"/>
  <c r="BO335" i="1"/>
  <c r="BM335" i="1"/>
  <c r="BL335" i="1"/>
  <c r="BK335" i="1"/>
  <c r="BJ335" i="1"/>
  <c r="BI335" i="1"/>
  <c r="BH335" i="1"/>
  <c r="BG335" i="1"/>
  <c r="BF335" i="1"/>
  <c r="BC335" i="1"/>
  <c r="BB335" i="1"/>
  <c r="BA335" i="1"/>
  <c r="AZ335" i="1"/>
  <c r="AW335" i="1"/>
  <c r="AV335" i="1"/>
  <c r="AU335" i="1"/>
  <c r="AT335" i="1"/>
  <c r="AR335" i="1"/>
  <c r="AQ335" i="1"/>
  <c r="AP335" i="1"/>
  <c r="AO335" i="1"/>
  <c r="AN335" i="1"/>
  <c r="AM335" i="1"/>
  <c r="AL335" i="1"/>
  <c r="AK335" i="1"/>
  <c r="AJ335" i="1"/>
  <c r="AI335" i="1"/>
  <c r="AH335" i="1"/>
  <c r="AG335" i="1"/>
  <c r="AF335" i="1"/>
  <c r="AE335" i="1"/>
  <c r="AD335" i="1"/>
  <c r="AC335" i="1"/>
  <c r="AB335" i="1"/>
  <c r="AA335" i="1"/>
  <c r="Z335" i="1"/>
  <c r="Y335" i="1"/>
  <c r="X335" i="1"/>
  <c r="W335" i="1"/>
  <c r="V335" i="1"/>
  <c r="U335" i="1"/>
  <c r="T335" i="1"/>
  <c r="S335" i="1"/>
  <c r="R335" i="1"/>
  <c r="Q335" i="1"/>
  <c r="P335" i="1"/>
  <c r="O335" i="1"/>
  <c r="N335" i="1"/>
  <c r="L335" i="1"/>
  <c r="K335" i="1"/>
  <c r="J335" i="1"/>
  <c r="I335" i="1"/>
  <c r="H335" i="1"/>
  <c r="G335" i="1"/>
  <c r="CA328" i="1"/>
  <c r="BZ328" i="1"/>
  <c r="BY328" i="1"/>
  <c r="BX328" i="1"/>
  <c r="BW328" i="1"/>
  <c r="BV328" i="1"/>
  <c r="BU328" i="1"/>
  <c r="BT328" i="1"/>
  <c r="BS328" i="1"/>
  <c r="BQ328" i="1"/>
  <c r="BP328" i="1"/>
  <c r="BO328" i="1"/>
  <c r="BM328" i="1"/>
  <c r="BL328" i="1"/>
  <c r="BK328" i="1"/>
  <c r="BJ328" i="1"/>
  <c r="BI328" i="1"/>
  <c r="BH328" i="1"/>
  <c r="BG328" i="1"/>
  <c r="BF328" i="1"/>
  <c r="BC328" i="1"/>
  <c r="BB328" i="1"/>
  <c r="BA328" i="1"/>
  <c r="AW328" i="1"/>
  <c r="AV328" i="1"/>
  <c r="AU328" i="1"/>
  <c r="AT328" i="1"/>
  <c r="AR328" i="1"/>
  <c r="AQ328" i="1"/>
  <c r="AP328" i="1"/>
  <c r="AO328" i="1"/>
  <c r="AN328" i="1"/>
  <c r="AM328" i="1"/>
  <c r="AL328" i="1"/>
  <c r="AK328" i="1"/>
  <c r="AJ328" i="1"/>
  <c r="AI328" i="1"/>
  <c r="AH328" i="1"/>
  <c r="AG328" i="1"/>
  <c r="AF328" i="1"/>
  <c r="AE328" i="1"/>
  <c r="AD328" i="1"/>
  <c r="AC328" i="1"/>
  <c r="AB328" i="1"/>
  <c r="AA328" i="1"/>
  <c r="Z328" i="1"/>
  <c r="X328" i="1"/>
  <c r="W328" i="1"/>
  <c r="V328" i="1"/>
  <c r="U328" i="1"/>
  <c r="T328" i="1"/>
  <c r="S328" i="1"/>
  <c r="R328" i="1"/>
  <c r="Q328" i="1"/>
  <c r="P328" i="1"/>
  <c r="O328" i="1"/>
  <c r="N328" i="1"/>
  <c r="L328" i="1"/>
  <c r="K328" i="1"/>
  <c r="J328" i="1"/>
  <c r="I328" i="1"/>
  <c r="H328" i="1"/>
  <c r="G328" i="1"/>
  <c r="CA294" i="1"/>
  <c r="BZ294" i="1"/>
  <c r="BY294" i="1"/>
  <c r="BX294" i="1"/>
  <c r="BW294" i="1"/>
  <c r="BV294" i="1"/>
  <c r="BU294" i="1"/>
  <c r="BT294" i="1"/>
  <c r="BS294" i="1"/>
  <c r="BQ294" i="1"/>
  <c r="BP294" i="1"/>
  <c r="BO294" i="1"/>
  <c r="BM294" i="1"/>
  <c r="BL294" i="1"/>
  <c r="BK294" i="1"/>
  <c r="BJ294" i="1"/>
  <c r="BI294" i="1"/>
  <c r="BH294" i="1"/>
  <c r="BG294" i="1"/>
  <c r="BF294" i="1"/>
  <c r="BC294" i="1"/>
  <c r="BB294" i="1"/>
  <c r="BA294" i="1"/>
  <c r="AZ294" i="1"/>
  <c r="AW294" i="1"/>
  <c r="AV294" i="1"/>
  <c r="AU294" i="1"/>
  <c r="AT294" i="1"/>
  <c r="AR294" i="1"/>
  <c r="AQ294" i="1"/>
  <c r="AP294" i="1"/>
  <c r="AO294" i="1"/>
  <c r="AN294" i="1"/>
  <c r="AM294" i="1"/>
  <c r="AL294" i="1"/>
  <c r="AK294" i="1"/>
  <c r="AJ294" i="1"/>
  <c r="AI294" i="1"/>
  <c r="AH294" i="1"/>
  <c r="AG294" i="1"/>
  <c r="AF294" i="1"/>
  <c r="AE294" i="1"/>
  <c r="AD294" i="1"/>
  <c r="AC294" i="1"/>
  <c r="AB294" i="1"/>
  <c r="AA294" i="1"/>
  <c r="Z294" i="1"/>
  <c r="Y294" i="1"/>
  <c r="X294" i="1"/>
  <c r="W294" i="1"/>
  <c r="V294" i="1"/>
  <c r="U294" i="1"/>
  <c r="T294" i="1"/>
  <c r="S294" i="1"/>
  <c r="R294" i="1"/>
  <c r="Q294" i="1"/>
  <c r="P294" i="1"/>
  <c r="O294" i="1"/>
  <c r="N294" i="1"/>
  <c r="L294" i="1"/>
  <c r="K294" i="1"/>
  <c r="J294" i="1"/>
  <c r="I294" i="1"/>
  <c r="H294" i="1"/>
  <c r="G294" i="1"/>
  <c r="CA240" i="1"/>
  <c r="BZ240" i="1"/>
  <c r="BY240" i="1"/>
  <c r="BX240" i="1"/>
  <c r="BW240" i="1"/>
  <c r="BV240" i="1"/>
  <c r="BU240" i="1"/>
  <c r="BT240" i="1"/>
  <c r="BS240" i="1"/>
  <c r="BQ240" i="1"/>
  <c r="BP240" i="1"/>
  <c r="BO240" i="1"/>
  <c r="BM240" i="1"/>
  <c r="BL240" i="1"/>
  <c r="BK240" i="1"/>
  <c r="BJ240" i="1"/>
  <c r="BI240" i="1"/>
  <c r="BH240" i="1"/>
  <c r="BG240" i="1"/>
  <c r="BF240" i="1"/>
  <c r="BC240" i="1"/>
  <c r="BB240" i="1"/>
  <c r="BA240" i="1"/>
  <c r="AZ240" i="1"/>
  <c r="AW240" i="1"/>
  <c r="AV240" i="1"/>
  <c r="AU240" i="1"/>
  <c r="AT240" i="1"/>
  <c r="AR240" i="1"/>
  <c r="AQ240" i="1"/>
  <c r="AP240" i="1"/>
  <c r="AO240" i="1"/>
  <c r="AN240" i="1"/>
  <c r="AM240" i="1"/>
  <c r="AL240" i="1"/>
  <c r="AK240" i="1"/>
  <c r="AJ240" i="1"/>
  <c r="AI240" i="1"/>
  <c r="AH240" i="1"/>
  <c r="AG240" i="1"/>
  <c r="AF240" i="1"/>
  <c r="AE240" i="1"/>
  <c r="AD240" i="1"/>
  <c r="AC240" i="1"/>
  <c r="AB240" i="1"/>
  <c r="AA240" i="1"/>
  <c r="Z240" i="1"/>
  <c r="Y240" i="1"/>
  <c r="X240" i="1"/>
  <c r="W240" i="1"/>
  <c r="V240" i="1"/>
  <c r="U240" i="1"/>
  <c r="T240" i="1"/>
  <c r="S240" i="1"/>
  <c r="R240" i="1"/>
  <c r="Q240" i="1"/>
  <c r="P240" i="1"/>
  <c r="O240" i="1"/>
  <c r="N240" i="1"/>
  <c r="L240" i="1"/>
  <c r="K240" i="1"/>
  <c r="J240" i="1"/>
  <c r="I240" i="1"/>
  <c r="H240" i="1"/>
  <c r="G240" i="1"/>
  <c r="CA232" i="1"/>
  <c r="BZ232" i="1"/>
  <c r="BY232" i="1"/>
  <c r="BX232" i="1"/>
  <c r="BU232" i="1"/>
  <c r="BT232" i="1"/>
  <c r="BS232" i="1"/>
  <c r="BQ232" i="1"/>
  <c r="BP232" i="1"/>
  <c r="BO232" i="1"/>
  <c r="BM232" i="1"/>
  <c r="BL232" i="1"/>
  <c r="BK232" i="1"/>
  <c r="BJ232" i="1"/>
  <c r="BI232" i="1"/>
  <c r="BH232" i="1"/>
  <c r="BG232" i="1"/>
  <c r="BF232" i="1"/>
  <c r="BC232" i="1"/>
  <c r="BB232" i="1"/>
  <c r="BA232" i="1"/>
  <c r="AZ232" i="1"/>
  <c r="AW232" i="1"/>
  <c r="AV232" i="1"/>
  <c r="AU232" i="1"/>
  <c r="AT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L232" i="1"/>
  <c r="K232" i="1"/>
  <c r="J232" i="1"/>
  <c r="I232" i="1"/>
  <c r="H232" i="1"/>
  <c r="G232" i="1"/>
  <c r="CA230" i="1"/>
  <c r="BZ230" i="1"/>
  <c r="BY230" i="1"/>
  <c r="BX230" i="1"/>
  <c r="BW230" i="1"/>
  <c r="BV230" i="1"/>
  <c r="BU230" i="1"/>
  <c r="BT230" i="1"/>
  <c r="BS230" i="1"/>
  <c r="BQ230" i="1"/>
  <c r="BP230" i="1"/>
  <c r="BO230" i="1"/>
  <c r="BM230" i="1"/>
  <c r="BL230" i="1"/>
  <c r="BK230" i="1"/>
  <c r="BJ230" i="1"/>
  <c r="BI230" i="1"/>
  <c r="BH230" i="1"/>
  <c r="BG230" i="1"/>
  <c r="BF230" i="1"/>
  <c r="BC230" i="1"/>
  <c r="BB230" i="1"/>
  <c r="BA230" i="1"/>
  <c r="AZ230" i="1"/>
  <c r="AW230" i="1"/>
  <c r="AV230" i="1"/>
  <c r="AU230" i="1"/>
  <c r="AT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L230" i="1"/>
  <c r="K230" i="1"/>
  <c r="J230" i="1"/>
  <c r="I230" i="1"/>
  <c r="H230" i="1"/>
  <c r="G230" i="1"/>
  <c r="CA213" i="1"/>
  <c r="BZ213" i="1"/>
  <c r="BY213" i="1"/>
  <c r="BX213" i="1"/>
  <c r="BW213" i="1"/>
  <c r="BV213" i="1"/>
  <c r="BU213" i="1"/>
  <c r="BT213" i="1"/>
  <c r="BS213" i="1"/>
  <c r="BQ213" i="1"/>
  <c r="BP213" i="1"/>
  <c r="BO213" i="1"/>
  <c r="BM213" i="1"/>
  <c r="BL213" i="1"/>
  <c r="BK213" i="1"/>
  <c r="BJ213" i="1"/>
  <c r="BI213" i="1"/>
  <c r="BH213" i="1"/>
  <c r="BG213" i="1"/>
  <c r="BF213" i="1"/>
  <c r="BC213" i="1"/>
  <c r="BB213" i="1"/>
  <c r="BA213" i="1"/>
  <c r="AZ213" i="1"/>
  <c r="AW213" i="1"/>
  <c r="AV213" i="1"/>
  <c r="AU213" i="1"/>
  <c r="AT213" i="1"/>
  <c r="AR213" i="1"/>
  <c r="AQ213" i="1"/>
  <c r="AP213" i="1"/>
  <c r="AO213" i="1"/>
  <c r="AN213" i="1"/>
  <c r="AM213" i="1"/>
  <c r="AL213" i="1"/>
  <c r="AK213" i="1"/>
  <c r="AJ213" i="1"/>
  <c r="AI213" i="1"/>
  <c r="AH213" i="1"/>
  <c r="AG213" i="1"/>
  <c r="AF213" i="1"/>
  <c r="AE213" i="1"/>
  <c r="AD213" i="1"/>
  <c r="AC213" i="1"/>
  <c r="AB213" i="1"/>
  <c r="AA213" i="1"/>
  <c r="Z213" i="1"/>
  <c r="Y213" i="1"/>
  <c r="X213" i="1"/>
  <c r="W213" i="1"/>
  <c r="V213" i="1"/>
  <c r="U213" i="1"/>
  <c r="T213" i="1"/>
  <c r="S213" i="1"/>
  <c r="R213" i="1"/>
  <c r="Q213" i="1"/>
  <c r="P213" i="1"/>
  <c r="O213" i="1"/>
  <c r="N213" i="1"/>
  <c r="L213" i="1"/>
  <c r="K213" i="1"/>
  <c r="J213" i="1"/>
  <c r="I213" i="1"/>
  <c r="H213" i="1"/>
  <c r="G213" i="1"/>
  <c r="CA190" i="1"/>
  <c r="BZ190" i="1"/>
  <c r="BY190" i="1"/>
  <c r="BX190" i="1"/>
  <c r="BW190" i="1"/>
  <c r="BV190" i="1"/>
  <c r="BU190" i="1"/>
  <c r="BT190" i="1"/>
  <c r="BS190" i="1"/>
  <c r="BQ190" i="1"/>
  <c r="BP190" i="1"/>
  <c r="BO190" i="1"/>
  <c r="BM190" i="1"/>
  <c r="BL190" i="1"/>
  <c r="BK190" i="1"/>
  <c r="BJ190" i="1"/>
  <c r="BI190" i="1"/>
  <c r="BH190" i="1"/>
  <c r="BG190" i="1"/>
  <c r="BF190" i="1"/>
  <c r="BC190" i="1"/>
  <c r="BB190" i="1"/>
  <c r="BA190" i="1"/>
  <c r="AZ190" i="1"/>
  <c r="AW190" i="1"/>
  <c r="AV190" i="1"/>
  <c r="AU190" i="1"/>
  <c r="AT190" i="1"/>
  <c r="AR190" i="1"/>
  <c r="AQ190" i="1"/>
  <c r="AP190" i="1"/>
  <c r="AO190" i="1"/>
  <c r="AN190" i="1"/>
  <c r="AL190" i="1"/>
  <c r="AK190" i="1"/>
  <c r="AJ190" i="1"/>
  <c r="AI190" i="1"/>
  <c r="AH190" i="1"/>
  <c r="AG190" i="1"/>
  <c r="AF190" i="1"/>
  <c r="AE190" i="1"/>
  <c r="AC190" i="1"/>
  <c r="AB190" i="1"/>
  <c r="AA190" i="1"/>
  <c r="Z190" i="1"/>
  <c r="Y190" i="1"/>
  <c r="X190" i="1"/>
  <c r="W190" i="1"/>
  <c r="V190" i="1"/>
  <c r="U190" i="1"/>
  <c r="T190" i="1"/>
  <c r="S190" i="1"/>
  <c r="R190" i="1"/>
  <c r="Q190" i="1"/>
  <c r="P190" i="1"/>
  <c r="O190" i="1"/>
  <c r="N190" i="1"/>
  <c r="L190" i="1"/>
  <c r="K190" i="1"/>
  <c r="J190" i="1"/>
  <c r="I190" i="1"/>
  <c r="H190" i="1"/>
  <c r="G190" i="1"/>
  <c r="CA175" i="1"/>
  <c r="BZ175" i="1"/>
  <c r="BY175" i="1"/>
  <c r="BX175" i="1"/>
  <c r="BW175" i="1"/>
  <c r="BV175" i="1"/>
  <c r="BU175" i="1"/>
  <c r="BT175" i="1"/>
  <c r="BS175" i="1"/>
  <c r="BQ175" i="1"/>
  <c r="BP175" i="1"/>
  <c r="BO175" i="1"/>
  <c r="BM175" i="1"/>
  <c r="BL175" i="1"/>
  <c r="BK175" i="1"/>
  <c r="BJ175" i="1"/>
  <c r="BI175" i="1"/>
  <c r="BH175" i="1"/>
  <c r="BG175" i="1"/>
  <c r="BF175" i="1"/>
  <c r="BC175" i="1"/>
  <c r="BB175" i="1"/>
  <c r="BA175" i="1"/>
  <c r="AZ175" i="1"/>
  <c r="AW175" i="1"/>
  <c r="AV175" i="1"/>
  <c r="AU175" i="1"/>
  <c r="AT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L175" i="1"/>
  <c r="K175" i="1"/>
  <c r="J175" i="1"/>
  <c r="I175" i="1"/>
  <c r="H175" i="1"/>
  <c r="G175" i="1"/>
  <c r="CA127" i="1"/>
  <c r="BZ127" i="1"/>
  <c r="BY127" i="1"/>
  <c r="BX127" i="1"/>
  <c r="BW127" i="1"/>
  <c r="BV127" i="1"/>
  <c r="BU127" i="1"/>
  <c r="BT127" i="1"/>
  <c r="BS127" i="1"/>
  <c r="BQ127" i="1"/>
  <c r="BP127" i="1"/>
  <c r="BO127" i="1"/>
  <c r="BM127" i="1"/>
  <c r="BL127" i="1"/>
  <c r="BK127" i="1"/>
  <c r="BJ127" i="1"/>
  <c r="BI127" i="1"/>
  <c r="BH127" i="1"/>
  <c r="BG127" i="1"/>
  <c r="BF127" i="1"/>
  <c r="BC127" i="1"/>
  <c r="BB127" i="1"/>
  <c r="BA127" i="1"/>
  <c r="AZ127" i="1"/>
  <c r="AW127" i="1"/>
  <c r="AV127" i="1"/>
  <c r="AU127" i="1"/>
  <c r="AT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I127" i="1"/>
  <c r="H127" i="1"/>
  <c r="G127" i="1"/>
  <c r="CA85" i="1"/>
  <c r="BZ85" i="1"/>
  <c r="BY85" i="1"/>
  <c r="BX85" i="1"/>
  <c r="BW85" i="1"/>
  <c r="BV85" i="1"/>
  <c r="BU85" i="1"/>
  <c r="BT85" i="1"/>
  <c r="BS85" i="1"/>
  <c r="BQ85" i="1"/>
  <c r="BP85" i="1"/>
  <c r="BO85" i="1"/>
  <c r="BM85" i="1"/>
  <c r="BL85" i="1"/>
  <c r="BK85" i="1"/>
  <c r="BJ85" i="1"/>
  <c r="BI85" i="1"/>
  <c r="BH85" i="1"/>
  <c r="BG85" i="1"/>
  <c r="BF85" i="1"/>
  <c r="BC85" i="1"/>
  <c r="BB85" i="1"/>
  <c r="BA85" i="1"/>
  <c r="AZ85" i="1"/>
  <c r="AW85" i="1"/>
  <c r="AU85" i="1"/>
  <c r="AT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L85" i="1"/>
  <c r="I85" i="1"/>
  <c r="H85" i="1"/>
  <c r="G85" i="1"/>
  <c r="K85" i="1"/>
  <c r="CA69" i="1"/>
  <c r="BZ69" i="1"/>
  <c r="BY69" i="1"/>
  <c r="BX69" i="1"/>
  <c r="BW69" i="1"/>
  <c r="BV69" i="1"/>
  <c r="BU69" i="1"/>
  <c r="BT69" i="1"/>
  <c r="BS69" i="1"/>
  <c r="BQ69" i="1"/>
  <c r="BP69" i="1"/>
  <c r="BO69" i="1"/>
  <c r="BM69" i="1"/>
  <c r="BL69" i="1"/>
  <c r="BK69" i="1"/>
  <c r="BJ69" i="1"/>
  <c r="BI69" i="1"/>
  <c r="BH69" i="1"/>
  <c r="BG69" i="1"/>
  <c r="BF69" i="1"/>
  <c r="BC69" i="1"/>
  <c r="BB69" i="1"/>
  <c r="AZ69" i="1"/>
  <c r="AW69" i="1"/>
  <c r="AV69" i="1"/>
  <c r="AU69" i="1"/>
  <c r="AT69" i="1"/>
  <c r="AR69" i="1"/>
  <c r="AQ69" i="1"/>
  <c r="AP69" i="1"/>
  <c r="AO69" i="1"/>
  <c r="AN69" i="1"/>
  <c r="AM69" i="1"/>
  <c r="AL69" i="1"/>
  <c r="AK69" i="1"/>
  <c r="AJ69" i="1"/>
  <c r="AI69" i="1"/>
  <c r="AH69" i="1"/>
  <c r="AG69" i="1"/>
  <c r="AF69" i="1"/>
  <c r="AE69" i="1"/>
  <c r="AD69" i="1"/>
  <c r="AC69" i="1"/>
  <c r="AB69" i="1"/>
  <c r="AA69" i="1"/>
  <c r="Z69" i="1"/>
  <c r="X69" i="1"/>
  <c r="W69" i="1"/>
  <c r="V69" i="1"/>
  <c r="U69" i="1"/>
  <c r="T69" i="1"/>
  <c r="S69" i="1"/>
  <c r="R69" i="1"/>
  <c r="Q69" i="1"/>
  <c r="P69" i="1"/>
  <c r="O69" i="1"/>
  <c r="N69" i="1"/>
  <c r="K69" i="1"/>
  <c r="I69" i="1"/>
  <c r="H69" i="1"/>
  <c r="G69" i="1"/>
  <c r="D1115" i="1" l="1"/>
  <c r="F383" i="1"/>
  <c r="AL1154" i="1"/>
  <c r="F593" i="1"/>
  <c r="F382" i="1"/>
  <c r="E1094" i="1"/>
  <c r="BA837" i="1"/>
  <c r="BA593" i="1"/>
  <c r="BA1024" i="1"/>
  <c r="BA1060" i="1"/>
  <c r="F1060" i="1"/>
  <c r="BP593" i="1"/>
  <c r="BP1154" i="1" s="1"/>
  <c r="BA382" i="1"/>
  <c r="AZ328" i="1"/>
  <c r="AZ382" i="1"/>
  <c r="AZ837" i="1"/>
  <c r="AZ915" i="1"/>
  <c r="AZ1024" i="1"/>
  <c r="E638" i="1"/>
  <c r="F733" i="1"/>
  <c r="F190" i="1"/>
  <c r="F1153" i="1"/>
  <c r="F349" i="1"/>
  <c r="F453" i="1"/>
  <c r="S1154" i="1"/>
  <c r="AE1154" i="1"/>
  <c r="AT1154" i="1"/>
  <c r="BT1154" i="1"/>
  <c r="O1154" i="1"/>
  <c r="X1154" i="1"/>
  <c r="AB1154" i="1"/>
  <c r="AI1154" i="1"/>
  <c r="AM1154" i="1"/>
  <c r="BB1154" i="1"/>
  <c r="BF1154" i="1"/>
  <c r="BJ1154" i="1"/>
  <c r="BO1154" i="1"/>
  <c r="BX1154" i="1"/>
  <c r="E837" i="1"/>
  <c r="E863" i="1"/>
  <c r="F328" i="1"/>
  <c r="F1024" i="1"/>
  <c r="F915" i="1"/>
  <c r="F755" i="1"/>
  <c r="H1154" i="1"/>
  <c r="AQ1154" i="1"/>
  <c r="F768" i="1"/>
  <c r="E947" i="1"/>
  <c r="E988" i="1"/>
  <c r="E190" i="1"/>
  <c r="L593" i="1"/>
  <c r="AZ853" i="1"/>
  <c r="AV1094" i="1"/>
  <c r="G1154" i="1"/>
  <c r="P1154" i="1"/>
  <c r="T1154" i="1"/>
  <c r="U1154" i="1"/>
  <c r="Y1154" i="1"/>
  <c r="AC1154" i="1"/>
  <c r="AF1154" i="1"/>
  <c r="AJ1154" i="1"/>
  <c r="K947" i="1"/>
  <c r="AV85" i="1"/>
  <c r="L837" i="1"/>
  <c r="AV947" i="1"/>
  <c r="AN1154" i="1"/>
  <c r="AR1154" i="1"/>
  <c r="AU1154" i="1"/>
  <c r="BC1154" i="1"/>
  <c r="BG1154" i="1"/>
  <c r="BI1164" i="1" s="1"/>
  <c r="BK1154" i="1"/>
  <c r="BU1154" i="1"/>
  <c r="BY1154" i="1"/>
  <c r="F85" i="1"/>
  <c r="F230" i="1"/>
  <c r="E539" i="1"/>
  <c r="AZ1094" i="1"/>
  <c r="AV1114" i="1"/>
  <c r="E240" i="1"/>
  <c r="F461" i="1"/>
  <c r="E510" i="1"/>
  <c r="E294" i="1"/>
  <c r="F335" i="1"/>
  <c r="E349" i="1"/>
  <c r="D86" i="1"/>
  <c r="E175" i="1"/>
  <c r="E213" i="1"/>
  <c r="E230" i="1"/>
  <c r="F240" i="1"/>
  <c r="F294" i="1"/>
  <c r="E335" i="1"/>
  <c r="E1012" i="1"/>
  <c r="E403" i="1"/>
  <c r="E453" i="1"/>
  <c r="E461" i="1"/>
  <c r="F510" i="1"/>
  <c r="F535" i="1"/>
  <c r="F853" i="1"/>
  <c r="F1012" i="1"/>
  <c r="F175" i="1"/>
  <c r="F213" i="1"/>
  <c r="J85" i="1"/>
  <c r="J1154" i="1" s="1"/>
  <c r="E69" i="1"/>
  <c r="E127" i="1"/>
  <c r="I1154" i="1"/>
  <c r="N1154" i="1"/>
  <c r="R1154" i="1"/>
  <c r="W1154" i="1"/>
  <c r="AA1154" i="1"/>
  <c r="AD1154" i="1"/>
  <c r="AH1154" i="1"/>
  <c r="AP1154" i="1"/>
  <c r="BI1154" i="1"/>
  <c r="BM1154" i="1"/>
  <c r="BS1154" i="1"/>
  <c r="BW1154" i="1"/>
  <c r="CA1154" i="1"/>
  <c r="L127" i="1"/>
  <c r="AZ593" i="1"/>
  <c r="L69" i="1"/>
  <c r="Q1154" i="1"/>
  <c r="V1154" i="1"/>
  <c r="Z1154" i="1"/>
  <c r="AG1154" i="1"/>
  <c r="AK1154" i="1"/>
  <c r="AO1154" i="1"/>
  <c r="BH1154" i="1"/>
  <c r="BL1154" i="1"/>
  <c r="BQ1154" i="1"/>
  <c r="BV1154" i="1"/>
  <c r="BZ1154" i="1"/>
  <c r="E1060" i="1"/>
  <c r="E535" i="1"/>
  <c r="F539" i="1"/>
  <c r="F863" i="1"/>
  <c r="L988" i="1"/>
  <c r="L1060" i="1"/>
  <c r="L1094" i="1"/>
  <c r="BA1094" i="1"/>
  <c r="E733" i="1"/>
  <c r="BA853" i="1"/>
  <c r="K988" i="1"/>
  <c r="AZ1060" i="1"/>
  <c r="E1142" i="1"/>
  <c r="E1153" i="1"/>
  <c r="E755" i="1"/>
  <c r="E768" i="1"/>
  <c r="F1114" i="1"/>
  <c r="AZ1142" i="1"/>
  <c r="D383" i="1" l="1"/>
  <c r="F384" i="1"/>
  <c r="K1154" i="1"/>
  <c r="AV1154" i="1"/>
  <c r="D1094" i="1"/>
  <c r="D853" i="1"/>
  <c r="F638" i="1"/>
  <c r="D638" i="1"/>
  <c r="F127" i="1"/>
  <c r="D733" i="1"/>
  <c r="E853" i="1"/>
  <c r="E1024" i="1"/>
  <c r="F988" i="1"/>
  <c r="D768" i="1"/>
  <c r="D863" i="1"/>
  <c r="D335" i="1"/>
  <c r="D240" i="1"/>
  <c r="D1024" i="1"/>
  <c r="F837" i="1"/>
  <c r="D453" i="1"/>
  <c r="D1153" i="1"/>
  <c r="D1114" i="1"/>
  <c r="D539" i="1"/>
  <c r="D755" i="1"/>
  <c r="D461" i="1"/>
  <c r="D328" i="1"/>
  <c r="D190" i="1"/>
  <c r="D1012" i="1"/>
  <c r="D988" i="1"/>
  <c r="D1060" i="1"/>
  <c r="D294" i="1"/>
  <c r="D230" i="1"/>
  <c r="D175" i="1"/>
  <c r="D510" i="1"/>
  <c r="D349" i="1"/>
  <c r="D213" i="1"/>
  <c r="AZ1154" i="1"/>
  <c r="E1114" i="1"/>
  <c r="D535" i="1"/>
  <c r="D837" i="1"/>
  <c r="D947" i="1"/>
  <c r="D127" i="1"/>
  <c r="E328" i="1"/>
  <c r="D915" i="1"/>
  <c r="E915" i="1"/>
  <c r="D593" i="1"/>
  <c r="E593" i="1"/>
  <c r="D70" i="1"/>
  <c r="D85" i="1" s="1"/>
  <c r="E85" i="1"/>
  <c r="F947" i="1"/>
  <c r="E382" i="1"/>
  <c r="D382" i="1"/>
  <c r="F1094" i="1"/>
  <c r="E1154" i="1" l="1"/>
  <c r="D384" i="1"/>
  <c r="D1118" i="1"/>
  <c r="D1119" i="1" l="1"/>
  <c r="D1116" i="1"/>
  <c r="D1117" i="1"/>
  <c r="F69" i="1"/>
  <c r="D1120" i="1" l="1"/>
  <c r="F385" i="1"/>
  <c r="D385" i="1" l="1"/>
  <c r="F386" i="1"/>
  <c r="D69" i="1"/>
  <c r="BA69" i="1"/>
  <c r="BA1154" i="1" s="1"/>
  <c r="F387" i="1" l="1"/>
  <c r="D386" i="1"/>
  <c r="F388" i="1" l="1"/>
  <c r="D387" i="1"/>
  <c r="F389" i="1" l="1"/>
  <c r="D388" i="1"/>
  <c r="D1121" i="1"/>
  <c r="D389" i="1" l="1"/>
  <c r="D1122" i="1" l="1"/>
  <c r="D1123" i="1"/>
  <c r="F390" i="1" l="1"/>
  <c r="D390" i="1" s="1"/>
  <c r="F391" i="1"/>
  <c r="D391" i="1" s="1"/>
  <c r="F392" i="1" l="1"/>
  <c r="D392" i="1" s="1"/>
  <c r="F393" i="1" l="1"/>
  <c r="D393" i="1" s="1"/>
  <c r="F394" i="1" l="1"/>
  <c r="D394" i="1" s="1"/>
  <c r="F395" i="1" l="1"/>
  <c r="D395" i="1" s="1"/>
  <c r="D1124" i="1"/>
  <c r="F396" i="1" l="1"/>
  <c r="D396" i="1" s="1"/>
  <c r="F397" i="1" l="1"/>
  <c r="D397" i="1" s="1"/>
  <c r="D1126" i="1"/>
  <c r="F398" i="1" l="1"/>
  <c r="D398" i="1" s="1"/>
  <c r="D1125" i="1"/>
  <c r="D1128" i="1"/>
  <c r="F399" i="1" l="1"/>
  <c r="D399" i="1" s="1"/>
  <c r="D1127" i="1"/>
  <c r="F400" i="1" l="1"/>
  <c r="D400" i="1" s="1"/>
  <c r="D1129" i="1"/>
  <c r="F401" i="1" l="1"/>
  <c r="D401" i="1" s="1"/>
  <c r="D1131" i="1"/>
  <c r="D1130" i="1"/>
  <c r="AW403" i="1" l="1"/>
  <c r="AW1154" i="1" s="1"/>
  <c r="D1132" i="1"/>
  <c r="F402" i="1" l="1"/>
  <c r="F403" i="1" s="1"/>
  <c r="D1133" i="1"/>
  <c r="D402" i="1" l="1"/>
  <c r="D403" i="1" s="1"/>
  <c r="D1134" i="1"/>
  <c r="D1135" i="1" l="1"/>
  <c r="D1136" i="1" l="1"/>
  <c r="D1137" i="1" l="1"/>
  <c r="D1138" i="1" l="1"/>
  <c r="D1139" i="1" l="1"/>
  <c r="D1140" i="1" l="1"/>
  <c r="L1142" i="1" l="1"/>
  <c r="M1154" i="1" l="1"/>
  <c r="L1154" i="1"/>
  <c r="D1141" i="1" l="1"/>
  <c r="D1142" i="1" s="1"/>
  <c r="D1154" i="1" s="1"/>
  <c r="F1142" i="1"/>
  <c r="F1154" i="1" s="1"/>
</calcChain>
</file>

<file path=xl/comments1.xml><?xml version="1.0" encoding="utf-8"?>
<comments xmlns="http://schemas.openxmlformats.org/spreadsheetml/2006/main">
  <authors>
    <author>Автор</author>
  </authors>
  <commentList>
    <comment ref="B235" authorId="0">
      <text>
        <r>
          <rPr>
            <b/>
            <sz val="9"/>
            <color indexed="81"/>
            <rFont val="Tahoma"/>
            <family val="2"/>
            <charset val="204"/>
          </rPr>
          <t>Автор:</t>
        </r>
        <r>
          <rPr>
            <sz val="9"/>
            <color indexed="81"/>
            <rFont val="Tahoma"/>
            <family val="2"/>
            <charset val="204"/>
          </rPr>
          <t xml:space="preserve">
зарегистрирован в Ачинском районе</t>
        </r>
      </text>
    </comment>
    <comment ref="B550" authorId="0">
      <text>
        <r>
          <rPr>
            <b/>
            <sz val="12"/>
            <color indexed="81"/>
            <rFont val="Tahoma"/>
            <family val="2"/>
            <charset val="204"/>
          </rPr>
          <t>Автор:</t>
        </r>
        <r>
          <rPr>
            <sz val="12"/>
            <color indexed="81"/>
            <rFont val="Tahoma"/>
            <family val="2"/>
            <charset val="204"/>
          </rPr>
          <t xml:space="preserve">
ПРАВОПРИЕМНИК спк дОН</t>
        </r>
      </text>
    </comment>
    <comment ref="B955" authorId="0">
      <text>
        <r>
          <rPr>
            <b/>
            <sz val="9"/>
            <color indexed="81"/>
            <rFont val="Tahoma"/>
            <family val="2"/>
            <charset val="204"/>
          </rPr>
          <t>Автор:</t>
        </r>
        <r>
          <rPr>
            <sz val="9"/>
            <color indexed="81"/>
            <rFont val="Tahoma"/>
            <family val="2"/>
            <charset val="204"/>
          </rPr>
          <t xml:space="preserve">
перерегистрировался в г.Красноярск</t>
        </r>
      </text>
    </comment>
    <comment ref="B1025" authorId="0">
      <text>
        <r>
          <rPr>
            <b/>
            <sz val="9"/>
            <color indexed="81"/>
            <rFont val="Tahoma"/>
            <family val="2"/>
            <charset val="204"/>
          </rPr>
          <t>Автор:</t>
        </r>
        <r>
          <rPr>
            <sz val="9"/>
            <color indexed="81"/>
            <rFont val="Tahoma"/>
            <family val="2"/>
            <charset val="204"/>
          </rPr>
          <t xml:space="preserve">
было зао</t>
        </r>
      </text>
    </comment>
    <comment ref="B1027" authorId="0">
      <text>
        <r>
          <rPr>
            <b/>
            <sz val="9"/>
            <color indexed="81"/>
            <rFont val="Tahoma"/>
            <family val="2"/>
            <charset val="204"/>
          </rPr>
          <t>Автор:</t>
        </r>
        <r>
          <rPr>
            <sz val="9"/>
            <color indexed="81"/>
            <rFont val="Tahoma"/>
            <family val="2"/>
            <charset val="204"/>
          </rPr>
          <t xml:space="preserve">
было ЗАО "Солгонское"</t>
        </r>
      </text>
    </comment>
    <comment ref="B1093" authorId="0">
      <text>
        <r>
          <rPr>
            <b/>
            <sz val="9"/>
            <color indexed="81"/>
            <rFont val="Tahoma"/>
            <family val="2"/>
            <charset val="204"/>
          </rPr>
          <t>Автор:</t>
        </r>
        <r>
          <rPr>
            <sz val="9"/>
            <color indexed="81"/>
            <rFont val="Tahoma"/>
            <family val="2"/>
            <charset val="204"/>
          </rPr>
          <t xml:space="preserve">
вышел из реестра</t>
        </r>
      </text>
    </comment>
  </commentList>
</comments>
</file>

<file path=xl/sharedStrings.xml><?xml version="1.0" encoding="utf-8"?>
<sst xmlns="http://schemas.openxmlformats.org/spreadsheetml/2006/main" count="3365" uniqueCount="1269">
  <si>
    <t>Наименование субъекта Российсской Федерации</t>
  </si>
  <si>
    <t>Справочно: количество личных подсобных хозяйств, единиц</t>
  </si>
  <si>
    <t>Ответственный исполнитель:</t>
  </si>
  <si>
    <t>8(391)2113372</t>
  </si>
  <si>
    <t>(контактный телефон)</t>
  </si>
  <si>
    <t>Реестр получателей государственной поддержки в 2017 году, тыс. руб.</t>
  </si>
  <si>
    <t>Наименование района</t>
  </si>
  <si>
    <t>Наименование получателя</t>
  </si>
  <si>
    <r>
      <t xml:space="preserve">Субсидии на компенсацию части затрат на </t>
    </r>
    <r>
      <rPr>
        <b/>
        <sz val="15"/>
        <rFont val="Times New Roman"/>
        <family val="1"/>
        <charset val="204"/>
      </rPr>
      <t>строительство</t>
    </r>
    <r>
      <rPr>
        <sz val="15"/>
        <rFont val="Times New Roman"/>
        <family val="1"/>
        <charset val="204"/>
      </rPr>
      <t xml:space="preserve"> объектов животноводства, используемых для содержания КРС и свиней, объектов овощеводства, используемых для производства и хранения овощей и (или) картофеля</t>
    </r>
  </si>
  <si>
    <r>
      <t xml:space="preserve">Субсидии на возмещение части затрат на уплату процентов по </t>
    </r>
    <r>
      <rPr>
        <b/>
        <sz val="15"/>
        <rFont val="Times New Roman"/>
        <family val="1"/>
        <charset val="204"/>
      </rPr>
      <t>кредитам</t>
    </r>
    <r>
      <rPr>
        <sz val="15"/>
        <rFont val="Times New Roman"/>
        <family val="1"/>
        <charset val="204"/>
      </rPr>
      <t xml:space="preserve">, полученным </t>
    </r>
    <r>
      <rPr>
        <b/>
        <sz val="15"/>
        <rFont val="Times New Roman"/>
        <family val="1"/>
        <charset val="204"/>
      </rPr>
      <t>с/х товаропроизводителями</t>
    </r>
    <r>
      <rPr>
        <sz val="15"/>
        <rFont val="Times New Roman"/>
        <family val="1"/>
        <charset val="204"/>
      </rPr>
      <t xml:space="preserve"> на срок                 до</t>
    </r>
    <r>
      <rPr>
        <b/>
        <sz val="15"/>
        <rFont val="Times New Roman"/>
        <family val="1"/>
        <charset val="204"/>
      </rPr>
      <t xml:space="preserve"> 2 лет</t>
    </r>
  </si>
  <si>
    <r>
      <t>Субсидии на возмещение части затрат на уплату процентов по</t>
    </r>
    <r>
      <rPr>
        <b/>
        <sz val="15"/>
        <rFont val="Times New Roman"/>
        <family val="1"/>
        <charset val="204"/>
      </rPr>
      <t xml:space="preserve"> кредитам</t>
    </r>
    <r>
      <rPr>
        <sz val="15"/>
        <rFont val="Times New Roman"/>
        <family val="1"/>
        <charset val="204"/>
      </rPr>
      <t xml:space="preserve">, полученным </t>
    </r>
    <r>
      <rPr>
        <b/>
        <sz val="15"/>
        <rFont val="Times New Roman"/>
        <family val="1"/>
        <charset val="204"/>
      </rPr>
      <t>организациями АПК</t>
    </r>
    <r>
      <rPr>
        <sz val="15"/>
        <rFont val="Times New Roman"/>
        <family val="1"/>
        <charset val="204"/>
      </rPr>
      <t xml:space="preserve"> на срок до </t>
    </r>
    <r>
      <rPr>
        <b/>
        <sz val="15"/>
        <rFont val="Times New Roman"/>
        <family val="1"/>
        <charset val="204"/>
      </rPr>
      <t>2 лет</t>
    </r>
  </si>
  <si>
    <r>
      <t xml:space="preserve">Субсидии на компенсацию части стоимости оригинальных и </t>
    </r>
    <r>
      <rPr>
        <b/>
        <sz val="15"/>
        <rFont val="Times New Roman"/>
        <family val="1"/>
        <charset val="204"/>
      </rPr>
      <t xml:space="preserve">элитных семян </t>
    </r>
  </si>
  <si>
    <r>
      <t xml:space="preserve">Субсидии на компенсацию части затрат по подготовке  </t>
    </r>
    <r>
      <rPr>
        <b/>
        <sz val="15"/>
        <rFont val="Times New Roman"/>
        <family val="1"/>
        <charset val="204"/>
      </rPr>
      <t>низкопродуктивной пашни</t>
    </r>
    <r>
      <rPr>
        <sz val="15"/>
        <rFont val="Times New Roman"/>
        <family val="1"/>
        <charset val="204"/>
      </rPr>
      <t xml:space="preserve"> под урожай будущего года</t>
    </r>
  </si>
  <si>
    <r>
      <t xml:space="preserve">Субсидии на возмещение части затрат на уплату страховой премии, начисленной по договору с/х </t>
    </r>
    <r>
      <rPr>
        <b/>
        <sz val="15"/>
        <rFont val="Times New Roman"/>
        <family val="1"/>
        <charset val="204"/>
      </rPr>
      <t>страхования</t>
    </r>
    <r>
      <rPr>
        <sz val="15"/>
        <rFont val="Times New Roman"/>
        <family val="1"/>
        <charset val="204"/>
      </rPr>
      <t xml:space="preserve"> в области </t>
    </r>
    <r>
      <rPr>
        <b/>
        <sz val="15"/>
        <rFont val="Times New Roman"/>
        <family val="1"/>
        <charset val="204"/>
      </rPr>
      <t>животноводства</t>
    </r>
  </si>
  <si>
    <t>в т.ч.</t>
  </si>
  <si>
    <r>
      <t>Субсидия на компенсацию части затрат на с</t>
    </r>
    <r>
      <rPr>
        <b/>
        <sz val="15"/>
        <rFont val="Times New Roman"/>
        <family val="1"/>
        <charset val="204"/>
      </rPr>
      <t>одержание коров молочного направления</t>
    </r>
    <r>
      <rPr>
        <sz val="15"/>
        <rFont val="Times New Roman"/>
        <family val="1"/>
        <charset val="204"/>
      </rPr>
      <t xml:space="preserve"> при использовании </t>
    </r>
    <r>
      <rPr>
        <b/>
        <sz val="15"/>
        <rFont val="Times New Roman"/>
        <family val="1"/>
        <charset val="204"/>
      </rPr>
      <t>электрической энергии</t>
    </r>
    <r>
      <rPr>
        <sz val="15"/>
        <rFont val="Times New Roman"/>
        <family val="1"/>
        <charset val="204"/>
      </rPr>
      <t>, вырабатываемой дизельными электростанциями</t>
    </r>
  </si>
  <si>
    <r>
      <t>Субсидии на компенсацию части затрат на производство и реализацию</t>
    </r>
    <r>
      <rPr>
        <b/>
        <sz val="15"/>
        <rFont val="Times New Roman"/>
        <family val="1"/>
        <charset val="204"/>
      </rPr>
      <t xml:space="preserve">              мяса кур</t>
    </r>
    <r>
      <rPr>
        <sz val="15"/>
        <rFont val="Times New Roman"/>
        <family val="1"/>
        <charset val="204"/>
      </rPr>
      <t xml:space="preserve"> мясных пород и (или) индеек</t>
    </r>
  </si>
  <si>
    <r>
      <t xml:space="preserve">Субсидии на компенсацию части затрат, связанных с оплатой первоначального (авансового) </t>
    </r>
    <r>
      <rPr>
        <b/>
        <sz val="15"/>
        <rFont val="Times New Roman"/>
        <family val="1"/>
        <charset val="204"/>
      </rPr>
      <t>лизингового</t>
    </r>
    <r>
      <rPr>
        <sz val="15"/>
        <rFont val="Times New Roman"/>
        <family val="1"/>
        <charset val="204"/>
      </rPr>
      <t xml:space="preserve"> взноса и очередных лизинговых платежей по заключенным договорам финансового лизинга</t>
    </r>
  </si>
  <si>
    <r>
      <t xml:space="preserve">Оказание </t>
    </r>
    <r>
      <rPr>
        <b/>
        <sz val="15"/>
        <rFont val="Times New Roman"/>
        <family val="1"/>
        <charset val="204"/>
      </rPr>
      <t>несвязанной поддержки</t>
    </r>
    <r>
      <rPr>
        <sz val="15"/>
        <rFont val="Times New Roman"/>
        <family val="1"/>
        <charset val="204"/>
      </rPr>
      <t xml:space="preserve"> с/х товаропроизводителям в области растениеводства</t>
    </r>
  </si>
  <si>
    <r>
      <rPr>
        <b/>
        <sz val="15"/>
        <rFont val="Times New Roman"/>
        <family val="1"/>
        <charset val="204"/>
      </rPr>
      <t xml:space="preserve">Социальные выплаты </t>
    </r>
    <r>
      <rPr>
        <sz val="15"/>
        <rFont val="Times New Roman"/>
        <family val="1"/>
        <charset val="204"/>
      </rPr>
      <t xml:space="preserve">на </t>
    </r>
    <r>
      <rPr>
        <b/>
        <sz val="15"/>
        <rFont val="Times New Roman"/>
        <family val="1"/>
        <charset val="204"/>
      </rPr>
      <t xml:space="preserve">обустройство </t>
    </r>
    <r>
      <rPr>
        <sz val="15"/>
        <rFont val="Times New Roman"/>
        <family val="1"/>
        <charset val="204"/>
      </rPr>
      <t>молодым специалистам, молодым рабочим</t>
    </r>
  </si>
  <si>
    <r>
      <rPr>
        <b/>
        <sz val="15"/>
        <rFont val="Times New Roman"/>
        <family val="1"/>
        <charset val="204"/>
      </rPr>
      <t>Социальные выплаты</t>
    </r>
    <r>
      <rPr>
        <sz val="15"/>
        <rFont val="Times New Roman"/>
        <family val="1"/>
        <charset val="204"/>
      </rPr>
      <t xml:space="preserve"> рабочим, служащим на компенсацию части затрат, связанных с получением высшего  профессионального образования по </t>
    </r>
    <r>
      <rPr>
        <b/>
        <sz val="15"/>
        <rFont val="Times New Roman"/>
        <family val="1"/>
        <charset val="204"/>
      </rPr>
      <t xml:space="preserve">заочной </t>
    </r>
    <r>
      <rPr>
        <sz val="15"/>
        <rFont val="Times New Roman"/>
        <family val="1"/>
        <charset val="204"/>
      </rPr>
      <t xml:space="preserve"> форме обучения на контрактной основе</t>
    </r>
  </si>
  <si>
    <r>
      <t xml:space="preserve">Субсидии сельскохозяйственным организациям для погашения части затрат, связанных с выплатой </t>
    </r>
    <r>
      <rPr>
        <b/>
        <sz val="15"/>
        <rFont val="Times New Roman"/>
        <family val="1"/>
        <charset val="204"/>
      </rPr>
      <t xml:space="preserve">заработной </t>
    </r>
    <r>
      <rPr>
        <sz val="15"/>
        <rFont val="Times New Roman"/>
        <family val="1"/>
        <charset val="204"/>
      </rPr>
      <t xml:space="preserve">платы </t>
    </r>
    <r>
      <rPr>
        <b/>
        <sz val="15"/>
        <rFont val="Times New Roman"/>
        <family val="1"/>
        <charset val="204"/>
      </rPr>
      <t>молодым специалистам</t>
    </r>
  </si>
  <si>
    <r>
      <t xml:space="preserve">Субсидии </t>
    </r>
    <r>
      <rPr>
        <b/>
        <sz val="15"/>
        <rFont val="Times New Roman"/>
        <family val="1"/>
        <charset val="204"/>
      </rPr>
      <t xml:space="preserve">базовым хозяйствам </t>
    </r>
    <r>
      <rPr>
        <sz val="15"/>
        <rFont val="Times New Roman"/>
        <family val="1"/>
        <charset val="204"/>
      </rPr>
      <t xml:space="preserve">на компенсацию части затрат, связанных с выплатой </t>
    </r>
    <r>
      <rPr>
        <b/>
        <sz val="15"/>
        <rFont val="Times New Roman"/>
        <family val="1"/>
        <charset val="204"/>
      </rPr>
      <t>заработной платы студентам</t>
    </r>
    <r>
      <rPr>
        <sz val="15"/>
        <rFont val="Times New Roman"/>
        <family val="1"/>
        <charset val="204"/>
      </rPr>
      <t>, в случае их трудоустройства по срочному трудовому договору в период прохождения производственной практики</t>
    </r>
  </si>
  <si>
    <r>
      <t xml:space="preserve">Субсидии </t>
    </r>
    <r>
      <rPr>
        <b/>
        <sz val="15"/>
        <rFont val="Times New Roman"/>
        <family val="1"/>
        <charset val="204"/>
      </rPr>
      <t>базовым хозяйствам</t>
    </r>
    <r>
      <rPr>
        <sz val="15"/>
        <rFont val="Times New Roman"/>
        <family val="1"/>
        <charset val="204"/>
      </rPr>
      <t xml:space="preserve"> на компенсацию затрат, связанных с </t>
    </r>
    <r>
      <rPr>
        <b/>
        <sz val="15"/>
        <rFont val="Times New Roman"/>
        <family val="1"/>
        <charset val="204"/>
      </rPr>
      <t xml:space="preserve">доплатой работнику </t>
    </r>
    <r>
      <rPr>
        <sz val="15"/>
        <rFont val="Times New Roman"/>
        <family val="1"/>
        <charset val="204"/>
      </rPr>
      <t>базового хозяйства, осуществляющему руководство производственной практикой студента</t>
    </r>
  </si>
  <si>
    <r>
      <rPr>
        <b/>
        <sz val="15"/>
        <rFont val="Times New Roman"/>
        <family val="1"/>
        <charset val="204"/>
      </rPr>
      <t xml:space="preserve">Социальная выплата </t>
    </r>
    <r>
      <rPr>
        <sz val="15"/>
        <rFont val="Times New Roman"/>
        <family val="1"/>
        <charset val="204"/>
      </rPr>
      <t xml:space="preserve">гражданам, изъявившим желание </t>
    </r>
    <r>
      <rPr>
        <b/>
        <sz val="15"/>
        <rFont val="Times New Roman"/>
        <family val="1"/>
        <charset val="204"/>
      </rPr>
      <t xml:space="preserve">переехать </t>
    </r>
    <r>
      <rPr>
        <sz val="15"/>
        <rFont val="Times New Roman"/>
        <family val="1"/>
        <charset val="204"/>
      </rPr>
      <t>на постоянное место жительство в с</t>
    </r>
    <r>
      <rPr>
        <b/>
        <sz val="15"/>
        <rFont val="Times New Roman"/>
        <family val="1"/>
        <charset val="204"/>
      </rPr>
      <t>ельскую местность</t>
    </r>
    <r>
      <rPr>
        <sz val="15"/>
        <rFont val="Times New Roman"/>
        <family val="1"/>
        <charset val="204"/>
      </rPr>
      <t xml:space="preserve"> и заключившим трудовой договор с с/х товаропроизводителем</t>
    </r>
  </si>
  <si>
    <r>
      <t xml:space="preserve">Субсидии на компенсацию части затрат, связанных с  </t>
    </r>
    <r>
      <rPr>
        <b/>
        <sz val="15"/>
        <rFont val="Times New Roman"/>
        <family val="1"/>
        <charset val="204"/>
      </rPr>
      <t>закупом животноводческой продукции</t>
    </r>
    <r>
      <rPr>
        <sz val="15"/>
        <rFont val="Times New Roman"/>
        <family val="1"/>
        <charset val="204"/>
      </rPr>
      <t xml:space="preserve"> (молока, мяса свиней, мяса КРС) у граждан, ведущих ЛПХ</t>
    </r>
  </si>
  <si>
    <r>
      <rPr>
        <b/>
        <sz val="15"/>
        <rFont val="Times New Roman"/>
        <family val="1"/>
        <charset val="204"/>
      </rPr>
      <t>Гранты</t>
    </r>
    <r>
      <rPr>
        <sz val="15"/>
        <rFont val="Times New Roman"/>
        <family val="1"/>
        <charset val="204"/>
      </rPr>
      <t xml:space="preserve"> на компенсацию части затрат на реализацию проектов, направленных на развитие </t>
    </r>
    <r>
      <rPr>
        <b/>
        <sz val="15"/>
        <rFont val="Times New Roman"/>
        <family val="1"/>
        <charset val="204"/>
      </rPr>
      <t>несельскохозяйственных</t>
    </r>
    <r>
      <rPr>
        <sz val="15"/>
        <rFont val="Times New Roman"/>
        <family val="1"/>
        <charset val="204"/>
      </rPr>
      <t xml:space="preserve"> видов деятельности в сельской местности</t>
    </r>
  </si>
  <si>
    <r>
      <t xml:space="preserve">Гранты с/х потребительским кооперативам и потребительским обществам на </t>
    </r>
    <r>
      <rPr>
        <b/>
        <sz val="15"/>
        <rFont val="Times New Roman"/>
        <family val="1"/>
        <charset val="204"/>
      </rPr>
      <t>развитие материально-технической базы</t>
    </r>
    <r>
      <rPr>
        <sz val="15"/>
        <rFont val="Times New Roman"/>
        <family val="1"/>
        <charset val="204"/>
      </rPr>
      <t xml:space="preserve"> </t>
    </r>
  </si>
  <si>
    <r>
      <t xml:space="preserve">Гранты крестьянским (фермерским) хозяйствам на развитие </t>
    </r>
    <r>
      <rPr>
        <b/>
        <sz val="15"/>
        <rFont val="Times New Roman"/>
        <family val="1"/>
        <charset val="204"/>
      </rPr>
      <t xml:space="preserve">семейных животноводческих </t>
    </r>
    <r>
      <rPr>
        <sz val="15"/>
        <rFont val="Times New Roman"/>
        <family val="1"/>
        <charset val="204"/>
      </rPr>
      <t>ферм</t>
    </r>
  </si>
  <si>
    <r>
      <t xml:space="preserve">протравители </t>
    </r>
    <r>
      <rPr>
        <sz val="10"/>
        <rFont val="Times New Roman"/>
        <family val="1"/>
        <charset val="204"/>
      </rPr>
      <t/>
    </r>
  </si>
  <si>
    <t xml:space="preserve">гербициды </t>
  </si>
  <si>
    <t>всего</t>
  </si>
  <si>
    <t>федеральный бюджет</t>
  </si>
  <si>
    <t>региональный бюджет</t>
  </si>
  <si>
    <t>Федеральный бюджет</t>
  </si>
  <si>
    <t xml:space="preserve"> федеральный бюджет</t>
  </si>
  <si>
    <t>Абанский</t>
  </si>
  <si>
    <t>СХО</t>
  </si>
  <si>
    <t>ООО "АС"</t>
  </si>
  <si>
    <t>ООО "Восток"</t>
  </si>
  <si>
    <t>ООО "Ключи"</t>
  </si>
  <si>
    <t>ООО "Красный Яр"</t>
  </si>
  <si>
    <t>ООО "Луч-1"</t>
  </si>
  <si>
    <t>ООО "Мана"</t>
  </si>
  <si>
    <t>ООО "Мачинское"</t>
  </si>
  <si>
    <t>ООО "Молокановка"</t>
  </si>
  <si>
    <t>ООО "Родник"</t>
  </si>
  <si>
    <t>ООО "Самойловское"</t>
  </si>
  <si>
    <t>ООО "Сухогор"</t>
  </si>
  <si>
    <t>ООО "Успенское"</t>
  </si>
  <si>
    <t>ООО "Фортуна В"</t>
  </si>
  <si>
    <t>ООО "Эдэзи"</t>
  </si>
  <si>
    <t>ИП Бушин Георгий Александрович</t>
  </si>
  <si>
    <t>ИП</t>
  </si>
  <si>
    <t>ИП глава К(Ф)Х Астапов Андрей Сергеевич</t>
  </si>
  <si>
    <t>К(Ф)Х</t>
  </si>
  <si>
    <t>ИП глава К(Ф)Х Бонох Андрей Егорович</t>
  </si>
  <si>
    <t>ИП глава К(Ф)Х Примеров Владимир Петрович</t>
  </si>
  <si>
    <t>ИП глава К(Ф)Х  Бобков Иван Иванович</t>
  </si>
  <si>
    <t>ИП глава К(Ф)Х Бартницкий Федор Федорович</t>
  </si>
  <si>
    <t>ИП глава К(Ф)Х Вейхлей Сергей Александрович</t>
  </si>
  <si>
    <t>ИП глава К(Ф)Х Гулевич Александр Васильевич</t>
  </si>
  <si>
    <t>ИП глава К(Ф)Х Киселев Алексей Владимирович</t>
  </si>
  <si>
    <t>ИП глава К(Ф)Х Ковалев Юрий Дмитриевич</t>
  </si>
  <si>
    <t>ИП глава К(Ф)Х Куземич Павел Георгиевич</t>
  </si>
  <si>
    <t>ИП глава К(Ф)Х Лейднер Андрей Карлович</t>
  </si>
  <si>
    <t>ИП глава К(Ф)Х Бельская Валентина Богдановна</t>
  </si>
  <si>
    <t>ИП глава К(Ф)Х Сапрыкина Татьяна Георгиевна</t>
  </si>
  <si>
    <t>ИП глава К(Ф)Х Бобков Алексей Иванович</t>
  </si>
  <si>
    <t>ИП глава К(Ф)Х Лейднер Данила Карлович</t>
  </si>
  <si>
    <t>ИП глава К(Ф)Х Павлюченко Николай Иванович</t>
  </si>
  <si>
    <t>ИП глава К(Ф)Х Свирко Андрей Степанович</t>
  </si>
  <si>
    <t>ИП глава К(Ф)Х Танкович Роман Анатольевич</t>
  </si>
  <si>
    <t>ИП глава К(Ф)Х Ходкин Евгений Витальевич</t>
  </si>
  <si>
    <t>ИП глава К(Ф)Х Ходос Станислав Александрович</t>
  </si>
  <si>
    <t>ИП глава К(Ф)Х Холбеков Виталий Айдарович</t>
  </si>
  <si>
    <t>ИП глава К(Ф)Х Хохлов Вячеслав Евгеньевич</t>
  </si>
  <si>
    <t>ИП глава К(Ф)Х Швабов Виктор Федорович</t>
  </si>
  <si>
    <t>ИП глава К(Ф)Х Беликов Николай Николаевич</t>
  </si>
  <si>
    <t>ИП глава К(Ф)Х Шеметько Александр Васильевич</t>
  </si>
  <si>
    <t>ИП глава К(Ф)Х Земскова Елена Петровна</t>
  </si>
  <si>
    <t>ИП Киселев Сергей Владимирович</t>
  </si>
  <si>
    <t>ИП Маслобоев Николай Анатольевич</t>
  </si>
  <si>
    <t>ИП Пугачев Александр Михайлович</t>
  </si>
  <si>
    <t>ИП Ходасевич Виктор Викторович</t>
  </si>
  <si>
    <t>КХ "Земляк"</t>
  </si>
  <si>
    <t>КХ "Берта"</t>
  </si>
  <si>
    <t xml:space="preserve">КХ "Восход" </t>
  </si>
  <si>
    <t>СПК "Рассвет"</t>
  </si>
  <si>
    <t>СПоК</t>
  </si>
  <si>
    <t>ССПК "Флагман"</t>
  </si>
  <si>
    <t>ССПК "Фортуна"</t>
  </si>
  <si>
    <t>ССПК "Колос"</t>
  </si>
  <si>
    <t>Абанский Итог</t>
  </si>
  <si>
    <t>ит</t>
  </si>
  <si>
    <t>Ачинский</t>
  </si>
  <si>
    <t>ООО "Агросфера"</t>
  </si>
  <si>
    <t>ООО "Эльбрус"</t>
  </si>
  <si>
    <t>ООО "Причулымье"</t>
  </si>
  <si>
    <t>организации АПК</t>
  </si>
  <si>
    <t>ИП глава К(Ф)Х Алексеев Владимир Викторович</t>
  </si>
  <si>
    <t>ИП глава К(Ф)Х Андрюхов Сергей Константинович</t>
  </si>
  <si>
    <t>ИП глава К(Ф)Х Арутюнян Корюн Исраели</t>
  </si>
  <si>
    <t>ИП глава К(Ф)Х Кильтре Ольга Владимировна</t>
  </si>
  <si>
    <t>ИП глава К(Ф)Х Стась Геннадий Николаевич</t>
  </si>
  <si>
    <t>ИП глава К(Ф)Х Ушаков Александр Алексеевич</t>
  </si>
  <si>
    <t>ИП глава К(Ф)Х Шейнмаер Виктор Александрович</t>
  </si>
  <si>
    <t>ИП глава К(Ф)Х Цебиков Роман Владимирович</t>
  </si>
  <si>
    <t>СППК "Мукомол"</t>
  </si>
  <si>
    <t>Ачинский Итог</t>
  </si>
  <si>
    <t>Балахтинский</t>
  </si>
  <si>
    <t>ЗАО "Приморье"</t>
  </si>
  <si>
    <t xml:space="preserve">ЗАО "Сибирь" </t>
  </si>
  <si>
    <t xml:space="preserve">ОАО "Красное" </t>
  </si>
  <si>
    <t xml:space="preserve">ОАО "Тюльковское" </t>
  </si>
  <si>
    <t>ООО "Исток"</t>
  </si>
  <si>
    <t>ООО "Сибирь"</t>
  </si>
  <si>
    <t>ООО "Чистопольские нивы"</t>
  </si>
  <si>
    <t>ООО "Чулымское"</t>
  </si>
  <si>
    <t>ООО "К(Ф)Х "Могучий"</t>
  </si>
  <si>
    <t>ООО К(Ф)Х "Хакасия"</t>
  </si>
  <si>
    <t xml:space="preserve">ООО СХП  "Жура" </t>
  </si>
  <si>
    <t>ООО СХП "Агрис"</t>
  </si>
  <si>
    <t>ООО "КХ Родник"</t>
  </si>
  <si>
    <t>ООО "К(Ф)Х "Черемушка"</t>
  </si>
  <si>
    <t>ООО СХП "Анюта"</t>
  </si>
  <si>
    <t>ООО СХП "Восход"</t>
  </si>
  <si>
    <t>ООО СХП "Зион-Агро"</t>
  </si>
  <si>
    <t>ООО СХП "Ильтюковское"</t>
  </si>
  <si>
    <t>ООО СХП "Мария"</t>
  </si>
  <si>
    <t>ООО СХП "Сургутская"</t>
  </si>
  <si>
    <t>ООО СХП "Фортуна"</t>
  </si>
  <si>
    <t>ООО СХП "Шпейтер"</t>
  </si>
  <si>
    <t xml:space="preserve">ООО СХП "Шпенглерово" </t>
  </si>
  <si>
    <t>ООО СХП "Эколпрод"</t>
  </si>
  <si>
    <t>ИП глава К(Ф)Х Владимиров Владимир Георгиевич</t>
  </si>
  <si>
    <t>ИП глава К(Ф)Х Владимиров Вячеслав Георгиевич</t>
  </si>
  <si>
    <t>ИП глава К(Ф)Х Золотарев Иван Александрович</t>
  </si>
  <si>
    <t>ИП глава К(Ф)Х Миллер Александр Федорович</t>
  </si>
  <si>
    <t>ИП глава К(Ф)Х Тесленко Григорий Петрович</t>
  </si>
  <si>
    <t>СППССК "Победа"</t>
  </si>
  <si>
    <t>КГБПОУ "Балахтинский аграрный техникум"</t>
  </si>
  <si>
    <t>Шнытко Евгения Владимировна</t>
  </si>
  <si>
    <t>Курносова Валентина Александровна</t>
  </si>
  <si>
    <t>Ковалева Диана Анатольевна</t>
  </si>
  <si>
    <t>Балахтинский Итог</t>
  </si>
  <si>
    <t>Березовский</t>
  </si>
  <si>
    <t>ООО "Урожай"</t>
  </si>
  <si>
    <t>ООО "Эльдар"</t>
  </si>
  <si>
    <t>СПК "Аленушка"</t>
  </si>
  <si>
    <t>ООО "Агропромышленный Холдинг Огород"</t>
  </si>
  <si>
    <t>ООО "Возрождение"</t>
  </si>
  <si>
    <t>ОАО "Птицефабрика Бархатовская"</t>
  </si>
  <si>
    <t>ИП Воронов Виталий Геннадьевич</t>
  </si>
  <si>
    <t>ИП глава К(Ф)Х  Арутюнян Самвел Размикович</t>
  </si>
  <si>
    <t>ИП глава К(Ф)Х Бурчян Анжела Михайловна</t>
  </si>
  <si>
    <t>ИП глава К(Ф)Х Владыкин Андрей Сергеевич</t>
  </si>
  <si>
    <t>ИП глава К(Ф)Х Воронежцева Юлия Викторовна</t>
  </si>
  <si>
    <t>ИП глава К(Ф)Х Воронов Евгений Геннадьевич</t>
  </si>
  <si>
    <t>ИП глава К(Ф)Х Мамедов Артем Гарибович</t>
  </si>
  <si>
    <t>ИП глава К(Ф)Х Дербека Леонид Григорьевич</t>
  </si>
  <si>
    <t>ИП глава К(Ф)Х Джалилов Турал Исмаил оглы</t>
  </si>
  <si>
    <t>ИП глава К(Ф)Х Сумин Михаил Васильевич</t>
  </si>
  <si>
    <t>ИП глава К(Ф)Х Дмитриева Лариса Николаевна</t>
  </si>
  <si>
    <t>ИП глава К(Ф)Х Зиновьев Александр Львович</t>
  </si>
  <si>
    <t>ИП глава К(Ф)Х Коледа Сергей Сергеевич</t>
  </si>
  <si>
    <t>ИП глава К(Ф)Х Минчик Владимир Михайлович</t>
  </si>
  <si>
    <t>ИП глава К(Ф)Х Морозов Алексей Николаевич</t>
  </si>
  <si>
    <t>ИП глава К(Ф)Х Новосельский Вячеслав Николаевич</t>
  </si>
  <si>
    <t>ИП глава К(Ф)Х Новосельский Николай Иванович</t>
  </si>
  <si>
    <t>ИП глава К(Ф)Х Питик Степан Юрьевич</t>
  </si>
  <si>
    <t>ИП глава К(Ф)Х Прадедович Евгений Олегович</t>
  </si>
  <si>
    <t>ИП Глава К(Ф)Х Чеботников Антон Александрович</t>
  </si>
  <si>
    <t>ИП Глава К(Ф)Х Югай Яков Петрович</t>
  </si>
  <si>
    <t>ИП Глава К(Ф)Х Якушевский Евгений Станиславович</t>
  </si>
  <si>
    <t>ИП Глава К(Ф)Х Пятых Елена Владимировна</t>
  </si>
  <si>
    <t>ИП глава К(Ф)Х Захарьева Алефтина Ивановна</t>
  </si>
  <si>
    <t>ИП глава К(Ф)Х Мирзаеви Дилгам Нушраван оглы</t>
  </si>
  <si>
    <t>ИП глава К(Ф)Х Мурадян Усик Альбертович</t>
  </si>
  <si>
    <t>ИП глава К(Ф)Х Монина Светлана Вячеславовна</t>
  </si>
  <si>
    <t>ИП Малинчик Наталья Витальевна</t>
  </si>
  <si>
    <t>ИП Стрижнева Наталья Михайловна</t>
  </si>
  <si>
    <t>ИП Тихоненко Александр Александрович</t>
  </si>
  <si>
    <t>СКПК "Багульник"</t>
  </si>
  <si>
    <t>СКПК "Овощевод"</t>
  </si>
  <si>
    <t>СППК "Мясной дом"</t>
  </si>
  <si>
    <t>ФКУ ОИК-40 ГУФСИН России по Красноярскому краю</t>
  </si>
  <si>
    <t>Фролова Елена Валерьевна</t>
  </si>
  <si>
    <t>Зиновьева Екатерина Игоревна</t>
  </si>
  <si>
    <t>Березовский Итог</t>
  </si>
  <si>
    <t>Бирилюсский</t>
  </si>
  <si>
    <t>ИП глава К(Ф)Х Арсланов Минсалих Фахруллович</t>
  </si>
  <si>
    <t>ИП глава К(Ф)Х Ильин Иван Сергеевич</t>
  </si>
  <si>
    <t>ИП Глава К(Ф)Х Казанин Кузьма Степанович</t>
  </si>
  <si>
    <t>ИП глава К(Ф)Х Матич Виктор Викторович</t>
  </si>
  <si>
    <t>ИП глава К(Ф)Х Майер Александр Андреевич</t>
  </si>
  <si>
    <t>ИП глава К(Ф)Х Сидоров Владимир Николаевич</t>
  </si>
  <si>
    <t>ИП глава К(Ф)Х Стацук Валентина Петровна</t>
  </si>
  <si>
    <t>ИП глава К(Ф)Х Стефаненко Евгений Александрович</t>
  </si>
  <si>
    <t>ИП глава К(Ф)Х Федяев Станислав Валентинович</t>
  </si>
  <si>
    <t>ИП глава К(Ф)Х Филонов Александр Алексеевич</t>
  </si>
  <si>
    <t>ИП глава К(Ф)Х Юткин Николай Петрович</t>
  </si>
  <si>
    <t>Стацук Ксения Сергеевна</t>
  </si>
  <si>
    <t>Бирилюсский Итог</t>
  </si>
  <si>
    <t>Большемуртинский</t>
  </si>
  <si>
    <t>АО "Свинокомплекс "Красноярский"</t>
  </si>
  <si>
    <t>Большемуртинский (Красноярск)</t>
  </si>
  <si>
    <t>ООО "АгроЭлита"</t>
  </si>
  <si>
    <t>СПК "Юбилейный"</t>
  </si>
  <si>
    <t>СПК " Колхоз "Рассвет"</t>
  </si>
  <si>
    <t>ИП глава К(Ф)Х Горбунов Валерий Александрович</t>
  </si>
  <si>
    <t>ИП глава К(Ф)Х Добрынин Владимир Витальевич</t>
  </si>
  <si>
    <t>ИП глава К(Ф)Х Краскович Леонид Константинович</t>
  </si>
  <si>
    <t>ИП глава К(Ф)Х Кульба Сергей Петрович</t>
  </si>
  <si>
    <t>ИП глава К(Ф)Х Нарутто Владимир Викторович</t>
  </si>
  <si>
    <t>ИП глава К(Ф)Х Николаев Виталий Иванович</t>
  </si>
  <si>
    <t>ИП глава К(Ф)Х Отап Владимир Валерьевич</t>
  </si>
  <si>
    <t>ИП глава К(Ф)Х Хасанов Абдухолик Махсудович</t>
  </si>
  <si>
    <t>ИП глава К(Ф)Х Украинский Виктор Самуилович</t>
  </si>
  <si>
    <t>ИП глава К(Ф)Х Яковлев Владимир Васильевич</t>
  </si>
  <si>
    <t>ИП Прохоренко Юрий Владимирович</t>
  </si>
  <si>
    <t>ИП глава К(Ф)Х Титов Евгений Михайлович</t>
  </si>
  <si>
    <t>Большемуртинский Итог</t>
  </si>
  <si>
    <t>Боготольский (Красноярск)</t>
  </si>
  <si>
    <t>ООО "Арга плюс"</t>
  </si>
  <si>
    <t>Боготольский</t>
  </si>
  <si>
    <t>ООО "Боготольская птицефабрика"</t>
  </si>
  <si>
    <t>ООО "Весна"</t>
  </si>
  <si>
    <t>ООО "Житница"</t>
  </si>
  <si>
    <t>ООО "Зеленый мир"</t>
  </si>
  <si>
    <t>ИП глава К(Ф)Х Денисов Виталий Николаевич</t>
  </si>
  <si>
    <t>ИП глава К(Ф)Х Гнетов Иван Николаевич</t>
  </si>
  <si>
    <t>ИП глава К(Ф)Х Доброходов Дмитрий Николаевич</t>
  </si>
  <si>
    <t>ИП глава К(Ф)Х Макулов Евгений Ваильевич</t>
  </si>
  <si>
    <t>ИП глава К(Ф)Х Коротченко Андрей Витальевич</t>
  </si>
  <si>
    <t>ИП Попов Михаил Петрович</t>
  </si>
  <si>
    <t>ИП глава К(Ф)Х Якищик Федор Дмитриевич</t>
  </si>
  <si>
    <t>ИП глава К(Ф)Х Швец Виктор Игнатьевич</t>
  </si>
  <si>
    <t>Коротченко Андрей Витальевич</t>
  </si>
  <si>
    <t>Боготольский Итог</t>
  </si>
  <si>
    <t>Богучанский</t>
  </si>
  <si>
    <t>Богучанский Итог</t>
  </si>
  <si>
    <t>Большеулуйский</t>
  </si>
  <si>
    <t xml:space="preserve">ИП глава К(Ф)Х Генза Александр Олегович                                </t>
  </si>
  <si>
    <t xml:space="preserve">ИП глава К(Ф)Х Генза Алексей Олегович  </t>
  </si>
  <si>
    <t>ИП глава К(Ф)Х Костюченко Вячеслав Владимирович</t>
  </si>
  <si>
    <t>ИП глава (К(Ф)Х) Михайлова Татьяна Павловна</t>
  </si>
  <si>
    <t>Копендакова Анастасия Николаевна</t>
  </si>
  <si>
    <t>Большеулуйский Итог</t>
  </si>
  <si>
    <t>Дзержинский</t>
  </si>
  <si>
    <t>ООО "Агролес"</t>
  </si>
  <si>
    <t>ООО "Артель"</t>
  </si>
  <si>
    <t>ООО "Мокрый Ельник"</t>
  </si>
  <si>
    <t>ООО "Огороды"</t>
  </si>
  <si>
    <t>ООО "Таежное"</t>
  </si>
  <si>
    <t xml:space="preserve">ООО "Танай" </t>
  </si>
  <si>
    <t>ООО Агрофирма "Дзержинская"</t>
  </si>
  <si>
    <t>ООО совхоз "Денисовский"</t>
  </si>
  <si>
    <t xml:space="preserve">СПК "Денисовский"  </t>
  </si>
  <si>
    <t>СПК "Диана"</t>
  </si>
  <si>
    <t xml:space="preserve">СПК "Колос" </t>
  </si>
  <si>
    <t>СПК "Красный Маяк"</t>
  </si>
  <si>
    <t>СПК "Манганово"</t>
  </si>
  <si>
    <t>ИП Васильев Андрей Федорович</t>
  </si>
  <si>
    <t>ИП глава К(Ф)Х Иванов Евгений Владимирович</t>
  </si>
  <si>
    <t>ИП глава К(Ф)Х  Ротэрмель Сергей Викторович</t>
  </si>
  <si>
    <t>ИП глава К(Ф)Х Нечистовский Иван Григорьевич</t>
  </si>
  <si>
    <t>ИП глава К(Ф)Х Шилов Геннадий Михайлович</t>
  </si>
  <si>
    <t>ИП глава К(Ф)Х Шулбаев Андрей Кириллович</t>
  </si>
  <si>
    <t>ИП глава К(Ф)Х Зинкевич Виктор Михайлович</t>
  </si>
  <si>
    <t>ИП глава К(Ф)Х Каракулов Сергей Николаевич</t>
  </si>
  <si>
    <t>ИП глава К(Ф)Х Мартынов Дмитрий Викторович</t>
  </si>
  <si>
    <t>ИП глава К(Ф)Х Марфин Николай Николаевич</t>
  </si>
  <si>
    <t>ИП глава К(Ф)Х Тимофеева Татьяна Матвеевна</t>
  </si>
  <si>
    <t>ИП глава К(Ф)Х Аверьянов Дмитрий Петрович</t>
  </si>
  <si>
    <t>ИП глава К(Ф)Х Воронцова Людмила Александровна</t>
  </si>
  <si>
    <t>ИП глава К(Ф)Х Чернов Максим Владимирович</t>
  </si>
  <si>
    <t>ИП глава К(Ф)Х Пасынков Михаил Михайлович</t>
  </si>
  <si>
    <t xml:space="preserve">К(Ф)Х "Таганай"                     </t>
  </si>
  <si>
    <t>ИП глава К(Ф)Х Соловьева Елена Викторовна</t>
  </si>
  <si>
    <t>ИП Гуров Денис Владимирович</t>
  </si>
  <si>
    <t xml:space="preserve">ИП Ковалев Вадим Владимирович </t>
  </si>
  <si>
    <t>ИП Костюнин Александр Борисович</t>
  </si>
  <si>
    <t>ИП Красаков Владислав Иванович</t>
  </si>
  <si>
    <t>ИП Ротэрмель Александр Викторович</t>
  </si>
  <si>
    <t>ИП Свищёва Валентина Ефимовна</t>
  </si>
  <si>
    <t>ИП Тимофеева Зоя Владимировна</t>
  </si>
  <si>
    <t>ИП Глава (КФХ) Харкевич Евгений Александрович</t>
  </si>
  <si>
    <t>ИП Хромов Константин Юрьевич</t>
  </si>
  <si>
    <t>ИП Нурутдинов Рафаэль Галиевич</t>
  </si>
  <si>
    <t>ИП Арбузов Николай Анатольевич</t>
  </si>
  <si>
    <t>СПК (смешанного типа) "Успех"</t>
  </si>
  <si>
    <t>СППК "Васильев-С"</t>
  </si>
  <si>
    <t>Токарева Дарья Борисовна</t>
  </si>
  <si>
    <t>Дзержинский Итог</t>
  </si>
  <si>
    <t>Емельяновский</t>
  </si>
  <si>
    <t>ОАО "Красноярскагроплем"</t>
  </si>
  <si>
    <t>ОАО "Птицефабрика "Заря"</t>
  </si>
  <si>
    <t>АО Племзавод  "Шуваевский"</t>
  </si>
  <si>
    <t xml:space="preserve">ООО "Емельяновское" </t>
  </si>
  <si>
    <t>ООО "Емельяновские вкусняшки"</t>
  </si>
  <si>
    <t>ООО "Пахарь"</t>
  </si>
  <si>
    <t>ООО "Сибирская ферма"</t>
  </si>
  <si>
    <t>ООО "Шуваево-1"</t>
  </si>
  <si>
    <t>ООО СХП "Мустанг"</t>
  </si>
  <si>
    <t>ИП глава К(Ф)Х Аграшев Петр Михайлович</t>
  </si>
  <si>
    <t>ИП глава К(Ф)Х Баурин Максим Анатольевич</t>
  </si>
  <si>
    <t>ИП глава К(Ф)Х Апанасенко Сергей Сергеевич</t>
  </si>
  <si>
    <t>ИП глава К(Ф)Х Дубровный Андрей Николаевич</t>
  </si>
  <si>
    <t>ИП глава К(Ф)Х Похабов Валерий Федорович</t>
  </si>
  <si>
    <t>ИП глава К(Ф)Х Рассказова Людмила Юрьевна</t>
  </si>
  <si>
    <t>ИП глава К(Ф)Х Совин Валерий Семенович</t>
  </si>
  <si>
    <t>ИП глава К(Ф)Х Стариченко Людмила Ивановна</t>
  </si>
  <si>
    <t>ИП глава К(Ф)Х Федотов Сергей Викторович</t>
  </si>
  <si>
    <t>ИП глава К(Ф)Х Чевелюк Антон Андреевич</t>
  </si>
  <si>
    <t>ИП глава К(Ф)Х Шихздаев Закидин Раудинович</t>
  </si>
  <si>
    <t>ИП глава К(Ф)Х Ибрагимов Пашша Сулейманович</t>
  </si>
  <si>
    <t>ИП глава К(Ф)Х Воробьев Николай Афанасьевич</t>
  </si>
  <si>
    <t>ИП глава К(Ф)Х Тюлюш Владимир Вячеславович</t>
  </si>
  <si>
    <t>ИП глава К(Ф)Х Цыганков Юрий Геннадьевич</t>
  </si>
  <si>
    <t>ИП Хачатрян Овсеп Хачатурович</t>
  </si>
  <si>
    <t>ИП Меликбекян Артак Сергоевич</t>
  </si>
  <si>
    <t>СПоК "Частоостровский"</t>
  </si>
  <si>
    <t>Краевое государственное автономное образовательное учреждение "Емельяновский дорожно-строительный техникум"</t>
  </si>
  <si>
    <t>Тюлюш Тайгана Степановна</t>
  </si>
  <si>
    <t>Емельяновский Итог</t>
  </si>
  <si>
    <t>Енисейский</t>
  </si>
  <si>
    <t>ОАО "Абалаковский АПК"</t>
  </si>
  <si>
    <t xml:space="preserve">ООО "Анциферовское" </t>
  </si>
  <si>
    <t>ООО "Надежда"</t>
  </si>
  <si>
    <t>СПК "Сибирь"</t>
  </si>
  <si>
    <t xml:space="preserve">СПК им.Калинина </t>
  </si>
  <si>
    <t>ИП глава К(Ф)Х Алиев Азад Талыб оглы</t>
  </si>
  <si>
    <t>СППК "Марусино детство"</t>
  </si>
  <si>
    <t>Енисейский Итог</t>
  </si>
  <si>
    <t>Ермаковский</t>
  </si>
  <si>
    <t>ООО "Ермак"</t>
  </si>
  <si>
    <t>ИП глава К(Ф)Х Гогунский Николай Васильевич</t>
  </si>
  <si>
    <t>ИП глава  К(Ф)Х Гончарова Нина Федоровна</t>
  </si>
  <si>
    <t>ИП глава  К(Ф)Х Евлампиев Иван Иванович</t>
  </si>
  <si>
    <t>ИП глава К(Ф)Х Магеря Ольга Борисовна</t>
  </si>
  <si>
    <t>ИП глава К(Ф)Х Миллер Юрий Владимирович</t>
  </si>
  <si>
    <t>ИП глава К(Ф)Х Катаев Афанасий Елиферьевич</t>
  </si>
  <si>
    <t>ИП глава К(Ф)Х Кускашев Николай Дмитриевич</t>
  </si>
  <si>
    <t>Майорова Дарья Геннадьевна</t>
  </si>
  <si>
    <t>Гарьковенко Вадим Евгеньевич</t>
  </si>
  <si>
    <t>Ермаковский Итог</t>
  </si>
  <si>
    <t>Идринский</t>
  </si>
  <si>
    <t xml:space="preserve">ЗАО "Телекское" </t>
  </si>
  <si>
    <t>ООО "Алексей"</t>
  </si>
  <si>
    <t>ООО "Байтак"</t>
  </si>
  <si>
    <t>ООО "Восход"</t>
  </si>
  <si>
    <t>ИП глава К(Ф)Х Баранов Александр Юрьевич</t>
  </si>
  <si>
    <t>ООО "Ирина"</t>
  </si>
  <si>
    <t>ООО "Маяк"</t>
  </si>
  <si>
    <t>ООО "Элита"</t>
  </si>
  <si>
    <t>Идринский (г. Красноярск)</t>
  </si>
  <si>
    <t>ООО СПК "Золотая Нива"</t>
  </si>
  <si>
    <t>ИП глава К(Ф)Х Панов Борис Александрович</t>
  </si>
  <si>
    <t>СПК "Борец"</t>
  </si>
  <si>
    <t>СПК "Сывель"</t>
  </si>
  <si>
    <t xml:space="preserve">СХПК "Весна" </t>
  </si>
  <si>
    <t>ИП глава К(Ф)Х Гесс Владимир Готфридович</t>
  </si>
  <si>
    <t>ИП глава К(Ф)Х Усенко Николай Яковлевич</t>
  </si>
  <si>
    <t>ИП Глава К(Ф)Х Морозов Иван Анатольевич</t>
  </si>
  <si>
    <t>ИП Глава К(Ф)Х Худеев Андрей Георгиевич</t>
  </si>
  <si>
    <t>ИП глава К(Ф)Х Щипакина Елена Сергеевна</t>
  </si>
  <si>
    <t>ИП глава К(Ф)Х Подлевский Александр Васильевич</t>
  </si>
  <si>
    <t>ИП глава К(Ф)Х Баранников Николай Николаевич</t>
  </si>
  <si>
    <t>СПЖ-СК "Перспектива"</t>
  </si>
  <si>
    <t>СПоК "Мяско"</t>
  </si>
  <si>
    <t>ССПК "Гавань"</t>
  </si>
  <si>
    <t>Новикова Ирина Михайловна</t>
  </si>
  <si>
    <t>Идринский Итог</t>
  </si>
  <si>
    <t>Иланский</t>
  </si>
  <si>
    <t>ОАО "Южный-2"</t>
  </si>
  <si>
    <t xml:space="preserve">СХПК "Им. VII съезда Советов" </t>
  </si>
  <si>
    <t>ИП глава К(Ф)Х Беляшов Анатолий Александрович</t>
  </si>
  <si>
    <t>ИП глава К(Ф)Х Курьянович Алексей Егорович</t>
  </si>
  <si>
    <t>ИП глава К(Ф)Х Мишуренко Александр Петрович</t>
  </si>
  <si>
    <t>ИП глава К(Ф)Х Семенюк Андрей Валентинович</t>
  </si>
  <si>
    <t>ИП глава К(Ф)Х Слепенков Валерий Александрович</t>
  </si>
  <si>
    <t>ИП глава К(Ф)Х Корольков Сергей Григорьевич</t>
  </si>
  <si>
    <t>ИП глава К(Ф)Х Шилин Александр Степанович</t>
  </si>
  <si>
    <t>ИП глава К(Ф)Х Шкет Александр Дмитриевич</t>
  </si>
  <si>
    <t>ИП глава К(Ф)Х Шевченко Иван Игоревич</t>
  </si>
  <si>
    <t>ИП глава К(Ф)Х Симашкевич Виктор Александрович</t>
  </si>
  <si>
    <t>ИП глава К(Ф)Х Чонка Нина Владимировна</t>
  </si>
  <si>
    <t>ИП глава К(Ф)Х Ткаченко Григорий Геннадьевич</t>
  </si>
  <si>
    <t>ИП глава К(Ф)Х Камоцкий Василий Александрович</t>
  </si>
  <si>
    <t>К(Ф)Х "Земля"</t>
  </si>
  <si>
    <t xml:space="preserve">К(Ф)Х "Пахарь"                    </t>
  </si>
  <si>
    <t xml:space="preserve">К(Ф)Х "Шкет" </t>
  </si>
  <si>
    <t>К(Ф)Х Овчинникова Виктора Прокопьевича</t>
  </si>
  <si>
    <t>СПСК "Агровента"</t>
  </si>
  <si>
    <t>СПок</t>
  </si>
  <si>
    <t>Иланский Итог</t>
  </si>
  <si>
    <t>Ирбейский</t>
  </si>
  <si>
    <t>ООО "Мираж"</t>
  </si>
  <si>
    <t>ООО "Михайловское"</t>
  </si>
  <si>
    <t>ООО "Совхоз Елисеевский"</t>
  </si>
  <si>
    <t xml:space="preserve">СПК "Альгинский" </t>
  </si>
  <si>
    <t xml:space="preserve">СПК "Каначульский" </t>
  </si>
  <si>
    <t>СПК "Майский"</t>
  </si>
  <si>
    <t>СХА колхоз "Новая жизнь"</t>
  </si>
  <si>
    <t>ООО "Кангул"</t>
  </si>
  <si>
    <t>ИП Архипов Андрей Николаевич</t>
  </si>
  <si>
    <t>Ассоциация КХ "Червянское"</t>
  </si>
  <si>
    <t>ИП глава К(Ф)Х Заводян Александр Михайлович</t>
  </si>
  <si>
    <t>ИП глава К(Ф)Х Зайцева Людмила Владимировна</t>
  </si>
  <si>
    <t>ИП глава К(Ф)Х Гузенков Михаил Иванович</t>
  </si>
  <si>
    <t>ИП глава К(Ф)Х Ковригин Александр Александрович</t>
  </si>
  <si>
    <t>ИП глава К(Ф)Х Кокарев Роман Валерьевич</t>
  </si>
  <si>
    <t>ИП глава К(Ф)Х Кононенко Евгений Николаевич</t>
  </si>
  <si>
    <t>ИП глава К(Ф)Х Мирошниченко Михаил Сергеевич</t>
  </si>
  <si>
    <t>ИП глава К(Ф)Х Митягин Николай Викторович</t>
  </si>
  <si>
    <t>ИП глава К(Ф)Х Новоселов Сергей Владимирович</t>
  </si>
  <si>
    <t>ИП глава К(Ф)Х Роглет Ольга Викторовна</t>
  </si>
  <si>
    <t>ИП Протасов Сергей Владимирович</t>
  </si>
  <si>
    <t>ИП Глава К(Ф)Х Селиванов Юрий Викторович</t>
  </si>
  <si>
    <t>ИП глава К(Ф)Х Шаров Владимир Владимирович</t>
  </si>
  <si>
    <t>ИП глава К(Ф)Х Миллер  Галина Ивановна</t>
  </si>
  <si>
    <t>ИП глава К(Ф)Х Жандоров Владимир Владимирович</t>
  </si>
  <si>
    <t>ИП глава К(Ф)Х Стась Алексей Леонидович</t>
  </si>
  <si>
    <t>ИП глава К(Ф)Х Лапо Инна Владимировна</t>
  </si>
  <si>
    <t>ИП глава К(Ф)Х Полыхань Никита Владимирович</t>
  </si>
  <si>
    <t>ИП глава К(Ф)Х Терешкова Евгения Александровна</t>
  </si>
  <si>
    <t>ИП глава К(Ф)Х Вершков Сергей Андреевич</t>
  </si>
  <si>
    <t>ИП глава К(Ф)Х Горбаткина Тамара Михайловна</t>
  </si>
  <si>
    <t xml:space="preserve">КХ "Виншу" </t>
  </si>
  <si>
    <t>КХ "Колос"</t>
  </si>
  <si>
    <t>КХ "Озерное"</t>
  </si>
  <si>
    <t>КХ "Луч"</t>
  </si>
  <si>
    <t xml:space="preserve">КХ "Полюс" </t>
  </si>
  <si>
    <t>КХ "Похильченко"</t>
  </si>
  <si>
    <t>КХ "Сергеевское"</t>
  </si>
  <si>
    <t xml:space="preserve">ФХ "Союз" </t>
  </si>
  <si>
    <t xml:space="preserve">ФХ "Шанс" </t>
  </si>
  <si>
    <t>СПСК "МяСКО"</t>
  </si>
  <si>
    <t>Ирбейский Итог</t>
  </si>
  <si>
    <t>Казачинский</t>
  </si>
  <si>
    <t>ООО "Колос"</t>
  </si>
  <si>
    <t xml:space="preserve">СХА "Колхоз Заветы Ленина" </t>
  </si>
  <si>
    <t>ИП глава К(Ф)Х Воробьев Сергей Геннадьевич</t>
  </si>
  <si>
    <t>ИП глава К(Ф)Х Гисвайн Виктор Викторович</t>
  </si>
  <si>
    <t>ИП Алиев Маариф Бахрам Оглы</t>
  </si>
  <si>
    <t>ИП Горемыкин Владимир Валерьевич</t>
  </si>
  <si>
    <t>ИП глава К(Ф)Х Кахоров Тулкинжон Толибжонович</t>
  </si>
  <si>
    <t>Казачинский Итог</t>
  </si>
  <si>
    <t>Канский</t>
  </si>
  <si>
    <t xml:space="preserve">АО "Арефьевское" </t>
  </si>
  <si>
    <t xml:space="preserve">ЗАО "Большеуринское" </t>
  </si>
  <si>
    <t>ОАО "Канская сортоиспытательная станция"</t>
  </si>
  <si>
    <t>ОАО "Новотаежное"</t>
  </si>
  <si>
    <t xml:space="preserve">ОАО "Тайнинское" </t>
  </si>
  <si>
    <t>ОАО "Племзавод Красный маяк"</t>
  </si>
  <si>
    <t>СПК "Георгиевский"</t>
  </si>
  <si>
    <t>ООО "Филимоновский молочноконсервный комбинат"</t>
  </si>
  <si>
    <t>ИП Васильев Николай Яковлевич</t>
  </si>
  <si>
    <t>ИП глава К(Ф)Х Манкевич Александр Иванович</t>
  </si>
  <si>
    <t>ИП глава К(Ф)Х Юдин Владимир Иванович</t>
  </si>
  <si>
    <t>ИП глава К(Ф)Х Белкин Юрий Андреевич</t>
  </si>
  <si>
    <t>ИП глава К(Ф)Х Макаров Василий Алексеевич</t>
  </si>
  <si>
    <t>ИП глава К(Ф)Х Морозов Николай Васильевич</t>
  </si>
  <si>
    <t>ИП глава К(Ф)Х Соколов Валерий Александрович</t>
  </si>
  <si>
    <t>ИП глава К(Ф)Х Хрестин Александр Васильевич</t>
  </si>
  <si>
    <t>ИП глава К(Ф)Х Шерманов Василий Николаевич</t>
  </si>
  <si>
    <t>ИП глава К(Ф)Х Головко Вячеслав Валерьевич</t>
  </si>
  <si>
    <t>ИП Глава К(Ф)Х Дремов Юрий Валерьевич</t>
  </si>
  <si>
    <t>ИП глава К(Ф)Х Дылько Лидия Ивановна</t>
  </si>
  <si>
    <t>ИП глава К(Ф)Х Ерошенко Ольга Владимировна</t>
  </si>
  <si>
    <t>ИП Журавлев Анатолий Иванович</t>
  </si>
  <si>
    <t>ИП Ткаченко  Артем Иванович</t>
  </si>
  <si>
    <t>ИП Федоткин Александр Николаевич</t>
  </si>
  <si>
    <t>ИП глава К(Ф)Х Ильенко Олег Владимирович</t>
  </si>
  <si>
    <t>ИП глава К(Ф)Х Фролов Александр Сергеевич</t>
  </si>
  <si>
    <t>КХ "Шпаковский К"</t>
  </si>
  <si>
    <t>К(Ф)Х "Шрейдерово"</t>
  </si>
  <si>
    <t>К(Ф)Х "Стимул"</t>
  </si>
  <si>
    <t>Черятникова Мария Александровна</t>
  </si>
  <si>
    <t>Канский Итог</t>
  </si>
  <si>
    <t>Каратузский</t>
  </si>
  <si>
    <t>ООО "Сагайское"</t>
  </si>
  <si>
    <t xml:space="preserve">СХА (колхоз) им. Ленина </t>
  </si>
  <si>
    <t>ИП глава (К(Ф)Х) Иванов Дмитрий Васильевич</t>
  </si>
  <si>
    <t>ИП глава К(Ф)Х Брамман Иван Карлович</t>
  </si>
  <si>
    <t>ИП глава К(Ф)Х Абельтин Александр Рудольфович</t>
  </si>
  <si>
    <t>ИП глава К(Ф)Х Винокуров Сергей Михайлович</t>
  </si>
  <si>
    <t>ИП глава К(Ф)Х Новокрещенных Алексей Алексеевич</t>
  </si>
  <si>
    <t>ИП глава К(Ф)Х Козлов Олег Васильевич</t>
  </si>
  <si>
    <t>ИП глава К(Ф)Х Курносов Сергей Анатольевич</t>
  </si>
  <si>
    <t>ИП глава К(Ф)Х Ребекин Николай Николаевич</t>
  </si>
  <si>
    <t>ИП глава К(Ф)Х Немков Антон Александрович</t>
  </si>
  <si>
    <t>ССПК "Алина"</t>
  </si>
  <si>
    <t>ССПК "Березка"</t>
  </si>
  <si>
    <t>СХОППК "Клевер"</t>
  </si>
  <si>
    <t>ГПКК Каратузское ДРСУ</t>
  </si>
  <si>
    <t>Каратузский Итог</t>
  </si>
  <si>
    <t>Козульский</t>
  </si>
  <si>
    <t>ООО "Таежный"</t>
  </si>
  <si>
    <t>ИП Глава К(Ф)Х Тихомирова Татьяна Александровна</t>
  </si>
  <si>
    <t>ИП глава К(Ф)Х Сазонкина Екатерина Юрьевна</t>
  </si>
  <si>
    <t>Козульский Итог</t>
  </si>
  <si>
    <t>Краснотуранский</t>
  </si>
  <si>
    <t>АО "Тубинск"</t>
  </si>
  <si>
    <t>АО племзавод "Краснотуранский"</t>
  </si>
  <si>
    <t>СПК "Бас"</t>
  </si>
  <si>
    <t>СПК "Парус"</t>
  </si>
  <si>
    <t>СПК "Риск"</t>
  </si>
  <si>
    <t>СПССК "Лидер"</t>
  </si>
  <si>
    <t xml:space="preserve">ООО "Эдем"  </t>
  </si>
  <si>
    <t>ООО "Медведь"</t>
  </si>
  <si>
    <t>ООО "Русь"</t>
  </si>
  <si>
    <t>ООО "Дон"</t>
  </si>
  <si>
    <t>ИП глава К(Ф)Х Бендер Яков Викторович</t>
  </si>
  <si>
    <t>ИП глава К(Ф)Х Аникин Владимир Деонисович</t>
  </si>
  <si>
    <t>ИП глава К(Ф)Х Видергольд Юрий Эдуардович</t>
  </si>
  <si>
    <t>ИП глава К(Ф)Х Гельвер Александр Оскарович</t>
  </si>
  <si>
    <t>ИП глава К(Ф)Х Стрелков Андрей Анатольевич</t>
  </si>
  <si>
    <t>ИП глава К(Ф)Х Трубинская Анна Филипповна</t>
  </si>
  <si>
    <t>ИП глава (К(Ф)Х) Косицкий Валерий Анатольевич</t>
  </si>
  <si>
    <t>ИП глава (К(Ф)Х) Кох Александр Александрович</t>
  </si>
  <si>
    <t>ИП глава К(Ф)Х Крысенко Галина Николаевна</t>
  </si>
  <si>
    <t>ИП глава К(Ф)Х Мерикин Дмитрий Павлович</t>
  </si>
  <si>
    <t>ИП глава К(Ф)Х Пермяков Алексей Анатольевич</t>
  </si>
  <si>
    <t>ИП глава К(Ф)Х Прокопенко Виктор Борисович</t>
  </si>
  <si>
    <t>ИП глава К(Ф)Х Соколов Александр Павлович</t>
  </si>
  <si>
    <t>ИП глава К(Ф)Х Соколов Сергей Владимирович</t>
  </si>
  <si>
    <t>ИП глава К(Ф)Х Школин Константин Анатольевич</t>
  </si>
  <si>
    <t>ИП глава К(Ф)Х Школин Николай Степанович</t>
  </si>
  <si>
    <t>ИП глава К(Ф)Х Цветков Олег Евгеньевич</t>
  </si>
  <si>
    <t>ИП глава К(Ф)Х Островерхов Виктор Николаевич</t>
  </si>
  <si>
    <t>ИП глава К(Ф)Х Семенов Александр Викторович</t>
  </si>
  <si>
    <t>ИП Земба Александр Данилович</t>
  </si>
  <si>
    <t>ИП Миних Виктор Артурович</t>
  </si>
  <si>
    <t>ИП Адейкин Николай Николаевич</t>
  </si>
  <si>
    <t>СПСК "Беркут"</t>
  </si>
  <si>
    <t>СПСК Центральный</t>
  </si>
  <si>
    <t>ССПСК "Партнер"</t>
  </si>
  <si>
    <t>ПССПК "Агросибком-М"</t>
  </si>
  <si>
    <t>ПССПК "Лебяженский"</t>
  </si>
  <si>
    <t>ПССПК "Туран"</t>
  </si>
  <si>
    <t>Ананьев Константин Петрович</t>
  </si>
  <si>
    <t>Метихов Александр Александрович</t>
  </si>
  <si>
    <t>Лелюх Владислав Андреевич</t>
  </si>
  <si>
    <t>Краснотуранский Итог</t>
  </si>
  <si>
    <t>Курагинский</t>
  </si>
  <si>
    <t>АО "Березовское"</t>
  </si>
  <si>
    <t xml:space="preserve">ЗАО "Имисское" </t>
  </si>
  <si>
    <t xml:space="preserve">ЗАО "Марининское" </t>
  </si>
  <si>
    <t>ООО "Сибирь-Агро"</t>
  </si>
  <si>
    <t>ООО "Шалоболинское"</t>
  </si>
  <si>
    <t>ООО "Эгида"</t>
  </si>
  <si>
    <t xml:space="preserve">СПК "Алексеевский"   </t>
  </si>
  <si>
    <t xml:space="preserve">ФГУП "Курагинское" </t>
  </si>
  <si>
    <t>СХООО "Семена"</t>
  </si>
  <si>
    <t xml:space="preserve">КХ "Заря"  </t>
  </si>
  <si>
    <t xml:space="preserve">КХ "Кипсей" </t>
  </si>
  <si>
    <t xml:space="preserve">ФХ "Русь"  </t>
  </si>
  <si>
    <t>ИП Мухлынин Владимир Иванович</t>
  </si>
  <si>
    <t>ИП Глава К(Ф)Х Перевалова Татьяна Владимировна</t>
  </si>
  <si>
    <t>ИП Глава К(Ф)Х Давыденко Виталий Сергеевич</t>
  </si>
  <si>
    <t>СППК "Курага"</t>
  </si>
  <si>
    <t>СПССК "Зеленый дол"</t>
  </si>
  <si>
    <t>СПССК"Сибирское Беловодье"</t>
  </si>
  <si>
    <t>Киряева Олеся Владимировна</t>
  </si>
  <si>
    <t>Першина Марина Вячеславовна</t>
  </si>
  <si>
    <t>Курагинский Итог</t>
  </si>
  <si>
    <t>Манский</t>
  </si>
  <si>
    <t>ООО "Агрохолдинг Камарчагский"</t>
  </si>
  <si>
    <t>ООО "Искра"</t>
  </si>
  <si>
    <t xml:space="preserve">ООО "Рассвет"  </t>
  </si>
  <si>
    <t xml:space="preserve">ООО "Совхоз Николаевский" </t>
  </si>
  <si>
    <t>ИП глава К(Ф)Х Докторук Роман Павлович</t>
  </si>
  <si>
    <t>ИП глава К(Ф)Х Вагнер Александр Карлович</t>
  </si>
  <si>
    <t>ИП глава К(Ф)Х Герасимов Олег Васильевич</t>
  </si>
  <si>
    <t>ИП глава К(Ф)Х Зотин Андрей Валерьевич</t>
  </si>
  <si>
    <t>ИП глава К(Ф)Х Кайвомага Павел Николаевич</t>
  </si>
  <si>
    <t>ИП глава К(Ф)Х Докторук Павел Николаевич</t>
  </si>
  <si>
    <t>ИП глава К(Ф)Х Шелегова Людмила Викторовна</t>
  </si>
  <si>
    <t>ИП глава К(Ф)Х Шевченко Сергей Леонидович</t>
  </si>
  <si>
    <t>ИП Донзаленко Сергей Петрович</t>
  </si>
  <si>
    <t>ИП Кирдяшкин Василий Иванович</t>
  </si>
  <si>
    <t>ИП Тарнакин Иван Петрович</t>
  </si>
  <si>
    <t>СПСК "Ивановский"</t>
  </si>
  <si>
    <t>Манский Итог</t>
  </si>
  <si>
    <t>Минусинский</t>
  </si>
  <si>
    <t>ЗАО "Искра Ленина "</t>
  </si>
  <si>
    <t>ООО "Завод минеральной воды и безалкогольных напитков"</t>
  </si>
  <si>
    <t xml:space="preserve">ФГУП "Минусинское" </t>
  </si>
  <si>
    <t>ООО "Фортуна-М"</t>
  </si>
  <si>
    <t>ООО "Новотроицкое"</t>
  </si>
  <si>
    <t>ООО "Ноябрь-Агро"</t>
  </si>
  <si>
    <t xml:space="preserve">ООО "Тигрицкое" </t>
  </si>
  <si>
    <t>ООО "Иджюль"</t>
  </si>
  <si>
    <t>СПК "Спектр"</t>
  </si>
  <si>
    <t>ООО "Заря"</t>
  </si>
  <si>
    <t>ООО "Знаменское "</t>
  </si>
  <si>
    <t>ООО "Кавказское"</t>
  </si>
  <si>
    <t>ООО "Ничкинское"</t>
  </si>
  <si>
    <t>Колхоз Прогресс</t>
  </si>
  <si>
    <t>ООО "Агат-1"</t>
  </si>
  <si>
    <t>ООО Агрокомплекс "Минусинский"</t>
  </si>
  <si>
    <t>ООО "Быстрянское"</t>
  </si>
  <si>
    <t>ИП глава КФ)Х Апранович Наталья Владимировна</t>
  </si>
  <si>
    <t>ИП глава КФ)Х Афанасьева Ксения Львовна</t>
  </si>
  <si>
    <t>ИП глава К(Ф)Х Нефедов Сергей Викторович</t>
  </si>
  <si>
    <t xml:space="preserve">ИП глава К(Ф)Х Фроленко Олег Сергеевич </t>
  </si>
  <si>
    <t>ИП глава К(Ф)Х Пиотровская Оксана Александровна</t>
  </si>
  <si>
    <t>ИП глава К(Ф)Х Клявзер Раиса Степановна</t>
  </si>
  <si>
    <t>ИП глава К(Ф)Х Макарчук Сергей Адамович</t>
  </si>
  <si>
    <t>ИП глава К(Ф)Х Мартыненко Г.А.</t>
  </si>
  <si>
    <t>ИП глава К(Ф)Х Романенко Александр Иванович</t>
  </si>
  <si>
    <t>ИП глава К(Ф)Х Романова Вера Анатольевна</t>
  </si>
  <si>
    <t>ИП глава К(Ф)Х Савин Александр Владимирович</t>
  </si>
  <si>
    <t>ИП глава К(Ф)Х Семенов Анатолий Андреевич</t>
  </si>
  <si>
    <t>ИП глава К(Ф)Х Смирнов Владимир Михайлович</t>
  </si>
  <si>
    <t>ИП глава К(Ф)Х Собиров Сафармурод Бобомуродович</t>
  </si>
  <si>
    <t>ИП глава К(Ф)Х Сотникова Раиса Михайлова</t>
  </si>
  <si>
    <t>ИП глава К(Ф)Х Торгашин Гавриил Михайлович</t>
  </si>
  <si>
    <t>ИП глава К(Ф)Х Травинский Петр Петрович</t>
  </si>
  <si>
    <t>ИП глава К(Ф)Х Тютюкин Владимир Александрович</t>
  </si>
  <si>
    <t>ИП глава К(Ф)Х Че-киль-лог Андрей Викторович</t>
  </si>
  <si>
    <t>ИП глава К(Ф)Х Хамуха Екатерина Юрьевна</t>
  </si>
  <si>
    <t>ИП глава К(Ф)Х Шарыпова Наталья Михайловна</t>
  </si>
  <si>
    <t>ИП глава К(Ф)Х Халатян Роман Махмадович</t>
  </si>
  <si>
    <t>ИП глава К(Ф)Х Халатян Махмад Мироевич</t>
  </si>
  <si>
    <t>ИП глава К(Ф)Х Факеева Людмила Анатольевна</t>
  </si>
  <si>
    <t>ИП Беспалов Андрей Александрович</t>
  </si>
  <si>
    <t>К(Ф)Х "Сухаревка"</t>
  </si>
  <si>
    <t>ИП Гусев Андрей Витальевич</t>
  </si>
  <si>
    <t>ИП Мусаев Байрам Джангир оглы</t>
  </si>
  <si>
    <t>ИП Печенкин Александр Васильевич</t>
  </si>
  <si>
    <t>ИП Смирнова Наталья Владимировна</t>
  </si>
  <si>
    <t>ИП Павлов Сергей Павлович</t>
  </si>
  <si>
    <t xml:space="preserve">ИП Безматерных Олег Сергеевич </t>
  </si>
  <si>
    <t>ИП глава К(Ф)Х Хамуха Николай Николаевич</t>
  </si>
  <si>
    <t>ПССПК "ВЕГАС"</t>
  </si>
  <si>
    <t>ПССПК "Тесь"</t>
  </si>
  <si>
    <t>СПССК "Енисей"</t>
  </si>
  <si>
    <t>СПСК "Медведь"</t>
  </si>
  <si>
    <t>СПССОК "Агроплюс"</t>
  </si>
  <si>
    <t>ООО АПК "Правильные продукты"</t>
  </si>
  <si>
    <t>ОАО "Молоко"</t>
  </si>
  <si>
    <t>КГБОУ СПО "Минусинский С/х колледж</t>
  </si>
  <si>
    <t xml:space="preserve">ФКУ Объединение ИК № 38 ГУФСИН по Кр.Краю  </t>
  </si>
  <si>
    <t>ЗАО "Минусинская кондитерская фабрика"</t>
  </si>
  <si>
    <t>Федотова Мария Юрьевна</t>
  </si>
  <si>
    <t>Волков Олег Сергеевич</t>
  </si>
  <si>
    <t>Перфильев Николай Олегович</t>
  </si>
  <si>
    <t>Минусинский Итог</t>
  </si>
  <si>
    <t>Назаровский</t>
  </si>
  <si>
    <t>ЗАО "Гляденское"</t>
  </si>
  <si>
    <t>АО Агрохолдинг "Сибиряк"</t>
  </si>
  <si>
    <t>ЗАО "Назаровское"</t>
  </si>
  <si>
    <t>организации АПК (обслуга)</t>
  </si>
  <si>
    <t>ИП глава К(Ф)Х Колчанов Юрий Петрович</t>
  </si>
  <si>
    <t>Изюмников Алексей Владимирович</t>
  </si>
  <si>
    <t>Васильев Денис Николаевич</t>
  </si>
  <si>
    <t>Карпов Константин Константинович</t>
  </si>
  <si>
    <t>Мосянина Елена Владимировна</t>
  </si>
  <si>
    <t>Бритков Евгений Васильевич</t>
  </si>
  <si>
    <t>Астраханцев Максим Александрович</t>
  </si>
  <si>
    <t>Хазимухаметова Гелзия Фанисовна</t>
  </si>
  <si>
    <t>Гарлюпина Марина Леонидовна</t>
  </si>
  <si>
    <t>Назаровский Итог</t>
  </si>
  <si>
    <t>Н-Ингашский</t>
  </si>
  <si>
    <t>ООО "Ингашский"</t>
  </si>
  <si>
    <t>ООО "Нива"</t>
  </si>
  <si>
    <t>ООО "Сокол"</t>
  </si>
  <si>
    <t>ИП глава К(Ф)Х Гуцев Виктор Юрьевич</t>
  </si>
  <si>
    <t>ИП глава К(Ф)Х Макаров Михаил Алексеевич</t>
  </si>
  <si>
    <t>ИП глава К(Ф)Х Зенкевич Роман Геннадьевич</t>
  </si>
  <si>
    <t>ИП глава К(Ф)Х Халилов Курбанали Сейдами-оглы</t>
  </si>
  <si>
    <t>СССПК "Ивановский"</t>
  </si>
  <si>
    <t>ФКУ "Колония-поселения № 48 ГУФСИН по Кр.Краю</t>
  </si>
  <si>
    <t>Н-Ингашский Итог</t>
  </si>
  <si>
    <t>Новоселовский</t>
  </si>
  <si>
    <t xml:space="preserve">ЗАО "Интикульское" </t>
  </si>
  <si>
    <t xml:space="preserve">ЗАО "Новоселовское" </t>
  </si>
  <si>
    <t>ЗАО "Светлолобовское"</t>
  </si>
  <si>
    <t>ООО "Анаш"</t>
  </si>
  <si>
    <t>ООО "Иваново"</t>
  </si>
  <si>
    <t>ООО "Куллогское"</t>
  </si>
  <si>
    <t>ООО "Елена"</t>
  </si>
  <si>
    <t xml:space="preserve">ООО "Светлана" </t>
  </si>
  <si>
    <t xml:space="preserve">ООО "Содружество" </t>
  </si>
  <si>
    <t>ООО АПК "Колос"</t>
  </si>
  <si>
    <t>ИП глава К(Ф)Х Кулаков Олег Николаевич</t>
  </si>
  <si>
    <t>ИП глава К(Ф)Х Анциферов Владимир Николаевич</t>
  </si>
  <si>
    <t>ИП глава К(Ф)Х Анциферов Иван Иванович</t>
  </si>
  <si>
    <t>ИП глава К(Ф)Х Белякин Владимир Николаевич</t>
  </si>
  <si>
    <t>ИП Глава К(Ф)Х Брух Виктор Андреевич</t>
  </si>
  <si>
    <t>ИП глава К(Ф)Х Вавилова Татьяна Николаевна</t>
  </si>
  <si>
    <t>ИП глава К(Ф)Х Вдовенко Николай Леонидович</t>
  </si>
  <si>
    <t>ИП глава К(Ф)Х Вензель Андрей Эйволдович</t>
  </si>
  <si>
    <t>ИП глава К(Ф)Х Виндерголлер Андрей Эвальдович</t>
  </si>
  <si>
    <t>ИП Глава К(Ф)Х Владимиров Виталий Александрович</t>
  </si>
  <si>
    <t>ИП глава К(Ф)Х Гесс Николай Эрнстович</t>
  </si>
  <si>
    <t>ИП глава К(Ф)Х Глушаков Анатолий Васильевич</t>
  </si>
  <si>
    <t>ИП глава К(Ф)Х Горн Виктор Иванович</t>
  </si>
  <si>
    <t>ИП глава К(Ф)Х Демидов Сергей Петрович</t>
  </si>
  <si>
    <t>ИП глава К(Ф)Х Евдокимов Николай Николаевич</t>
  </si>
  <si>
    <t>ИП глава К(Ф)Х Зайберт Александр Карлович</t>
  </si>
  <si>
    <t>ИП глава К(Ф)Х Зубарев Виктор Васильевич</t>
  </si>
  <si>
    <t>ИП глава К(Ф)Х Игнатенко Николай Федорович</t>
  </si>
  <si>
    <t>ИП глава К(Ф)Х Илюшенко Галина Яковлевна</t>
  </si>
  <si>
    <t>ИП Глава К(Ф)Х Иордан Иван Викторович</t>
  </si>
  <si>
    <t>ИП Глава К(Ф)Х Иордан Елена Викторовна</t>
  </si>
  <si>
    <t>ИП глава К(Ф)Х Кайдалин Евгений Васильевич</t>
  </si>
  <si>
    <t>ИП глава К(Ф)Х Козелепов Анатолий Дмитриевич</t>
  </si>
  <si>
    <t>ИП глава К(Ф)Х Корнаков Иван Геннадьевич</t>
  </si>
  <si>
    <t>ИП глава К(Ф)Х Кохан Николай Михайлович</t>
  </si>
  <si>
    <t>ИП глава К(Ф)Х Кроневальд Наталья Николаевна</t>
  </si>
  <si>
    <t>ИП глава К(Ф)Х Любавин Валерий Геннадьевич</t>
  </si>
  <si>
    <t>ИП глава К(Ф)Х Майер Александр Эйвальдович</t>
  </si>
  <si>
    <t>ИП глава К(Ф)Х Маурер Сергей Александрович</t>
  </si>
  <si>
    <t>ИП глава К(Ф)Х Медведев Василий Валерьевич</t>
  </si>
  <si>
    <t>ИП глава К(Ф)Х Медведев Юрий Сергеевич</t>
  </si>
  <si>
    <t>ИП глава К(Ф)Х Медведчук Анатолий Алексеевич</t>
  </si>
  <si>
    <t>ИП глава К(Ф)Х Миськов Николай Дмитриевич</t>
  </si>
  <si>
    <t>ИП глава К(Ф)Х Михайлов Александр Сергеевич</t>
  </si>
  <si>
    <t>ИП глава К(Ф)Х Орлов Виталий Александрович</t>
  </si>
  <si>
    <t>ИП глава К(Ф)Х Полежаева Наталья Александровна</t>
  </si>
  <si>
    <t>ИП глава К(Ф)Х Распопин Константин Викторович</t>
  </si>
  <si>
    <t>ИП глава К(Ф)Х Соломатов Андрей Михайлович</t>
  </si>
  <si>
    <t>ИП Глава (К(Ф)Х) Холбоева Валентина Ермалаевна</t>
  </si>
  <si>
    <t>ИП глава К(Ф)Х Хутиев Вадим Бамятгириевич</t>
  </si>
  <si>
    <t>ИП глава К(Ф)Х Цыглимов Александр Семенович</t>
  </si>
  <si>
    <t>ИП глава К(Ф)Х Цыглимов Анатолий Семенович</t>
  </si>
  <si>
    <t>ИП глава К(Ф)Х Цыглимов Семен Анатольевич</t>
  </si>
  <si>
    <t>ИП глава К(Ф)Х Чепурной Виктор Викторович</t>
  </si>
  <si>
    <t>ИП глава К(Ф)Х Шалько Андрей Николаевич</t>
  </si>
  <si>
    <t>ИП глава К(Ф)Х Швейцер Владимир Рихгардтович</t>
  </si>
  <si>
    <t>ИП глава К(Ф)Х Щербаков Анатолий Васильевич</t>
  </si>
  <si>
    <t>ИП глава К(Ф)Х Вильдяев Василий Алексеевич</t>
  </si>
  <si>
    <t>Новоселовский Итог</t>
  </si>
  <si>
    <t>Партизанский</t>
  </si>
  <si>
    <t>ООО "Богуславское"</t>
  </si>
  <si>
    <t>ООО "МИТК"</t>
  </si>
  <si>
    <t>ИП Баранов Николай Петрович</t>
  </si>
  <si>
    <t>ИП Кальбин Федор Владимирович</t>
  </si>
  <si>
    <t>ИП Канищев Александр Иванович</t>
  </si>
  <si>
    <t>ИП Колкатинов Юрий Владимирович</t>
  </si>
  <si>
    <t>ИП Лапехо Алексей Викторович</t>
  </si>
  <si>
    <t>ИП Радионов Сергей Николаевич</t>
  </si>
  <si>
    <t>ИП глава К(Ф)Х Кайданович Павел Антонович</t>
  </si>
  <si>
    <t>Партизанский Итог</t>
  </si>
  <si>
    <t>Пировский</t>
  </si>
  <si>
    <t>ООО "Волоковое"</t>
  </si>
  <si>
    <t>ООО "Победа"</t>
  </si>
  <si>
    <t>ООО "СПК им.Калинина"</t>
  </si>
  <si>
    <t>ООО "СПК Тимершик"</t>
  </si>
  <si>
    <t>СПК "Комаровка"</t>
  </si>
  <si>
    <t>Пировский Итог</t>
  </si>
  <si>
    <t>Рыбинский</t>
  </si>
  <si>
    <t>ООО СПП "Энергия"</t>
  </si>
  <si>
    <t>СПК "Весна-плюс"</t>
  </si>
  <si>
    <t>ООО "Мильман-Агро"</t>
  </si>
  <si>
    <t>ООО "Налобинская птицефабрика"</t>
  </si>
  <si>
    <t>ООО ОПХ "Солянское"</t>
  </si>
  <si>
    <t>ИП глава К(Ф)Х Иванников Александр Артемович</t>
  </si>
  <si>
    <t>ИП Глава К(Ф)Х Иванов Александр Николаевич</t>
  </si>
  <si>
    <t>ИП глава К(Ф)Х Киселев Михаил Александрович</t>
  </si>
  <si>
    <t>ИП глава К(Ф)Х Кокарев Александр Анатольевич</t>
  </si>
  <si>
    <t>ИП глава К(Ф)Х Косовицкий Петр Павлович</t>
  </si>
  <si>
    <t>ИП глава К(Ф)Х Куприянов Максим Анатольевич</t>
  </si>
  <si>
    <t>ИП глава К(Ф)Х Семененко Вадим Иванович</t>
  </si>
  <si>
    <t>ИП глава К(Ф)Х Семененко Виктор Иванович</t>
  </si>
  <si>
    <t>ИП глава К(Ф)Х Скобелин Андрей Семенович</t>
  </si>
  <si>
    <t>ИП глава К(Ф)Х Фарманов Диер Абдумурадович</t>
  </si>
  <si>
    <t>ИП глава К(Ф)Х Моргун Сергей Михайлович</t>
  </si>
  <si>
    <t>ИП глава К(Ф)Х Баранченко Сергей Михайлович</t>
  </si>
  <si>
    <t>ИП глава К(Ф)Х Лещук Владимир Владимирович</t>
  </si>
  <si>
    <t>ИП глава К(Ф)Х Цыганов Василий Александрович</t>
  </si>
  <si>
    <t>ИП Степаненко Валерий Алексеевич</t>
  </si>
  <si>
    <t>СПоК "Березка"</t>
  </si>
  <si>
    <t>ИП Барауля Альбина Александровна</t>
  </si>
  <si>
    <t>ПОУ №Техникум горных разработок им.А.П. Астафьева</t>
  </si>
  <si>
    <t>Анисимов Александр Леонидович</t>
  </si>
  <si>
    <t>Шкабера Анастасия Васильевна</t>
  </si>
  <si>
    <t>Рыбинский Итог</t>
  </si>
  <si>
    <t>Саянский</t>
  </si>
  <si>
    <t>ООО "Алант"</t>
  </si>
  <si>
    <t>ООО "Возраждение"</t>
  </si>
  <si>
    <t>ООО "Калиновское"</t>
  </si>
  <si>
    <t>ООО "Кристалл"</t>
  </si>
  <si>
    <t xml:space="preserve">ООО "Полесье"                     </t>
  </si>
  <si>
    <t>ООО "Саяны"</t>
  </si>
  <si>
    <t>ООО "Свет"</t>
  </si>
  <si>
    <t>ООО "Сибиряк"</t>
  </si>
  <si>
    <t>ООО "Телец"</t>
  </si>
  <si>
    <t>СПК "Восход"</t>
  </si>
  <si>
    <t>ИП глава К(Ф)Х Агафонова Лариса Петровна</t>
  </si>
  <si>
    <t>ИП глава (К(Ф)Х) Солдатова Ольга Владимировна</t>
  </si>
  <si>
    <t>ИП глава (К(Ф)Х) Солдатов Владимир Евгеньевич</t>
  </si>
  <si>
    <t>ИП глава К(Ф)Х Хиляс Алексей Александрович</t>
  </si>
  <si>
    <t>ИП глава К(Ф)Х Хиляс Александр Александрович</t>
  </si>
  <si>
    <t>ИП глава К(Ф)Х Черкасов Владимир Михайлович</t>
  </si>
  <si>
    <t>ИП глава К(Ф)Х Квасова Нина Владимировна</t>
  </si>
  <si>
    <t>ИП Степанченок Николай Тимофеевич</t>
  </si>
  <si>
    <t>ИП Андропов Иван Иванович</t>
  </si>
  <si>
    <t>СПКК "Удача"</t>
  </si>
  <si>
    <t>ИП глава К(Ф)Х Миллер Эдуард Владимирович</t>
  </si>
  <si>
    <t>Саянский Итог</t>
  </si>
  <si>
    <t>Сухобузимский</t>
  </si>
  <si>
    <t>ООО Учхоз "Миндерлинское"</t>
  </si>
  <si>
    <t>Акционерное общество "ЕнисейАгроСоюз"</t>
  </si>
  <si>
    <t>ООО Племзавод "Таежный"</t>
  </si>
  <si>
    <t xml:space="preserve">ООО СХП "Осень" </t>
  </si>
  <si>
    <t>СПК "Искра"</t>
  </si>
  <si>
    <t>ООО "СХП "Дары Малиновки"</t>
  </si>
  <si>
    <t>ООО "Объединение АгроЭлита"</t>
  </si>
  <si>
    <t>ИП Боровлев Андрей Алексеевич</t>
  </si>
  <si>
    <t>ИП глава К(Ф)Х Ващенко Александр Николаевич</t>
  </si>
  <si>
    <t>ИП глава К(Ф)Х Сидоренко Елена Андреевна</t>
  </si>
  <si>
    <t>ИП глава К(Ф)Х Бельтепетеров Василий Анатольевич</t>
  </si>
  <si>
    <t>ИП глава К(Ф)Х Молотков Андрей Николаевич</t>
  </si>
  <si>
    <t>ИП глава К(Ф)Х Молотков Владимир Николаевич</t>
  </si>
  <si>
    <t>ИП глава К(Ф)Х Фукс Андрей Иоганович</t>
  </si>
  <si>
    <t>К(Ф)Х Боровлева Сергея Алексеевича</t>
  </si>
  <si>
    <t>К(Ф)Х Старцева Олега Владимировича</t>
  </si>
  <si>
    <t>КХ Кочнева Александра Лаврентьевича</t>
  </si>
  <si>
    <t>КХ Молоткова Сергея Николаевича</t>
  </si>
  <si>
    <t>ИП глава К(Ф)Х Калиновский Евгений Викторович</t>
  </si>
  <si>
    <t>ИП глава К(Ф)Х Темпель Алексей Владимирович</t>
  </si>
  <si>
    <t>ООО СХП "Бузим-Агро"</t>
  </si>
  <si>
    <t>Антропов Николай Владимирович</t>
  </si>
  <si>
    <t>Киселева Жанна Геннадьевна</t>
  </si>
  <si>
    <t>Черных Максим Викторович</t>
  </si>
  <si>
    <t>Горшкова Вероника Олеговна</t>
  </si>
  <si>
    <t>Сухобузимский Итог</t>
  </si>
  <si>
    <t>Тасеевский</t>
  </si>
  <si>
    <t>ООО "Тасеевский элеватор"</t>
  </si>
  <si>
    <t>ООО "Фаначет"</t>
  </si>
  <si>
    <t>ООО "Агроформат"</t>
  </si>
  <si>
    <t xml:space="preserve">СПК "Возрождение"             </t>
  </si>
  <si>
    <t xml:space="preserve">ИП глава К(Ф)Х Войтюк Леонид Александрович     </t>
  </si>
  <si>
    <t>ИП глава К(Ф)Х Гаврин Валерий Васильевич</t>
  </si>
  <si>
    <t xml:space="preserve">ИП глава К(Ф)Х Фроленко Владимир Федорович   </t>
  </si>
  <si>
    <t>ИП глава К(Ф)Х Алексеев Михаил Васильевич</t>
  </si>
  <si>
    <t>ИП глава К(Ф)Х Боровков Михаил Иванович</t>
  </si>
  <si>
    <t>ИП глава К(Ф)Х Машуков Алексей Александрович</t>
  </si>
  <si>
    <t>ИП глава К(Ф)Х Сладченко Александр Федорович</t>
  </si>
  <si>
    <t>ИП глава К(Ф)Х Борцов Виталий Михайлович</t>
  </si>
  <si>
    <t>ИП глава К(Ф)Х Якубович Владимир Владимирович</t>
  </si>
  <si>
    <t>ИП глава К(Ф)Х Киселев Валерий Александрович</t>
  </si>
  <si>
    <t>Тасеевский Итог</t>
  </si>
  <si>
    <t>Тюхтетский</t>
  </si>
  <si>
    <t>ООО "Мечта"</t>
  </si>
  <si>
    <t xml:space="preserve">СПК колхоз "Труженик"  </t>
  </si>
  <si>
    <t>ИП глава К(Ф)Х Ажаров Виктор Анатольевич</t>
  </si>
  <si>
    <t>ИП глава К(Ф)Х Зинович Виктор Константинович</t>
  </si>
  <si>
    <t>ИП глава К(Ф)Х Павлов Николай Константинович</t>
  </si>
  <si>
    <t>ИП глава К(Ф)Х Талаев Михаил Иванович</t>
  </si>
  <si>
    <t>ИП глава К(Ф)Х Тихонов Виктор Александрович</t>
  </si>
  <si>
    <t>ИП глава К(Ф)Х Яковлев Сергей Михайлович</t>
  </si>
  <si>
    <t>ИП глава К(Ф)Х Пантюков Сергей Юрьевич</t>
  </si>
  <si>
    <t>Тюхтетский Итог</t>
  </si>
  <si>
    <t>Ужурский</t>
  </si>
  <si>
    <t xml:space="preserve">АО "Ильинское" </t>
  </si>
  <si>
    <t>ЗАО "Искра"</t>
  </si>
  <si>
    <t xml:space="preserve">АО "Солгон" </t>
  </si>
  <si>
    <t>СПК "Оракский"</t>
  </si>
  <si>
    <t xml:space="preserve">ФГУП "Михайловское" </t>
  </si>
  <si>
    <t>ООО "Крестьяне"</t>
  </si>
  <si>
    <t xml:space="preserve">ООО Агрофирма "Учумская" </t>
  </si>
  <si>
    <t>СПК "Андроновский"</t>
  </si>
  <si>
    <t xml:space="preserve">ООО "Агрофирма "Учумская" </t>
  </si>
  <si>
    <t>ИП глава К(Ф)Х Бесолов Ахсарбек Музаферович</t>
  </si>
  <si>
    <t>ИП глава К(Ф)Х Власов Виктор Александрович</t>
  </si>
  <si>
    <t>ИП глава К(Ф)Х Зайферт Евгений Эвальдович</t>
  </si>
  <si>
    <t>ИП глава К(Ф)Х Тихонов Николай Петрович</t>
  </si>
  <si>
    <t>ИП глава К(Ф)Х Агламзянов Сергей Борисович</t>
  </si>
  <si>
    <t>ИП глава К(Ф)Х Бацагин Евгений Николаевич</t>
  </si>
  <si>
    <t>ИП глава К(Ф)Х Бредихин Сергей Владимирович</t>
  </si>
  <si>
    <t>ИП глава К(Ф)Х Бугорков Дмитрий  Анатольевич</t>
  </si>
  <si>
    <t>ИП глава К(Ф)Х Дробушевский Иван Иванович</t>
  </si>
  <si>
    <t>ИП глава К(Ф)Х Калугин Олег Ефимович</t>
  </si>
  <si>
    <t>ИП глава К(Ф)Х Низамутдинов Ильяс Фархутдинович</t>
  </si>
  <si>
    <t>ИП глава К(Ф)Х Посконный Валерий Александрович</t>
  </si>
  <si>
    <t>ИП глава К(Ф)Х Рузавин Максим Николаевич</t>
  </si>
  <si>
    <t>ИП глава К(Ф)Х Афанасьев Андрей Анатольевич</t>
  </si>
  <si>
    <t>ИП глава К(Ф)Х Гридюшкин Владимир Иванович</t>
  </si>
  <si>
    <t>ИП глава К(Ф)Х Гридюшкина Тамара Семеновна</t>
  </si>
  <si>
    <t>ИП глава К(Ф)Х Полуситов Михаил Михайлович</t>
  </si>
  <si>
    <t xml:space="preserve">КХ "Елена" </t>
  </si>
  <si>
    <t>КГБ ПОУ "Ужурский многопрофильный техникум"</t>
  </si>
  <si>
    <t>Воронцова Екатерина Андреевна</t>
  </si>
  <si>
    <t>Ужурский Итог</t>
  </si>
  <si>
    <t>Уярский</t>
  </si>
  <si>
    <t xml:space="preserve">ЗАО "Авдинское" </t>
  </si>
  <si>
    <t>ООО "Джед"</t>
  </si>
  <si>
    <t>ООО "Жандат"</t>
  </si>
  <si>
    <t>ООО "Кентавр"</t>
  </si>
  <si>
    <t>ООО "КХ "Голос"</t>
  </si>
  <si>
    <t>ООО "КХ "Кильчуг"</t>
  </si>
  <si>
    <t>ООО "КХ "Колос"</t>
  </si>
  <si>
    <t>ООО "КХ "Полесье"</t>
  </si>
  <si>
    <t>ООО "КХ "Родничок"</t>
  </si>
  <si>
    <t>ООО "Мария"</t>
  </si>
  <si>
    <t>ООО "Нектар"</t>
  </si>
  <si>
    <t>ООО "Новый век"</t>
  </si>
  <si>
    <t>ООО "Эдельвейс"</t>
  </si>
  <si>
    <t>ООО "ФХ "Раздолье"</t>
  </si>
  <si>
    <t>ИП глава К(Ф)Х Кононов Игорь Геннадьевич</t>
  </si>
  <si>
    <t>ИП глава К(Ф)Х Кучеров Владимир Николаевич</t>
  </si>
  <si>
    <t>ИП глава К(Ф)Х Наконечный Сергей Владимирович</t>
  </si>
  <si>
    <t>ИП глава К(Ф)Х Кучман Сергей Анатольевич</t>
  </si>
  <si>
    <t>ИП Глущенко Вячеслав Михайлович</t>
  </si>
  <si>
    <t>ИП глава К(Ф)Х Филатова Надежда Анатольевна</t>
  </si>
  <si>
    <t>ИП глава К(Ф)Х Апонасенко Василий Николаевич</t>
  </si>
  <si>
    <t>ИП глава К(Ф)Х Евдокимов Александр Николаевич</t>
  </si>
  <si>
    <t>ИП глава К(Ф)Х Стомерс Максим Васильевич</t>
  </si>
  <si>
    <t>ИП глава К(Ф)Х Мукштадт Сергей Владимирович</t>
  </si>
  <si>
    <t>ИП глава К(Ф)Х Ковалев Дмитрий Васильевич</t>
  </si>
  <si>
    <t>ИП глава К(Ф)Х Мордашева Анна Петровна</t>
  </si>
  <si>
    <t>СОКПК "МТС "Партнер"</t>
  </si>
  <si>
    <t>КГБПОУ Уярский Сельскохозяйственный техникум</t>
  </si>
  <si>
    <t>ООО "Уярское ХПП"</t>
  </si>
  <si>
    <t>Уярский Итог</t>
  </si>
  <si>
    <t>Шарыповский</t>
  </si>
  <si>
    <t xml:space="preserve">ЗАО "Авангард" </t>
  </si>
  <si>
    <t>АО "Алтатское"</t>
  </si>
  <si>
    <t>ООО "ТРЭНЭКС"</t>
  </si>
  <si>
    <t xml:space="preserve">ООО "Фортуна  АГРО"  </t>
  </si>
  <si>
    <t>ООО "Шарыповский АПК"</t>
  </si>
  <si>
    <t>СХПК "Ивановский"</t>
  </si>
  <si>
    <t>ИП глава К(Ф)Х Ахтямов Шамиль Шарибзянович</t>
  </si>
  <si>
    <t>ИП глава К(Ф)Х Багиров Агиль Нуру Оглы</t>
  </si>
  <si>
    <t>ИП глава К(Ф)Х Тонких Жанна Владимировна</t>
  </si>
  <si>
    <t>ИП Ефремов Николай Николаевич</t>
  </si>
  <si>
    <t>ИП Рапана Константин Иванович</t>
  </si>
  <si>
    <t>ИП Руднев Анатолий Степанович</t>
  </si>
  <si>
    <t>ИП Суликовский Алексей Геннадьевич</t>
  </si>
  <si>
    <t>СППК "Малоозерский"</t>
  </si>
  <si>
    <t>СППК "Сельский"</t>
  </si>
  <si>
    <t>СППК "Родниковский"</t>
  </si>
  <si>
    <t>СПК "Дороховское-Алтатское"</t>
  </si>
  <si>
    <t>Шарыповский Итог</t>
  </si>
  <si>
    <t>Шушенский</t>
  </si>
  <si>
    <t xml:space="preserve">ЗАО "Сибирь-1" </t>
  </si>
  <si>
    <t>ОАО "Шушенская птицефабрика"</t>
  </si>
  <si>
    <t>ООО "Ильичевское"</t>
  </si>
  <si>
    <t>ООО "Милан"</t>
  </si>
  <si>
    <t>ООО "Шушь"</t>
  </si>
  <si>
    <t>ИП глава К(Ф)Х Крашенинин Андрей Анатольевич</t>
  </si>
  <si>
    <t>ИП глава К(Ф)Х Бахтин Денис Сергеевич</t>
  </si>
  <si>
    <t>ИП глава К(Ф)Х Белышев Валерий Викторович</t>
  </si>
  <si>
    <t>ИП глава К(Ф)Х Басенко Виталий Анатольевич</t>
  </si>
  <si>
    <t xml:space="preserve">К(Ф)Х "Апилак" </t>
  </si>
  <si>
    <t>К(Ф)Х "Аристов А.Г."</t>
  </si>
  <si>
    <t>К(Ф)Х "Фадеево"</t>
  </si>
  <si>
    <t>ИП Светлолобов Николай Борисович</t>
  </si>
  <si>
    <t>ИП Лебедев Вадим Юрьевич</t>
  </si>
  <si>
    <t>ООО "Саянмолоко"</t>
  </si>
  <si>
    <t>Сысоев Максим Васильевич</t>
  </si>
  <si>
    <t>Павликова Юлия Викторовна</t>
  </si>
  <si>
    <t>Гусаков Алексей Владимирович</t>
  </si>
  <si>
    <t>Шушенский Итог</t>
  </si>
  <si>
    <t>г .Красноярск</t>
  </si>
  <si>
    <t>г. Красноярск (Сухобузимский)</t>
  </si>
  <si>
    <t>ООО "Атамановское хлебоприемное предприятие"</t>
  </si>
  <si>
    <t>ООО Фирма "Лагуна-М"</t>
  </si>
  <si>
    <t>г .Красноярск (Канск)</t>
  </si>
  <si>
    <t>ООО Техно-торговый центр "Славяне"</t>
  </si>
  <si>
    <t>ООО "Ярск"</t>
  </si>
  <si>
    <t>ИП Калюга Татьяна Владимировна</t>
  </si>
  <si>
    <t>г. Красноярск Итог</t>
  </si>
  <si>
    <t>Общий итог</t>
  </si>
  <si>
    <r>
      <t xml:space="preserve">Субсидии на  компенсацию части затрат, связанных с приобретением КРС для замены больных </t>
    </r>
    <r>
      <rPr>
        <b/>
        <sz val="15"/>
        <rFont val="Times New Roman"/>
        <family val="1"/>
        <charset val="204"/>
      </rPr>
      <t>лейкозом</t>
    </r>
    <r>
      <rPr>
        <sz val="15"/>
        <rFont val="Times New Roman"/>
        <family val="1"/>
        <charset val="204"/>
      </rPr>
      <t xml:space="preserve"> и (или) инфицированных вирусом лейкоза</t>
    </r>
  </si>
  <si>
    <t>ИП глава К(Ф)Х Мелконян Нуне Джаниковна</t>
  </si>
  <si>
    <t>ООО "К(Ф)Х "Янн"</t>
  </si>
  <si>
    <t>ИП глава К(Ф)Х Атаян Аракел Артурович</t>
  </si>
  <si>
    <t>ИП глава К(Ф)Х Смирнова Ирина Александровна</t>
  </si>
  <si>
    <t xml:space="preserve">К(Ф)Х "Кормилец"                     </t>
  </si>
  <si>
    <t>ИП глава К(Ф)Х Кабиров Рамиль Якупович</t>
  </si>
  <si>
    <t>ИП глава К(Ф)Х Лазавиков Николай Алексеевич</t>
  </si>
  <si>
    <t>ИП глава К(Ф)Х Анисимов Сергей Анатольевич</t>
  </si>
  <si>
    <t>ООО "Первая заготовительная компания"</t>
  </si>
  <si>
    <t xml:space="preserve">организации АПК </t>
  </si>
  <si>
    <t>ООО им Щетинкина</t>
  </si>
  <si>
    <t>ИП глава К(Ф)Х Новоселов Сергей Александрович</t>
  </si>
  <si>
    <t>ИП глава К(Ф)Х Трубеко Максим Николаевич</t>
  </si>
  <si>
    <t>ИП глава К(Ф)Х Эскина Людмила Алексеевна</t>
  </si>
  <si>
    <t>ООО "ВитаАгро"</t>
  </si>
  <si>
    <t>ИП глава К(Ф)Х Косых Валентина Ивановна</t>
  </si>
  <si>
    <t>ИП глава К(Ф)Х  Смурага Валерий Дмитриевич</t>
  </si>
  <si>
    <t>ООО "Малтат"</t>
  </si>
  <si>
    <t>ИП глава К(Ф)Х Авсиевич Михаил Михайлович</t>
  </si>
  <si>
    <t>ИП глава К(Ф)Х Виншу Сергей Федорович</t>
  </si>
  <si>
    <t>Мурамщиков Александр Александрович</t>
  </si>
  <si>
    <t>Евтушенко Александра Викторовна</t>
  </si>
  <si>
    <t>Павленко Олег Юрьевич</t>
  </si>
  <si>
    <t>Вагнер Вера Сергеевна</t>
  </si>
  <si>
    <t>Сахаров Антоний Петрович</t>
  </si>
  <si>
    <t>Выпих Татьяна Вячеславовна</t>
  </si>
  <si>
    <t xml:space="preserve">Левштанов Вячеслав Викторович </t>
  </si>
  <si>
    <t>Чооду Сергей Анатольевич</t>
  </si>
  <si>
    <t>Романенко Ольна Евгеньевна</t>
  </si>
  <si>
    <t>Мансуров Данил Васильевич</t>
  </si>
  <si>
    <t>Зайцев Сергей Владимирович</t>
  </si>
  <si>
    <t>Криворотов Алексей Николаевич</t>
  </si>
  <si>
    <t>Менжуренко Иван Сергеевич</t>
  </si>
  <si>
    <t>Рогов Дмитрий Игоревич</t>
  </si>
  <si>
    <t>Савин Андрей Александрович</t>
  </si>
  <si>
    <t>Дорошенко Елена Александровна</t>
  </si>
  <si>
    <t>Попов Алексей Сергеевич</t>
  </si>
  <si>
    <t>Дылдина Наталья Александровна</t>
  </si>
  <si>
    <t>Косинов Виктор Сергеевич</t>
  </si>
  <si>
    <t>Сафронов Денис Николаевич</t>
  </si>
  <si>
    <t>Лагуто Алексей Иванович</t>
  </si>
  <si>
    <t>Афанасьев Андрей Анатольевич</t>
  </si>
  <si>
    <t>Васильева Кристина Станиславовна</t>
  </si>
  <si>
    <t>Гарманчук Иван Сергеевич</t>
  </si>
  <si>
    <t>Стародубцева Екатерина Ивановна</t>
  </si>
  <si>
    <t>Гарусова Юлия Николаевна</t>
  </si>
  <si>
    <t>Моськина Юлия Юрьевна</t>
  </si>
  <si>
    <t>Миронов Руслан Юрьевич</t>
  </si>
  <si>
    <t>Бойкова Дарья Юрьевна</t>
  </si>
  <si>
    <t>Медведев Иван Васильевич</t>
  </si>
  <si>
    <t>Сухарева Евгения Николаевна</t>
  </si>
  <si>
    <t>Мендель Владислав Владимирович</t>
  </si>
  <si>
    <t>Босенко Наталья Игоревна</t>
  </si>
  <si>
    <t>Козловская Ольга Викторовна</t>
  </si>
  <si>
    <t>Кириллов Константин Сергеевич</t>
  </si>
  <si>
    <t>Малиновский Николай Викторович</t>
  </si>
  <si>
    <t>Нехорошева Вероника Викторовна</t>
  </si>
  <si>
    <t>Лавничий Кирилл Андреевич</t>
  </si>
  <si>
    <t>Бублик Степан Сергеевич</t>
  </si>
  <si>
    <t>Цугленок Василий Олегович</t>
  </si>
  <si>
    <t>Богданова Надежда Леонидовна</t>
  </si>
  <si>
    <t>Разуваева Ольга Игоревна</t>
  </si>
  <si>
    <t>Осетрова Татьяна Александровна</t>
  </si>
  <si>
    <t>Шостак Анастасия Васильевна</t>
  </si>
  <si>
    <t>Оборин Александр Сергеевич</t>
  </si>
  <si>
    <t>Нарылкова Кристина Владимировна</t>
  </si>
  <si>
    <t>Федоров Дмитрий Игоревич</t>
  </si>
  <si>
    <t>Руслов Владислав Александрович</t>
  </si>
  <si>
    <t>Ковальчук Алексей Сергеевич</t>
  </si>
  <si>
    <t>Косова Ксения Сергеевна</t>
  </si>
  <si>
    <t>Корныльевна Виктория Михайловна</t>
  </si>
  <si>
    <t>Младших Марина Владимировна</t>
  </si>
  <si>
    <t>Ягодкина Ксения Александровна</t>
  </si>
  <si>
    <t>Солдатов Николай Евгеньевич</t>
  </si>
  <si>
    <t>Бояринов Евгений Леонидович</t>
  </si>
  <si>
    <t>Свиязова Анна Владимировна</t>
  </si>
  <si>
    <t>Пантюков Михаил Николаевич</t>
  </si>
  <si>
    <t>ИП Глава К(Ф)Х Линдер Эрнст Юганович</t>
  </si>
  <si>
    <t>ИП глава К(Ф)Х Воеводин Юрий Анатольевич</t>
  </si>
  <si>
    <t>ИП глава К(Ф)Х Ходкин Виталий Васильевич</t>
  </si>
  <si>
    <t>ФГБНУ ФИЦ КНЦ СО РАН</t>
  </si>
  <si>
    <t>ЗАО "Тагарское"</t>
  </si>
  <si>
    <r>
      <t xml:space="preserve">Субсидия на компенсацию части произведенных и </t>
    </r>
    <r>
      <rPr>
        <b/>
        <sz val="15"/>
        <rFont val="Times New Roman"/>
        <family val="1"/>
        <charset val="204"/>
      </rPr>
      <t xml:space="preserve">не возмещенных в 2016 году затрат на приобретение племенного материала </t>
    </r>
    <r>
      <rPr>
        <sz val="15"/>
        <rFont val="Times New Roman"/>
        <family val="1"/>
        <charset val="204"/>
      </rPr>
      <t>разводимых пород</t>
    </r>
  </si>
  <si>
    <r>
      <t xml:space="preserve">Субсидия на компенсацию части произведенных и </t>
    </r>
    <r>
      <rPr>
        <b/>
        <sz val="15"/>
        <rFont val="Times New Roman"/>
        <family val="1"/>
        <charset val="204"/>
      </rPr>
      <t>не возмещенных в 2016 году затрат, связанных с проведением кап. ремонта</t>
    </r>
    <r>
      <rPr>
        <sz val="15"/>
        <rFont val="Times New Roman"/>
        <family val="1"/>
        <charset val="204"/>
      </rPr>
      <t xml:space="preserve"> тракторов мощностью 165 л.с. и (или) их агрегатов</t>
    </r>
  </si>
  <si>
    <t>ИП глава К(Ф)Х  Штындик Евгений Владимирович</t>
  </si>
  <si>
    <t>ИП глава К(Ф)Х Амбарян Юрий Шаликоевич</t>
  </si>
  <si>
    <t>г .Красноярск (Балахтинский)</t>
  </si>
  <si>
    <t>ИП глава К(Ф)Х Мамедов Джейхун Сабир оглы</t>
  </si>
  <si>
    <t>ИП глава К(Ф)Х Ибрагимов Иляс Махлуд оглы</t>
  </si>
  <si>
    <t>ИП глава К(Ф)Х Толстиков Игорь Владимирович</t>
  </si>
  <si>
    <r>
      <rPr>
        <sz val="14"/>
        <rFont val="Times New Roman"/>
        <family val="1"/>
        <charset val="204"/>
      </rPr>
      <t>ИП</t>
    </r>
    <r>
      <rPr>
        <sz val="16"/>
        <rFont val="Times New Roman"/>
        <family val="1"/>
        <charset val="204"/>
      </rPr>
      <t xml:space="preserve"> глава К(Ф)Х Панюшкина Ольга Васильевна</t>
    </r>
  </si>
  <si>
    <t>ИП глава К(Ф)Х Глушков Александр Васильевич</t>
  </si>
  <si>
    <t>ИП глава К(Ф)Х Каковкина Светлана Викторовна</t>
  </si>
  <si>
    <t>ООО "Ахурян"</t>
  </si>
  <si>
    <t>ИП глава К(Ф)Х Акулинчев Петр Леонидович</t>
  </si>
  <si>
    <t>ИП глава К(Ф)Х Кайзер Ксения Владимировна</t>
  </si>
  <si>
    <t>Кирьянова</t>
  </si>
  <si>
    <t>ИП глава К(Ф)Х Кирьянова Наталья Сергеевна</t>
  </si>
  <si>
    <t>Шляцева Анна Николаевна</t>
  </si>
  <si>
    <t>Чмыхова Татьяна Петровна</t>
  </si>
  <si>
    <t>Попов Антон Иванович</t>
  </si>
  <si>
    <t>Генза Раиса Юрьевна</t>
  </si>
  <si>
    <t>Лосев Виктор Алексеевич</t>
  </si>
  <si>
    <t>Косарева Светлана Павловна</t>
  </si>
  <si>
    <t>Михеев Алексей Андреевич</t>
  </si>
  <si>
    <t>Клешнина Ольга Александровна</t>
  </si>
  <si>
    <t>Азяева Екатерина Александровна</t>
  </si>
  <si>
    <t>Будко Анна Тофиковна</t>
  </si>
  <si>
    <t>Жигалова Мария Андреевна</t>
  </si>
  <si>
    <t>Зуев Роман Дмитриевич</t>
  </si>
  <si>
    <t>Бычков Дмитрий Юрьевич</t>
  </si>
  <si>
    <t>Некрасова Светлана Сергеевна</t>
  </si>
  <si>
    <t>Коровина Анастасия Александровна</t>
  </si>
  <si>
    <t>Михель Евгения Михайловна</t>
  </si>
  <si>
    <t>Гришин Сергей Николаевич</t>
  </si>
  <si>
    <t>Подолин Иван Михайлович</t>
  </si>
  <si>
    <t>Черных Павел Сергеевич</t>
  </si>
  <si>
    <t>Фадеева Олеся Анатольевна</t>
  </si>
  <si>
    <t>Черных Алена Геннадьевна</t>
  </si>
  <si>
    <t>Усков Станислав Владимирович</t>
  </si>
  <si>
    <t>Исаков Анатолий Александрович</t>
  </si>
  <si>
    <t>ООО "Солянское"</t>
  </si>
  <si>
    <t>ООО " Игинское"</t>
  </si>
  <si>
    <t>ИП глава К(Ф)Х Нефедьев Юрий Алексеевич</t>
  </si>
  <si>
    <t>Эвенкийский Итог</t>
  </si>
  <si>
    <t>Эвенкийский</t>
  </si>
  <si>
    <t>МП ЭМР ОПХ "Суриндинский"</t>
  </si>
  <si>
    <t>ИП глава К(Ф)Х Тихонов Андрей Сергеевич</t>
  </si>
  <si>
    <t>ИП глава К(Ф)Х Пташкин Александр Владимирович</t>
  </si>
  <si>
    <t>АО Агропромышленный холдинг "АгроЯрск"</t>
  </si>
  <si>
    <t>ИП глава К(Ф)Х Карнаухов Алексей Владимирович</t>
  </si>
  <si>
    <r>
      <t xml:space="preserve">Субсидии на возмещение части затрат на уплату процентов по кредитам, полученным </t>
    </r>
    <r>
      <rPr>
        <b/>
        <sz val="15"/>
        <rFont val="Times New Roman"/>
        <family val="1"/>
        <charset val="204"/>
      </rPr>
      <t>на срок до 10 лет (2/3 ст)</t>
    </r>
  </si>
  <si>
    <r>
      <t xml:space="preserve">Субсидии на компенсацию части затрат, связанных с </t>
    </r>
    <r>
      <rPr>
        <b/>
        <sz val="13"/>
        <rFont val="Times New Roman"/>
        <family val="1"/>
        <charset val="204"/>
      </rPr>
      <t>приобретением новых трансформаторных подстанций, новых изделий автомобильной</t>
    </r>
    <r>
      <rPr>
        <sz val="13"/>
        <rFont val="Times New Roman"/>
        <family val="1"/>
        <charset val="204"/>
      </rPr>
      <t xml:space="preserve"> промышленности, новых модульных объектов для ведения деятельности по хранению, заморозке, переработке плодово-ягодной и овощной продукции и производству пищевых продуктов</t>
    </r>
  </si>
  <si>
    <t>Овечкина Татьяна Александровна</t>
  </si>
  <si>
    <t>Гриц Сергей Александрович</t>
  </si>
  <si>
    <t>Кудряшов Игорь Александрович</t>
  </si>
  <si>
    <t>Бандяев Сергей Владимирович</t>
  </si>
  <si>
    <t>Шрайнер Юрий Сергеевич</t>
  </si>
  <si>
    <t>Шумакова Людмила Петровна</t>
  </si>
  <si>
    <t>Иордан Никита Алексеевич</t>
  </si>
  <si>
    <t>Шалько Светлана Андреевна</t>
  </si>
  <si>
    <t>Борзенко Руслан Игоревич</t>
  </si>
  <si>
    <t>Боровикова Нина Игоревна</t>
  </si>
  <si>
    <t>Зайцева Елена Николаевна</t>
  </si>
  <si>
    <t>Мартынович Кристина Николаевна</t>
  </si>
  <si>
    <t>Шестаков Алексей Юрьевич</t>
  </si>
  <si>
    <r>
      <t xml:space="preserve">Субсидия на компенсацию части затрат на уплату </t>
    </r>
    <r>
      <rPr>
        <b/>
        <sz val="15"/>
        <rFont val="Times New Roman"/>
        <family val="1"/>
        <charset val="204"/>
      </rPr>
      <t>арендной платы за земельные участки</t>
    </r>
    <r>
      <rPr>
        <sz val="15"/>
        <rFont val="Times New Roman"/>
        <family val="1"/>
        <charset val="204"/>
      </rPr>
      <t xml:space="preserve"> из земель с/х назначения, находящегося в федеральной собственности</t>
    </r>
  </si>
  <si>
    <t>ИП глава К(Ф)Х Гадальшин Ринат Рафаилович</t>
  </si>
  <si>
    <t>г .Красноярск (Сухобузимский)</t>
  </si>
  <si>
    <r>
      <t>Размер полученной государственной поддержки                                  за 12</t>
    </r>
    <r>
      <rPr>
        <b/>
        <sz val="16"/>
        <rFont val="Times New Roman"/>
        <family val="1"/>
        <charset val="204"/>
      </rPr>
      <t xml:space="preserve"> месяцев 2017 года - всего</t>
    </r>
    <r>
      <rPr>
        <sz val="16"/>
        <rFont val="Times New Roman"/>
        <family val="1"/>
        <charset val="204"/>
      </rPr>
      <t xml:space="preserve">
 тыс. руб</t>
    </r>
  </si>
  <si>
    <t>Зыкова Оксана Александровна</t>
  </si>
  <si>
    <t>Сахаров Александр Петрович</t>
  </si>
  <si>
    <t>Смыкова Ирина Геннадьевна</t>
  </si>
  <si>
    <t>Бояршина Ольга Владимировна</t>
  </si>
  <si>
    <t>Родионова Анастасия Ивановна</t>
  </si>
  <si>
    <t>Каулин Евгений Анатольевич</t>
  </si>
  <si>
    <t>Кононенко Александр Алексеевич</t>
  </si>
  <si>
    <t>Дмитриев Владимир Валерьевич</t>
  </si>
  <si>
    <t>Коновалов Виктор Геннадьевич</t>
  </si>
  <si>
    <t>Машкова Юлия Михайловна</t>
  </si>
  <si>
    <t>Чугуев Антон Геннадьевич</t>
  </si>
  <si>
    <t>Ковальчук Мария Александровна</t>
  </si>
  <si>
    <t>Глухов Максим Сергеевич</t>
  </si>
  <si>
    <t>Гущин Кирилл Вячеславович</t>
  </si>
  <si>
    <t>Уросов Евгений Александрович</t>
  </si>
  <si>
    <t>Пашинова Анастасия Михайловна</t>
  </si>
  <si>
    <t>Перина Татьяна Сергеевна</t>
  </si>
  <si>
    <t>Борисова Елизавета Валерьевна</t>
  </si>
  <si>
    <t>Бакалов Валерий Вячеславович</t>
  </si>
  <si>
    <t>Уланова Евгения Евгеньевна</t>
  </si>
  <si>
    <r>
      <t xml:space="preserve">Субсидии на компенсацию части затрат на </t>
    </r>
    <r>
      <rPr>
        <b/>
        <sz val="15"/>
        <rFont val="Times New Roman"/>
        <family val="1"/>
        <charset val="204"/>
      </rPr>
      <t xml:space="preserve">содержание </t>
    </r>
    <r>
      <rPr>
        <sz val="15"/>
        <rFont val="Times New Roman"/>
        <family val="1"/>
        <charset val="204"/>
      </rPr>
      <t>племенного маточного поголовья с/х животных, племенных быков производителей и племенных рогачей маралов</t>
    </r>
  </si>
  <si>
    <t>Карпов Серней Викторович</t>
  </si>
  <si>
    <t>Попова Дарья Георгиевна</t>
  </si>
  <si>
    <t>Горбунов Валентин Сергеевич</t>
  </si>
  <si>
    <t>Ураков Владислав Владимирович</t>
  </si>
  <si>
    <t>Ураков Евгений Владимирович</t>
  </si>
  <si>
    <t>Лещук Павел Владимирович</t>
  </si>
  <si>
    <t>Белицкая Снежанна Александровна</t>
  </si>
  <si>
    <t>Попков Алексей Александрович</t>
  </si>
  <si>
    <t>ИП глава К(Ф)Х Мамедов Ильхам Фархад оглы</t>
  </si>
  <si>
    <t>ИП глава К(Ф)Х Макарчук Адам Григорьевич</t>
  </si>
  <si>
    <t>ИП глава К(Ф)Х Запольская Полина Константиновна</t>
  </si>
  <si>
    <t>ИП глава К(Ф)Х Власов Сергей Федорович</t>
  </si>
  <si>
    <t>ИП глава К(Ф)Х Быкова Людмила Владимировна</t>
  </si>
  <si>
    <t>ИП глава К(Ф)Х Мирошниченко Нина Павловна</t>
  </si>
  <si>
    <t>ИП глава К(Ф)Х Кондауров Валерий Степанович</t>
  </si>
  <si>
    <t>ИП глава К(Ф)Х Живанов  Сергей Геннадьевич</t>
  </si>
  <si>
    <t>ИП глава К(Ф)Х Ремизов Евгений Петрович</t>
  </si>
  <si>
    <t>ИП глава К(Ф)Х Тарнакин Григорий Иванович</t>
  </si>
  <si>
    <t>ИП глава К(Ф)Х Кравцов Сергей Геннадьевич</t>
  </si>
  <si>
    <t>ИП глава К(Ф)Х Дорошенко Александр Петрович</t>
  </si>
  <si>
    <t>ИП глава К(Ф)Х Лауберт Нина Александровна</t>
  </si>
  <si>
    <t>ИП глава К(Ф)Х Данцева Наталья Васильевна</t>
  </si>
  <si>
    <t>ИП глава К(Ф)Х Роот Артем Андреевич</t>
  </si>
  <si>
    <t>ИП глава К(Ф)Х Пушкарев Сергей Павлович</t>
  </si>
  <si>
    <t>ИП глава К(Ф)Х Дизендорф Константин Константинович</t>
  </si>
  <si>
    <t>ИП глава К(Ф)Х Эйснер Николай Яковлевич</t>
  </si>
  <si>
    <t>ИП глава К(Ф)Х Карапузова Татьяна Викторовна</t>
  </si>
  <si>
    <t>ИП глава К(Ф)Х Зубарева Наталья Владимировна</t>
  </si>
  <si>
    <t>ИП глава К(Ф)Х Зыкова Наталья Федоровна</t>
  </si>
  <si>
    <t>ИП глава К(Ф)Х Ондар  Буян Шулуунович</t>
  </si>
  <si>
    <t>ИП глава К(Ф)Х Бурякин Евгений Николаевич</t>
  </si>
  <si>
    <t>ИП глава К(Ф)Х Михайлов Павел Сергеевич</t>
  </si>
  <si>
    <t>ИП глава К(Ф)Х Салахутдинов Захит Васылович</t>
  </si>
  <si>
    <t>ИП глава К(Ф)Х Бурцев Андрей Александрович</t>
  </si>
  <si>
    <t>ИП глава К(Ф)Х Пешкова Елена Анатольевна</t>
  </si>
  <si>
    <t>ИП глава К(Ф)Х Сарапин Василий Владимирович</t>
  </si>
  <si>
    <t>ИП глава К(Ф)Х Маньшина Надежда Анатольевна</t>
  </si>
  <si>
    <t>ИП глава К(Ф)Х Комаров Владимир Николаевич</t>
  </si>
  <si>
    <t>ИП глава К(Ф)Х Вождаев Максим Владимирович</t>
  </si>
  <si>
    <t>ИП глава К(Ф)Х Никитина Валентина Константиновна</t>
  </si>
  <si>
    <t>ИП глава К(Ф)Х Мельников Евгений Викторович</t>
  </si>
  <si>
    <t>ИП глава К(Ф)Х Чернышев Иван Васильевич</t>
  </si>
  <si>
    <t>ИП глава К(Ф)Х Малышев Алексей Валерьевич</t>
  </si>
  <si>
    <t>ИП глава К(Ф)Х Кляйн Максим Яковлевич</t>
  </si>
  <si>
    <t>ИП глава К(Ф)Х Леденько Виталий Анатольевич</t>
  </si>
  <si>
    <t>ИП глава К(Ф)Х Стенчин Никита Сергеевич</t>
  </si>
  <si>
    <t>ИП Глава К(Ф)Х Вензель Александр Андрепевич</t>
  </si>
  <si>
    <t>ИП Глава К(Ф)Х Черепанова Ирина Григорьевна</t>
  </si>
  <si>
    <t>ИП глава К(Ф)Х Гуков Вячеслав Михайлович</t>
  </si>
  <si>
    <r>
      <t xml:space="preserve">Гранты начинающим фермерам на </t>
    </r>
    <r>
      <rPr>
        <b/>
        <sz val="15"/>
        <rFont val="Times New Roman"/>
        <family val="1"/>
        <charset val="204"/>
      </rPr>
      <t>создание</t>
    </r>
    <r>
      <rPr>
        <sz val="15"/>
        <rFont val="Times New Roman"/>
        <family val="1"/>
        <charset val="204"/>
      </rPr>
      <t xml:space="preserve"> и </t>
    </r>
    <r>
      <rPr>
        <b/>
        <sz val="15"/>
        <rFont val="Times New Roman"/>
        <family val="1"/>
        <charset val="204"/>
      </rPr>
      <t>развитие</t>
    </r>
    <r>
      <rPr>
        <sz val="15"/>
        <rFont val="Times New Roman"/>
        <family val="1"/>
        <charset val="204"/>
      </rPr>
      <t xml:space="preserve"> крестьянского (фермерского) хозяйства </t>
    </r>
  </si>
  <si>
    <t>ИП глава К(Ф)Х Сушкова Оксана Александровна</t>
  </si>
  <si>
    <t>ИП глава К(Ф)Х Спирина Евгения Александровна</t>
  </si>
  <si>
    <t>ИП глава К(Ф)Х Лойко Виктор Николаевич</t>
  </si>
  <si>
    <t>ИП Глава К(Ф)Х Аветисян Рубен Телемакович</t>
  </si>
  <si>
    <t>ИП Глава К(Ф)Х Романченко Андрей Сергеевич</t>
  </si>
  <si>
    <t>ИП глава К(Ф)Х Федоров Вадим Юрьевич</t>
  </si>
  <si>
    <t>ИП Глава К(Ф)Х Сиротенко Вячеслав Васильевич</t>
  </si>
  <si>
    <t>ИП глава К(Ф)Х Кожевников Сергей Геннадьевич</t>
  </si>
  <si>
    <t>ИП глава К(Ф)Х  Силомеднис Елена Николаевна</t>
  </si>
  <si>
    <t>ИП глава К(Ф)Х Тушин Андрей Владимирович</t>
  </si>
  <si>
    <t>ИП глава К(Ф)Х Абрамов Сергей Владимирович</t>
  </si>
  <si>
    <t>ИП глава К(Ф)Х Тропин Висилий Леонидович</t>
  </si>
  <si>
    <t>ИП глава К(Ф)Х Калинин Андрей Александрович</t>
  </si>
  <si>
    <t>ИП глава К(Ф)Х Богданова Анастасия Николаевна</t>
  </si>
  <si>
    <t>ИП глава К(Ф)Х Ноговицын Александр Александрович</t>
  </si>
  <si>
    <t>ИП глава К(Ф)Х Сасов Николай Николаевич</t>
  </si>
  <si>
    <t>ИП глава К(Ф)Х Смирнов Петр Николаевич</t>
  </si>
  <si>
    <t>ИП глава К(Ф)Х Савицкая Людмила Онуфриевна</t>
  </si>
  <si>
    <t>ИП глава К(Ф)Х Хиляс Андрей Александрович</t>
  </si>
  <si>
    <t>ИП глава К(Ф)Х Нестеров Максим Тимофеевич</t>
  </si>
  <si>
    <t>ИП глава К(Ф)Х Арутюнян Анастасия Ростиславовна</t>
  </si>
  <si>
    <t>Сухобузимский (г.Красноярск)</t>
  </si>
  <si>
    <r>
      <t xml:space="preserve">Субсидии на возмещение части процентной ставки по </t>
    </r>
    <r>
      <rPr>
        <b/>
        <sz val="15"/>
        <rFont val="Times New Roman"/>
        <family val="1"/>
        <charset val="204"/>
      </rPr>
      <t xml:space="preserve">инвестиционным </t>
    </r>
    <r>
      <rPr>
        <sz val="15"/>
        <rFont val="Times New Roman"/>
        <family val="1"/>
        <charset val="204"/>
      </rPr>
      <t xml:space="preserve">кредитам (займам), полученным на цели развития подотрасли </t>
    </r>
    <r>
      <rPr>
        <b/>
        <sz val="15"/>
        <rFont val="Times New Roman"/>
        <family val="1"/>
        <charset val="204"/>
      </rPr>
      <t xml:space="preserve">животноводства </t>
    </r>
    <r>
      <rPr>
        <sz val="15"/>
        <rFont val="Times New Roman"/>
        <family val="1"/>
        <charset val="204"/>
      </rPr>
      <t xml:space="preserve">на срок до </t>
    </r>
    <r>
      <rPr>
        <b/>
        <sz val="15"/>
        <rFont val="Times New Roman"/>
        <family val="1"/>
        <charset val="204"/>
      </rPr>
      <t>8</t>
    </r>
    <r>
      <rPr>
        <sz val="15"/>
        <rFont val="Times New Roman"/>
        <family val="1"/>
        <charset val="204"/>
      </rPr>
      <t xml:space="preserve"> лет</t>
    </r>
  </si>
  <si>
    <r>
      <t xml:space="preserve">Субсидии на возмещение части процентной ставки по </t>
    </r>
    <r>
      <rPr>
        <b/>
        <sz val="15"/>
        <rFont val="Times New Roman"/>
        <family val="1"/>
        <charset val="204"/>
      </rPr>
      <t>инвестиционным</t>
    </r>
    <r>
      <rPr>
        <sz val="15"/>
        <rFont val="Times New Roman"/>
        <family val="1"/>
        <charset val="204"/>
      </rPr>
      <t xml:space="preserve"> кредитам (займам), полученным на цели развития подотрасли </t>
    </r>
    <r>
      <rPr>
        <b/>
        <sz val="15"/>
        <rFont val="Times New Roman"/>
        <family val="1"/>
        <charset val="204"/>
      </rPr>
      <t>растениеводства</t>
    </r>
    <r>
      <rPr>
        <sz val="15"/>
        <rFont val="Times New Roman"/>
        <family val="1"/>
        <charset val="204"/>
      </rPr>
      <t xml:space="preserve"> на срок до </t>
    </r>
    <r>
      <rPr>
        <b/>
        <sz val="15"/>
        <rFont val="Times New Roman"/>
        <family val="1"/>
        <charset val="204"/>
      </rPr>
      <t>8</t>
    </r>
    <r>
      <rPr>
        <sz val="15"/>
        <rFont val="Times New Roman"/>
        <family val="1"/>
        <charset val="204"/>
      </rPr>
      <t xml:space="preserve"> лет и до </t>
    </r>
    <r>
      <rPr>
        <b/>
        <sz val="15"/>
        <rFont val="Times New Roman"/>
        <family val="1"/>
        <charset val="204"/>
      </rPr>
      <t>10</t>
    </r>
    <r>
      <rPr>
        <sz val="15"/>
        <rFont val="Times New Roman"/>
        <family val="1"/>
        <charset val="204"/>
      </rPr>
      <t xml:space="preserve"> лет</t>
    </r>
  </si>
  <si>
    <r>
      <t xml:space="preserve">Субсидии на возмещение части затрат на </t>
    </r>
    <r>
      <rPr>
        <b/>
        <sz val="15"/>
        <rFont val="Times New Roman"/>
        <family val="1"/>
        <charset val="204"/>
      </rPr>
      <t>уплату процентов</t>
    </r>
    <r>
      <rPr>
        <sz val="15"/>
        <rFont val="Times New Roman"/>
        <family val="1"/>
        <charset val="204"/>
      </rPr>
      <t xml:space="preserve"> по кредитам (займам), полученным на развитие </t>
    </r>
    <r>
      <rPr>
        <b/>
        <sz val="15"/>
        <rFont val="Times New Roman"/>
        <family val="1"/>
        <charset val="204"/>
      </rPr>
      <t>малым форм хозяйствования</t>
    </r>
  </si>
  <si>
    <r>
      <t xml:space="preserve">Субсидии на компенсацию части затрат на </t>
    </r>
    <r>
      <rPr>
        <b/>
        <sz val="15"/>
        <rFont val="Times New Roman"/>
        <family val="1"/>
        <charset val="204"/>
      </rPr>
      <t>закладку</t>
    </r>
    <r>
      <rPr>
        <sz val="15"/>
        <rFont val="Times New Roman"/>
        <family val="1"/>
        <charset val="204"/>
      </rPr>
      <t xml:space="preserve"> и уход за многолетними насаждениями</t>
    </r>
  </si>
  <si>
    <r>
      <t xml:space="preserve">Субсидии на возмещение части затрат на уплату </t>
    </r>
    <r>
      <rPr>
        <b/>
        <sz val="15"/>
        <rFont val="Times New Roman"/>
        <family val="1"/>
        <charset val="204"/>
      </rPr>
      <t>процентов</t>
    </r>
    <r>
      <rPr>
        <sz val="15"/>
        <rFont val="Times New Roman"/>
        <family val="1"/>
        <charset val="204"/>
      </rPr>
      <t xml:space="preserve"> по кредитам, полученным в российских кредитных организациях на развитие товарного </t>
    </r>
    <r>
      <rPr>
        <b/>
        <sz val="15"/>
        <rFont val="Times New Roman"/>
        <family val="1"/>
        <charset val="204"/>
      </rPr>
      <t>осетроводства</t>
    </r>
    <r>
      <rPr>
        <sz val="15"/>
        <rFont val="Times New Roman"/>
        <family val="1"/>
        <charset val="204"/>
      </rPr>
      <t>, на срок до 10 лет</t>
    </r>
  </si>
  <si>
    <t>ООО "Хлеб"</t>
  </si>
  <si>
    <t>ИП глава КФХ Зарубин Юрий Константинович</t>
  </si>
  <si>
    <r>
      <t>Субсидии на возмещение части фактически осуществленных затрат в рамках</t>
    </r>
    <r>
      <rPr>
        <b/>
        <sz val="15"/>
        <rFont val="Times New Roman"/>
        <family val="1"/>
        <charset val="204"/>
      </rPr>
      <t xml:space="preserve"> гидромелиоративных мероприятий по строительству оросительных (осушительных) систем </t>
    </r>
    <r>
      <rPr>
        <sz val="15"/>
        <rFont val="Times New Roman"/>
        <family val="1"/>
        <charset val="204"/>
      </rPr>
      <t>общего и (или) индивидуального пользования и (или) отдельно расположенных гидротехнических сооружений</t>
    </r>
  </si>
  <si>
    <r>
      <rPr>
        <b/>
        <sz val="14"/>
        <rFont val="Times New Roman"/>
        <family val="1"/>
        <charset val="204"/>
      </rPr>
      <t xml:space="preserve">Средства из резервного фонда Правительства Красноярского края </t>
    </r>
    <r>
      <rPr>
        <sz val="14"/>
        <rFont val="Times New Roman"/>
        <family val="1"/>
        <charset val="204"/>
      </rPr>
      <t>на возмещение ущерба по прямым затратам, понесенным субъектами агропромышленного комплекса Красноярского края в результате стихийных бедствий, опасных или неблагоприятных метеорологических или агрометеорологических природных явлений (условий)</t>
    </r>
  </si>
  <si>
    <r>
      <rPr>
        <b/>
        <sz val="14"/>
        <rFont val="Times New Roman"/>
        <family val="1"/>
        <charset val="204"/>
      </rPr>
      <t>Средства из резервного фонда Правительства Российской Федерации</t>
    </r>
    <r>
      <rPr>
        <sz val="14"/>
        <rFont val="Times New Roman"/>
        <family val="1"/>
        <charset val="204"/>
      </rPr>
      <t xml:space="preserve"> на компенсацию ущерба, причиненного в 2017 году в результате чрезвычайных ситуаций природного характера  </t>
    </r>
  </si>
  <si>
    <r>
      <t>Субсидии на возмещение части прямых понесенных затрат на</t>
    </r>
    <r>
      <rPr>
        <b/>
        <sz val="15"/>
        <rFont val="Times New Roman"/>
        <family val="1"/>
        <charset val="204"/>
      </rPr>
      <t xml:space="preserve"> создание объектов для хранения и складирования </t>
    </r>
    <r>
      <rPr>
        <sz val="15"/>
        <rFont val="Times New Roman"/>
        <family val="1"/>
        <charset val="204"/>
      </rPr>
      <t>зерна, объектов для содержания птицы мясных пород, объектов для убоя крупного рогатого скота и (или) свиней, объектов для переработки сельскохозяйственной продукции, объектов для переработки, утилизации отходов животноводства, в том числе биогазовые установки, для обработки, очистки сточных вод, животноводческих стоков (водоочистные сооружения)</t>
    </r>
  </si>
  <si>
    <r>
      <t xml:space="preserve">Субсидии на возмещение части процентной ставки по </t>
    </r>
    <r>
      <rPr>
        <b/>
        <sz val="15"/>
        <rFont val="Times New Roman"/>
        <family val="1"/>
        <charset val="204"/>
      </rPr>
      <t>краткосрочным</t>
    </r>
    <r>
      <rPr>
        <sz val="15"/>
        <rFont val="Times New Roman"/>
        <family val="1"/>
        <charset val="204"/>
      </rPr>
      <t xml:space="preserve"> кредитам (займам) на срок </t>
    </r>
    <r>
      <rPr>
        <b/>
        <sz val="15"/>
        <rFont val="Times New Roman"/>
        <family val="1"/>
        <charset val="204"/>
      </rPr>
      <t>до 1 года</t>
    </r>
  </si>
  <si>
    <r>
      <t xml:space="preserve">Субсидии на возмещение части  затрат на уплату </t>
    </r>
    <r>
      <rPr>
        <b/>
        <sz val="15"/>
        <rFont val="Times New Roman"/>
        <family val="1"/>
        <charset val="204"/>
      </rPr>
      <t>процентов по кредитам</t>
    </r>
    <r>
      <rPr>
        <sz val="15"/>
        <rFont val="Times New Roman"/>
        <family val="1"/>
        <charset val="204"/>
      </rPr>
      <t>, полученным</t>
    </r>
    <r>
      <rPr>
        <b/>
        <sz val="15"/>
        <rFont val="Times New Roman"/>
        <family val="1"/>
        <charset val="204"/>
      </rPr>
      <t xml:space="preserve"> после 1 января 2017</t>
    </r>
    <r>
      <rPr>
        <sz val="15"/>
        <rFont val="Times New Roman"/>
        <family val="1"/>
        <charset val="204"/>
      </rPr>
      <t xml:space="preserve"> года на срок от </t>
    </r>
    <r>
      <rPr>
        <b/>
        <sz val="15"/>
        <rFont val="Times New Roman"/>
        <family val="1"/>
        <charset val="204"/>
      </rPr>
      <t>2</t>
    </r>
    <r>
      <rPr>
        <sz val="15"/>
        <rFont val="Times New Roman"/>
        <family val="1"/>
        <charset val="204"/>
      </rPr>
      <t xml:space="preserve"> до </t>
    </r>
    <r>
      <rPr>
        <b/>
        <sz val="15"/>
        <rFont val="Times New Roman"/>
        <family val="1"/>
        <charset val="204"/>
      </rPr>
      <t>15</t>
    </r>
    <r>
      <rPr>
        <sz val="15"/>
        <rFont val="Times New Roman"/>
        <family val="1"/>
        <charset val="204"/>
      </rPr>
      <t xml:space="preserve"> лет
</t>
    </r>
  </si>
  <si>
    <r>
      <t xml:space="preserve">Субсидии на возмещение части  затрат на </t>
    </r>
    <r>
      <rPr>
        <b/>
        <sz val="15"/>
        <rFont val="Times New Roman"/>
        <family val="1"/>
        <charset val="204"/>
      </rPr>
      <t xml:space="preserve">уплату процентов </t>
    </r>
    <r>
      <rPr>
        <sz val="15"/>
        <rFont val="Times New Roman"/>
        <family val="1"/>
        <charset val="204"/>
      </rPr>
      <t xml:space="preserve">по кредитам, полученным </t>
    </r>
    <r>
      <rPr>
        <b/>
        <sz val="15"/>
        <rFont val="Times New Roman"/>
        <family val="1"/>
        <charset val="204"/>
      </rPr>
      <t>после 1 января 2017</t>
    </r>
    <r>
      <rPr>
        <sz val="15"/>
        <rFont val="Times New Roman"/>
        <family val="1"/>
        <charset val="204"/>
      </rPr>
      <t xml:space="preserve"> года на срок до</t>
    </r>
    <r>
      <rPr>
        <b/>
        <sz val="15"/>
        <rFont val="Times New Roman"/>
        <family val="1"/>
        <charset val="204"/>
      </rPr>
      <t xml:space="preserve"> 1</t>
    </r>
    <r>
      <rPr>
        <sz val="15"/>
        <rFont val="Times New Roman"/>
        <family val="1"/>
        <charset val="204"/>
      </rPr>
      <t xml:space="preserve"> года
</t>
    </r>
  </si>
  <si>
    <r>
      <t xml:space="preserve">Расходы на </t>
    </r>
    <r>
      <rPr>
        <b/>
        <sz val="15"/>
        <rFont val="Times New Roman"/>
        <family val="1"/>
        <charset val="204"/>
      </rPr>
      <t>приобретение</t>
    </r>
    <r>
      <rPr>
        <sz val="15"/>
        <rFont val="Times New Roman"/>
        <family val="1"/>
        <charset val="204"/>
      </rPr>
      <t xml:space="preserve"> средств </t>
    </r>
    <r>
      <rPr>
        <b/>
        <sz val="15"/>
        <rFont val="Times New Roman"/>
        <family val="1"/>
        <charset val="204"/>
      </rPr>
      <t xml:space="preserve">химической защиты растений </t>
    </r>
    <r>
      <rPr>
        <sz val="15"/>
        <rFont val="Times New Roman"/>
        <family val="1"/>
        <charset val="204"/>
      </rPr>
      <t>для их последующей безвозмездной передачи</t>
    </r>
  </si>
  <si>
    <r>
      <t xml:space="preserve">Субсидии на </t>
    </r>
    <r>
      <rPr>
        <b/>
        <sz val="15"/>
        <rFont val="Times New Roman"/>
        <family val="1"/>
        <charset val="204"/>
      </rPr>
      <t>удешевление стоимости</t>
    </r>
    <r>
      <rPr>
        <sz val="15"/>
        <rFont val="Times New Roman"/>
        <family val="1"/>
        <charset val="204"/>
      </rPr>
      <t xml:space="preserve"> семени и жидкого азота, реализуемых краевым государственным учреждениям ветеринарии и используемых в крае для искусственного осеменения сельскохозяйственных животных, принадлежащих ЛПХ, КФХ, ИП </t>
    </r>
  </si>
  <si>
    <r>
      <t xml:space="preserve">Субсидии на компенсацию части затрат на производство и реализацию </t>
    </r>
    <r>
      <rPr>
        <b/>
        <sz val="15"/>
        <rFont val="Times New Roman"/>
        <family val="1"/>
        <charset val="204"/>
      </rPr>
      <t>молока и молокопродуктов</t>
    </r>
  </si>
  <si>
    <r>
      <t xml:space="preserve">Субсидии на возмещение части затрат на проведение </t>
    </r>
    <r>
      <rPr>
        <b/>
        <sz val="14"/>
        <rFont val="Times New Roman"/>
        <family val="1"/>
        <charset val="204"/>
      </rPr>
      <t xml:space="preserve">культуртехнических </t>
    </r>
    <r>
      <rPr>
        <b/>
        <sz val="15"/>
        <rFont val="Times New Roman"/>
        <family val="1"/>
        <charset val="204"/>
      </rPr>
      <t>мероприятий</t>
    </r>
  </si>
  <si>
    <r>
      <t>Субсидии на возмещение части затрат на проведение</t>
    </r>
    <r>
      <rPr>
        <b/>
        <sz val="14"/>
        <rFont val="Times New Roman"/>
        <family val="1"/>
        <charset val="204"/>
      </rPr>
      <t xml:space="preserve"> комплекса агротехнологических работ</t>
    </r>
    <r>
      <rPr>
        <sz val="14"/>
        <rFont val="Times New Roman"/>
        <family val="1"/>
        <charset val="204"/>
      </rPr>
      <t xml:space="preserve">, повышение уровня экологической безопасности сельскохозяйственного производства, а также повышение плодородия и качества почв в расчете на 1 гектар посевной площади </t>
    </r>
    <r>
      <rPr>
        <b/>
        <sz val="14"/>
        <rFont val="Times New Roman"/>
        <family val="1"/>
        <charset val="204"/>
      </rPr>
      <t>прочих сельскохозяйственных культур</t>
    </r>
  </si>
  <si>
    <r>
      <t>Субсидия на компесацию части затрат</t>
    </r>
    <r>
      <rPr>
        <b/>
        <sz val="15"/>
        <rFont val="Times New Roman"/>
        <family val="1"/>
        <charset val="204"/>
      </rPr>
      <t xml:space="preserve"> на приобретение племенных нетелей </t>
    </r>
    <r>
      <rPr>
        <sz val="15"/>
        <rFont val="Times New Roman"/>
        <family val="1"/>
        <charset val="204"/>
      </rPr>
      <t xml:space="preserve">и (или) коров первотелок включенных в </t>
    </r>
    <r>
      <rPr>
        <b/>
        <sz val="15"/>
        <rFont val="Times New Roman"/>
        <family val="1"/>
        <charset val="204"/>
      </rPr>
      <t xml:space="preserve">Государственный реестр </t>
    </r>
    <r>
      <rPr>
        <sz val="15"/>
        <rFont val="Times New Roman"/>
        <family val="1"/>
        <charset val="204"/>
      </rPr>
      <t>селекционных достижений (за исключ. импортированных)</t>
    </r>
  </si>
  <si>
    <r>
      <t xml:space="preserve">Субсидии на компенсацию части </t>
    </r>
    <r>
      <rPr>
        <b/>
        <sz val="15"/>
        <rFont val="Times New Roman"/>
        <family val="1"/>
        <charset val="204"/>
      </rPr>
      <t>произведенных и невозмещенных в 2016 году затрат</t>
    </r>
    <r>
      <rPr>
        <sz val="15"/>
        <rFont val="Times New Roman"/>
        <family val="1"/>
        <charset val="204"/>
      </rPr>
      <t xml:space="preserve">, связанных с </t>
    </r>
    <r>
      <rPr>
        <b/>
        <sz val="15"/>
        <rFont val="Times New Roman"/>
        <family val="1"/>
        <charset val="204"/>
      </rPr>
      <t>приобретением новых изделий автомобильной промышленности</t>
    </r>
    <r>
      <rPr>
        <sz val="15"/>
        <rFont val="Times New Roman"/>
        <family val="1"/>
        <charset val="204"/>
      </rPr>
      <t>, тракторов и сельскохозяйственных машин, нового оборудования технологического</t>
    </r>
  </si>
  <si>
    <r>
      <t xml:space="preserve">Субсидии на компенсацию части затрат, </t>
    </r>
    <r>
      <rPr>
        <b/>
        <sz val="15"/>
        <rFont val="Times New Roman"/>
        <family val="1"/>
        <charset val="204"/>
      </rPr>
      <t>связанных с повышением квалификации работников в организациях</t>
    </r>
    <r>
      <rPr>
        <sz val="15"/>
        <rFont val="Times New Roman"/>
        <family val="1"/>
        <charset val="204"/>
      </rPr>
      <t xml:space="preserve">, осуществляющих образовательную деятельность по дополнительным профессиональным программам, расположенным на территории Российской Федерации, (стоимость обучения, расходы по проезду, найму жилого помещения) </t>
    </r>
  </si>
  <si>
    <t>ИП Глава К(Ф)Х Фандо Борис Николаевич</t>
  </si>
  <si>
    <t>ИП Глава К(Ф)Х Кривошеев Владимир Анатольевич</t>
  </si>
  <si>
    <t>ИП Глава К(Ф)Х Селявко Владимир Александрович</t>
  </si>
  <si>
    <t>ИП Глава К(Ф)Х Споткай Алена Владимировна</t>
  </si>
  <si>
    <t>ИП глава К(Ф)Х Тяжких Денис Витальевич</t>
  </si>
  <si>
    <t>ИП глава К(Ф)Х Зайцев Валерий Иванович</t>
  </si>
  <si>
    <t>ИП глава К(Ф)Х Нефедкин Андрей Яковлевич</t>
  </si>
  <si>
    <t>ИП глава К(Ф)Х Азизов Олег Семенович</t>
  </si>
  <si>
    <r>
      <t xml:space="preserve">Субсидии на  компенсацию части затрат на </t>
    </r>
    <r>
      <rPr>
        <b/>
        <sz val="15"/>
        <color theme="0" tint="-0.499984740745262"/>
        <rFont val="Times New Roman"/>
        <family val="1"/>
        <charset val="204"/>
      </rPr>
      <t xml:space="preserve">приобретение </t>
    </r>
    <r>
      <rPr>
        <sz val="15"/>
        <color theme="0" tint="-0.499984740745262"/>
        <rFont val="Times New Roman"/>
        <family val="1"/>
        <charset val="204"/>
      </rPr>
      <t xml:space="preserve">племенного материала разводимых пород, двухпородных гибридных ремонтных свинок для воспроизводства </t>
    </r>
  </si>
  <si>
    <r>
      <t xml:space="preserve">Субсидии на компенсацию части затрат, связанных с приобретением </t>
    </r>
    <r>
      <rPr>
        <b/>
        <sz val="15"/>
        <color theme="0" tint="-0.499984740745262"/>
        <rFont val="Times New Roman"/>
        <family val="1"/>
        <charset val="204"/>
      </rPr>
      <t>изделий автомобильной промышленности,</t>
    </r>
    <r>
      <rPr>
        <sz val="15"/>
        <color theme="0" tint="-0.499984740745262"/>
        <rFont val="Times New Roman"/>
        <family val="1"/>
        <charset val="204"/>
      </rPr>
      <t xml:space="preserve"> с/х машин, оборудования технологического для пищевой, мясомолочной и рыбной промышленности</t>
    </r>
  </si>
  <si>
    <t>ООО ОПХ "Боготольское"</t>
  </si>
  <si>
    <t>ИП Глава К(Ф)Х Толмачёв Виктор Павлович</t>
  </si>
  <si>
    <r>
      <t xml:space="preserve">Субсидия на компенсацию части затрат на </t>
    </r>
    <r>
      <rPr>
        <b/>
        <sz val="15"/>
        <rFont val="Times New Roman"/>
        <family val="1"/>
        <charset val="204"/>
      </rPr>
      <t xml:space="preserve">приобретение  </t>
    </r>
    <r>
      <rPr>
        <sz val="15"/>
        <rFont val="Times New Roman"/>
        <family val="1"/>
        <charset val="204"/>
      </rPr>
      <t xml:space="preserve">импортированных </t>
    </r>
    <r>
      <rPr>
        <b/>
        <sz val="15"/>
        <rFont val="Times New Roman"/>
        <family val="1"/>
        <charset val="204"/>
      </rPr>
      <t>племенных</t>
    </r>
    <r>
      <rPr>
        <sz val="15"/>
        <rFont val="Times New Roman"/>
        <family val="1"/>
        <charset val="204"/>
      </rPr>
      <t xml:space="preserve"> </t>
    </r>
    <r>
      <rPr>
        <b/>
        <sz val="15"/>
        <rFont val="Times New Roman"/>
        <family val="1"/>
        <charset val="204"/>
      </rPr>
      <t>быков-</t>
    </r>
    <r>
      <rPr>
        <sz val="15"/>
        <rFont val="Times New Roman"/>
        <family val="1"/>
        <charset val="204"/>
      </rPr>
      <t xml:space="preserve">производителей, </t>
    </r>
    <r>
      <rPr>
        <b/>
        <sz val="15"/>
        <rFont val="Times New Roman"/>
        <family val="1"/>
        <charset val="204"/>
      </rPr>
      <t>хряков-</t>
    </r>
    <r>
      <rPr>
        <sz val="15"/>
        <rFont val="Times New Roman"/>
        <family val="1"/>
        <charset val="204"/>
      </rPr>
      <t>производителей</t>
    </r>
  </si>
  <si>
    <r>
      <t xml:space="preserve">Субсидии на возмещение части прямых понесенных затрат на </t>
    </r>
    <r>
      <rPr>
        <b/>
        <sz val="15"/>
        <rFont val="Times New Roman"/>
        <family val="1"/>
        <charset val="204"/>
      </rPr>
      <t>создание и (или) модернизацию животноводческих комплексов молочного направления</t>
    </r>
    <r>
      <rPr>
        <sz val="15"/>
        <rFont val="Times New Roman"/>
        <family val="1"/>
        <charset val="204"/>
      </rPr>
      <t xml:space="preserve"> (молочных ферм) и (или) </t>
    </r>
    <r>
      <rPr>
        <b/>
        <sz val="15"/>
        <rFont val="Times New Roman"/>
        <family val="1"/>
        <charset val="204"/>
      </rPr>
      <t>картофелехранилищ (овощехранилищ)</t>
    </r>
    <r>
      <rPr>
        <sz val="15"/>
        <rFont val="Times New Roman"/>
        <family val="1"/>
        <charset val="204"/>
      </rPr>
      <t xml:space="preserve">, и (или) тепличных комплексов, и (или) селекционно-семеноводческих центров в растениеводстве, и (или) создание оптово-распределительных центров, а также на приобретение техники и (или) оборудования </t>
    </r>
  </si>
  <si>
    <t xml:space="preserve">Ачинский </t>
  </si>
  <si>
    <t xml:space="preserve">Иланский </t>
  </si>
  <si>
    <r>
      <t>Березовский</t>
    </r>
    <r>
      <rPr>
        <i/>
        <sz val="16"/>
        <rFont val="Times New Roman"/>
        <family val="1"/>
        <charset val="204"/>
      </rPr>
      <t xml:space="preserve"> (Сухобузимский)</t>
    </r>
  </si>
  <si>
    <r>
      <t xml:space="preserve">Березовский </t>
    </r>
    <r>
      <rPr>
        <i/>
        <sz val="16"/>
        <rFont val="Times New Roman"/>
        <family val="1"/>
        <charset val="204"/>
      </rPr>
      <t>(Сосновоборск)</t>
    </r>
  </si>
  <si>
    <r>
      <t>Боготольский</t>
    </r>
    <r>
      <rPr>
        <i/>
        <sz val="16"/>
        <rFont val="Times New Roman"/>
        <family val="1"/>
        <charset val="204"/>
      </rPr>
      <t xml:space="preserve"> (Красноярск)</t>
    </r>
  </si>
  <si>
    <r>
      <t>Емельяновский</t>
    </r>
    <r>
      <rPr>
        <i/>
        <sz val="16"/>
        <rFont val="Times New Roman"/>
        <family val="1"/>
        <charset val="204"/>
      </rPr>
      <t xml:space="preserve"> (Красноярск)</t>
    </r>
  </si>
  <si>
    <r>
      <t xml:space="preserve">Ирбейский </t>
    </r>
    <r>
      <rPr>
        <i/>
        <sz val="16"/>
        <rFont val="Times New Roman"/>
        <family val="1"/>
        <charset val="204"/>
      </rPr>
      <t>(Красноярск)</t>
    </r>
  </si>
  <si>
    <r>
      <t>Новоселовский</t>
    </r>
    <r>
      <rPr>
        <i/>
        <sz val="16"/>
        <rFont val="Times New Roman"/>
        <family val="1"/>
        <charset val="204"/>
      </rPr>
      <t xml:space="preserve"> (Красноярск)</t>
    </r>
  </si>
  <si>
    <r>
      <t xml:space="preserve">Рыбинский </t>
    </r>
    <r>
      <rPr>
        <i/>
        <sz val="16"/>
        <rFont val="Times New Roman"/>
        <family val="1"/>
        <charset val="204"/>
      </rPr>
      <t xml:space="preserve"> (Красноярск)</t>
    </r>
  </si>
  <si>
    <r>
      <t xml:space="preserve">Рыбинский  </t>
    </r>
    <r>
      <rPr>
        <i/>
        <sz val="16"/>
        <rFont val="Times New Roman"/>
        <family val="1"/>
        <charset val="204"/>
      </rPr>
      <t xml:space="preserve"> (Зеленогорск)</t>
    </r>
  </si>
  <si>
    <t>ИП глава К(Ф)Х Старцев Владимир Олегович</t>
  </si>
  <si>
    <r>
      <t xml:space="preserve">Тасеевский </t>
    </r>
    <r>
      <rPr>
        <i/>
        <sz val="16"/>
        <rFont val="Times New Roman"/>
        <family val="1"/>
        <charset val="204"/>
      </rPr>
      <t xml:space="preserve"> (Красноярск)</t>
    </r>
  </si>
  <si>
    <t>Уярский  Красноярск)</t>
  </si>
  <si>
    <r>
      <t xml:space="preserve">Дзержинский </t>
    </r>
    <r>
      <rPr>
        <i/>
        <sz val="16"/>
        <rFont val="Times New Roman"/>
        <family val="1"/>
        <charset val="204"/>
      </rPr>
      <t xml:space="preserve"> (Канский)</t>
    </r>
  </si>
  <si>
    <t>ИП глава К(Ф)Х КулашковСергей Владимирович</t>
  </si>
  <si>
    <r>
      <t xml:space="preserve"> Субсидия на компенсацию части затрат </t>
    </r>
    <r>
      <rPr>
        <b/>
        <sz val="15"/>
        <rFont val="Times New Roman"/>
        <family val="1"/>
        <charset val="204"/>
      </rPr>
      <t xml:space="preserve">на содержание коров и нетелей </t>
    </r>
    <r>
      <rPr>
        <sz val="15"/>
        <rFont val="Times New Roman"/>
        <family val="1"/>
        <charset val="204"/>
      </rPr>
      <t>КРС</t>
    </r>
    <r>
      <rPr>
        <sz val="15"/>
        <color theme="0" tint="-0.499984740745262"/>
        <rFont val="Times New Roman"/>
        <family val="1"/>
        <charset val="204"/>
      </rPr>
      <t/>
    </r>
  </si>
  <si>
    <t>ИП глава Буглак Дмитрий Валерьевич</t>
  </si>
  <si>
    <t>ИП глава К(Ф)Х Федоткин Николай Николаевич</t>
  </si>
  <si>
    <t xml:space="preserve">прочие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</si>
</sst>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р_._-;\-* #,##0_р_._-;_-* &quot;-&quot;_р_._-;_-@_-"/>
    <numFmt numFmtId="165" formatCode="#,##0.00000"/>
    <numFmt numFmtId="166" formatCode="#,##0.000"/>
    <numFmt numFmtId="167" formatCode="#,##0.000000"/>
    <numFmt numFmtId="168" formatCode="0.00000"/>
    <numFmt numFmtId="169" formatCode="#,##0.0000"/>
    <numFmt numFmtId="170" formatCode="#,##0.00000000"/>
  </numFmts>
  <fonts count="34" x14ac:knownFonts="1">
    <font>
      <sz val="11"/>
      <color theme="1"/>
      <name val="Calibri"/>
      <family val="2"/>
      <charset val="204"/>
      <scheme val="minor"/>
    </font>
    <font>
      <sz val="16"/>
      <name val="Times New Roman"/>
      <family val="1"/>
      <charset val="204"/>
    </font>
    <font>
      <b/>
      <sz val="16"/>
      <name val="Times New Roman"/>
      <family val="1"/>
      <charset val="204"/>
    </font>
    <font>
      <sz val="12"/>
      <name val="Times New Roman"/>
      <family val="1"/>
      <charset val="204"/>
    </font>
    <font>
      <b/>
      <sz val="12"/>
      <name val="Times New Roman"/>
      <family val="1"/>
      <charset val="204"/>
    </font>
    <font>
      <sz val="16"/>
      <color indexed="8"/>
      <name val="Times New Roman"/>
      <family val="1"/>
      <charset val="204"/>
    </font>
    <font>
      <b/>
      <sz val="18"/>
      <name val="Times New Roman"/>
      <family val="1"/>
      <charset val="204"/>
    </font>
    <font>
      <sz val="15"/>
      <name val="Times New Roman"/>
      <family val="1"/>
      <charset val="204"/>
    </font>
    <font>
      <b/>
      <sz val="15"/>
      <name val="Times New Roman"/>
      <family val="1"/>
      <charset val="204"/>
    </font>
    <font>
      <sz val="10"/>
      <name val="Arial Cyr"/>
      <charset val="204"/>
    </font>
    <font>
      <sz val="14"/>
      <name val="Times New Roman"/>
      <family val="1"/>
      <charset val="204"/>
    </font>
    <font>
      <b/>
      <sz val="14"/>
      <name val="Times New Roman"/>
      <family val="1"/>
      <charset val="204"/>
    </font>
    <font>
      <sz val="10"/>
      <name val="Times New Roman"/>
      <family val="1"/>
      <charset val="204"/>
    </font>
    <font>
      <sz val="13"/>
      <name val="Times New Roman"/>
      <family val="1"/>
      <charset val="204"/>
    </font>
    <font>
      <sz val="10"/>
      <name val="Arial"/>
      <family val="2"/>
      <charset val="204"/>
    </font>
    <font>
      <sz val="16"/>
      <color theme="1"/>
      <name val="Times New Roman"/>
      <family val="1"/>
      <charset val="204"/>
    </font>
    <font>
      <b/>
      <i/>
      <sz val="16"/>
      <name val="Times New Roman"/>
      <family val="1"/>
      <charset val="204"/>
    </font>
    <font>
      <sz val="16"/>
      <color rgb="FFFF0000"/>
      <name val="Times New Roman"/>
      <family val="1"/>
      <charset val="204"/>
    </font>
    <font>
      <sz val="16"/>
      <color indexed="10"/>
      <name val="Times New Roman"/>
      <family val="1"/>
      <charset val="204"/>
    </font>
    <font>
      <sz val="16"/>
      <color rgb="FFC00000"/>
      <name val="Times New Roman"/>
      <family val="1"/>
      <charset val="204"/>
    </font>
    <font>
      <sz val="16"/>
      <color indexed="13"/>
      <name val="Times New Roman"/>
      <family val="1"/>
      <charset val="204"/>
    </font>
    <font>
      <b/>
      <sz val="14"/>
      <color indexed="13"/>
      <name val="Times New Roman"/>
      <family val="1"/>
      <charset val="204"/>
    </font>
    <font>
      <sz val="12"/>
      <color indexed="10"/>
      <name val="Times New Roman"/>
      <family val="1"/>
      <charset val="204"/>
    </font>
    <font>
      <sz val="16"/>
      <color indexed="14"/>
      <name val="Times New Roman"/>
      <family val="1"/>
      <charset val="204"/>
    </font>
    <font>
      <sz val="16"/>
      <color indexed="11"/>
      <name val="Times New Roman"/>
      <family val="1"/>
      <charset val="204"/>
    </font>
    <font>
      <b/>
      <sz val="9"/>
      <color indexed="81"/>
      <name val="Tahoma"/>
      <family val="2"/>
      <charset val="204"/>
    </font>
    <font>
      <sz val="9"/>
      <color indexed="81"/>
      <name val="Tahoma"/>
      <family val="2"/>
      <charset val="204"/>
    </font>
    <font>
      <b/>
      <sz val="12"/>
      <color indexed="81"/>
      <name val="Tahoma"/>
      <family val="2"/>
      <charset val="204"/>
    </font>
    <font>
      <sz val="12"/>
      <color indexed="81"/>
      <name val="Tahoma"/>
      <family val="2"/>
      <charset val="204"/>
    </font>
    <font>
      <sz val="16"/>
      <color theme="4"/>
      <name val="Times New Roman"/>
      <family val="1"/>
      <charset val="204"/>
    </font>
    <font>
      <b/>
      <sz val="13"/>
      <name val="Times New Roman"/>
      <family val="1"/>
      <charset val="204"/>
    </font>
    <font>
      <sz val="15"/>
      <color theme="0" tint="-0.499984740745262"/>
      <name val="Times New Roman"/>
      <family val="1"/>
      <charset val="204"/>
    </font>
    <font>
      <b/>
      <sz val="15"/>
      <color theme="0" tint="-0.499984740745262"/>
      <name val="Times New Roman"/>
      <family val="1"/>
      <charset val="204"/>
    </font>
    <font>
      <i/>
      <sz val="16"/>
      <name val="Times New Roman"/>
      <family val="1"/>
      <charset val="204"/>
    </font>
  </fonts>
  <fills count="11">
    <fill>
      <patternFill patternType="none"/>
    </fill>
    <fill>
      <patternFill patternType="gray125"/>
    </fill>
    <fill>
      <patternFill patternType="solid">
        <fgColor theme="9" tint="0.39997558519241921"/>
        <bgColor indexed="64"/>
      </patternFill>
    </fill>
    <fill>
      <patternFill patternType="solid">
        <fgColor rgb="FF66FFFF"/>
        <bgColor indexed="64"/>
      </patternFill>
    </fill>
    <fill>
      <patternFill patternType="solid">
        <fgColor rgb="FFFFFF00"/>
        <bgColor indexed="64"/>
      </patternFill>
    </fill>
    <fill>
      <patternFill patternType="solid">
        <fgColor rgb="FF00FFFF"/>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s>
  <borders count="16">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1">
    <xf numFmtId="0" fontId="0" fillId="0" borderId="0"/>
    <xf numFmtId="0" fontId="9" fillId="0" borderId="0"/>
    <xf numFmtId="0" fontId="14"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cellStyleXfs>
  <cellXfs count="348">
    <xf numFmtId="0" fontId="0" fillId="0" borderId="0" xfId="0"/>
    <xf numFmtId="0" fontId="1" fillId="0" borderId="0" xfId="0" applyFont="1" applyFill="1" applyAlignment="1"/>
    <xf numFmtId="0" fontId="2" fillId="0" borderId="0" xfId="0" applyFont="1" applyFill="1" applyAlignment="1">
      <alignment horizontal="left"/>
    </xf>
    <xf numFmtId="49" fontId="1" fillId="0" borderId="0" xfId="0" applyNumberFormat="1" applyFont="1" applyFill="1" applyAlignment="1">
      <alignment horizontal="left"/>
    </xf>
    <xf numFmtId="49" fontId="4" fillId="2" borderId="0" xfId="0" applyNumberFormat="1" applyFont="1" applyFill="1" applyAlignment="1">
      <alignment horizontal="left"/>
    </xf>
    <xf numFmtId="4" fontId="1" fillId="2" borderId="0" xfId="0" applyNumberFormat="1" applyFont="1" applyFill="1"/>
    <xf numFmtId="4" fontId="1" fillId="0" borderId="0" xfId="0" applyNumberFormat="1" applyFont="1" applyFill="1"/>
    <xf numFmtId="4" fontId="2" fillId="2" borderId="0" xfId="0" applyNumberFormat="1" applyFont="1" applyFill="1" applyBorder="1" applyAlignment="1">
      <alignment vertical="center" wrapText="1"/>
    </xf>
    <xf numFmtId="4" fontId="2" fillId="0" borderId="0" xfId="0" applyNumberFormat="1" applyFont="1" applyFill="1" applyBorder="1" applyAlignment="1">
      <alignment vertical="center" wrapText="1"/>
    </xf>
    <xf numFmtId="165" fontId="2" fillId="0" borderId="0" xfId="0" applyNumberFormat="1" applyFont="1" applyFill="1" applyBorder="1" applyAlignment="1">
      <alignment vertical="center" wrapText="1"/>
    </xf>
    <xf numFmtId="166" fontId="2" fillId="3" borderId="0" xfId="0" applyNumberFormat="1" applyFont="1" applyFill="1" applyBorder="1" applyAlignment="1">
      <alignment vertical="center" wrapText="1"/>
    </xf>
    <xf numFmtId="165" fontId="2" fillId="2" borderId="0" xfId="0" applyNumberFormat="1" applyFont="1" applyFill="1" applyBorder="1" applyAlignment="1">
      <alignment vertical="center" wrapText="1"/>
    </xf>
    <xf numFmtId="4" fontId="2" fillId="4" borderId="0" xfId="0" applyNumberFormat="1" applyFont="1" applyFill="1" applyBorder="1" applyAlignment="1">
      <alignment vertical="center" wrapText="1"/>
    </xf>
    <xf numFmtId="0" fontId="0" fillId="0" borderId="0" xfId="0" applyFill="1"/>
    <xf numFmtId="165" fontId="2" fillId="5" borderId="0" xfId="0" applyNumberFormat="1" applyFont="1" applyFill="1" applyBorder="1" applyAlignment="1">
      <alignment vertical="center" wrapText="1"/>
    </xf>
    <xf numFmtId="4" fontId="2" fillId="6" borderId="0" xfId="0" applyNumberFormat="1" applyFont="1" applyFill="1" applyBorder="1" applyAlignment="1">
      <alignment vertical="center" wrapText="1"/>
    </xf>
    <xf numFmtId="4" fontId="2" fillId="4" borderId="0" xfId="0" applyNumberFormat="1" applyFont="1" applyFill="1" applyBorder="1" applyAlignment="1">
      <alignment horizontal="left" vertical="center" wrapText="1"/>
    </xf>
    <xf numFmtId="0" fontId="1" fillId="0" borderId="0" xfId="0" applyFont="1" applyFill="1"/>
    <xf numFmtId="0" fontId="1" fillId="2" borderId="0" xfId="0" applyFont="1" applyFill="1"/>
    <xf numFmtId="0" fontId="1" fillId="0" borderId="0" xfId="0" applyFont="1" applyFill="1" applyAlignment="1">
      <alignment horizontal="left"/>
    </xf>
    <xf numFmtId="49" fontId="4" fillId="2" borderId="1" xfId="0" applyNumberFormat="1" applyFont="1" applyFill="1" applyBorder="1" applyAlignment="1"/>
    <xf numFmtId="49" fontId="1" fillId="2" borderId="1" xfId="0" applyNumberFormat="1" applyFont="1" applyFill="1" applyBorder="1" applyAlignment="1"/>
    <xf numFmtId="0" fontId="5" fillId="2"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4" fontId="1" fillId="2" borderId="0" xfId="0" applyNumberFormat="1" applyFont="1" applyFill="1" applyBorder="1" applyAlignment="1">
      <alignment horizontal="center" vertical="center" wrapText="1"/>
    </xf>
    <xf numFmtId="4" fontId="1" fillId="0" borderId="0" xfId="0" applyNumberFormat="1"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4" borderId="0" xfId="0" applyFont="1" applyFill="1" applyBorder="1" applyAlignment="1">
      <alignment horizontal="center" vertical="center" wrapText="1"/>
    </xf>
    <xf numFmtId="4" fontId="1" fillId="4" borderId="0" xfId="0" applyNumberFormat="1" applyFont="1" applyFill="1" applyBorder="1" applyAlignment="1">
      <alignment horizontal="center" vertical="center" wrapText="1"/>
    </xf>
    <xf numFmtId="165" fontId="1" fillId="0" borderId="0" xfId="0" applyNumberFormat="1" applyFont="1" applyFill="1" applyBorder="1" applyAlignment="1">
      <alignment horizontal="center" vertical="center" wrapText="1"/>
    </xf>
    <xf numFmtId="165" fontId="1" fillId="2" borderId="0" xfId="0" applyNumberFormat="1" applyFont="1" applyFill="1" applyBorder="1" applyAlignment="1">
      <alignment horizontal="center" vertical="center" wrapText="1"/>
    </xf>
    <xf numFmtId="165" fontId="1" fillId="5" borderId="0" xfId="0" applyNumberFormat="1" applyFont="1" applyFill="1" applyBorder="1" applyAlignment="1">
      <alignment horizontal="center" vertical="center" wrapText="1"/>
    </xf>
    <xf numFmtId="4" fontId="1" fillId="0" borderId="0" xfId="0" applyNumberFormat="1" applyFont="1" applyFill="1" applyBorder="1" applyAlignment="1">
      <alignment horizontal="center" vertical="center"/>
    </xf>
    <xf numFmtId="4" fontId="1" fillId="6" borderId="0" xfId="0" applyNumberFormat="1" applyFont="1" applyFill="1" applyBorder="1" applyAlignment="1">
      <alignment horizontal="center" vertical="center"/>
    </xf>
    <xf numFmtId="0" fontId="1" fillId="4" borderId="0" xfId="0" applyFont="1" applyFill="1" applyBorder="1" applyAlignment="1">
      <alignment horizontal="center" vertical="center"/>
    </xf>
    <xf numFmtId="0" fontId="1" fillId="0" borderId="0" xfId="0" applyFont="1" applyFill="1" applyBorder="1" applyAlignment="1">
      <alignment wrapText="1"/>
    </xf>
    <xf numFmtId="49" fontId="4" fillId="2" borderId="2" xfId="0" applyNumberFormat="1" applyFont="1" applyFill="1" applyBorder="1" applyAlignment="1">
      <alignment vertical="top"/>
    </xf>
    <xf numFmtId="49" fontId="1" fillId="2" borderId="2" xfId="0" applyNumberFormat="1" applyFont="1" applyFill="1" applyBorder="1" applyAlignment="1">
      <alignment vertical="top"/>
    </xf>
    <xf numFmtId="166" fontId="5" fillId="3" borderId="0" xfId="0" applyNumberFormat="1" applyFont="1" applyFill="1" applyBorder="1" applyAlignment="1">
      <alignment horizontal="center" vertical="center" wrapText="1"/>
    </xf>
    <xf numFmtId="4" fontId="1" fillId="6" borderId="0" xfId="0" applyNumberFormat="1" applyFont="1" applyFill="1" applyBorder="1" applyAlignment="1">
      <alignment horizontal="center" vertical="center" wrapText="1"/>
    </xf>
    <xf numFmtId="0" fontId="1" fillId="0" borderId="0" xfId="0" applyFont="1" applyFill="1" applyBorder="1" applyAlignment="1">
      <alignment horizontal="left" wrapText="1"/>
    </xf>
    <xf numFmtId="0" fontId="4" fillId="2" borderId="0" xfId="0" applyNumberFormat="1" applyFont="1" applyFill="1" applyBorder="1" applyAlignment="1">
      <alignment horizontal="center" vertical="top"/>
    </xf>
    <xf numFmtId="49" fontId="1" fillId="2" borderId="0" xfId="0" applyNumberFormat="1" applyFont="1" applyFill="1" applyBorder="1" applyAlignment="1">
      <alignment horizontal="center" vertical="top"/>
    </xf>
    <xf numFmtId="49" fontId="1" fillId="0" borderId="0" xfId="0" applyNumberFormat="1" applyFont="1" applyFill="1" applyBorder="1" applyAlignment="1">
      <alignment horizontal="center" vertical="top"/>
    </xf>
    <xf numFmtId="49" fontId="4" fillId="2" borderId="0" xfId="0" applyNumberFormat="1" applyFont="1" applyFill="1" applyBorder="1" applyAlignment="1">
      <alignment horizontal="center" vertical="top"/>
    </xf>
    <xf numFmtId="49" fontId="4" fillId="2" borderId="1" xfId="0" applyNumberFormat="1" applyFont="1" applyFill="1" applyBorder="1" applyAlignment="1">
      <alignment vertical="top"/>
    </xf>
    <xf numFmtId="49" fontId="1" fillId="2" borderId="1" xfId="0" applyNumberFormat="1" applyFont="1" applyFill="1" applyBorder="1" applyAlignment="1">
      <alignment vertical="top"/>
    </xf>
    <xf numFmtId="49" fontId="1" fillId="0" borderId="1" xfId="0" applyNumberFormat="1" applyFont="1" applyFill="1" applyBorder="1" applyAlignment="1">
      <alignment horizontal="center" vertical="top"/>
    </xf>
    <xf numFmtId="49" fontId="1" fillId="0" borderId="2" xfId="0" applyNumberFormat="1" applyFont="1" applyFill="1" applyBorder="1" applyAlignment="1">
      <alignment horizontal="center" vertical="top"/>
    </xf>
    <xf numFmtId="0" fontId="1" fillId="0" borderId="0" xfId="0" applyFont="1" applyFill="1" applyAlignment="1">
      <alignment horizontal="center" vertical="center"/>
    </xf>
    <xf numFmtId="4" fontId="7" fillId="0" borderId="4"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4" fontId="1" fillId="0" borderId="4"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165" fontId="1" fillId="0" borderId="4" xfId="0" applyNumberFormat="1" applyFont="1" applyFill="1" applyBorder="1" applyAlignment="1">
      <alignment horizontal="center" vertical="center" wrapText="1"/>
    </xf>
    <xf numFmtId="4" fontId="1" fillId="2" borderId="4"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wrapText="1"/>
    </xf>
    <xf numFmtId="4" fontId="7" fillId="2" borderId="4" xfId="0" applyNumberFormat="1" applyFont="1" applyFill="1" applyBorder="1" applyAlignment="1">
      <alignment horizontal="center" vertical="center" wrapText="1"/>
    </xf>
    <xf numFmtId="165" fontId="7" fillId="0" borderId="4" xfId="0" applyNumberFormat="1" applyFont="1" applyFill="1" applyBorder="1" applyAlignment="1">
      <alignment horizontal="center" vertical="center" wrapText="1"/>
    </xf>
    <xf numFmtId="166" fontId="7" fillId="0" borderId="4" xfId="0" applyNumberFormat="1" applyFont="1" applyFill="1" applyBorder="1" applyAlignment="1">
      <alignment horizontal="center" vertical="center" wrapText="1"/>
    </xf>
    <xf numFmtId="165" fontId="7" fillId="2" borderId="4" xfId="0" applyNumberFormat="1" applyFont="1" applyFill="1" applyBorder="1" applyAlignment="1">
      <alignment horizontal="center" vertical="center" wrapText="1"/>
    </xf>
    <xf numFmtId="4" fontId="7" fillId="8" borderId="4" xfId="0" applyNumberFormat="1" applyFont="1" applyFill="1" applyBorder="1" applyAlignment="1">
      <alignment horizontal="center" vertical="center" wrapText="1"/>
    </xf>
    <xf numFmtId="166" fontId="7" fillId="8" borderId="4" xfId="0" applyNumberFormat="1" applyFont="1" applyFill="1" applyBorder="1" applyAlignment="1">
      <alignment horizontal="center" vertical="center" wrapText="1"/>
    </xf>
    <xf numFmtId="168" fontId="7" fillId="2" borderId="4" xfId="0" applyNumberFormat="1" applyFont="1" applyFill="1" applyBorder="1" applyAlignment="1">
      <alignment horizontal="center" vertical="center" wrapText="1"/>
    </xf>
    <xf numFmtId="0" fontId="1" fillId="0" borderId="4" xfId="0" applyFont="1" applyFill="1" applyBorder="1" applyAlignment="1">
      <alignment horizontal="center" wrapText="1"/>
    </xf>
    <xf numFmtId="0" fontId="1" fillId="0" borderId="4" xfId="1" applyFont="1" applyFill="1" applyBorder="1" applyAlignment="1">
      <alignment wrapText="1"/>
    </xf>
    <xf numFmtId="49" fontId="2" fillId="0" borderId="12"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4" fontId="2" fillId="2" borderId="4" xfId="0" applyNumberFormat="1" applyFont="1" applyFill="1" applyBorder="1" applyAlignment="1">
      <alignment horizontal="right" vertical="center" wrapText="1"/>
    </xf>
    <xf numFmtId="4" fontId="2" fillId="0" borderId="4" xfId="0" applyNumberFormat="1" applyFont="1" applyFill="1" applyBorder="1" applyAlignment="1">
      <alignment horizontal="right" vertical="center" wrapText="1"/>
    </xf>
    <xf numFmtId="165" fontId="2" fillId="0" borderId="4" xfId="0" applyNumberFormat="1" applyFont="1" applyFill="1" applyBorder="1" applyAlignment="1">
      <alignment horizontal="right" vertical="center" wrapText="1"/>
    </xf>
    <xf numFmtId="166" fontId="2" fillId="0" borderId="4" xfId="0" applyNumberFormat="1" applyFont="1" applyFill="1" applyBorder="1" applyAlignment="1">
      <alignment horizontal="right" vertical="center" wrapText="1"/>
    </xf>
    <xf numFmtId="4" fontId="1" fillId="2" borderId="4" xfId="0" applyNumberFormat="1" applyFont="1" applyFill="1" applyBorder="1" applyAlignment="1">
      <alignment horizontal="right" vertical="center" wrapText="1"/>
    </xf>
    <xf numFmtId="165" fontId="2" fillId="2" borderId="4" xfId="0" applyNumberFormat="1" applyFont="1" applyFill="1" applyBorder="1" applyAlignment="1">
      <alignment horizontal="right" vertical="center" wrapText="1"/>
    </xf>
    <xf numFmtId="4" fontId="2" fillId="8" borderId="4" xfId="0" applyNumberFormat="1" applyFont="1" applyFill="1" applyBorder="1" applyAlignment="1">
      <alignment horizontal="right" vertical="center" wrapText="1"/>
    </xf>
    <xf numFmtId="165" fontId="2" fillId="8" borderId="4" xfId="0" applyNumberFormat="1" applyFont="1" applyFill="1" applyBorder="1" applyAlignment="1">
      <alignment horizontal="right" vertical="center" wrapText="1"/>
    </xf>
    <xf numFmtId="166" fontId="2" fillId="8" borderId="4" xfId="0" applyNumberFormat="1" applyFont="1" applyFill="1" applyBorder="1" applyAlignment="1">
      <alignment horizontal="right" vertical="center" wrapText="1"/>
    </xf>
    <xf numFmtId="0" fontId="1" fillId="2" borderId="4" xfId="0" applyFont="1" applyFill="1" applyBorder="1" applyAlignment="1">
      <alignment horizontal="center" vertical="center" wrapText="1"/>
    </xf>
    <xf numFmtId="49" fontId="1" fillId="0" borderId="4" xfId="0" applyNumberFormat="1" applyFont="1" applyFill="1" applyBorder="1" applyAlignment="1">
      <alignment horizontal="center" wrapText="1"/>
    </xf>
    <xf numFmtId="49" fontId="1" fillId="0" borderId="4" xfId="0" applyNumberFormat="1" applyFont="1" applyFill="1" applyBorder="1" applyAlignment="1">
      <alignment horizontal="left" wrapText="1"/>
    </xf>
    <xf numFmtId="165" fontId="2" fillId="2" borderId="4" xfId="0" applyNumberFormat="1" applyFont="1" applyFill="1" applyBorder="1" applyAlignment="1">
      <alignment horizontal="right" wrapText="1"/>
    </xf>
    <xf numFmtId="165" fontId="1" fillId="2" borderId="4" xfId="0" applyNumberFormat="1" applyFont="1" applyFill="1" applyBorder="1" applyAlignment="1">
      <alignment horizontal="right" wrapText="1"/>
    </xf>
    <xf numFmtId="165" fontId="1" fillId="0" borderId="4" xfId="0" applyNumberFormat="1" applyFont="1" applyFill="1" applyBorder="1" applyAlignment="1">
      <alignment horizontal="right" wrapText="1"/>
    </xf>
    <xf numFmtId="165" fontId="1" fillId="2" borderId="4" xfId="0" applyNumberFormat="1" applyFont="1" applyFill="1" applyBorder="1" applyAlignment="1"/>
    <xf numFmtId="165" fontId="1" fillId="0" borderId="4" xfId="0" applyNumberFormat="1" applyFont="1" applyFill="1" applyBorder="1" applyAlignment="1"/>
    <xf numFmtId="165" fontId="1" fillId="2" borderId="4" xfId="0" applyNumberFormat="1" applyFont="1" applyFill="1" applyBorder="1"/>
    <xf numFmtId="165" fontId="5" fillId="2" borderId="4" xfId="2" applyNumberFormat="1" applyFont="1" applyFill="1" applyBorder="1" applyAlignment="1">
      <alignment wrapText="1"/>
    </xf>
    <xf numFmtId="165" fontId="1" fillId="8" borderId="4" xfId="0" applyNumberFormat="1" applyFont="1" applyFill="1" applyBorder="1" applyAlignment="1"/>
    <xf numFmtId="165" fontId="1" fillId="8" borderId="4" xfId="0" applyNumberFormat="1" applyFont="1" applyFill="1" applyBorder="1" applyAlignment="1">
      <alignment horizontal="right" wrapText="1"/>
    </xf>
    <xf numFmtId="165" fontId="1" fillId="2" borderId="4" xfId="0" applyNumberFormat="1" applyFont="1" applyFill="1" applyBorder="1" applyAlignment="1">
      <alignment horizontal="center" vertical="center" wrapText="1"/>
    </xf>
    <xf numFmtId="165" fontId="1" fillId="0" borderId="4" xfId="0" applyNumberFormat="1" applyFont="1" applyFill="1" applyBorder="1"/>
    <xf numFmtId="0" fontId="1" fillId="0" borderId="4" xfId="0" applyFont="1" applyFill="1" applyBorder="1" applyAlignment="1">
      <alignment wrapText="1"/>
    </xf>
    <xf numFmtId="165" fontId="1" fillId="2" borderId="4" xfId="0" applyNumberFormat="1" applyFont="1" applyFill="1" applyBorder="1" applyAlignment="1">
      <alignment wrapText="1"/>
    </xf>
    <xf numFmtId="165" fontId="1" fillId="0" borderId="4" xfId="0" applyNumberFormat="1" applyFont="1" applyFill="1" applyBorder="1" applyAlignment="1">
      <alignment horizontal="right"/>
    </xf>
    <xf numFmtId="165" fontId="1" fillId="2" borderId="4" xfId="0" applyNumberFormat="1" applyFont="1" applyFill="1" applyBorder="1" applyAlignment="1">
      <alignment horizontal="right"/>
    </xf>
    <xf numFmtId="0" fontId="1" fillId="0" borderId="4" xfId="0" applyFont="1" applyFill="1" applyBorder="1" applyAlignment="1">
      <alignment horizontal="left" wrapText="1"/>
    </xf>
    <xf numFmtId="165" fontId="1" fillId="0" borderId="4" xfId="0" applyNumberFormat="1" applyFont="1" applyFill="1" applyBorder="1" applyAlignment="1">
      <alignment horizontal="center" wrapText="1"/>
    </xf>
    <xf numFmtId="165" fontId="1" fillId="2" borderId="4" xfId="0" applyNumberFormat="1" applyFont="1" applyFill="1" applyBorder="1" applyAlignment="1">
      <alignment horizontal="center" wrapText="1"/>
    </xf>
    <xf numFmtId="49" fontId="1" fillId="0" borderId="4" xfId="2" applyNumberFormat="1" applyFont="1" applyFill="1" applyBorder="1" applyAlignment="1">
      <alignment horizontal="center" wrapText="1"/>
    </xf>
    <xf numFmtId="0" fontId="16" fillId="0" borderId="4" xfId="1" applyFont="1" applyFill="1" applyBorder="1" applyAlignment="1">
      <alignment wrapText="1"/>
    </xf>
    <xf numFmtId="0" fontId="2" fillId="2" borderId="0" xfId="0" applyFont="1" applyFill="1"/>
    <xf numFmtId="3" fontId="1" fillId="0" borderId="4" xfId="1" applyNumberFormat="1" applyFont="1" applyFill="1" applyBorder="1" applyAlignment="1">
      <alignment horizontal="left" wrapText="1"/>
    </xf>
    <xf numFmtId="3" fontId="1" fillId="0" borderId="4" xfId="1" applyNumberFormat="1" applyFont="1" applyFill="1" applyBorder="1" applyAlignment="1"/>
    <xf numFmtId="0" fontId="1" fillId="0" borderId="4" xfId="3" applyFont="1" applyFill="1" applyBorder="1" applyAlignment="1">
      <alignment horizontal="left" wrapText="1"/>
    </xf>
    <xf numFmtId="165" fontId="1" fillId="8" borderId="4" xfId="0" applyNumberFormat="1" applyFont="1" applyFill="1" applyBorder="1" applyAlignment="1">
      <alignment horizontal="center" wrapText="1"/>
    </xf>
    <xf numFmtId="0" fontId="1" fillId="0" borderId="4" xfId="0" applyFont="1" applyFill="1" applyBorder="1" applyAlignment="1"/>
    <xf numFmtId="49" fontId="1" fillId="0" borderId="4" xfId="4" applyNumberFormat="1" applyFont="1" applyFill="1" applyBorder="1" applyAlignment="1">
      <alignment horizontal="center" wrapText="1"/>
    </xf>
    <xf numFmtId="3" fontId="16" fillId="0" borderId="4" xfId="1" applyNumberFormat="1" applyFont="1" applyFill="1" applyBorder="1" applyAlignment="1">
      <alignment horizontal="left" wrapText="1"/>
    </xf>
    <xf numFmtId="3" fontId="1" fillId="0" borderId="4" xfId="1" applyNumberFormat="1" applyFont="1" applyFill="1" applyBorder="1" applyAlignment="1">
      <alignment wrapText="1"/>
    </xf>
    <xf numFmtId="165" fontId="1" fillId="0" borderId="0" xfId="0" applyNumberFormat="1" applyFont="1" applyFill="1"/>
    <xf numFmtId="0" fontId="16" fillId="0" borderId="4" xfId="0" applyFont="1" applyFill="1" applyBorder="1" applyAlignment="1">
      <alignment horizontal="left" wrapText="1"/>
    </xf>
    <xf numFmtId="49" fontId="1" fillId="0" borderId="4" xfId="2" applyNumberFormat="1" applyFont="1" applyFill="1" applyBorder="1" applyAlignment="1" applyProtection="1">
      <alignment horizontal="center" wrapText="1"/>
      <protection locked="0"/>
    </xf>
    <xf numFmtId="49" fontId="1" fillId="0" borderId="4" xfId="5" applyNumberFormat="1" applyFont="1" applyFill="1" applyBorder="1" applyAlignment="1">
      <alignment horizontal="center" wrapText="1"/>
    </xf>
    <xf numFmtId="165" fontId="2" fillId="2" borderId="4" xfId="0" applyNumberFormat="1" applyFont="1" applyFill="1" applyBorder="1" applyAlignment="1"/>
    <xf numFmtId="49" fontId="1" fillId="0" borderId="4" xfId="0" applyNumberFormat="1" applyFont="1" applyFill="1" applyBorder="1" applyAlignment="1" applyProtection="1">
      <alignment horizontal="center" wrapText="1"/>
      <protection locked="0"/>
    </xf>
    <xf numFmtId="49" fontId="15" fillId="0" borderId="4" xfId="0" applyNumberFormat="1" applyFont="1" applyFill="1" applyBorder="1" applyAlignment="1">
      <alignment horizontal="center" wrapText="1"/>
    </xf>
    <xf numFmtId="165" fontId="1" fillId="8" borderId="4" xfId="0" applyNumberFormat="1" applyFont="1" applyFill="1" applyBorder="1"/>
    <xf numFmtId="165" fontId="1" fillId="2" borderId="0" xfId="0" applyNumberFormat="1" applyFont="1" applyFill="1"/>
    <xf numFmtId="49" fontId="1" fillId="0" borderId="4" xfId="6" applyNumberFormat="1" applyFont="1" applyFill="1" applyBorder="1" applyAlignment="1">
      <alignment horizontal="center" wrapText="1"/>
    </xf>
    <xf numFmtId="0" fontId="1" fillId="0" borderId="4" xfId="0" applyFont="1" applyFill="1" applyBorder="1"/>
    <xf numFmtId="49" fontId="1" fillId="0" borderId="4" xfId="7" applyNumberFormat="1" applyFont="1" applyFill="1" applyBorder="1" applyAlignment="1">
      <alignment horizontal="center" wrapText="1"/>
    </xf>
    <xf numFmtId="3" fontId="1" fillId="0" borderId="4" xfId="0" applyNumberFormat="1" applyFont="1" applyFill="1" applyBorder="1" applyAlignment="1">
      <alignment horizontal="left" wrapText="1"/>
    </xf>
    <xf numFmtId="168" fontId="1" fillId="0" borderId="4" xfId="0" applyNumberFormat="1" applyFont="1" applyFill="1" applyBorder="1" applyAlignment="1"/>
    <xf numFmtId="168" fontId="1" fillId="0" borderId="4" xfId="0" applyNumberFormat="1" applyFont="1" applyFill="1" applyBorder="1" applyAlignment="1">
      <alignment horizontal="left" wrapText="1"/>
    </xf>
    <xf numFmtId="168" fontId="1" fillId="0" borderId="4" xfId="0" applyNumberFormat="1" applyFont="1" applyFill="1" applyBorder="1" applyAlignment="1">
      <alignment horizontal="center" wrapText="1"/>
    </xf>
    <xf numFmtId="168" fontId="1" fillId="0" borderId="0" xfId="0" applyNumberFormat="1" applyFont="1" applyFill="1"/>
    <xf numFmtId="0" fontId="1" fillId="0" borderId="4" xfId="0" applyFont="1" applyFill="1" applyBorder="1" applyAlignment="1">
      <alignment horizontal="left" vertical="center" wrapText="1"/>
    </xf>
    <xf numFmtId="165" fontId="18" fillId="2" borderId="4" xfId="0" applyNumberFormat="1" applyFont="1" applyFill="1" applyBorder="1" applyAlignment="1">
      <alignment horizontal="right" wrapText="1"/>
    </xf>
    <xf numFmtId="165" fontId="18" fillId="0" borderId="4" xfId="0" applyNumberFormat="1" applyFont="1" applyFill="1" applyBorder="1" applyAlignment="1">
      <alignment horizontal="right" wrapText="1"/>
    </xf>
    <xf numFmtId="49" fontId="1" fillId="0" borderId="4" xfId="8" applyNumberFormat="1" applyFont="1" applyFill="1" applyBorder="1" applyAlignment="1">
      <alignment horizontal="center" wrapText="1"/>
    </xf>
    <xf numFmtId="0" fontId="2" fillId="0" borderId="0" xfId="0" applyFont="1" applyFill="1"/>
    <xf numFmtId="3" fontId="2" fillId="2" borderId="4" xfId="1" applyNumberFormat="1" applyFont="1" applyFill="1" applyBorder="1" applyAlignment="1"/>
    <xf numFmtId="3" fontId="2" fillId="2" borderId="4" xfId="1" applyNumberFormat="1" applyFont="1" applyFill="1" applyBorder="1" applyAlignment="1">
      <alignment horizontal="left" wrapText="1"/>
    </xf>
    <xf numFmtId="49" fontId="2" fillId="2" borderId="4" xfId="0" applyNumberFormat="1" applyFont="1" applyFill="1" applyBorder="1" applyAlignment="1">
      <alignment horizontal="center" wrapText="1"/>
    </xf>
    <xf numFmtId="165" fontId="1" fillId="0" borderId="4" xfId="0" applyNumberFormat="1" applyFont="1" applyFill="1" applyBorder="1" applyAlignment="1">
      <alignment horizontal="center"/>
    </xf>
    <xf numFmtId="169" fontId="2" fillId="2" borderId="0" xfId="0" applyNumberFormat="1" applyFont="1" applyFill="1"/>
    <xf numFmtId="165" fontId="5" fillId="0" borderId="4" xfId="2" applyNumberFormat="1" applyFont="1" applyFill="1" applyBorder="1" applyAlignment="1">
      <alignment wrapText="1"/>
    </xf>
    <xf numFmtId="49" fontId="1" fillId="2" borderId="4" xfId="0" applyNumberFormat="1" applyFont="1" applyFill="1" applyBorder="1" applyAlignment="1">
      <alignment horizontal="center" wrapText="1"/>
    </xf>
    <xf numFmtId="165" fontId="2" fillId="0" borderId="4" xfId="0" applyNumberFormat="1" applyFont="1" applyFill="1" applyBorder="1" applyAlignment="1"/>
    <xf numFmtId="49" fontId="1" fillId="0" borderId="4" xfId="9" applyNumberFormat="1" applyFont="1" applyFill="1" applyBorder="1" applyAlignment="1">
      <alignment horizontal="center" wrapText="1"/>
    </xf>
    <xf numFmtId="0" fontId="2" fillId="2" borderId="4" xfId="0" applyFont="1" applyFill="1" applyBorder="1"/>
    <xf numFmtId="0" fontId="1" fillId="0" borderId="11" xfId="0" applyFont="1" applyFill="1" applyBorder="1"/>
    <xf numFmtId="165" fontId="18" fillId="0" borderId="4" xfId="0" applyNumberFormat="1" applyFont="1" applyFill="1" applyBorder="1" applyAlignment="1"/>
    <xf numFmtId="165" fontId="15" fillId="2" borderId="4" xfId="0" applyNumberFormat="1" applyFont="1" applyFill="1" applyBorder="1" applyAlignment="1"/>
    <xf numFmtId="165" fontId="18" fillId="2" borderId="4" xfId="0" applyNumberFormat="1" applyFont="1" applyFill="1" applyBorder="1" applyAlignment="1"/>
    <xf numFmtId="165" fontId="18" fillId="8" borderId="4" xfId="0" applyNumberFormat="1" applyFont="1" applyFill="1" applyBorder="1" applyAlignment="1"/>
    <xf numFmtId="0" fontId="18" fillId="0" borderId="0" xfId="0" applyFont="1" applyFill="1"/>
    <xf numFmtId="49" fontId="18" fillId="0" borderId="4" xfId="0" applyNumberFormat="1" applyFont="1" applyFill="1" applyBorder="1" applyAlignment="1">
      <alignment horizontal="center" wrapText="1"/>
    </xf>
    <xf numFmtId="3" fontId="1" fillId="8" borderId="4" xfId="1" applyNumberFormat="1" applyFont="1" applyFill="1" applyBorder="1" applyAlignment="1">
      <alignment horizontal="left" wrapText="1"/>
    </xf>
    <xf numFmtId="165" fontId="1" fillId="0" borderId="0" xfId="0" applyNumberFormat="1" applyFont="1" applyFill="1" applyBorder="1"/>
    <xf numFmtId="165" fontId="20" fillId="0" borderId="0" xfId="0" applyNumberFormat="1" applyFont="1" applyFill="1"/>
    <xf numFmtId="0" fontId="2" fillId="0" borderId="4" xfId="0" applyFont="1" applyFill="1" applyBorder="1"/>
    <xf numFmtId="49" fontId="4" fillId="0" borderId="0" xfId="0" applyNumberFormat="1" applyFont="1" applyFill="1" applyAlignment="1">
      <alignment horizontal="left"/>
    </xf>
    <xf numFmtId="166" fontId="1" fillId="0" borderId="0" xfId="0" applyNumberFormat="1" applyFont="1" applyFill="1"/>
    <xf numFmtId="169" fontId="1" fillId="0" borderId="0" xfId="0" applyNumberFormat="1" applyFont="1" applyFill="1"/>
    <xf numFmtId="3" fontId="21" fillId="0" borderId="0" xfId="10" applyNumberFormat="1" applyFont="1" applyFill="1" applyBorder="1"/>
    <xf numFmtId="166" fontId="22" fillId="0" borderId="0" xfId="1" applyNumberFormat="1" applyFont="1" applyFill="1"/>
    <xf numFmtId="4" fontId="17" fillId="0" borderId="0" xfId="0" applyNumberFormat="1" applyFont="1" applyFill="1"/>
    <xf numFmtId="166" fontId="21" fillId="0" borderId="0" xfId="10" applyNumberFormat="1" applyFont="1" applyFill="1" applyBorder="1"/>
    <xf numFmtId="165" fontId="2" fillId="0" borderId="0" xfId="0" applyNumberFormat="1" applyFont="1" applyFill="1"/>
    <xf numFmtId="166" fontId="1" fillId="0" borderId="0" xfId="0" applyNumberFormat="1" applyFont="1" applyFill="1" applyBorder="1"/>
    <xf numFmtId="4" fontId="1" fillId="0" borderId="0" xfId="0" applyNumberFormat="1" applyFont="1" applyFill="1" applyBorder="1"/>
    <xf numFmtId="1" fontId="4" fillId="0" borderId="0" xfId="0" applyNumberFormat="1" applyFont="1" applyFill="1" applyAlignment="1">
      <alignment horizontal="left"/>
    </xf>
    <xf numFmtId="166" fontId="18" fillId="0" borderId="0" xfId="0" applyNumberFormat="1" applyFont="1" applyFill="1" applyBorder="1"/>
    <xf numFmtId="166" fontId="1" fillId="3" borderId="0" xfId="0" applyNumberFormat="1" applyFont="1" applyFill="1"/>
    <xf numFmtId="4" fontId="1" fillId="4" borderId="0" xfId="0" applyNumberFormat="1" applyFont="1" applyFill="1"/>
    <xf numFmtId="165" fontId="1" fillId="5" borderId="0" xfId="0" applyNumberFormat="1" applyFont="1" applyFill="1"/>
    <xf numFmtId="4" fontId="1" fillId="6" borderId="0" xfId="0" applyNumberFormat="1" applyFont="1" applyFill="1"/>
    <xf numFmtId="0" fontId="1" fillId="0" borderId="4" xfId="0" applyNumberFormat="1" applyFont="1" applyFill="1" applyBorder="1" applyAlignment="1">
      <alignment horizontal="right"/>
    </xf>
    <xf numFmtId="165" fontId="1" fillId="0" borderId="4" xfId="0" applyNumberFormat="1" applyFont="1" applyFill="1" applyBorder="1" applyAlignment="1">
      <alignment wrapText="1"/>
    </xf>
    <xf numFmtId="2" fontId="1" fillId="0" borderId="4" xfId="0" applyNumberFormat="1" applyFont="1" applyFill="1" applyBorder="1" applyAlignment="1">
      <alignment wrapText="1"/>
    </xf>
    <xf numFmtId="0" fontId="1" fillId="0" borderId="8" xfId="0" applyFont="1" applyFill="1" applyBorder="1"/>
    <xf numFmtId="0" fontId="1" fillId="0" borderId="10" xfId="0" applyFont="1" applyFill="1" applyBorder="1"/>
    <xf numFmtId="0" fontId="2" fillId="0" borderId="8" xfId="0" applyFont="1" applyFill="1" applyBorder="1"/>
    <xf numFmtId="0" fontId="1" fillId="0" borderId="0" xfId="0" applyFont="1" applyFill="1" applyBorder="1"/>
    <xf numFmtId="0" fontId="2" fillId="0" borderId="0" xfId="0" applyFont="1" applyFill="1" applyBorder="1"/>
    <xf numFmtId="168" fontId="1" fillId="0" borderId="0" xfId="0" applyNumberFormat="1" applyFont="1" applyFill="1" applyBorder="1"/>
    <xf numFmtId="0" fontId="18" fillId="0" borderId="0" xfId="0" applyFont="1" applyFill="1" applyBorder="1"/>
    <xf numFmtId="165" fontId="1" fillId="0" borderId="0" xfId="0" applyNumberFormat="1" applyFont="1" applyFill="1" applyBorder="1" applyAlignment="1">
      <alignment horizontal="center" vertical="center" wrapText="1"/>
    </xf>
    <xf numFmtId="169" fontId="1" fillId="8" borderId="4" xfId="0" applyNumberFormat="1" applyFont="1" applyFill="1" applyBorder="1" applyAlignment="1">
      <alignment horizontal="right" wrapText="1"/>
    </xf>
    <xf numFmtId="168" fontId="7" fillId="0" borderId="4" xfId="0" applyNumberFormat="1" applyFont="1" applyFill="1" applyBorder="1" applyAlignment="1">
      <alignment horizontal="center" vertical="center" wrapText="1"/>
    </xf>
    <xf numFmtId="168" fontId="2" fillId="4" borderId="0" xfId="0" applyNumberFormat="1" applyFont="1" applyFill="1" applyBorder="1" applyAlignment="1">
      <alignment vertical="center" wrapText="1"/>
    </xf>
    <xf numFmtId="168" fontId="1" fillId="4" borderId="0" xfId="0" applyNumberFormat="1" applyFont="1" applyFill="1" applyBorder="1" applyAlignment="1">
      <alignment horizontal="center" vertical="center" wrapText="1"/>
    </xf>
    <xf numFmtId="168" fontId="7" fillId="8" borderId="4" xfId="0" applyNumberFormat="1" applyFont="1" applyFill="1" applyBorder="1" applyAlignment="1">
      <alignment horizontal="center" vertical="center" wrapText="1"/>
    </xf>
    <xf numFmtId="168" fontId="2" fillId="8" borderId="4" xfId="0" applyNumberFormat="1" applyFont="1" applyFill="1" applyBorder="1" applyAlignment="1">
      <alignment horizontal="right" vertical="center" wrapText="1"/>
    </xf>
    <xf numFmtId="168" fontId="1" fillId="8" borderId="4" xfId="0" applyNumberFormat="1" applyFont="1" applyFill="1" applyBorder="1" applyAlignment="1"/>
    <xf numFmtId="168" fontId="2" fillId="8" borderId="4" xfId="0" applyNumberFormat="1" applyFont="1" applyFill="1" applyBorder="1" applyAlignment="1">
      <alignment horizontal="right" wrapText="1"/>
    </xf>
    <xf numFmtId="168" fontId="1" fillId="8" borderId="4" xfId="0" applyNumberFormat="1" applyFont="1" applyFill="1" applyBorder="1" applyAlignment="1">
      <alignment horizontal="right" wrapText="1"/>
    </xf>
    <xf numFmtId="168" fontId="1" fillId="8" borderId="4" xfId="0" applyNumberFormat="1" applyFont="1" applyFill="1" applyBorder="1"/>
    <xf numFmtId="168" fontId="1" fillId="8" borderId="4" xfId="0" applyNumberFormat="1" applyFont="1" applyFill="1" applyBorder="1" applyAlignment="1">
      <alignment horizontal="center" wrapText="1"/>
    </xf>
    <xf numFmtId="168" fontId="2" fillId="2" borderId="4" xfId="0" applyNumberFormat="1" applyFont="1" applyFill="1" applyBorder="1" applyAlignment="1"/>
    <xf numFmtId="168" fontId="2" fillId="2" borderId="4" xfId="0" applyNumberFormat="1" applyFont="1" applyFill="1" applyBorder="1" applyAlignment="1">
      <alignment horizontal="right" wrapText="1"/>
    </xf>
    <xf numFmtId="168" fontId="15" fillId="8" borderId="4" xfId="0" applyNumberFormat="1" applyFont="1" applyFill="1" applyBorder="1" applyAlignment="1"/>
    <xf numFmtId="168" fontId="18" fillId="8" borderId="4" xfId="0" applyNumberFormat="1" applyFont="1" applyFill="1" applyBorder="1" applyAlignment="1"/>
    <xf numFmtId="168" fontId="17" fillId="0" borderId="0" xfId="0" applyNumberFormat="1" applyFont="1" applyFill="1"/>
    <xf numFmtId="168" fontId="1" fillId="4" borderId="0" xfId="0" applyNumberFormat="1" applyFont="1" applyFill="1"/>
    <xf numFmtId="168" fontId="2" fillId="0" borderId="0" xfId="0" applyNumberFormat="1" applyFont="1" applyFill="1"/>
    <xf numFmtId="165" fontId="1" fillId="0" borderId="4" xfId="0" applyNumberFormat="1" applyFont="1" applyFill="1" applyBorder="1" applyAlignment="1">
      <alignment horizontal="center" vertical="center" wrapText="1"/>
    </xf>
    <xf numFmtId="165" fontId="17" fillId="8" borderId="4" xfId="0" applyNumberFormat="1" applyFont="1" applyFill="1" applyBorder="1" applyAlignment="1"/>
    <xf numFmtId="0" fontId="1" fillId="0" borderId="0" xfId="0" applyFont="1" applyFill="1" applyAlignment="1">
      <alignment horizontal="right"/>
    </xf>
    <xf numFmtId="165" fontId="17" fillId="0" borderId="4" xfId="0" applyNumberFormat="1" applyFont="1" applyFill="1" applyBorder="1" applyAlignment="1"/>
    <xf numFmtId="168" fontId="1" fillId="0" borderId="4" xfId="0" applyNumberFormat="1" applyFont="1" applyFill="1" applyBorder="1" applyAlignment="1">
      <alignment horizontal="right"/>
    </xf>
    <xf numFmtId="165" fontId="1" fillId="10" borderId="4" xfId="0" applyNumberFormat="1" applyFont="1" applyFill="1" applyBorder="1"/>
    <xf numFmtId="0" fontId="1" fillId="0" borderId="0" xfId="0" applyFont="1" applyFill="1" applyBorder="1" applyAlignment="1">
      <alignment horizontal="center" vertical="center" wrapText="1"/>
    </xf>
    <xf numFmtId="4" fontId="7" fillId="0" borderId="4" xfId="0" applyNumberFormat="1" applyFont="1" applyFill="1" applyBorder="1" applyAlignment="1">
      <alignment horizontal="center" vertical="center" wrapText="1"/>
    </xf>
    <xf numFmtId="0" fontId="1" fillId="0" borderId="0" xfId="0" applyFont="1" applyFill="1" applyBorder="1" applyAlignment="1"/>
    <xf numFmtId="165" fontId="4" fillId="0" borderId="0" xfId="0" applyNumberFormat="1" applyFont="1" applyFill="1" applyAlignment="1">
      <alignment horizontal="left"/>
    </xf>
    <xf numFmtId="169" fontId="2" fillId="0" borderId="0" xfId="0" applyNumberFormat="1" applyFont="1" applyFill="1" applyBorder="1"/>
    <xf numFmtId="165" fontId="2" fillId="0" borderId="4" xfId="0" applyNumberFormat="1" applyFont="1" applyFill="1" applyBorder="1" applyAlignment="1">
      <alignment horizontal="right" wrapText="1"/>
    </xf>
    <xf numFmtId="4" fontId="19" fillId="0" borderId="0" xfId="0" applyNumberFormat="1" applyFont="1" applyFill="1"/>
    <xf numFmtId="165" fontId="19" fillId="0" borderId="0" xfId="0" applyNumberFormat="1" applyFont="1" applyFill="1"/>
    <xf numFmtId="0" fontId="19" fillId="0" borderId="0" xfId="0" applyNumberFormat="1" applyFont="1" applyFill="1"/>
    <xf numFmtId="4" fontId="7" fillId="0" borderId="4" xfId="0" applyNumberFormat="1" applyFont="1" applyFill="1" applyBorder="1" applyAlignment="1">
      <alignment horizontal="center" vertical="center" wrapText="1"/>
    </xf>
    <xf numFmtId="4" fontId="7" fillId="8" borderId="4" xfId="0" applyNumberFormat="1" applyFont="1" applyFill="1" applyBorder="1" applyAlignment="1">
      <alignment horizontal="center" vertical="center" wrapText="1"/>
    </xf>
    <xf numFmtId="165" fontId="1" fillId="8" borderId="4"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15" fillId="0" borderId="4" xfId="0" applyNumberFormat="1" applyFont="1" applyFill="1" applyBorder="1" applyAlignment="1"/>
    <xf numFmtId="0" fontId="5" fillId="0" borderId="0" xfId="0" applyFont="1" applyFill="1" applyBorder="1" applyAlignment="1">
      <alignment horizontal="center" vertical="center" wrapText="1"/>
    </xf>
    <xf numFmtId="4" fontId="7" fillId="0" borderId="4" xfId="0" applyNumberFormat="1" applyFont="1" applyFill="1" applyBorder="1" applyAlignment="1">
      <alignment horizontal="center" vertical="center" wrapText="1"/>
    </xf>
    <xf numFmtId="170" fontId="1" fillId="0" borderId="0" xfId="0" applyNumberFormat="1" applyFont="1" applyFill="1"/>
    <xf numFmtId="4" fontId="2" fillId="0" borderId="0" xfId="0"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4" fontId="7" fillId="0" borderId="4" xfId="0" applyNumberFormat="1" applyFont="1" applyFill="1" applyBorder="1" applyAlignment="1">
      <alignment horizontal="center" vertical="center" wrapText="1"/>
    </xf>
    <xf numFmtId="0" fontId="2" fillId="2" borderId="4" xfId="1" applyNumberFormat="1" applyFont="1" applyFill="1" applyBorder="1" applyAlignment="1">
      <alignment wrapText="1"/>
    </xf>
    <xf numFmtId="0" fontId="2" fillId="2" borderId="4" xfId="1" applyFont="1" applyFill="1" applyBorder="1" applyAlignment="1">
      <alignment wrapText="1"/>
    </xf>
    <xf numFmtId="0" fontId="2" fillId="2" borderId="4" xfId="0" applyFont="1" applyFill="1" applyBorder="1" applyAlignment="1"/>
    <xf numFmtId="0" fontId="2" fillId="2" borderId="4" xfId="0" applyFont="1" applyFill="1" applyBorder="1" applyAlignment="1">
      <alignment horizontal="left" wrapText="1"/>
    </xf>
    <xf numFmtId="169" fontId="2" fillId="2" borderId="4" xfId="0" applyNumberFormat="1" applyFont="1" applyFill="1" applyBorder="1" applyAlignment="1">
      <alignment horizontal="center" vertical="center" wrapText="1"/>
    </xf>
    <xf numFmtId="49" fontId="16" fillId="0" borderId="4" xfId="0" applyNumberFormat="1" applyFont="1" applyFill="1" applyBorder="1" applyAlignment="1">
      <alignment horizontal="left" wrapText="1"/>
    </xf>
    <xf numFmtId="169" fontId="1" fillId="8" borderId="4" xfId="0" applyNumberFormat="1" applyFont="1" applyFill="1" applyBorder="1"/>
    <xf numFmtId="165" fontId="1" fillId="0" borderId="4" xfId="0" applyNumberFormat="1" applyFont="1" applyFill="1" applyBorder="1" applyAlignment="1">
      <alignment vertical="center"/>
    </xf>
    <xf numFmtId="169" fontId="1" fillId="0" borderId="4" xfId="0" applyNumberFormat="1" applyFont="1" applyFill="1" applyBorder="1"/>
    <xf numFmtId="165" fontId="2" fillId="8" borderId="4" xfId="0" applyNumberFormat="1" applyFont="1" applyFill="1" applyBorder="1" applyAlignment="1">
      <alignment horizontal="right" wrapText="1"/>
    </xf>
    <xf numFmtId="168" fontId="1" fillId="0" borderId="4" xfId="0" applyNumberFormat="1" applyFont="1" applyFill="1" applyBorder="1" applyAlignment="1">
      <alignment horizontal="right" wrapText="1"/>
    </xf>
    <xf numFmtId="169" fontId="2" fillId="2" borderId="4" xfId="1" applyNumberFormat="1" applyFont="1" applyFill="1" applyBorder="1" applyAlignment="1"/>
    <xf numFmtId="169" fontId="2" fillId="2" borderId="4" xfId="1" applyNumberFormat="1" applyFont="1" applyFill="1" applyBorder="1" applyAlignment="1">
      <alignment horizontal="left" wrapText="1"/>
    </xf>
    <xf numFmtId="169" fontId="2" fillId="2" borderId="4" xfId="0" applyNumberFormat="1" applyFont="1" applyFill="1" applyBorder="1" applyAlignment="1">
      <alignment horizontal="center" wrapText="1"/>
    </xf>
    <xf numFmtId="165" fontId="18" fillId="0" borderId="4" xfId="0" applyNumberFormat="1" applyFont="1" applyFill="1" applyBorder="1"/>
    <xf numFmtId="3" fontId="2" fillId="2" borderId="4" xfId="10" applyNumberFormat="1" applyFont="1" applyFill="1" applyBorder="1" applyAlignment="1">
      <alignment horizontal="left" wrapText="1"/>
    </xf>
    <xf numFmtId="165" fontId="2" fillId="2" borderId="4" xfId="0" applyNumberFormat="1" applyFont="1" applyFill="1" applyBorder="1" applyAlignment="1">
      <alignment horizontal="right" wrapText="1" indent="1"/>
    </xf>
    <xf numFmtId="165" fontId="17" fillId="0" borderId="4" xfId="0" applyNumberFormat="1" applyFont="1" applyFill="1" applyBorder="1" applyAlignment="1">
      <alignment horizontal="right" wrapText="1"/>
    </xf>
    <xf numFmtId="166" fontId="23" fillId="0" borderId="0" xfId="0" applyNumberFormat="1" applyFont="1" applyFill="1"/>
    <xf numFmtId="166" fontId="24" fillId="0" borderId="0" xfId="0" applyNumberFormat="1" applyFont="1" applyFill="1"/>
    <xf numFmtId="165" fontId="18" fillId="0" borderId="0" xfId="0" applyNumberFormat="1" applyFont="1" applyFill="1" applyBorder="1"/>
    <xf numFmtId="0" fontId="1" fillId="0" borderId="4" xfId="0" applyFont="1" applyFill="1" applyBorder="1" applyAlignment="1">
      <alignment horizontal="center" vertical="center" wrapText="1"/>
    </xf>
    <xf numFmtId="4" fontId="2" fillId="0" borderId="0" xfId="0" applyNumberFormat="1" applyFont="1" applyFill="1" applyBorder="1" applyAlignment="1">
      <alignment horizontal="left" vertical="center" wrapText="1"/>
    </xf>
    <xf numFmtId="165" fontId="1" fillId="0" borderId="0" xfId="0" applyNumberFormat="1" applyFont="1" applyFill="1" applyBorder="1" applyAlignment="1">
      <alignment horizontal="center" vertical="center" wrapText="1"/>
    </xf>
    <xf numFmtId="4" fontId="1"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166" fontId="7" fillId="0" borderId="4" xfId="0" applyNumberFormat="1" applyFont="1" applyFill="1" applyBorder="1" applyAlignment="1">
      <alignment horizontal="center" vertical="center" wrapText="1"/>
    </xf>
    <xf numFmtId="4" fontId="7" fillId="0" borderId="4" xfId="0" applyNumberFormat="1" applyFont="1" applyFill="1" applyBorder="1" applyAlignment="1">
      <alignment horizontal="center" vertical="center" wrapText="1"/>
    </xf>
    <xf numFmtId="4" fontId="3" fillId="0" borderId="0" xfId="0" applyNumberFormat="1" applyFont="1" applyFill="1" applyBorder="1" applyAlignment="1">
      <alignment wrapText="1"/>
    </xf>
    <xf numFmtId="165" fontId="29" fillId="0" borderId="0" xfId="0" applyNumberFormat="1" applyFont="1" applyFill="1"/>
    <xf numFmtId="0" fontId="1" fillId="0" borderId="3" xfId="0" applyFont="1" applyFill="1" applyBorder="1"/>
    <xf numFmtId="0" fontId="1" fillId="0" borderId="14" xfId="0" applyFont="1" applyFill="1" applyBorder="1"/>
    <xf numFmtId="0" fontId="1" fillId="0" borderId="15" xfId="0" applyFont="1" applyFill="1" applyBorder="1"/>
    <xf numFmtId="165" fontId="17" fillId="2" borderId="4" xfId="0" applyNumberFormat="1" applyFont="1" applyFill="1" applyBorder="1" applyAlignment="1">
      <alignment horizontal="right" wrapText="1"/>
    </xf>
    <xf numFmtId="4" fontId="1" fillId="2" borderId="0" xfId="0" applyNumberFormat="1" applyFont="1" applyFill="1" applyBorder="1" applyAlignment="1">
      <alignment horizontal="center" vertical="center"/>
    </xf>
    <xf numFmtId="166" fontId="2" fillId="2" borderId="4" xfId="0" applyNumberFormat="1" applyFont="1" applyFill="1" applyBorder="1" applyAlignment="1">
      <alignment horizontal="right" vertical="center" wrapText="1"/>
    </xf>
    <xf numFmtId="165" fontId="17" fillId="2" borderId="4" xfId="0" applyNumberFormat="1" applyFont="1" applyFill="1" applyBorder="1" applyAlignment="1"/>
    <xf numFmtId="0" fontId="1" fillId="8" borderId="0" xfId="0" applyFont="1" applyFill="1" applyBorder="1" applyAlignment="1">
      <alignment horizontal="center" vertical="center" wrapText="1"/>
    </xf>
    <xf numFmtId="0" fontId="5" fillId="8" borderId="0" xfId="0" applyFont="1" applyFill="1" applyBorder="1" applyAlignment="1">
      <alignment horizontal="center" vertical="center" wrapText="1"/>
    </xf>
    <xf numFmtId="165" fontId="5" fillId="8" borderId="0" xfId="0" applyNumberFormat="1" applyFont="1" applyFill="1" applyBorder="1" applyAlignment="1">
      <alignment horizontal="center" vertical="center" wrapText="1"/>
    </xf>
    <xf numFmtId="166" fontId="5" fillId="8" borderId="0" xfId="0" applyNumberFormat="1" applyFont="1" applyFill="1" applyBorder="1" applyAlignment="1">
      <alignment horizontal="center" vertical="center" wrapText="1"/>
    </xf>
    <xf numFmtId="4" fontId="1" fillId="8" borderId="0" xfId="0" applyNumberFormat="1" applyFont="1" applyFill="1" applyBorder="1" applyAlignment="1">
      <alignment horizontal="center" vertical="center" wrapText="1"/>
    </xf>
    <xf numFmtId="165" fontId="1" fillId="8" borderId="0" xfId="0" applyNumberFormat="1" applyFont="1" applyFill="1" applyBorder="1" applyAlignment="1">
      <alignment horizontal="center" vertical="center" wrapText="1"/>
    </xf>
    <xf numFmtId="168" fontId="1" fillId="8" borderId="0" xfId="0" applyNumberFormat="1" applyFont="1" applyFill="1" applyBorder="1" applyAlignment="1">
      <alignment horizontal="center" vertical="center" wrapText="1"/>
    </xf>
    <xf numFmtId="0" fontId="1" fillId="8" borderId="0" xfId="0" applyFont="1" applyFill="1"/>
    <xf numFmtId="168" fontId="2" fillId="0" borderId="4" xfId="0" applyNumberFormat="1" applyFont="1" applyFill="1" applyBorder="1" applyAlignment="1">
      <alignment horizontal="right" wrapText="1"/>
    </xf>
    <xf numFmtId="169" fontId="2" fillId="0" borderId="0" xfId="0" applyNumberFormat="1" applyFont="1" applyFill="1"/>
    <xf numFmtId="4" fontId="19" fillId="0" borderId="0" xfId="0" applyNumberFormat="1" applyFont="1" applyFill="1" applyAlignment="1">
      <alignment horizontal="center" wrapText="1"/>
    </xf>
    <xf numFmtId="0" fontId="7" fillId="0" borderId="4" xfId="1" applyFont="1" applyFill="1" applyBorder="1" applyAlignment="1">
      <alignment horizontal="center" vertical="center" wrapText="1"/>
    </xf>
    <xf numFmtId="4" fontId="7" fillId="0" borderId="4" xfId="0" applyNumberFormat="1" applyFont="1" applyFill="1" applyBorder="1" applyAlignment="1">
      <alignment horizontal="center" vertical="center" wrapText="1"/>
    </xf>
    <xf numFmtId="167" fontId="7" fillId="0" borderId="4" xfId="0" applyNumberFormat="1" applyFont="1" applyFill="1" applyBorder="1" applyAlignment="1">
      <alignment horizontal="center" vertical="center" wrapText="1"/>
    </xf>
    <xf numFmtId="4" fontId="31" fillId="8" borderId="4" xfId="0" applyNumberFormat="1" applyFont="1" applyFill="1" applyBorder="1" applyAlignment="1">
      <alignment horizontal="center" vertical="center" wrapText="1"/>
    </xf>
    <xf numFmtId="4" fontId="7" fillId="8" borderId="4" xfId="0" applyNumberFormat="1" applyFont="1" applyFill="1" applyBorder="1" applyAlignment="1">
      <alignment horizontal="center" vertical="center" wrapText="1"/>
    </xf>
    <xf numFmtId="4" fontId="7" fillId="0" borderId="7" xfId="0" applyNumberFormat="1" applyFont="1" applyFill="1" applyBorder="1" applyAlignment="1">
      <alignment horizontal="center" vertical="center" wrapText="1"/>
    </xf>
    <xf numFmtId="4" fontId="7" fillId="0" borderId="11" xfId="0" applyNumberFormat="1" applyFont="1" applyFill="1" applyBorder="1" applyAlignment="1">
      <alignment horizontal="center" vertical="center" wrapText="1"/>
    </xf>
    <xf numFmtId="168" fontId="7" fillId="0" borderId="5" xfId="0" applyNumberFormat="1" applyFont="1" applyFill="1" applyBorder="1" applyAlignment="1">
      <alignment horizontal="center" vertical="center" wrapText="1"/>
    </xf>
    <xf numFmtId="168" fontId="7" fillId="0" borderId="13" xfId="0" applyNumberFormat="1" applyFont="1" applyFill="1" applyBorder="1" applyAlignment="1">
      <alignment horizontal="center" vertical="center" wrapText="1"/>
    </xf>
    <xf numFmtId="168" fontId="7" fillId="0" borderId="9" xfId="0" applyNumberFormat="1" applyFont="1" applyFill="1" applyBorder="1" applyAlignment="1">
      <alignment horizontal="center" vertical="center" wrapText="1"/>
    </xf>
    <xf numFmtId="168" fontId="7" fillId="0" borderId="3" xfId="0" applyNumberFormat="1" applyFont="1" applyFill="1" applyBorder="1" applyAlignment="1">
      <alignment horizontal="center" vertical="center" wrapText="1"/>
    </xf>
    <xf numFmtId="4" fontId="3" fillId="0" borderId="0" xfId="0" applyNumberFormat="1" applyFont="1" applyFill="1" applyBorder="1" applyAlignment="1">
      <alignment wrapText="1"/>
    </xf>
    <xf numFmtId="4" fontId="1" fillId="0" borderId="5" xfId="0" applyNumberFormat="1" applyFont="1" applyFill="1" applyBorder="1" applyAlignment="1">
      <alignment horizontal="center" vertical="center" wrapText="1"/>
    </xf>
    <xf numFmtId="4" fontId="1" fillId="0" borderId="13" xfId="0" applyNumberFormat="1" applyFont="1" applyFill="1" applyBorder="1" applyAlignment="1">
      <alignment horizontal="center" vertical="center" wrapText="1"/>
    </xf>
    <xf numFmtId="4" fontId="1" fillId="0" borderId="9" xfId="0" applyNumberFormat="1" applyFont="1" applyFill="1" applyBorder="1" applyAlignment="1">
      <alignment horizontal="center" vertical="center" wrapText="1"/>
    </xf>
    <xf numFmtId="4" fontId="1" fillId="0" borderId="3" xfId="0"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7" fillId="8" borderId="9" xfId="0" applyFont="1" applyFill="1" applyBorder="1" applyAlignment="1">
      <alignment horizontal="center" vertical="center" wrapText="1"/>
    </xf>
    <xf numFmtId="0" fontId="7" fillId="8" borderId="3" xfId="0" applyFont="1" applyFill="1" applyBorder="1" applyAlignment="1">
      <alignment horizontal="center" vertical="center" wrapText="1"/>
    </xf>
    <xf numFmtId="167" fontId="7" fillId="0" borderId="7" xfId="0" applyNumberFormat="1" applyFont="1" applyFill="1" applyBorder="1" applyAlignment="1">
      <alignment horizontal="center" vertical="center" wrapText="1"/>
    </xf>
    <xf numFmtId="167" fontId="7" fillId="0" borderId="11"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10" fillId="0" borderId="4" xfId="1" applyFont="1" applyFill="1" applyBorder="1" applyAlignment="1">
      <alignment horizontal="center" vertical="center" wrapText="1"/>
    </xf>
    <xf numFmtId="0" fontId="7" fillId="0" borderId="5" xfId="1" applyFont="1" applyFill="1" applyBorder="1" applyAlignment="1">
      <alignment horizontal="center" vertical="center" wrapText="1"/>
    </xf>
    <xf numFmtId="0" fontId="7" fillId="0" borderId="13" xfId="1" applyFont="1" applyFill="1" applyBorder="1" applyAlignment="1">
      <alignment horizontal="center" vertical="center" wrapText="1"/>
    </xf>
    <xf numFmtId="0" fontId="7" fillId="0" borderId="9" xfId="1" applyFont="1" applyFill="1" applyBorder="1" applyAlignment="1">
      <alignment horizontal="center" vertical="center" wrapText="1"/>
    </xf>
    <xf numFmtId="0" fontId="7" fillId="0" borderId="3" xfId="1" applyFont="1" applyFill="1" applyBorder="1" applyAlignment="1">
      <alignment horizontal="center" vertical="center" wrapText="1"/>
    </xf>
    <xf numFmtId="0" fontId="7" fillId="9" borderId="4" xfId="1" applyFont="1" applyFill="1" applyBorder="1" applyAlignment="1">
      <alignment horizontal="center" vertical="center" wrapText="1"/>
    </xf>
    <xf numFmtId="4" fontId="7" fillId="0" borderId="5" xfId="0" applyNumberFormat="1"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4" fontId="7" fillId="0" borderId="9" xfId="0" applyNumberFormat="1"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4" fontId="13" fillId="0" borderId="4"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165" fontId="7" fillId="0" borderId="5" xfId="0" applyNumberFormat="1" applyFont="1" applyFill="1" applyBorder="1" applyAlignment="1">
      <alignment horizontal="center" vertical="center" wrapText="1"/>
    </xf>
    <xf numFmtId="165" fontId="7" fillId="0" borderId="6" xfId="0" applyNumberFormat="1" applyFont="1" applyFill="1" applyBorder="1" applyAlignment="1">
      <alignment horizontal="center" vertical="center" wrapText="1"/>
    </xf>
    <xf numFmtId="165" fontId="7" fillId="0" borderId="9" xfId="0" applyNumberFormat="1" applyFont="1" applyFill="1" applyBorder="1" applyAlignment="1">
      <alignment horizontal="center" vertical="center" wrapText="1"/>
    </xf>
    <xf numFmtId="165" fontId="7" fillId="0" borderId="10" xfId="0" applyNumberFormat="1" applyFont="1" applyFill="1" applyBorder="1" applyAlignment="1">
      <alignment horizontal="center" vertical="center" wrapText="1"/>
    </xf>
    <xf numFmtId="4" fontId="2" fillId="0" borderId="0" xfId="0"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166" fontId="5" fillId="0" borderId="0" xfId="0" applyNumberFormat="1" applyFont="1" applyFill="1" applyBorder="1" applyAlignment="1">
      <alignment horizontal="center" vertical="center" wrapText="1"/>
    </xf>
    <xf numFmtId="4" fontId="1" fillId="7" borderId="0" xfId="0" applyNumberFormat="1" applyFont="1" applyFill="1" applyBorder="1" applyAlignment="1">
      <alignment horizontal="center" vertical="center" wrapText="1"/>
    </xf>
    <xf numFmtId="165" fontId="1" fillId="0" borderId="0" xfId="0" applyNumberFormat="1" applyFont="1" applyFill="1" applyBorder="1" applyAlignment="1">
      <alignment horizontal="center" vertical="center" wrapText="1"/>
    </xf>
    <xf numFmtId="4" fontId="1" fillId="0" borderId="0" xfId="0" applyNumberFormat="1" applyFont="1" applyFill="1" applyBorder="1" applyAlignment="1">
      <alignment horizontal="center" vertical="center" wrapText="1"/>
    </xf>
    <xf numFmtId="4"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6" fillId="8" borderId="3"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4" fontId="7" fillId="8" borderId="5" xfId="0" applyNumberFormat="1" applyFont="1" applyFill="1" applyBorder="1" applyAlignment="1">
      <alignment horizontal="center" vertical="center" wrapText="1"/>
    </xf>
    <xf numFmtId="4" fontId="7" fillId="8" borderId="13" xfId="0" applyNumberFormat="1" applyFont="1" applyFill="1" applyBorder="1" applyAlignment="1">
      <alignment horizontal="center" vertical="center" wrapText="1"/>
    </xf>
    <xf numFmtId="4" fontId="7" fillId="8" borderId="9" xfId="0" applyNumberFormat="1" applyFont="1" applyFill="1" applyBorder="1" applyAlignment="1">
      <alignment horizontal="center" vertical="center" wrapText="1"/>
    </xf>
    <xf numFmtId="4" fontId="7" fillId="8" borderId="3" xfId="0" applyNumberFormat="1" applyFont="1" applyFill="1" applyBorder="1" applyAlignment="1">
      <alignment horizontal="center" vertical="center" wrapText="1"/>
    </xf>
    <xf numFmtId="4" fontId="31" fillId="0" borderId="7" xfId="0" applyNumberFormat="1" applyFont="1" applyFill="1" applyBorder="1" applyAlignment="1">
      <alignment horizontal="center" vertical="center" wrapText="1"/>
    </xf>
    <xf numFmtId="4" fontId="31" fillId="0" borderId="11"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0" fontId="10" fillId="0" borderId="7" xfId="1" applyFont="1" applyFill="1" applyBorder="1" applyAlignment="1">
      <alignment horizontal="center" vertical="center" wrapText="1"/>
    </xf>
    <xf numFmtId="0" fontId="10" fillId="0" borderId="11" xfId="1" applyFont="1" applyFill="1" applyBorder="1" applyAlignment="1">
      <alignment horizontal="center" vertical="center" wrapText="1"/>
    </xf>
    <xf numFmtId="0" fontId="7" fillId="0" borderId="7" xfId="1" applyFont="1" applyFill="1" applyBorder="1" applyAlignment="1">
      <alignment horizontal="center" vertical="center" wrapText="1"/>
    </xf>
    <xf numFmtId="0" fontId="7" fillId="0" borderId="11" xfId="1" applyFont="1" applyFill="1" applyBorder="1" applyAlignment="1">
      <alignment horizontal="center" vertical="center" wrapText="1"/>
    </xf>
    <xf numFmtId="168" fontId="10" fillId="0" borderId="4"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166" fontId="7" fillId="0" borderId="4" xfId="0" applyNumberFormat="1" applyFont="1" applyFill="1" applyBorder="1" applyAlignment="1">
      <alignment horizontal="center" vertical="center" wrapText="1"/>
    </xf>
    <xf numFmtId="4" fontId="7" fillId="8" borderId="6" xfId="0" applyNumberFormat="1" applyFont="1" applyFill="1" applyBorder="1" applyAlignment="1">
      <alignment horizontal="center" vertical="center" wrapText="1"/>
    </xf>
    <xf numFmtId="4" fontId="7" fillId="8" borderId="10" xfId="0" applyNumberFormat="1" applyFont="1" applyFill="1" applyBorder="1" applyAlignment="1">
      <alignment horizontal="center" vertical="center" wrapText="1"/>
    </xf>
  </cellXfs>
  <cellStyles count="11">
    <cellStyle name="Обычный" xfId="0" builtinId="0"/>
    <cellStyle name="Обычный 10" xfId="8"/>
    <cellStyle name="Обычный 11" xfId="9"/>
    <cellStyle name="Обычный 2" xfId="2"/>
    <cellStyle name="Обычный 6" xfId="4"/>
    <cellStyle name="Обычный 7" xfId="5"/>
    <cellStyle name="Обычный 8" xfId="6"/>
    <cellStyle name="Обычный 9" xfId="7"/>
    <cellStyle name="Обычный_Дотации краев федер бюджет 2001" xfId="1"/>
    <cellStyle name="Обычный_РЕЕСТР НА ПРИОБР 2011  ноябрь_приобретение на 01.11.2011" xfId="3"/>
    <cellStyle name="Финансовый [0]_Дотации краев федер бюджет 2001" xfId="10"/>
  </cellStyles>
  <dxfs count="0"/>
  <tableStyles count="0" defaultTableStyle="TableStyleMedium9" defaultPivotStyle="PivotStyleLight16"/>
  <colors>
    <mruColors>
      <color rgb="FF0000FF"/>
      <color rgb="FFFF66FF"/>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0</xdr:rowOff>
    </xdr:from>
    <xdr:to>
      <xdr:col>3</xdr:col>
      <xdr:colOff>762179</xdr:colOff>
      <xdr:row>12</xdr:row>
      <xdr:rowOff>0</xdr:rowOff>
    </xdr:to>
    <xdr:sp macro="" textlink="" fLocksText="0">
      <xdr:nvSpPr>
        <xdr:cNvPr id="2" name="Text Box 3"/>
        <xdr:cNvSpPr txBox="1">
          <a:spLocks noChangeArrowheads="1"/>
        </xdr:cNvSpPr>
      </xdr:nvSpPr>
      <xdr:spPr bwMode="auto">
        <a:xfrm>
          <a:off x="0" y="5857875"/>
          <a:ext cx="6543854" cy="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ru-RU" sz="1100" b="0" i="0" u="none" strike="noStrike" baseline="0">
              <a:solidFill>
                <a:srgbClr val="000000"/>
              </a:solidFill>
              <a:latin typeface="Times New Roman"/>
              <a:cs typeface="Times New Roman"/>
            </a:rPr>
            <a:t>Руководитель органа, уполномоченного высшим органом</a:t>
          </a:r>
        </a:p>
        <a:p>
          <a:pPr algn="l" rtl="0">
            <a:defRPr sz="1000"/>
          </a:pPr>
          <a:r>
            <a:rPr lang="ru-RU" sz="1100" b="0" i="0" u="none" strike="noStrike" baseline="0">
              <a:solidFill>
                <a:srgbClr val="000000"/>
              </a:solidFill>
              <a:latin typeface="Times New Roman"/>
              <a:cs typeface="Times New Roman"/>
            </a:rPr>
            <a:t>исполнительной власти субъекта Российской Федерации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(должность)</a:t>
          </a:r>
        </a:p>
        <a:p>
          <a:pPr algn="l" rtl="0">
            <a:defRPr sz="1000"/>
          </a:pPr>
          <a:endParaRPr lang="ru-RU" sz="11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Times New Roman"/>
              <a:cs typeface="Times New Roman"/>
            </a:rPr>
            <a:t>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(подпись)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(расшифровка подписи)</a:t>
          </a:r>
        </a:p>
        <a:p>
          <a:pPr algn="l" rtl="0">
            <a:defRPr sz="1000"/>
          </a:pPr>
          <a:endParaRPr lang="ru-RU" sz="11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Times New Roman"/>
              <a:cs typeface="Times New Roman"/>
            </a:rPr>
            <a:t>Главный бухгалтер органа, уполномоченного </a:t>
          </a:r>
        </a:p>
        <a:p>
          <a:pPr algn="l" rtl="0">
            <a:defRPr sz="1000"/>
          </a:pPr>
          <a:r>
            <a:rPr lang="ru-RU" sz="1100" b="0" i="0" u="none" strike="noStrike" baseline="0">
              <a:solidFill>
                <a:srgbClr val="000000"/>
              </a:solidFill>
              <a:latin typeface="Times New Roman"/>
              <a:cs typeface="Times New Roman"/>
            </a:rPr>
            <a:t>высшим органом исполнительной власти</a:t>
          </a:r>
        </a:p>
        <a:p>
          <a:pPr algn="l" rtl="0">
            <a:defRPr sz="1000"/>
          </a:pPr>
          <a:r>
            <a:rPr lang="ru-RU" sz="1100" b="0" i="0" u="none" strike="noStrike" baseline="0">
              <a:solidFill>
                <a:srgbClr val="000000"/>
              </a:solidFill>
              <a:latin typeface="Times New Roman"/>
              <a:cs typeface="Times New Roman"/>
            </a:rPr>
            <a:t>субъекта Российской Федерации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(подпись)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(расшифровка подписи)</a:t>
          </a:r>
        </a:p>
        <a:p>
          <a:pPr algn="l" rtl="0">
            <a:defRPr sz="1000"/>
          </a:pPr>
          <a:endParaRPr lang="ru-RU" sz="11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Times New Roman"/>
              <a:cs typeface="Times New Roman"/>
            </a:rPr>
            <a:t>"_____" _______________________ 20     г.</a:t>
          </a:r>
        </a:p>
        <a:p>
          <a:pPr algn="l" rtl="0">
            <a:defRPr sz="1000"/>
          </a:pPr>
          <a:r>
            <a:rPr lang="ru-RU" sz="1100" b="0" i="0" u="none" strike="noStrike" baseline="0">
              <a:solidFill>
                <a:srgbClr val="000000"/>
              </a:solidFill>
              <a:latin typeface="Times New Roman"/>
              <a:cs typeface="Times New Roman"/>
            </a:rPr>
            <a:t>        </a:t>
          </a:r>
        </a:p>
        <a:p>
          <a:pPr algn="l" rtl="0">
            <a:defRPr sz="1000"/>
          </a:pPr>
          <a:r>
            <a:rPr lang="ru-RU" sz="1100" b="0" i="0" u="none" strike="noStrike" baseline="0">
              <a:solidFill>
                <a:srgbClr val="000000"/>
              </a:solidFill>
              <a:latin typeface="Times New Roman"/>
              <a:cs typeface="Times New Roman"/>
            </a:rPr>
            <a:t>       М.П.</a:t>
          </a:r>
        </a:p>
        <a:p>
          <a:pPr algn="l" rtl="0">
            <a:defRPr sz="1000"/>
          </a:pPr>
          <a:endParaRPr lang="ru-RU" sz="11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Times New Roman"/>
              <a:cs typeface="Times New Roman"/>
            </a:rPr>
            <a:t>Исполнитель: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(Ф.И.О)   тел. </a:t>
          </a:r>
          <a:r>
            <a:rPr lang="ru-RU" sz="1100" b="0" i="0" u="sng"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  </a:t>
          </a:r>
          <a:r>
            <a:rPr lang="en-US" sz="1100" b="0" i="0" u="none" strike="noStrike" baseline="0">
              <a:solidFill>
                <a:srgbClr val="000000"/>
              </a:solidFill>
              <a:latin typeface="Times New Roman"/>
              <a:cs typeface="Times New Roman"/>
            </a:rPr>
            <a:t>e-mail: </a:t>
          </a:r>
          <a:r>
            <a:rPr lang="en-US" sz="1100" b="0" i="0" u="sng" strike="noStrike" baseline="0">
              <a:solidFill>
                <a:srgbClr val="000000"/>
              </a:solidFill>
              <a:latin typeface="Times New Roman"/>
              <a:cs typeface="Times New Roman"/>
            </a:rPr>
            <a:t>                                                          </a:t>
          </a:r>
        </a:p>
        <a:p>
          <a:pPr algn="l" rtl="0">
            <a:defRPr sz="1000"/>
          </a:pPr>
          <a:endParaRPr lang="en-US" sz="1100" b="0" i="0" u="sng" strike="noStrike" baseline="0">
            <a:solidFill>
              <a:srgbClr val="000000"/>
            </a:solidFill>
            <a:latin typeface="Times New Roman"/>
            <a:cs typeface="Times New Roman"/>
          </a:endParaRPr>
        </a:p>
        <a:p>
          <a:pPr algn="l" rtl="0">
            <a:defRPr sz="1000"/>
          </a:pPr>
          <a:r>
            <a:rPr lang="en-US" sz="1100" b="0" i="0" u="none" strike="noStrike" baseline="0">
              <a:solidFill>
                <a:srgbClr val="000000"/>
              </a:solidFill>
              <a:latin typeface="Times New Roman"/>
              <a:cs typeface="Times New Roman"/>
            </a:rPr>
            <a:t>* </a:t>
          </a:r>
          <a:r>
            <a:rPr lang="ru-RU" sz="1100" b="0" i="0" u="none" strike="noStrike" baseline="0">
              <a:solidFill>
                <a:srgbClr val="000000"/>
              </a:solidFill>
              <a:latin typeface="Times New Roman"/>
              <a:cs typeface="Times New Roman"/>
            </a:rPr>
            <a:t>заполняется по видам сельскохозяйственных товаропроизводителей: сельскохозяйственные организации, крестьянские (фермерские) хозяйства и т.п</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4;_&#1048;&#1089;&#1087;&#1086;&#1083;&#1085;&#1077;&#1085;&#1080;&#1103;_&#1073;&#1102;&#1076;&#1078;&#1077;&#1090;&#1072;_04\&#1054;&#1090;&#1095;&#1077;&#1090;&#1099;%20&#1087;&#1086;%20&#1060;&#1077;&#1076;&#1077;&#1088;&#1072;&#1094;&#1080;&#1080;%20&#1080;%20&#1082;&#1088;&#1072;&#1102;\2013%20&#1075;&#1086;&#1076;\&#1043;&#1055;-61%20&#1087;&#1072;&#1096;&#1085;&#1103;\01.01\&#1043;&#1055;-61&#1088;%20&#1089;%202013%20&#1075;&#1086;&#1076;&#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ovalenko\AppData\Roaming\Microsoft\Excel\&#1056;&#1077;&#1077;&#1089;&#1090;&#1088;%20&#1089;%20&#1087;&#1088;&#1072;&#1074;&#1082;&#1072;&#1084;&#1080;%20ot_27_04_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ovalenko\AppData\Roaming\Microsoft\Excel\&#1055;&#1077;&#1088;&#1077;&#1095;&#1077;&#1085;&#1100;%20&#1087;&#1086;&#1083;&#1091;&#1095;&#1072;&#1090;&#1077;&#1083;&#1077;&#1081;%20&#1079;&#1072;%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Завоз семян"/>
      <sheetName val="Списки"/>
      <sheetName val="Инструкция"/>
      <sheetName val="ФЛК (обязательный)"/>
    </sheetNames>
    <sheetDataSet>
      <sheetData sheetId="0" refreshError="1"/>
      <sheetData sheetId="1">
        <row r="1">
          <cell r="A1" t="str">
            <v>СХО</v>
          </cell>
        </row>
        <row r="2">
          <cell r="A2" t="str">
            <v>организации АПК</v>
          </cell>
        </row>
        <row r="3">
          <cell r="A3" t="str">
            <v>СПоК</v>
          </cell>
        </row>
        <row r="4">
          <cell r="A4" t="str">
            <v>КФХ</v>
          </cell>
        </row>
        <row r="5">
          <cell r="A5" t="str">
            <v>ИП</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sheetData sheetId="1">
        <row r="1">
          <cell r="A1" t="str">
            <v>СХО</v>
          </cell>
        </row>
        <row r="2">
          <cell r="A2" t="str">
            <v>организации АПК</v>
          </cell>
        </row>
        <row r="3">
          <cell r="A3" t="str">
            <v>организации потребкооперации</v>
          </cell>
        </row>
        <row r="4">
          <cell r="A4" t="str">
            <v>ЛПХ</v>
          </cell>
        </row>
        <row r="5">
          <cell r="A5" t="str">
            <v>ИП</v>
          </cell>
        </row>
        <row r="6">
          <cell r="A6" t="str">
            <v>КФХ</v>
          </cell>
        </row>
        <row r="7">
          <cell r="A7" t="str">
            <v>СПоК</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без прочего на жив"/>
      <sheetName val="реестр Красноярский кр-й"/>
      <sheetName val="Лист2"/>
      <sheetName val="Лист3"/>
    </sheetNames>
    <sheetDataSet>
      <sheetData sheetId="0"/>
      <sheetData sheetId="1"/>
      <sheetData sheetId="2">
        <row r="1">
          <cell r="A1" t="str">
            <v>СХО</v>
          </cell>
        </row>
        <row r="2">
          <cell r="A2" t="str">
            <v>организации АПК</v>
          </cell>
        </row>
        <row r="3">
          <cell r="A3" t="str">
            <v>ЛПХ</v>
          </cell>
        </row>
        <row r="4">
          <cell r="A4" t="str">
            <v>ИП</v>
          </cell>
        </row>
        <row r="5">
          <cell r="A5" t="str">
            <v>КФХ</v>
          </cell>
        </row>
        <row r="6">
          <cell r="A6" t="str">
            <v>СПоК</v>
          </cell>
        </row>
      </sheetData>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T3210"/>
  <sheetViews>
    <sheetView tabSelected="1" topLeftCell="A8" zoomScale="50" zoomScaleNormal="50" workbookViewId="0">
      <selection activeCell="I1170" sqref="I1170"/>
    </sheetView>
  </sheetViews>
  <sheetFormatPr defaultColWidth="9.28515625" defaultRowHeight="20.25" outlineLevelRow="3" x14ac:dyDescent="0.3"/>
  <cols>
    <col min="1" max="1" width="29" style="1" customWidth="1"/>
    <col min="2" max="2" width="42.5703125" style="19" customWidth="1"/>
    <col min="3" max="3" width="15" style="3" customWidth="1"/>
    <col min="4" max="4" width="24.5703125" style="4" customWidth="1"/>
    <col min="5" max="5" width="27.140625" style="5" customWidth="1"/>
    <col min="6" max="6" width="25.140625" style="6" customWidth="1"/>
    <col min="7" max="7" width="24.85546875" style="5" customWidth="1"/>
    <col min="8" max="8" width="24.140625" style="6" customWidth="1"/>
    <col min="9" max="9" width="26" style="6" customWidth="1"/>
    <col min="10" max="10" width="21.5703125" style="5" customWidth="1"/>
    <col min="11" max="11" width="21.5703125" style="6" customWidth="1"/>
    <col min="12" max="12" width="28.28515625" style="110" customWidth="1"/>
    <col min="13" max="13" width="51" style="110" customWidth="1"/>
    <col min="14" max="14" width="33" style="165" customWidth="1"/>
    <col min="15" max="15" width="22.85546875" style="5" customWidth="1"/>
    <col min="16" max="16" width="22" style="6" customWidth="1"/>
    <col min="17" max="17" width="24.7109375" style="6" customWidth="1"/>
    <col min="18" max="18" width="28.7109375" style="6" customWidth="1"/>
    <col min="19" max="19" width="23.5703125" style="5" customWidth="1"/>
    <col min="20" max="20" width="24.28515625" style="6" customWidth="1"/>
    <col min="21" max="21" width="25.85546875" style="6" customWidth="1"/>
    <col min="22" max="22" width="21.42578125" style="5" customWidth="1"/>
    <col min="23" max="23" width="22.28515625" style="6" customWidth="1"/>
    <col min="24" max="24" width="22.140625" style="5" customWidth="1"/>
    <col min="25" max="25" width="23.28515625" style="6" customWidth="1"/>
    <col min="26" max="26" width="20.5703125" style="118" customWidth="1"/>
    <col min="27" max="27" width="20.5703125" style="110" customWidth="1"/>
    <col min="28" max="28" width="21.28515625" style="5" customWidth="1"/>
    <col min="29" max="29" width="21.42578125" style="6" customWidth="1"/>
    <col min="30" max="31" width="21.5703125" style="166" customWidth="1"/>
    <col min="32" max="32" width="22.28515625" style="196" customWidth="1"/>
    <col min="33" max="33" width="25.42578125" style="6" customWidth="1"/>
    <col min="34" max="34" width="25.28515625" style="6" customWidth="1"/>
    <col min="35" max="35" width="26" style="6" customWidth="1"/>
    <col min="36" max="36" width="24.85546875" style="5" customWidth="1"/>
    <col min="37" max="37" width="25" style="6" customWidth="1"/>
    <col min="38" max="38" width="26.42578125" style="118" customWidth="1"/>
    <col min="39" max="39" width="27.5703125" style="167" customWidth="1"/>
    <col min="40" max="40" width="23.28515625" style="118" customWidth="1"/>
    <col min="41" max="41" width="23.28515625" style="6" customWidth="1"/>
    <col min="42" max="42" width="23.28515625" style="5" customWidth="1"/>
    <col min="43" max="43" width="23.85546875" style="110" customWidth="1"/>
    <col min="44" max="44" width="26.7109375" style="110" customWidth="1"/>
    <col min="45" max="45" width="26.85546875" style="110" customWidth="1"/>
    <col min="46" max="47" width="23.5703125" style="6" customWidth="1"/>
    <col min="48" max="48" width="28.7109375" style="6" customWidth="1"/>
    <col min="49" max="49" width="34.42578125" style="168" customWidth="1"/>
    <col min="50" max="50" width="22.42578125" style="5" customWidth="1"/>
    <col min="51" max="51" width="22.42578125" style="6" customWidth="1"/>
    <col min="52" max="52" width="22" style="118" customWidth="1"/>
    <col min="53" max="53" width="23.7109375" style="110" customWidth="1"/>
    <col min="54" max="54" width="30.85546875" style="166" customWidth="1"/>
    <col min="55" max="55" width="22.140625" style="6" customWidth="1"/>
    <col min="56" max="57" width="22.140625" style="166" customWidth="1"/>
    <col min="58" max="58" width="25.28515625" style="6" customWidth="1"/>
    <col min="59" max="59" width="32.140625" style="17" customWidth="1"/>
    <col min="60" max="60" width="24.7109375" style="17" customWidth="1"/>
    <col min="61" max="61" width="26.42578125" style="17" customWidth="1"/>
    <col min="62" max="62" width="29.28515625" style="17" customWidth="1"/>
    <col min="63" max="66" width="27.28515625" style="17" customWidth="1"/>
    <col min="67" max="67" width="31.7109375" style="17" customWidth="1"/>
    <col min="68" max="68" width="29.140625" style="17" customWidth="1"/>
    <col min="69" max="71" width="28.28515625" style="17" customWidth="1"/>
    <col min="72" max="72" width="25.42578125" style="17" customWidth="1"/>
    <col min="73" max="73" width="24.7109375" style="17" customWidth="1"/>
    <col min="74" max="74" width="24.140625" style="18" customWidth="1"/>
    <col min="75" max="75" width="22.28515625" style="17" customWidth="1"/>
    <col min="76" max="76" width="22.28515625" style="18" customWidth="1"/>
    <col min="77" max="77" width="22.28515625" style="17" customWidth="1"/>
    <col min="78" max="78" width="22.42578125" style="18" customWidth="1"/>
    <col min="79" max="79" width="23.7109375" style="17" customWidth="1"/>
    <col min="80" max="80" width="34" style="175" customWidth="1"/>
    <col min="81" max="234" width="9.28515625" style="175"/>
    <col min="235" max="235" width="26.28515625" style="175" customWidth="1"/>
    <col min="236" max="236" width="45.42578125" style="175" customWidth="1"/>
    <col min="237" max="237" width="14.85546875" style="175" customWidth="1"/>
    <col min="238" max="241" width="9.28515625" style="175" customWidth="1"/>
    <col min="242" max="242" width="0.140625" style="175" customWidth="1"/>
    <col min="243" max="243" width="29.42578125" style="175" customWidth="1"/>
    <col min="244" max="244" width="24.42578125" style="175" customWidth="1"/>
    <col min="245" max="245" width="26.7109375" style="175" customWidth="1"/>
    <col min="246" max="246" width="24.85546875" style="175" customWidth="1"/>
    <col min="247" max="247" width="21.28515625" style="175" customWidth="1"/>
    <col min="248" max="251" width="21.5703125" style="175" customWidth="1"/>
    <col min="252" max="252" width="28.28515625" style="175" customWidth="1"/>
    <col min="253" max="253" width="33" style="175" customWidth="1"/>
    <col min="254" max="254" width="22.85546875" style="175" customWidth="1"/>
    <col min="255" max="255" width="22" style="175" customWidth="1"/>
    <col min="256" max="256" width="24.7109375" style="175" customWidth="1"/>
    <col min="257" max="257" width="28.7109375" style="175" customWidth="1"/>
    <col min="258" max="258" width="23.5703125" style="175" customWidth="1"/>
    <col min="259" max="259" width="24.28515625" style="175" customWidth="1"/>
    <col min="260" max="260" width="23.5703125" style="175" customWidth="1"/>
    <col min="261" max="265" width="24.28515625" style="175" customWidth="1"/>
    <col min="266" max="266" width="22.7109375" style="175" customWidth="1"/>
    <col min="267" max="267" width="21.5703125" style="175" customWidth="1"/>
    <col min="268" max="268" width="21.42578125" style="175" customWidth="1"/>
    <col min="269" max="269" width="22.28515625" style="175" customWidth="1"/>
    <col min="270" max="270" width="22.5703125" style="175" customWidth="1"/>
    <col min="271" max="271" width="23.28515625" style="175" customWidth="1"/>
    <col min="272" max="273" width="20.5703125" style="175" customWidth="1"/>
    <col min="274" max="274" width="21.28515625" style="175" customWidth="1"/>
    <col min="275" max="275" width="21.42578125" style="175" customWidth="1"/>
    <col min="276" max="276" width="22" style="175" customWidth="1"/>
    <col min="277" max="278" width="21.5703125" style="175" customWidth="1"/>
    <col min="279" max="279" width="22.28515625" style="175" customWidth="1"/>
    <col min="280" max="280" width="25.42578125" style="175" customWidth="1"/>
    <col min="281" max="281" width="25.28515625" style="175" customWidth="1"/>
    <col min="282" max="282" width="28.7109375" style="175" customWidth="1"/>
    <col min="283" max="283" width="22.140625" style="17" customWidth="1"/>
    <col min="284" max="284" width="22" style="17" customWidth="1"/>
    <col min="285" max="285" width="24.5703125" style="17" customWidth="1"/>
    <col min="286" max="286" width="19.7109375" style="17" customWidth="1"/>
    <col min="287" max="287" width="29.140625" style="17" customWidth="1"/>
    <col min="288" max="288" width="25.140625" style="17" customWidth="1"/>
    <col min="289" max="290" width="29.42578125" style="17" customWidth="1"/>
    <col min="291" max="292" width="23.7109375" style="17" customWidth="1"/>
    <col min="293" max="293" width="26.7109375" style="17" customWidth="1"/>
    <col min="294" max="294" width="29.85546875" style="17" customWidth="1"/>
    <col min="295" max="297" width="23.28515625" style="17" customWidth="1"/>
    <col min="298" max="298" width="23.85546875" style="17" customWidth="1"/>
    <col min="299" max="299" width="26.7109375" style="17" customWidth="1"/>
    <col min="300" max="300" width="24.5703125" style="17" customWidth="1"/>
    <col min="301" max="301" width="26.85546875" style="17" customWidth="1"/>
    <col min="302" max="303" width="23.5703125" style="17" customWidth="1"/>
    <col min="304" max="304" width="28.7109375" style="17" customWidth="1"/>
    <col min="305" max="305" width="34.42578125" style="17" customWidth="1"/>
    <col min="306" max="306" width="29.7109375" style="17" customWidth="1"/>
    <col min="307" max="307" width="22" style="17" customWidth="1"/>
    <col min="308" max="308" width="23.7109375" style="17" customWidth="1"/>
    <col min="309" max="309" width="23.5703125" style="17" customWidth="1"/>
    <col min="310" max="313" width="22.140625" style="17" customWidth="1"/>
    <col min="314" max="314" width="25.28515625" style="17" customWidth="1"/>
    <col min="315" max="315" width="45.42578125" style="17" customWidth="1"/>
    <col min="316" max="316" width="24.7109375" style="17" customWidth="1"/>
    <col min="317" max="317" width="26.42578125" style="17" customWidth="1"/>
    <col min="318" max="318" width="29.28515625" style="17" customWidth="1"/>
    <col min="319" max="321" width="27.28515625" style="17" customWidth="1"/>
    <col min="322" max="322" width="31.7109375" style="17" customWidth="1"/>
    <col min="323" max="323" width="27.7109375" style="17" customWidth="1"/>
    <col min="324" max="326" width="28.28515625" style="17" customWidth="1"/>
    <col min="327" max="327" width="24.7109375" style="17" customWidth="1"/>
    <col min="328" max="328" width="24.140625" style="17" customWidth="1"/>
    <col min="329" max="331" width="22.28515625" style="17" customWidth="1"/>
    <col min="332" max="332" width="22.42578125" style="17" customWidth="1"/>
    <col min="333" max="333" width="23.7109375" style="17" customWidth="1"/>
    <col min="334" max="336" width="9.28515625" style="17" customWidth="1"/>
    <col min="337" max="490" width="9.28515625" style="17"/>
    <col min="491" max="491" width="26.28515625" style="17" customWidth="1"/>
    <col min="492" max="492" width="45.42578125" style="17" customWidth="1"/>
    <col min="493" max="493" width="14.85546875" style="17" customWidth="1"/>
    <col min="494" max="497" width="9.28515625" style="17" customWidth="1"/>
    <col min="498" max="498" width="0.140625" style="17" customWidth="1"/>
    <col min="499" max="499" width="29.42578125" style="17" customWidth="1"/>
    <col min="500" max="500" width="24.42578125" style="17" customWidth="1"/>
    <col min="501" max="501" width="26.7109375" style="17" customWidth="1"/>
    <col min="502" max="502" width="24.85546875" style="17" customWidth="1"/>
    <col min="503" max="503" width="21.28515625" style="17" customWidth="1"/>
    <col min="504" max="507" width="21.5703125" style="17" customWidth="1"/>
    <col min="508" max="508" width="28.28515625" style="17" customWidth="1"/>
    <col min="509" max="509" width="33" style="17" customWidth="1"/>
    <col min="510" max="510" width="22.85546875" style="17" customWidth="1"/>
    <col min="511" max="511" width="22" style="17" customWidth="1"/>
    <col min="512" max="512" width="24.7109375" style="17" customWidth="1"/>
    <col min="513" max="513" width="28.7109375" style="17" customWidth="1"/>
    <col min="514" max="514" width="23.5703125" style="17" customWidth="1"/>
    <col min="515" max="515" width="24.28515625" style="17" customWidth="1"/>
    <col min="516" max="516" width="23.5703125" style="17" customWidth="1"/>
    <col min="517" max="521" width="24.28515625" style="17" customWidth="1"/>
    <col min="522" max="522" width="22.7109375" style="17" customWidth="1"/>
    <col min="523" max="523" width="21.5703125" style="17" customWidth="1"/>
    <col min="524" max="524" width="21.42578125" style="17" customWidth="1"/>
    <col min="525" max="525" width="22.28515625" style="17" customWidth="1"/>
    <col min="526" max="526" width="22.5703125" style="17" customWidth="1"/>
    <col min="527" max="527" width="23.28515625" style="17" customWidth="1"/>
    <col min="528" max="529" width="20.5703125" style="17" customWidth="1"/>
    <col min="530" max="530" width="21.28515625" style="17" customWidth="1"/>
    <col min="531" max="531" width="21.42578125" style="17" customWidth="1"/>
    <col min="532" max="532" width="22" style="17" customWidth="1"/>
    <col min="533" max="534" width="21.5703125" style="17" customWidth="1"/>
    <col min="535" max="535" width="22.28515625" style="17" customWidth="1"/>
    <col min="536" max="536" width="25.42578125" style="17" customWidth="1"/>
    <col min="537" max="537" width="25.28515625" style="17" customWidth="1"/>
    <col min="538" max="538" width="28.7109375" style="17" customWidth="1"/>
    <col min="539" max="539" width="22.140625" style="17" customWidth="1"/>
    <col min="540" max="540" width="22" style="17" customWidth="1"/>
    <col min="541" max="541" width="24.5703125" style="17" customWidth="1"/>
    <col min="542" max="542" width="19.7109375" style="17" customWidth="1"/>
    <col min="543" max="543" width="29.140625" style="17" customWidth="1"/>
    <col min="544" max="544" width="25.140625" style="17" customWidth="1"/>
    <col min="545" max="546" width="29.42578125" style="17" customWidth="1"/>
    <col min="547" max="548" width="23.7109375" style="17" customWidth="1"/>
    <col min="549" max="549" width="26.7109375" style="17" customWidth="1"/>
    <col min="550" max="550" width="29.85546875" style="17" customWidth="1"/>
    <col min="551" max="553" width="23.28515625" style="17" customWidth="1"/>
    <col min="554" max="554" width="23.85546875" style="17" customWidth="1"/>
    <col min="555" max="555" width="26.7109375" style="17" customWidth="1"/>
    <col min="556" max="556" width="24.5703125" style="17" customWidth="1"/>
    <col min="557" max="557" width="26.85546875" style="17" customWidth="1"/>
    <col min="558" max="559" width="23.5703125" style="17" customWidth="1"/>
    <col min="560" max="560" width="28.7109375" style="17" customWidth="1"/>
    <col min="561" max="561" width="34.42578125" style="17" customWidth="1"/>
    <col min="562" max="562" width="29.7109375" style="17" customWidth="1"/>
    <col min="563" max="563" width="22" style="17" customWidth="1"/>
    <col min="564" max="564" width="23.7109375" style="17" customWidth="1"/>
    <col min="565" max="565" width="23.5703125" style="17" customWidth="1"/>
    <col min="566" max="569" width="22.140625" style="17" customWidth="1"/>
    <col min="570" max="570" width="25.28515625" style="17" customWidth="1"/>
    <col min="571" max="571" width="45.42578125" style="17" customWidth="1"/>
    <col min="572" max="572" width="24.7109375" style="17" customWidth="1"/>
    <col min="573" max="573" width="26.42578125" style="17" customWidth="1"/>
    <col min="574" max="574" width="29.28515625" style="17" customWidth="1"/>
    <col min="575" max="577" width="27.28515625" style="17" customWidth="1"/>
    <col min="578" max="578" width="31.7109375" style="17" customWidth="1"/>
    <col min="579" max="579" width="27.7109375" style="17" customWidth="1"/>
    <col min="580" max="582" width="28.28515625" style="17" customWidth="1"/>
    <col min="583" max="583" width="24.7109375" style="17" customWidth="1"/>
    <col min="584" max="584" width="24.140625" style="17" customWidth="1"/>
    <col min="585" max="587" width="22.28515625" style="17" customWidth="1"/>
    <col min="588" max="588" width="22.42578125" style="17" customWidth="1"/>
    <col min="589" max="589" width="23.7109375" style="17" customWidth="1"/>
    <col min="590" max="592" width="9.28515625" style="17" customWidth="1"/>
    <col min="593" max="746" width="9.28515625" style="17"/>
    <col min="747" max="747" width="26.28515625" style="17" customWidth="1"/>
    <col min="748" max="748" width="45.42578125" style="17" customWidth="1"/>
    <col min="749" max="749" width="14.85546875" style="17" customWidth="1"/>
    <col min="750" max="753" width="9.28515625" style="17" customWidth="1"/>
    <col min="754" max="754" width="0.140625" style="17" customWidth="1"/>
    <col min="755" max="755" width="29.42578125" style="17" customWidth="1"/>
    <col min="756" max="756" width="24.42578125" style="17" customWidth="1"/>
    <col min="757" max="757" width="26.7109375" style="17" customWidth="1"/>
    <col min="758" max="758" width="24.85546875" style="17" customWidth="1"/>
    <col min="759" max="759" width="21.28515625" style="17" customWidth="1"/>
    <col min="760" max="763" width="21.5703125" style="17" customWidth="1"/>
    <col min="764" max="764" width="28.28515625" style="17" customWidth="1"/>
    <col min="765" max="765" width="33" style="17" customWidth="1"/>
    <col min="766" max="766" width="22.85546875" style="17" customWidth="1"/>
    <col min="767" max="767" width="22" style="17" customWidth="1"/>
    <col min="768" max="768" width="24.7109375" style="17" customWidth="1"/>
    <col min="769" max="769" width="28.7109375" style="17" customWidth="1"/>
    <col min="770" max="770" width="23.5703125" style="17" customWidth="1"/>
    <col min="771" max="771" width="24.28515625" style="17" customWidth="1"/>
    <col min="772" max="772" width="23.5703125" style="17" customWidth="1"/>
    <col min="773" max="777" width="24.28515625" style="17" customWidth="1"/>
    <col min="778" max="778" width="22.7109375" style="17" customWidth="1"/>
    <col min="779" max="779" width="21.5703125" style="17" customWidth="1"/>
    <col min="780" max="780" width="21.42578125" style="17" customWidth="1"/>
    <col min="781" max="781" width="22.28515625" style="17" customWidth="1"/>
    <col min="782" max="782" width="22.5703125" style="17" customWidth="1"/>
    <col min="783" max="783" width="23.28515625" style="17" customWidth="1"/>
    <col min="784" max="785" width="20.5703125" style="17" customWidth="1"/>
    <col min="786" max="786" width="21.28515625" style="17" customWidth="1"/>
    <col min="787" max="787" width="21.42578125" style="17" customWidth="1"/>
    <col min="788" max="788" width="22" style="17" customWidth="1"/>
    <col min="789" max="790" width="21.5703125" style="17" customWidth="1"/>
    <col min="791" max="791" width="22.28515625" style="17" customWidth="1"/>
    <col min="792" max="792" width="25.42578125" style="17" customWidth="1"/>
    <col min="793" max="793" width="25.28515625" style="17" customWidth="1"/>
    <col min="794" max="794" width="28.7109375" style="17" customWidth="1"/>
    <col min="795" max="795" width="22.140625" style="17" customWidth="1"/>
    <col min="796" max="796" width="22" style="17" customWidth="1"/>
    <col min="797" max="797" width="24.5703125" style="17" customWidth="1"/>
    <col min="798" max="798" width="19.7109375" style="17" customWidth="1"/>
    <col min="799" max="799" width="29.140625" style="17" customWidth="1"/>
    <col min="800" max="800" width="25.140625" style="17" customWidth="1"/>
    <col min="801" max="802" width="29.42578125" style="17" customWidth="1"/>
    <col min="803" max="804" width="23.7109375" style="17" customWidth="1"/>
    <col min="805" max="805" width="26.7109375" style="17" customWidth="1"/>
    <col min="806" max="806" width="29.85546875" style="17" customWidth="1"/>
    <col min="807" max="809" width="23.28515625" style="17" customWidth="1"/>
    <col min="810" max="810" width="23.85546875" style="17" customWidth="1"/>
    <col min="811" max="811" width="26.7109375" style="17" customWidth="1"/>
    <col min="812" max="812" width="24.5703125" style="17" customWidth="1"/>
    <col min="813" max="813" width="26.85546875" style="17" customWidth="1"/>
    <col min="814" max="815" width="23.5703125" style="17" customWidth="1"/>
    <col min="816" max="816" width="28.7109375" style="17" customWidth="1"/>
    <col min="817" max="817" width="34.42578125" style="17" customWidth="1"/>
    <col min="818" max="818" width="29.7109375" style="17" customWidth="1"/>
    <col min="819" max="819" width="22" style="17" customWidth="1"/>
    <col min="820" max="820" width="23.7109375" style="17" customWidth="1"/>
    <col min="821" max="821" width="23.5703125" style="17" customWidth="1"/>
    <col min="822" max="825" width="22.140625" style="17" customWidth="1"/>
    <col min="826" max="826" width="25.28515625" style="17" customWidth="1"/>
    <col min="827" max="827" width="45.42578125" style="17" customWidth="1"/>
    <col min="828" max="828" width="24.7109375" style="17" customWidth="1"/>
    <col min="829" max="829" width="26.42578125" style="17" customWidth="1"/>
    <col min="830" max="830" width="29.28515625" style="17" customWidth="1"/>
    <col min="831" max="833" width="27.28515625" style="17" customWidth="1"/>
    <col min="834" max="834" width="31.7109375" style="17" customWidth="1"/>
    <col min="835" max="835" width="27.7109375" style="17" customWidth="1"/>
    <col min="836" max="838" width="28.28515625" style="17" customWidth="1"/>
    <col min="839" max="839" width="24.7109375" style="17" customWidth="1"/>
    <col min="840" max="840" width="24.140625" style="17" customWidth="1"/>
    <col min="841" max="843" width="22.28515625" style="17" customWidth="1"/>
    <col min="844" max="844" width="22.42578125" style="17" customWidth="1"/>
    <col min="845" max="845" width="23.7109375" style="17" customWidth="1"/>
    <col min="846" max="848" width="9.28515625" style="17" customWidth="1"/>
    <col min="849" max="1002" width="9.28515625" style="17"/>
    <col min="1003" max="1003" width="26.28515625" style="17" customWidth="1"/>
    <col min="1004" max="1004" width="45.42578125" style="17" customWidth="1"/>
    <col min="1005" max="1005" width="14.85546875" style="17" customWidth="1"/>
    <col min="1006" max="1009" width="9.28515625" style="17" customWidth="1"/>
    <col min="1010" max="1010" width="0.140625" style="17" customWidth="1"/>
    <col min="1011" max="1011" width="29.42578125" style="17" customWidth="1"/>
    <col min="1012" max="1012" width="24.42578125" style="17" customWidth="1"/>
    <col min="1013" max="1013" width="26.7109375" style="17" customWidth="1"/>
    <col min="1014" max="1014" width="24.85546875" style="17" customWidth="1"/>
    <col min="1015" max="1015" width="21.28515625" style="17" customWidth="1"/>
    <col min="1016" max="1019" width="21.5703125" style="17" customWidth="1"/>
    <col min="1020" max="1020" width="28.28515625" style="17" customWidth="1"/>
    <col min="1021" max="1021" width="33" style="17" customWidth="1"/>
    <col min="1022" max="1022" width="22.85546875" style="17" customWidth="1"/>
    <col min="1023" max="1023" width="22" style="17" customWidth="1"/>
    <col min="1024" max="1024" width="24.7109375" style="17" customWidth="1"/>
    <col min="1025" max="1025" width="28.7109375" style="17" customWidth="1"/>
    <col min="1026" max="1026" width="23.5703125" style="17" customWidth="1"/>
    <col min="1027" max="1027" width="24.28515625" style="17" customWidth="1"/>
    <col min="1028" max="1028" width="23.5703125" style="17" customWidth="1"/>
    <col min="1029" max="1033" width="24.28515625" style="17" customWidth="1"/>
    <col min="1034" max="1034" width="22.7109375" style="17" customWidth="1"/>
    <col min="1035" max="1035" width="21.5703125" style="17" customWidth="1"/>
    <col min="1036" max="1036" width="21.42578125" style="17" customWidth="1"/>
    <col min="1037" max="1037" width="22.28515625" style="17" customWidth="1"/>
    <col min="1038" max="1038" width="22.5703125" style="17" customWidth="1"/>
    <col min="1039" max="1039" width="23.28515625" style="17" customWidth="1"/>
    <col min="1040" max="1041" width="20.5703125" style="17" customWidth="1"/>
    <col min="1042" max="1042" width="21.28515625" style="17" customWidth="1"/>
    <col min="1043" max="1043" width="21.42578125" style="17" customWidth="1"/>
    <col min="1044" max="1044" width="22" style="17" customWidth="1"/>
    <col min="1045" max="1046" width="21.5703125" style="17" customWidth="1"/>
    <col min="1047" max="1047" width="22.28515625" style="17" customWidth="1"/>
    <col min="1048" max="1048" width="25.42578125" style="17" customWidth="1"/>
    <col min="1049" max="1049" width="25.28515625" style="17" customWidth="1"/>
    <col min="1050" max="1050" width="28.7109375" style="17" customWidth="1"/>
    <col min="1051" max="1051" width="22.140625" style="17" customWidth="1"/>
    <col min="1052" max="1052" width="22" style="17" customWidth="1"/>
    <col min="1053" max="1053" width="24.5703125" style="17" customWidth="1"/>
    <col min="1054" max="1054" width="19.7109375" style="17" customWidth="1"/>
    <col min="1055" max="1055" width="29.140625" style="17" customWidth="1"/>
    <col min="1056" max="1056" width="25.140625" style="17" customWidth="1"/>
    <col min="1057" max="1058" width="29.42578125" style="17" customWidth="1"/>
    <col min="1059" max="1060" width="23.7109375" style="17" customWidth="1"/>
    <col min="1061" max="1061" width="26.7109375" style="17" customWidth="1"/>
    <col min="1062" max="1062" width="29.85546875" style="17" customWidth="1"/>
    <col min="1063" max="1065" width="23.28515625" style="17" customWidth="1"/>
    <col min="1066" max="1066" width="23.85546875" style="17" customWidth="1"/>
    <col min="1067" max="1067" width="26.7109375" style="17" customWidth="1"/>
    <col min="1068" max="1068" width="24.5703125" style="17" customWidth="1"/>
    <col min="1069" max="1069" width="26.85546875" style="17" customWidth="1"/>
    <col min="1070" max="1071" width="23.5703125" style="17" customWidth="1"/>
    <col min="1072" max="1072" width="28.7109375" style="17" customWidth="1"/>
    <col min="1073" max="1073" width="34.42578125" style="17" customWidth="1"/>
    <col min="1074" max="1074" width="29.7109375" style="17" customWidth="1"/>
    <col min="1075" max="1075" width="22" style="17" customWidth="1"/>
    <col min="1076" max="1076" width="23.7109375" style="17" customWidth="1"/>
    <col min="1077" max="1077" width="23.5703125" style="17" customWidth="1"/>
    <col min="1078" max="1081" width="22.140625" style="17" customWidth="1"/>
    <col min="1082" max="1082" width="25.28515625" style="17" customWidth="1"/>
    <col min="1083" max="1083" width="45.42578125" style="17" customWidth="1"/>
    <col min="1084" max="1084" width="24.7109375" style="17" customWidth="1"/>
    <col min="1085" max="1085" width="26.42578125" style="17" customWidth="1"/>
    <col min="1086" max="1086" width="29.28515625" style="17" customWidth="1"/>
    <col min="1087" max="1089" width="27.28515625" style="17" customWidth="1"/>
    <col min="1090" max="1090" width="31.7109375" style="17" customWidth="1"/>
    <col min="1091" max="1091" width="27.7109375" style="17" customWidth="1"/>
    <col min="1092" max="1094" width="28.28515625" style="17" customWidth="1"/>
    <col min="1095" max="1095" width="24.7109375" style="17" customWidth="1"/>
    <col min="1096" max="1096" width="24.140625" style="17" customWidth="1"/>
    <col min="1097" max="1099" width="22.28515625" style="17" customWidth="1"/>
    <col min="1100" max="1100" width="22.42578125" style="17" customWidth="1"/>
    <col min="1101" max="1101" width="23.7109375" style="17" customWidth="1"/>
    <col min="1102" max="1104" width="9.28515625" style="17" customWidth="1"/>
    <col min="1105" max="1258" width="9.28515625" style="17"/>
    <col min="1259" max="1259" width="26.28515625" style="17" customWidth="1"/>
    <col min="1260" max="1260" width="45.42578125" style="17" customWidth="1"/>
    <col min="1261" max="1261" width="14.85546875" style="17" customWidth="1"/>
    <col min="1262" max="1265" width="9.28515625" style="17" customWidth="1"/>
    <col min="1266" max="1266" width="0.140625" style="17" customWidth="1"/>
    <col min="1267" max="1267" width="29.42578125" style="17" customWidth="1"/>
    <col min="1268" max="1268" width="24.42578125" style="17" customWidth="1"/>
    <col min="1269" max="1269" width="26.7109375" style="17" customWidth="1"/>
    <col min="1270" max="1270" width="24.85546875" style="17" customWidth="1"/>
    <col min="1271" max="1271" width="21.28515625" style="17" customWidth="1"/>
    <col min="1272" max="1275" width="21.5703125" style="17" customWidth="1"/>
    <col min="1276" max="1276" width="28.28515625" style="17" customWidth="1"/>
    <col min="1277" max="1277" width="33" style="17" customWidth="1"/>
    <col min="1278" max="1278" width="22.85546875" style="17" customWidth="1"/>
    <col min="1279" max="1279" width="22" style="17" customWidth="1"/>
    <col min="1280" max="1280" width="24.7109375" style="17" customWidth="1"/>
    <col min="1281" max="1281" width="28.7109375" style="17" customWidth="1"/>
    <col min="1282" max="1282" width="23.5703125" style="17" customWidth="1"/>
    <col min="1283" max="1283" width="24.28515625" style="17" customWidth="1"/>
    <col min="1284" max="1284" width="23.5703125" style="17" customWidth="1"/>
    <col min="1285" max="1289" width="24.28515625" style="17" customWidth="1"/>
    <col min="1290" max="1290" width="22.7109375" style="17" customWidth="1"/>
    <col min="1291" max="1291" width="21.5703125" style="17" customWidth="1"/>
    <col min="1292" max="1292" width="21.42578125" style="17" customWidth="1"/>
    <col min="1293" max="1293" width="22.28515625" style="17" customWidth="1"/>
    <col min="1294" max="1294" width="22.5703125" style="17" customWidth="1"/>
    <col min="1295" max="1295" width="23.28515625" style="17" customWidth="1"/>
    <col min="1296" max="1297" width="20.5703125" style="17" customWidth="1"/>
    <col min="1298" max="1298" width="21.28515625" style="17" customWidth="1"/>
    <col min="1299" max="1299" width="21.42578125" style="17" customWidth="1"/>
    <col min="1300" max="1300" width="22" style="17" customWidth="1"/>
    <col min="1301" max="1302" width="21.5703125" style="17" customWidth="1"/>
    <col min="1303" max="1303" width="22.28515625" style="17" customWidth="1"/>
    <col min="1304" max="1304" width="25.42578125" style="17" customWidth="1"/>
    <col min="1305" max="1305" width="25.28515625" style="17" customWidth="1"/>
    <col min="1306" max="1306" width="28.7109375" style="17" customWidth="1"/>
    <col min="1307" max="1307" width="22.140625" style="17" customWidth="1"/>
    <col min="1308" max="1308" width="22" style="17" customWidth="1"/>
    <col min="1309" max="1309" width="24.5703125" style="17" customWidth="1"/>
    <col min="1310" max="1310" width="19.7109375" style="17" customWidth="1"/>
    <col min="1311" max="1311" width="29.140625" style="17" customWidth="1"/>
    <col min="1312" max="1312" width="25.140625" style="17" customWidth="1"/>
    <col min="1313" max="1314" width="29.42578125" style="17" customWidth="1"/>
    <col min="1315" max="1316" width="23.7109375" style="17" customWidth="1"/>
    <col min="1317" max="1317" width="26.7109375" style="17" customWidth="1"/>
    <col min="1318" max="1318" width="29.85546875" style="17" customWidth="1"/>
    <col min="1319" max="1321" width="23.28515625" style="17" customWidth="1"/>
    <col min="1322" max="1322" width="23.85546875" style="17" customWidth="1"/>
    <col min="1323" max="1323" width="26.7109375" style="17" customWidth="1"/>
    <col min="1324" max="1324" width="24.5703125" style="17" customWidth="1"/>
    <col min="1325" max="1325" width="26.85546875" style="17" customWidth="1"/>
    <col min="1326" max="1327" width="23.5703125" style="17" customWidth="1"/>
    <col min="1328" max="1328" width="28.7109375" style="17" customWidth="1"/>
    <col min="1329" max="1329" width="34.42578125" style="17" customWidth="1"/>
    <col min="1330" max="1330" width="29.7109375" style="17" customWidth="1"/>
    <col min="1331" max="1331" width="22" style="17" customWidth="1"/>
    <col min="1332" max="1332" width="23.7109375" style="17" customWidth="1"/>
    <col min="1333" max="1333" width="23.5703125" style="17" customWidth="1"/>
    <col min="1334" max="1337" width="22.140625" style="17" customWidth="1"/>
    <col min="1338" max="1338" width="25.28515625" style="17" customWidth="1"/>
    <col min="1339" max="1339" width="45.42578125" style="17" customWidth="1"/>
    <col min="1340" max="1340" width="24.7109375" style="17" customWidth="1"/>
    <col min="1341" max="1341" width="26.42578125" style="17" customWidth="1"/>
    <col min="1342" max="1342" width="29.28515625" style="17" customWidth="1"/>
    <col min="1343" max="1345" width="27.28515625" style="17" customWidth="1"/>
    <col min="1346" max="1346" width="31.7109375" style="17" customWidth="1"/>
    <col min="1347" max="1347" width="27.7109375" style="17" customWidth="1"/>
    <col min="1348" max="1350" width="28.28515625" style="17" customWidth="1"/>
    <col min="1351" max="1351" width="24.7109375" style="17" customWidth="1"/>
    <col min="1352" max="1352" width="24.140625" style="17" customWidth="1"/>
    <col min="1353" max="1355" width="22.28515625" style="17" customWidth="1"/>
    <col min="1356" max="1356" width="22.42578125" style="17" customWidth="1"/>
    <col min="1357" max="1357" width="23.7109375" style="17" customWidth="1"/>
    <col min="1358" max="1360" width="9.28515625" style="17" customWidth="1"/>
    <col min="1361" max="1514" width="9.28515625" style="17"/>
    <col min="1515" max="1515" width="26.28515625" style="17" customWidth="1"/>
    <col min="1516" max="1516" width="45.42578125" style="17" customWidth="1"/>
    <col min="1517" max="1517" width="14.85546875" style="17" customWidth="1"/>
    <col min="1518" max="1521" width="9.28515625" style="17" customWidth="1"/>
    <col min="1522" max="1522" width="0.140625" style="17" customWidth="1"/>
    <col min="1523" max="1523" width="29.42578125" style="17" customWidth="1"/>
    <col min="1524" max="1524" width="24.42578125" style="17" customWidth="1"/>
    <col min="1525" max="1525" width="26.7109375" style="17" customWidth="1"/>
    <col min="1526" max="1526" width="24.85546875" style="17" customWidth="1"/>
    <col min="1527" max="1527" width="21.28515625" style="17" customWidth="1"/>
    <col min="1528" max="1531" width="21.5703125" style="17" customWidth="1"/>
    <col min="1532" max="1532" width="28.28515625" style="17" customWidth="1"/>
    <col min="1533" max="1533" width="33" style="17" customWidth="1"/>
    <col min="1534" max="1534" width="22.85546875" style="17" customWidth="1"/>
    <col min="1535" max="1535" width="22" style="17" customWidth="1"/>
    <col min="1536" max="1536" width="24.7109375" style="17" customWidth="1"/>
    <col min="1537" max="1537" width="28.7109375" style="17" customWidth="1"/>
    <col min="1538" max="1538" width="23.5703125" style="17" customWidth="1"/>
    <col min="1539" max="1539" width="24.28515625" style="17" customWidth="1"/>
    <col min="1540" max="1540" width="23.5703125" style="17" customWidth="1"/>
    <col min="1541" max="1545" width="24.28515625" style="17" customWidth="1"/>
    <col min="1546" max="1546" width="22.7109375" style="17" customWidth="1"/>
    <col min="1547" max="1547" width="21.5703125" style="17" customWidth="1"/>
    <col min="1548" max="1548" width="21.42578125" style="17" customWidth="1"/>
    <col min="1549" max="1549" width="22.28515625" style="17" customWidth="1"/>
    <col min="1550" max="1550" width="22.5703125" style="17" customWidth="1"/>
    <col min="1551" max="1551" width="23.28515625" style="17" customWidth="1"/>
    <col min="1552" max="1553" width="20.5703125" style="17" customWidth="1"/>
    <col min="1554" max="1554" width="21.28515625" style="17" customWidth="1"/>
    <col min="1555" max="1555" width="21.42578125" style="17" customWidth="1"/>
    <col min="1556" max="1556" width="22" style="17" customWidth="1"/>
    <col min="1557" max="1558" width="21.5703125" style="17" customWidth="1"/>
    <col min="1559" max="1559" width="22.28515625" style="17" customWidth="1"/>
    <col min="1560" max="1560" width="25.42578125" style="17" customWidth="1"/>
    <col min="1561" max="1561" width="25.28515625" style="17" customWidth="1"/>
    <col min="1562" max="1562" width="28.7109375" style="17" customWidth="1"/>
    <col min="1563" max="1563" width="22.140625" style="17" customWidth="1"/>
    <col min="1564" max="1564" width="22" style="17" customWidth="1"/>
    <col min="1565" max="1565" width="24.5703125" style="17" customWidth="1"/>
    <col min="1566" max="1566" width="19.7109375" style="17" customWidth="1"/>
    <col min="1567" max="1567" width="29.140625" style="17" customWidth="1"/>
    <col min="1568" max="1568" width="25.140625" style="17" customWidth="1"/>
    <col min="1569" max="1570" width="29.42578125" style="17" customWidth="1"/>
    <col min="1571" max="1572" width="23.7109375" style="17" customWidth="1"/>
    <col min="1573" max="1573" width="26.7109375" style="17" customWidth="1"/>
    <col min="1574" max="1574" width="29.85546875" style="17" customWidth="1"/>
    <col min="1575" max="1577" width="23.28515625" style="17" customWidth="1"/>
    <col min="1578" max="1578" width="23.85546875" style="17" customWidth="1"/>
    <col min="1579" max="1579" width="26.7109375" style="17" customWidth="1"/>
    <col min="1580" max="1580" width="24.5703125" style="17" customWidth="1"/>
    <col min="1581" max="1581" width="26.85546875" style="17" customWidth="1"/>
    <col min="1582" max="1583" width="23.5703125" style="17" customWidth="1"/>
    <col min="1584" max="1584" width="28.7109375" style="17" customWidth="1"/>
    <col min="1585" max="1585" width="34.42578125" style="17" customWidth="1"/>
    <col min="1586" max="1586" width="29.7109375" style="17" customWidth="1"/>
    <col min="1587" max="1587" width="22" style="17" customWidth="1"/>
    <col min="1588" max="1588" width="23.7109375" style="17" customWidth="1"/>
    <col min="1589" max="1589" width="23.5703125" style="17" customWidth="1"/>
    <col min="1590" max="1593" width="22.140625" style="17" customWidth="1"/>
    <col min="1594" max="1594" width="25.28515625" style="17" customWidth="1"/>
    <col min="1595" max="1595" width="45.42578125" style="17" customWidth="1"/>
    <col min="1596" max="1596" width="24.7109375" style="17" customWidth="1"/>
    <col min="1597" max="1597" width="26.42578125" style="17" customWidth="1"/>
    <col min="1598" max="1598" width="29.28515625" style="17" customWidth="1"/>
    <col min="1599" max="1601" width="27.28515625" style="17" customWidth="1"/>
    <col min="1602" max="1602" width="31.7109375" style="17" customWidth="1"/>
    <col min="1603" max="1603" width="27.7109375" style="17" customWidth="1"/>
    <col min="1604" max="1606" width="28.28515625" style="17" customWidth="1"/>
    <col min="1607" max="1607" width="24.7109375" style="17" customWidth="1"/>
    <col min="1608" max="1608" width="24.140625" style="17" customWidth="1"/>
    <col min="1609" max="1611" width="22.28515625" style="17" customWidth="1"/>
    <col min="1612" max="1612" width="22.42578125" style="17" customWidth="1"/>
    <col min="1613" max="1613" width="23.7109375" style="17" customWidth="1"/>
    <col min="1614" max="1616" width="9.28515625" style="17" customWidth="1"/>
    <col min="1617" max="1770" width="9.28515625" style="17"/>
    <col min="1771" max="1771" width="26.28515625" style="17" customWidth="1"/>
    <col min="1772" max="1772" width="45.42578125" style="17" customWidth="1"/>
    <col min="1773" max="1773" width="14.85546875" style="17" customWidth="1"/>
    <col min="1774" max="1777" width="9.28515625" style="17" customWidth="1"/>
    <col min="1778" max="1778" width="0.140625" style="17" customWidth="1"/>
    <col min="1779" max="1779" width="29.42578125" style="17" customWidth="1"/>
    <col min="1780" max="1780" width="24.42578125" style="17" customWidth="1"/>
    <col min="1781" max="1781" width="26.7109375" style="17" customWidth="1"/>
    <col min="1782" max="1782" width="24.85546875" style="17" customWidth="1"/>
    <col min="1783" max="1783" width="21.28515625" style="17" customWidth="1"/>
    <col min="1784" max="1787" width="21.5703125" style="17" customWidth="1"/>
    <col min="1788" max="1788" width="28.28515625" style="17" customWidth="1"/>
    <col min="1789" max="1789" width="33" style="17" customWidth="1"/>
    <col min="1790" max="1790" width="22.85546875" style="17" customWidth="1"/>
    <col min="1791" max="1791" width="22" style="17" customWidth="1"/>
    <col min="1792" max="1792" width="24.7109375" style="17" customWidth="1"/>
    <col min="1793" max="1793" width="28.7109375" style="17" customWidth="1"/>
    <col min="1794" max="1794" width="23.5703125" style="17" customWidth="1"/>
    <col min="1795" max="1795" width="24.28515625" style="17" customWidth="1"/>
    <col min="1796" max="1796" width="23.5703125" style="17" customWidth="1"/>
    <col min="1797" max="1801" width="24.28515625" style="17" customWidth="1"/>
    <col min="1802" max="1802" width="22.7109375" style="17" customWidth="1"/>
    <col min="1803" max="1803" width="21.5703125" style="17" customWidth="1"/>
    <col min="1804" max="1804" width="21.42578125" style="17" customWidth="1"/>
    <col min="1805" max="1805" width="22.28515625" style="17" customWidth="1"/>
    <col min="1806" max="1806" width="22.5703125" style="17" customWidth="1"/>
    <col min="1807" max="1807" width="23.28515625" style="17" customWidth="1"/>
    <col min="1808" max="1809" width="20.5703125" style="17" customWidth="1"/>
    <col min="1810" max="1810" width="21.28515625" style="17" customWidth="1"/>
    <col min="1811" max="1811" width="21.42578125" style="17" customWidth="1"/>
    <col min="1812" max="1812" width="22" style="17" customWidth="1"/>
    <col min="1813" max="1814" width="21.5703125" style="17" customWidth="1"/>
    <col min="1815" max="1815" width="22.28515625" style="17" customWidth="1"/>
    <col min="1816" max="1816" width="25.42578125" style="17" customWidth="1"/>
    <col min="1817" max="1817" width="25.28515625" style="17" customWidth="1"/>
    <col min="1818" max="1818" width="28.7109375" style="17" customWidth="1"/>
    <col min="1819" max="1819" width="22.140625" style="17" customWidth="1"/>
    <col min="1820" max="1820" width="22" style="17" customWidth="1"/>
    <col min="1821" max="1821" width="24.5703125" style="17" customWidth="1"/>
    <col min="1822" max="1822" width="19.7109375" style="17" customWidth="1"/>
    <col min="1823" max="1823" width="29.140625" style="17" customWidth="1"/>
    <col min="1824" max="1824" width="25.140625" style="17" customWidth="1"/>
    <col min="1825" max="1826" width="29.42578125" style="17" customWidth="1"/>
    <col min="1827" max="1828" width="23.7109375" style="17" customWidth="1"/>
    <col min="1829" max="1829" width="26.7109375" style="17" customWidth="1"/>
    <col min="1830" max="1830" width="29.85546875" style="17" customWidth="1"/>
    <col min="1831" max="1833" width="23.28515625" style="17" customWidth="1"/>
    <col min="1834" max="1834" width="23.85546875" style="17" customWidth="1"/>
    <col min="1835" max="1835" width="26.7109375" style="17" customWidth="1"/>
    <col min="1836" max="1836" width="24.5703125" style="17" customWidth="1"/>
    <col min="1837" max="1837" width="26.85546875" style="17" customWidth="1"/>
    <col min="1838" max="1839" width="23.5703125" style="17" customWidth="1"/>
    <col min="1840" max="1840" width="28.7109375" style="17" customWidth="1"/>
    <col min="1841" max="1841" width="34.42578125" style="17" customWidth="1"/>
    <col min="1842" max="1842" width="29.7109375" style="17" customWidth="1"/>
    <col min="1843" max="1843" width="22" style="17" customWidth="1"/>
    <col min="1844" max="1844" width="23.7109375" style="17" customWidth="1"/>
    <col min="1845" max="1845" width="23.5703125" style="17" customWidth="1"/>
    <col min="1846" max="1849" width="22.140625" style="17" customWidth="1"/>
    <col min="1850" max="1850" width="25.28515625" style="17" customWidth="1"/>
    <col min="1851" max="1851" width="45.42578125" style="17" customWidth="1"/>
    <col min="1852" max="1852" width="24.7109375" style="17" customWidth="1"/>
    <col min="1853" max="1853" width="26.42578125" style="17" customWidth="1"/>
    <col min="1854" max="1854" width="29.28515625" style="17" customWidth="1"/>
    <col min="1855" max="1857" width="27.28515625" style="17" customWidth="1"/>
    <col min="1858" max="1858" width="31.7109375" style="17" customWidth="1"/>
    <col min="1859" max="1859" width="27.7109375" style="17" customWidth="1"/>
    <col min="1860" max="1862" width="28.28515625" style="17" customWidth="1"/>
    <col min="1863" max="1863" width="24.7109375" style="17" customWidth="1"/>
    <col min="1864" max="1864" width="24.140625" style="17" customWidth="1"/>
    <col min="1865" max="1867" width="22.28515625" style="17" customWidth="1"/>
    <col min="1868" max="1868" width="22.42578125" style="17" customWidth="1"/>
    <col min="1869" max="1869" width="23.7109375" style="17" customWidth="1"/>
    <col min="1870" max="1872" width="9.28515625" style="17" customWidth="1"/>
    <col min="1873" max="2026" width="9.28515625" style="17"/>
    <col min="2027" max="2027" width="26.28515625" style="17" customWidth="1"/>
    <col min="2028" max="2028" width="45.42578125" style="17" customWidth="1"/>
    <col min="2029" max="2029" width="14.85546875" style="17" customWidth="1"/>
    <col min="2030" max="2033" width="9.28515625" style="17" customWidth="1"/>
    <col min="2034" max="2034" width="0.140625" style="17" customWidth="1"/>
    <col min="2035" max="2035" width="29.42578125" style="17" customWidth="1"/>
    <col min="2036" max="2036" width="24.42578125" style="17" customWidth="1"/>
    <col min="2037" max="2037" width="26.7109375" style="17" customWidth="1"/>
    <col min="2038" max="2038" width="24.85546875" style="17" customWidth="1"/>
    <col min="2039" max="2039" width="21.28515625" style="17" customWidth="1"/>
    <col min="2040" max="2043" width="21.5703125" style="17" customWidth="1"/>
    <col min="2044" max="2044" width="28.28515625" style="17" customWidth="1"/>
    <col min="2045" max="2045" width="33" style="17" customWidth="1"/>
    <col min="2046" max="2046" width="22.85546875" style="17" customWidth="1"/>
    <col min="2047" max="2047" width="22" style="17" customWidth="1"/>
    <col min="2048" max="2048" width="24.7109375" style="17" customWidth="1"/>
    <col min="2049" max="2049" width="28.7109375" style="17" customWidth="1"/>
    <col min="2050" max="2050" width="23.5703125" style="17" customWidth="1"/>
    <col min="2051" max="2051" width="24.28515625" style="17" customWidth="1"/>
    <col min="2052" max="2052" width="23.5703125" style="17" customWidth="1"/>
    <col min="2053" max="2057" width="24.28515625" style="17" customWidth="1"/>
    <col min="2058" max="2058" width="22.7109375" style="17" customWidth="1"/>
    <col min="2059" max="2059" width="21.5703125" style="17" customWidth="1"/>
    <col min="2060" max="2060" width="21.42578125" style="17" customWidth="1"/>
    <col min="2061" max="2061" width="22.28515625" style="17" customWidth="1"/>
    <col min="2062" max="2062" width="22.5703125" style="17" customWidth="1"/>
    <col min="2063" max="2063" width="23.28515625" style="17" customWidth="1"/>
    <col min="2064" max="2065" width="20.5703125" style="17" customWidth="1"/>
    <col min="2066" max="2066" width="21.28515625" style="17" customWidth="1"/>
    <col min="2067" max="2067" width="21.42578125" style="17" customWidth="1"/>
    <col min="2068" max="2068" width="22" style="17" customWidth="1"/>
    <col min="2069" max="2070" width="21.5703125" style="17" customWidth="1"/>
    <col min="2071" max="2071" width="22.28515625" style="17" customWidth="1"/>
    <col min="2072" max="2072" width="25.42578125" style="17" customWidth="1"/>
    <col min="2073" max="2073" width="25.28515625" style="17" customWidth="1"/>
    <col min="2074" max="2074" width="28.7109375" style="17" customWidth="1"/>
    <col min="2075" max="2075" width="22.140625" style="17" customWidth="1"/>
    <col min="2076" max="2076" width="22" style="17" customWidth="1"/>
    <col min="2077" max="2077" width="24.5703125" style="17" customWidth="1"/>
    <col min="2078" max="2078" width="19.7109375" style="17" customWidth="1"/>
    <col min="2079" max="2079" width="29.140625" style="17" customWidth="1"/>
    <col min="2080" max="2080" width="25.140625" style="17" customWidth="1"/>
    <col min="2081" max="2082" width="29.42578125" style="17" customWidth="1"/>
    <col min="2083" max="2084" width="23.7109375" style="17" customWidth="1"/>
    <col min="2085" max="2085" width="26.7109375" style="17" customWidth="1"/>
    <col min="2086" max="2086" width="29.85546875" style="17" customWidth="1"/>
    <col min="2087" max="2089" width="23.28515625" style="17" customWidth="1"/>
    <col min="2090" max="2090" width="23.85546875" style="17" customWidth="1"/>
    <col min="2091" max="2091" width="26.7109375" style="17" customWidth="1"/>
    <col min="2092" max="2092" width="24.5703125" style="17" customWidth="1"/>
    <col min="2093" max="2093" width="26.85546875" style="17" customWidth="1"/>
    <col min="2094" max="2095" width="23.5703125" style="17" customWidth="1"/>
    <col min="2096" max="2096" width="28.7109375" style="17" customWidth="1"/>
    <col min="2097" max="2097" width="34.42578125" style="17" customWidth="1"/>
    <col min="2098" max="2098" width="29.7109375" style="17" customWidth="1"/>
    <col min="2099" max="2099" width="22" style="17" customWidth="1"/>
    <col min="2100" max="2100" width="23.7109375" style="17" customWidth="1"/>
    <col min="2101" max="2101" width="23.5703125" style="17" customWidth="1"/>
    <col min="2102" max="2105" width="22.140625" style="17" customWidth="1"/>
    <col min="2106" max="2106" width="25.28515625" style="17" customWidth="1"/>
    <col min="2107" max="2107" width="45.42578125" style="17" customWidth="1"/>
    <col min="2108" max="2108" width="24.7109375" style="17" customWidth="1"/>
    <col min="2109" max="2109" width="26.42578125" style="17" customWidth="1"/>
    <col min="2110" max="2110" width="29.28515625" style="17" customWidth="1"/>
    <col min="2111" max="2113" width="27.28515625" style="17" customWidth="1"/>
    <col min="2114" max="2114" width="31.7109375" style="17" customWidth="1"/>
    <col min="2115" max="2115" width="27.7109375" style="17" customWidth="1"/>
    <col min="2116" max="2118" width="28.28515625" style="17" customWidth="1"/>
    <col min="2119" max="2119" width="24.7109375" style="17" customWidth="1"/>
    <col min="2120" max="2120" width="24.140625" style="17" customWidth="1"/>
    <col min="2121" max="2123" width="22.28515625" style="17" customWidth="1"/>
    <col min="2124" max="2124" width="22.42578125" style="17" customWidth="1"/>
    <col min="2125" max="2125" width="23.7109375" style="17" customWidth="1"/>
    <col min="2126" max="2128" width="9.28515625" style="17" customWidth="1"/>
    <col min="2129" max="2282" width="9.28515625" style="17"/>
    <col min="2283" max="2283" width="26.28515625" style="17" customWidth="1"/>
    <col min="2284" max="2284" width="45.42578125" style="17" customWidth="1"/>
    <col min="2285" max="2285" width="14.85546875" style="17" customWidth="1"/>
    <col min="2286" max="2289" width="9.28515625" style="17" customWidth="1"/>
    <col min="2290" max="2290" width="0.140625" style="17" customWidth="1"/>
    <col min="2291" max="2291" width="29.42578125" style="17" customWidth="1"/>
    <col min="2292" max="2292" width="24.42578125" style="17" customWidth="1"/>
    <col min="2293" max="2293" width="26.7109375" style="17" customWidth="1"/>
    <col min="2294" max="2294" width="24.85546875" style="17" customWidth="1"/>
    <col min="2295" max="2295" width="21.28515625" style="17" customWidth="1"/>
    <col min="2296" max="2299" width="21.5703125" style="17" customWidth="1"/>
    <col min="2300" max="2300" width="28.28515625" style="17" customWidth="1"/>
    <col min="2301" max="2301" width="33" style="17" customWidth="1"/>
    <col min="2302" max="2302" width="22.85546875" style="17" customWidth="1"/>
    <col min="2303" max="2303" width="22" style="17" customWidth="1"/>
    <col min="2304" max="2304" width="24.7109375" style="17" customWidth="1"/>
    <col min="2305" max="2305" width="28.7109375" style="17" customWidth="1"/>
    <col min="2306" max="2306" width="23.5703125" style="17" customWidth="1"/>
    <col min="2307" max="2307" width="24.28515625" style="17" customWidth="1"/>
    <col min="2308" max="2308" width="23.5703125" style="17" customWidth="1"/>
    <col min="2309" max="2313" width="24.28515625" style="17" customWidth="1"/>
    <col min="2314" max="2314" width="22.7109375" style="17" customWidth="1"/>
    <col min="2315" max="2315" width="21.5703125" style="17" customWidth="1"/>
    <col min="2316" max="2316" width="21.42578125" style="17" customWidth="1"/>
    <col min="2317" max="2317" width="22.28515625" style="17" customWidth="1"/>
    <col min="2318" max="2318" width="22.5703125" style="17" customWidth="1"/>
    <col min="2319" max="2319" width="23.28515625" style="17" customWidth="1"/>
    <col min="2320" max="2321" width="20.5703125" style="17" customWidth="1"/>
    <col min="2322" max="2322" width="21.28515625" style="17" customWidth="1"/>
    <col min="2323" max="2323" width="21.42578125" style="17" customWidth="1"/>
    <col min="2324" max="2324" width="22" style="17" customWidth="1"/>
    <col min="2325" max="2326" width="21.5703125" style="17" customWidth="1"/>
    <col min="2327" max="2327" width="22.28515625" style="17" customWidth="1"/>
    <col min="2328" max="2328" width="25.42578125" style="17" customWidth="1"/>
    <col min="2329" max="2329" width="25.28515625" style="17" customWidth="1"/>
    <col min="2330" max="2330" width="28.7109375" style="17" customWidth="1"/>
    <col min="2331" max="2331" width="22.140625" style="17" customWidth="1"/>
    <col min="2332" max="2332" width="22" style="17" customWidth="1"/>
    <col min="2333" max="2333" width="24.5703125" style="17" customWidth="1"/>
    <col min="2334" max="2334" width="19.7109375" style="17" customWidth="1"/>
    <col min="2335" max="2335" width="29.140625" style="17" customWidth="1"/>
    <col min="2336" max="2336" width="25.140625" style="17" customWidth="1"/>
    <col min="2337" max="2338" width="29.42578125" style="17" customWidth="1"/>
    <col min="2339" max="2340" width="23.7109375" style="17" customWidth="1"/>
    <col min="2341" max="2341" width="26.7109375" style="17" customWidth="1"/>
    <col min="2342" max="2342" width="29.85546875" style="17" customWidth="1"/>
    <col min="2343" max="2345" width="23.28515625" style="17" customWidth="1"/>
    <col min="2346" max="2346" width="23.85546875" style="17" customWidth="1"/>
    <col min="2347" max="2347" width="26.7109375" style="17" customWidth="1"/>
    <col min="2348" max="2348" width="24.5703125" style="17" customWidth="1"/>
    <col min="2349" max="2349" width="26.85546875" style="17" customWidth="1"/>
    <col min="2350" max="2351" width="23.5703125" style="17" customWidth="1"/>
    <col min="2352" max="2352" width="28.7109375" style="17" customWidth="1"/>
    <col min="2353" max="2353" width="34.42578125" style="17" customWidth="1"/>
    <col min="2354" max="2354" width="29.7109375" style="17" customWidth="1"/>
    <col min="2355" max="2355" width="22" style="17" customWidth="1"/>
    <col min="2356" max="2356" width="23.7109375" style="17" customWidth="1"/>
    <col min="2357" max="2357" width="23.5703125" style="17" customWidth="1"/>
    <col min="2358" max="2361" width="22.140625" style="17" customWidth="1"/>
    <col min="2362" max="2362" width="25.28515625" style="17" customWidth="1"/>
    <col min="2363" max="2363" width="45.42578125" style="17" customWidth="1"/>
    <col min="2364" max="2364" width="24.7109375" style="17" customWidth="1"/>
    <col min="2365" max="2365" width="26.42578125" style="17" customWidth="1"/>
    <col min="2366" max="2366" width="29.28515625" style="17" customWidth="1"/>
    <col min="2367" max="2369" width="27.28515625" style="17" customWidth="1"/>
    <col min="2370" max="2370" width="31.7109375" style="17" customWidth="1"/>
    <col min="2371" max="2371" width="27.7109375" style="17" customWidth="1"/>
    <col min="2372" max="2374" width="28.28515625" style="17" customWidth="1"/>
    <col min="2375" max="2375" width="24.7109375" style="17" customWidth="1"/>
    <col min="2376" max="2376" width="24.140625" style="17" customWidth="1"/>
    <col min="2377" max="2379" width="22.28515625" style="17" customWidth="1"/>
    <col min="2380" max="2380" width="22.42578125" style="17" customWidth="1"/>
    <col min="2381" max="2381" width="23.7109375" style="17" customWidth="1"/>
    <col min="2382" max="2384" width="9.28515625" style="17" customWidth="1"/>
    <col min="2385" max="2538" width="9.28515625" style="17"/>
    <col min="2539" max="2539" width="26.28515625" style="17" customWidth="1"/>
    <col min="2540" max="2540" width="45.42578125" style="17" customWidth="1"/>
    <col min="2541" max="2541" width="14.85546875" style="17" customWidth="1"/>
    <col min="2542" max="2545" width="9.28515625" style="17" customWidth="1"/>
    <col min="2546" max="2546" width="0.140625" style="17" customWidth="1"/>
    <col min="2547" max="2547" width="29.42578125" style="17" customWidth="1"/>
    <col min="2548" max="2548" width="24.42578125" style="17" customWidth="1"/>
    <col min="2549" max="2549" width="26.7109375" style="17" customWidth="1"/>
    <col min="2550" max="2550" width="24.85546875" style="17" customWidth="1"/>
    <col min="2551" max="2551" width="21.28515625" style="17" customWidth="1"/>
    <col min="2552" max="2555" width="21.5703125" style="17" customWidth="1"/>
    <col min="2556" max="2556" width="28.28515625" style="17" customWidth="1"/>
    <col min="2557" max="2557" width="33" style="17" customWidth="1"/>
    <col min="2558" max="2558" width="22.85546875" style="17" customWidth="1"/>
    <col min="2559" max="2559" width="22" style="17" customWidth="1"/>
    <col min="2560" max="2560" width="24.7109375" style="17" customWidth="1"/>
    <col min="2561" max="2561" width="28.7109375" style="17" customWidth="1"/>
    <col min="2562" max="2562" width="23.5703125" style="17" customWidth="1"/>
    <col min="2563" max="2563" width="24.28515625" style="17" customWidth="1"/>
    <col min="2564" max="2564" width="23.5703125" style="17" customWidth="1"/>
    <col min="2565" max="2569" width="24.28515625" style="17" customWidth="1"/>
    <col min="2570" max="2570" width="22.7109375" style="17" customWidth="1"/>
    <col min="2571" max="2571" width="21.5703125" style="17" customWidth="1"/>
    <col min="2572" max="2572" width="21.42578125" style="17" customWidth="1"/>
    <col min="2573" max="2573" width="22.28515625" style="17" customWidth="1"/>
    <col min="2574" max="2574" width="22.5703125" style="17" customWidth="1"/>
    <col min="2575" max="2575" width="23.28515625" style="17" customWidth="1"/>
    <col min="2576" max="2577" width="20.5703125" style="17" customWidth="1"/>
    <col min="2578" max="2578" width="21.28515625" style="17" customWidth="1"/>
    <col min="2579" max="2579" width="21.42578125" style="17" customWidth="1"/>
    <col min="2580" max="2580" width="22" style="17" customWidth="1"/>
    <col min="2581" max="2582" width="21.5703125" style="17" customWidth="1"/>
    <col min="2583" max="2583" width="22.28515625" style="17" customWidth="1"/>
    <col min="2584" max="2584" width="25.42578125" style="17" customWidth="1"/>
    <col min="2585" max="2585" width="25.28515625" style="17" customWidth="1"/>
    <col min="2586" max="2586" width="28.7109375" style="17" customWidth="1"/>
    <col min="2587" max="2587" width="22.140625" style="17" customWidth="1"/>
    <col min="2588" max="2588" width="22" style="17" customWidth="1"/>
    <col min="2589" max="2589" width="24.5703125" style="17" customWidth="1"/>
    <col min="2590" max="2590" width="19.7109375" style="17" customWidth="1"/>
    <col min="2591" max="2591" width="29.140625" style="17" customWidth="1"/>
    <col min="2592" max="2592" width="25.140625" style="17" customWidth="1"/>
    <col min="2593" max="2594" width="29.42578125" style="17" customWidth="1"/>
    <col min="2595" max="2596" width="23.7109375" style="17" customWidth="1"/>
    <col min="2597" max="2597" width="26.7109375" style="17" customWidth="1"/>
    <col min="2598" max="2598" width="29.85546875" style="17" customWidth="1"/>
    <col min="2599" max="2601" width="23.28515625" style="17" customWidth="1"/>
    <col min="2602" max="2602" width="23.85546875" style="17" customWidth="1"/>
    <col min="2603" max="2603" width="26.7109375" style="17" customWidth="1"/>
    <col min="2604" max="2604" width="24.5703125" style="17" customWidth="1"/>
    <col min="2605" max="2605" width="26.85546875" style="17" customWidth="1"/>
    <col min="2606" max="2607" width="23.5703125" style="17" customWidth="1"/>
    <col min="2608" max="2608" width="28.7109375" style="17" customWidth="1"/>
    <col min="2609" max="2609" width="34.42578125" style="17" customWidth="1"/>
    <col min="2610" max="2610" width="29.7109375" style="17" customWidth="1"/>
    <col min="2611" max="2611" width="22" style="17" customWidth="1"/>
    <col min="2612" max="2612" width="23.7109375" style="17" customWidth="1"/>
    <col min="2613" max="2613" width="23.5703125" style="17" customWidth="1"/>
    <col min="2614" max="2617" width="22.140625" style="17" customWidth="1"/>
    <col min="2618" max="2618" width="25.28515625" style="17" customWidth="1"/>
    <col min="2619" max="2619" width="45.42578125" style="17" customWidth="1"/>
    <col min="2620" max="2620" width="24.7109375" style="17" customWidth="1"/>
    <col min="2621" max="2621" width="26.42578125" style="17" customWidth="1"/>
    <col min="2622" max="2622" width="29.28515625" style="17" customWidth="1"/>
    <col min="2623" max="2625" width="27.28515625" style="17" customWidth="1"/>
    <col min="2626" max="2626" width="31.7109375" style="17" customWidth="1"/>
    <col min="2627" max="2627" width="27.7109375" style="17" customWidth="1"/>
    <col min="2628" max="2630" width="28.28515625" style="17" customWidth="1"/>
    <col min="2631" max="2631" width="24.7109375" style="17" customWidth="1"/>
    <col min="2632" max="2632" width="24.140625" style="17" customWidth="1"/>
    <col min="2633" max="2635" width="22.28515625" style="17" customWidth="1"/>
    <col min="2636" max="2636" width="22.42578125" style="17" customWidth="1"/>
    <col min="2637" max="2637" width="23.7109375" style="17" customWidth="1"/>
    <col min="2638" max="2640" width="9.28515625" style="17" customWidth="1"/>
    <col min="2641" max="2794" width="9.28515625" style="17"/>
    <col min="2795" max="2795" width="26.28515625" style="17" customWidth="1"/>
    <col min="2796" max="2796" width="45.42578125" style="17" customWidth="1"/>
    <col min="2797" max="2797" width="14.85546875" style="17" customWidth="1"/>
    <col min="2798" max="2801" width="9.28515625" style="17" customWidth="1"/>
    <col min="2802" max="2802" width="0.140625" style="17" customWidth="1"/>
    <col min="2803" max="2803" width="29.42578125" style="17" customWidth="1"/>
    <col min="2804" max="2804" width="24.42578125" style="17" customWidth="1"/>
    <col min="2805" max="2805" width="26.7109375" style="17" customWidth="1"/>
    <col min="2806" max="2806" width="24.85546875" style="17" customWidth="1"/>
    <col min="2807" max="2807" width="21.28515625" style="17" customWidth="1"/>
    <col min="2808" max="2811" width="21.5703125" style="17" customWidth="1"/>
    <col min="2812" max="2812" width="28.28515625" style="17" customWidth="1"/>
    <col min="2813" max="2813" width="33" style="17" customWidth="1"/>
    <col min="2814" max="2814" width="22.85546875" style="17" customWidth="1"/>
    <col min="2815" max="2815" width="22" style="17" customWidth="1"/>
    <col min="2816" max="2816" width="24.7109375" style="17" customWidth="1"/>
    <col min="2817" max="2817" width="28.7109375" style="17" customWidth="1"/>
    <col min="2818" max="2818" width="23.5703125" style="17" customWidth="1"/>
    <col min="2819" max="2819" width="24.28515625" style="17" customWidth="1"/>
    <col min="2820" max="2820" width="23.5703125" style="17" customWidth="1"/>
    <col min="2821" max="2825" width="24.28515625" style="17" customWidth="1"/>
    <col min="2826" max="2826" width="22.7109375" style="17" customWidth="1"/>
    <col min="2827" max="2827" width="21.5703125" style="17" customWidth="1"/>
    <col min="2828" max="2828" width="21.42578125" style="17" customWidth="1"/>
    <col min="2829" max="2829" width="22.28515625" style="17" customWidth="1"/>
    <col min="2830" max="2830" width="22.5703125" style="17" customWidth="1"/>
    <col min="2831" max="2831" width="23.28515625" style="17" customWidth="1"/>
    <col min="2832" max="2833" width="20.5703125" style="17" customWidth="1"/>
    <col min="2834" max="2834" width="21.28515625" style="17" customWidth="1"/>
    <col min="2835" max="2835" width="21.42578125" style="17" customWidth="1"/>
    <col min="2836" max="2836" width="22" style="17" customWidth="1"/>
    <col min="2837" max="2838" width="21.5703125" style="17" customWidth="1"/>
    <col min="2839" max="2839" width="22.28515625" style="17" customWidth="1"/>
    <col min="2840" max="2840" width="25.42578125" style="17" customWidth="1"/>
    <col min="2841" max="2841" width="25.28515625" style="17" customWidth="1"/>
    <col min="2842" max="2842" width="28.7109375" style="17" customWidth="1"/>
    <col min="2843" max="2843" width="22.140625" style="17" customWidth="1"/>
    <col min="2844" max="2844" width="22" style="17" customWidth="1"/>
    <col min="2845" max="2845" width="24.5703125" style="17" customWidth="1"/>
    <col min="2846" max="2846" width="19.7109375" style="17" customWidth="1"/>
    <col min="2847" max="2847" width="29.140625" style="17" customWidth="1"/>
    <col min="2848" max="2848" width="25.140625" style="17" customWidth="1"/>
    <col min="2849" max="2850" width="29.42578125" style="17" customWidth="1"/>
    <col min="2851" max="2852" width="23.7109375" style="17" customWidth="1"/>
    <col min="2853" max="2853" width="26.7109375" style="17" customWidth="1"/>
    <col min="2854" max="2854" width="29.85546875" style="17" customWidth="1"/>
    <col min="2855" max="2857" width="23.28515625" style="17" customWidth="1"/>
    <col min="2858" max="2858" width="23.85546875" style="17" customWidth="1"/>
    <col min="2859" max="2859" width="26.7109375" style="17" customWidth="1"/>
    <col min="2860" max="2860" width="24.5703125" style="17" customWidth="1"/>
    <col min="2861" max="2861" width="26.85546875" style="17" customWidth="1"/>
    <col min="2862" max="2863" width="23.5703125" style="17" customWidth="1"/>
    <col min="2864" max="2864" width="28.7109375" style="17" customWidth="1"/>
    <col min="2865" max="2865" width="34.42578125" style="17" customWidth="1"/>
    <col min="2866" max="2866" width="29.7109375" style="17" customWidth="1"/>
    <col min="2867" max="2867" width="22" style="17" customWidth="1"/>
    <col min="2868" max="2868" width="23.7109375" style="17" customWidth="1"/>
    <col min="2869" max="2869" width="23.5703125" style="17" customWidth="1"/>
    <col min="2870" max="2873" width="22.140625" style="17" customWidth="1"/>
    <col min="2874" max="2874" width="25.28515625" style="17" customWidth="1"/>
    <col min="2875" max="2875" width="45.42578125" style="17" customWidth="1"/>
    <col min="2876" max="2876" width="24.7109375" style="17" customWidth="1"/>
    <col min="2877" max="2877" width="26.42578125" style="17" customWidth="1"/>
    <col min="2878" max="2878" width="29.28515625" style="17" customWidth="1"/>
    <col min="2879" max="2881" width="27.28515625" style="17" customWidth="1"/>
    <col min="2882" max="2882" width="31.7109375" style="17" customWidth="1"/>
    <col min="2883" max="2883" width="27.7109375" style="17" customWidth="1"/>
    <col min="2884" max="2886" width="28.28515625" style="17" customWidth="1"/>
    <col min="2887" max="2887" width="24.7109375" style="17" customWidth="1"/>
    <col min="2888" max="2888" width="24.140625" style="17" customWidth="1"/>
    <col min="2889" max="2891" width="22.28515625" style="17" customWidth="1"/>
    <col min="2892" max="2892" width="22.42578125" style="17" customWidth="1"/>
    <col min="2893" max="2893" width="23.7109375" style="17" customWidth="1"/>
    <col min="2894" max="2896" width="9.28515625" style="17" customWidth="1"/>
    <col min="2897" max="3050" width="9.28515625" style="17"/>
    <col min="3051" max="3051" width="26.28515625" style="17" customWidth="1"/>
    <col min="3052" max="3052" width="45.42578125" style="17" customWidth="1"/>
    <col min="3053" max="3053" width="14.85546875" style="17" customWidth="1"/>
    <col min="3054" max="3057" width="9.28515625" style="17" customWidth="1"/>
    <col min="3058" max="3058" width="0.140625" style="17" customWidth="1"/>
    <col min="3059" max="3059" width="29.42578125" style="17" customWidth="1"/>
    <col min="3060" max="3060" width="24.42578125" style="17" customWidth="1"/>
    <col min="3061" max="3061" width="26.7109375" style="17" customWidth="1"/>
    <col min="3062" max="3062" width="24.85546875" style="17" customWidth="1"/>
    <col min="3063" max="3063" width="21.28515625" style="17" customWidth="1"/>
    <col min="3064" max="3067" width="21.5703125" style="17" customWidth="1"/>
    <col min="3068" max="3068" width="28.28515625" style="17" customWidth="1"/>
    <col min="3069" max="3069" width="33" style="17" customWidth="1"/>
    <col min="3070" max="3070" width="22.85546875" style="17" customWidth="1"/>
    <col min="3071" max="3071" width="22" style="17" customWidth="1"/>
    <col min="3072" max="3072" width="24.7109375" style="17" customWidth="1"/>
    <col min="3073" max="3073" width="28.7109375" style="17" customWidth="1"/>
    <col min="3074" max="3074" width="23.5703125" style="17" customWidth="1"/>
    <col min="3075" max="3075" width="24.28515625" style="17" customWidth="1"/>
    <col min="3076" max="3076" width="23.5703125" style="17" customWidth="1"/>
    <col min="3077" max="3081" width="24.28515625" style="17" customWidth="1"/>
    <col min="3082" max="3082" width="22.7109375" style="17" customWidth="1"/>
    <col min="3083" max="3083" width="21.5703125" style="17" customWidth="1"/>
    <col min="3084" max="3084" width="21.42578125" style="17" customWidth="1"/>
    <col min="3085" max="3085" width="22.28515625" style="17" customWidth="1"/>
    <col min="3086" max="3086" width="22.5703125" style="17" customWidth="1"/>
    <col min="3087" max="3087" width="23.28515625" style="17" customWidth="1"/>
    <col min="3088" max="3089" width="20.5703125" style="17" customWidth="1"/>
    <col min="3090" max="3090" width="21.28515625" style="17" customWidth="1"/>
    <col min="3091" max="3091" width="21.42578125" style="17" customWidth="1"/>
    <col min="3092" max="3092" width="22" style="17" customWidth="1"/>
    <col min="3093" max="3094" width="21.5703125" style="17" customWidth="1"/>
    <col min="3095" max="3095" width="22.28515625" style="17" customWidth="1"/>
    <col min="3096" max="3096" width="25.42578125" style="17" customWidth="1"/>
    <col min="3097" max="3097" width="25.28515625" style="17" customWidth="1"/>
    <col min="3098" max="3098" width="28.7109375" style="17" customWidth="1"/>
    <col min="3099" max="3099" width="22.140625" style="17" customWidth="1"/>
    <col min="3100" max="3100" width="22" style="17" customWidth="1"/>
    <col min="3101" max="3101" width="24.5703125" style="17" customWidth="1"/>
    <col min="3102" max="3102" width="19.7109375" style="17" customWidth="1"/>
    <col min="3103" max="3103" width="29.140625" style="17" customWidth="1"/>
    <col min="3104" max="3104" width="25.140625" style="17" customWidth="1"/>
    <col min="3105" max="3106" width="29.42578125" style="17" customWidth="1"/>
    <col min="3107" max="3108" width="23.7109375" style="17" customWidth="1"/>
    <col min="3109" max="3109" width="26.7109375" style="17" customWidth="1"/>
    <col min="3110" max="3110" width="29.85546875" style="17" customWidth="1"/>
    <col min="3111" max="3113" width="23.28515625" style="17" customWidth="1"/>
    <col min="3114" max="3114" width="23.85546875" style="17" customWidth="1"/>
    <col min="3115" max="3115" width="26.7109375" style="17" customWidth="1"/>
    <col min="3116" max="3116" width="24.5703125" style="17" customWidth="1"/>
    <col min="3117" max="3117" width="26.85546875" style="17" customWidth="1"/>
    <col min="3118" max="3119" width="23.5703125" style="17" customWidth="1"/>
    <col min="3120" max="3120" width="28.7109375" style="17" customWidth="1"/>
    <col min="3121" max="3121" width="34.42578125" style="17" customWidth="1"/>
    <col min="3122" max="3122" width="29.7109375" style="17" customWidth="1"/>
    <col min="3123" max="3123" width="22" style="17" customWidth="1"/>
    <col min="3124" max="3124" width="23.7109375" style="17" customWidth="1"/>
    <col min="3125" max="3125" width="23.5703125" style="17" customWidth="1"/>
    <col min="3126" max="3129" width="22.140625" style="17" customWidth="1"/>
    <col min="3130" max="3130" width="25.28515625" style="17" customWidth="1"/>
    <col min="3131" max="3131" width="45.42578125" style="17" customWidth="1"/>
    <col min="3132" max="3132" width="24.7109375" style="17" customWidth="1"/>
    <col min="3133" max="3133" width="26.42578125" style="17" customWidth="1"/>
    <col min="3134" max="3134" width="29.28515625" style="17" customWidth="1"/>
    <col min="3135" max="3137" width="27.28515625" style="17" customWidth="1"/>
    <col min="3138" max="3138" width="31.7109375" style="17" customWidth="1"/>
    <col min="3139" max="3139" width="27.7109375" style="17" customWidth="1"/>
    <col min="3140" max="3142" width="28.28515625" style="17" customWidth="1"/>
    <col min="3143" max="3143" width="24.7109375" style="17" customWidth="1"/>
    <col min="3144" max="3144" width="24.140625" style="17" customWidth="1"/>
    <col min="3145" max="3147" width="22.28515625" style="17" customWidth="1"/>
    <col min="3148" max="3148" width="22.42578125" style="17" customWidth="1"/>
    <col min="3149" max="3149" width="23.7109375" style="17" customWidth="1"/>
    <col min="3150" max="3152" width="9.28515625" style="17" customWidth="1"/>
    <col min="3153" max="3306" width="9.28515625" style="17"/>
    <col min="3307" max="3307" width="26.28515625" style="17" customWidth="1"/>
    <col min="3308" max="3308" width="45.42578125" style="17" customWidth="1"/>
    <col min="3309" max="3309" width="14.85546875" style="17" customWidth="1"/>
    <col min="3310" max="3313" width="9.28515625" style="17" customWidth="1"/>
    <col min="3314" max="3314" width="0.140625" style="17" customWidth="1"/>
    <col min="3315" max="3315" width="29.42578125" style="17" customWidth="1"/>
    <col min="3316" max="3316" width="24.42578125" style="17" customWidth="1"/>
    <col min="3317" max="3317" width="26.7109375" style="17" customWidth="1"/>
    <col min="3318" max="3318" width="24.85546875" style="17" customWidth="1"/>
    <col min="3319" max="3319" width="21.28515625" style="17" customWidth="1"/>
    <col min="3320" max="3323" width="21.5703125" style="17" customWidth="1"/>
    <col min="3324" max="3324" width="28.28515625" style="17" customWidth="1"/>
    <col min="3325" max="3325" width="33" style="17" customWidth="1"/>
    <col min="3326" max="3326" width="22.85546875" style="17" customWidth="1"/>
    <col min="3327" max="3327" width="22" style="17" customWidth="1"/>
    <col min="3328" max="3328" width="24.7109375" style="17" customWidth="1"/>
    <col min="3329" max="3329" width="28.7109375" style="17" customWidth="1"/>
    <col min="3330" max="3330" width="23.5703125" style="17" customWidth="1"/>
    <col min="3331" max="3331" width="24.28515625" style="17" customWidth="1"/>
    <col min="3332" max="3332" width="23.5703125" style="17" customWidth="1"/>
    <col min="3333" max="3337" width="24.28515625" style="17" customWidth="1"/>
    <col min="3338" max="3338" width="22.7109375" style="17" customWidth="1"/>
    <col min="3339" max="3339" width="21.5703125" style="17" customWidth="1"/>
    <col min="3340" max="3340" width="21.42578125" style="17" customWidth="1"/>
    <col min="3341" max="3341" width="22.28515625" style="17" customWidth="1"/>
    <col min="3342" max="3342" width="22.5703125" style="17" customWidth="1"/>
    <col min="3343" max="3343" width="23.28515625" style="17" customWidth="1"/>
    <col min="3344" max="3345" width="20.5703125" style="17" customWidth="1"/>
    <col min="3346" max="3346" width="21.28515625" style="17" customWidth="1"/>
    <col min="3347" max="3347" width="21.42578125" style="17" customWidth="1"/>
    <col min="3348" max="3348" width="22" style="17" customWidth="1"/>
    <col min="3349" max="3350" width="21.5703125" style="17" customWidth="1"/>
    <col min="3351" max="3351" width="22.28515625" style="17" customWidth="1"/>
    <col min="3352" max="3352" width="25.42578125" style="17" customWidth="1"/>
    <col min="3353" max="3353" width="25.28515625" style="17" customWidth="1"/>
    <col min="3354" max="3354" width="28.7109375" style="17" customWidth="1"/>
    <col min="3355" max="3355" width="22.140625" style="17" customWidth="1"/>
    <col min="3356" max="3356" width="22" style="17" customWidth="1"/>
    <col min="3357" max="3357" width="24.5703125" style="17" customWidth="1"/>
    <col min="3358" max="3358" width="19.7109375" style="17" customWidth="1"/>
    <col min="3359" max="3359" width="29.140625" style="17" customWidth="1"/>
    <col min="3360" max="3360" width="25.140625" style="17" customWidth="1"/>
    <col min="3361" max="3362" width="29.42578125" style="17" customWidth="1"/>
    <col min="3363" max="3364" width="23.7109375" style="17" customWidth="1"/>
    <col min="3365" max="3365" width="26.7109375" style="17" customWidth="1"/>
    <col min="3366" max="3366" width="29.85546875" style="17" customWidth="1"/>
    <col min="3367" max="3369" width="23.28515625" style="17" customWidth="1"/>
    <col min="3370" max="3370" width="23.85546875" style="17" customWidth="1"/>
    <col min="3371" max="3371" width="26.7109375" style="17" customWidth="1"/>
    <col min="3372" max="3372" width="24.5703125" style="17" customWidth="1"/>
    <col min="3373" max="3373" width="26.85546875" style="17" customWidth="1"/>
    <col min="3374" max="3375" width="23.5703125" style="17" customWidth="1"/>
    <col min="3376" max="3376" width="28.7109375" style="17" customWidth="1"/>
    <col min="3377" max="3377" width="34.42578125" style="17" customWidth="1"/>
    <col min="3378" max="3378" width="29.7109375" style="17" customWidth="1"/>
    <col min="3379" max="3379" width="22" style="17" customWidth="1"/>
    <col min="3380" max="3380" width="23.7109375" style="17" customWidth="1"/>
    <col min="3381" max="3381" width="23.5703125" style="17" customWidth="1"/>
    <col min="3382" max="3385" width="22.140625" style="17" customWidth="1"/>
    <col min="3386" max="3386" width="25.28515625" style="17" customWidth="1"/>
    <col min="3387" max="3387" width="45.42578125" style="17" customWidth="1"/>
    <col min="3388" max="3388" width="24.7109375" style="17" customWidth="1"/>
    <col min="3389" max="3389" width="26.42578125" style="17" customWidth="1"/>
    <col min="3390" max="3390" width="29.28515625" style="17" customWidth="1"/>
    <col min="3391" max="3393" width="27.28515625" style="17" customWidth="1"/>
    <col min="3394" max="3394" width="31.7109375" style="17" customWidth="1"/>
    <col min="3395" max="3395" width="27.7109375" style="17" customWidth="1"/>
    <col min="3396" max="3398" width="28.28515625" style="17" customWidth="1"/>
    <col min="3399" max="3399" width="24.7109375" style="17" customWidth="1"/>
    <col min="3400" max="3400" width="24.140625" style="17" customWidth="1"/>
    <col min="3401" max="3403" width="22.28515625" style="17" customWidth="1"/>
    <col min="3404" max="3404" width="22.42578125" style="17" customWidth="1"/>
    <col min="3405" max="3405" width="23.7109375" style="17" customWidth="1"/>
    <col min="3406" max="3408" width="9.28515625" style="17" customWidth="1"/>
    <col min="3409" max="3562" width="9.28515625" style="17"/>
    <col min="3563" max="3563" width="26.28515625" style="17" customWidth="1"/>
    <col min="3564" max="3564" width="45.42578125" style="17" customWidth="1"/>
    <col min="3565" max="3565" width="14.85546875" style="17" customWidth="1"/>
    <col min="3566" max="3569" width="9.28515625" style="17" customWidth="1"/>
    <col min="3570" max="3570" width="0.140625" style="17" customWidth="1"/>
    <col min="3571" max="3571" width="29.42578125" style="17" customWidth="1"/>
    <col min="3572" max="3572" width="24.42578125" style="17" customWidth="1"/>
    <col min="3573" max="3573" width="26.7109375" style="17" customWidth="1"/>
    <col min="3574" max="3574" width="24.85546875" style="17" customWidth="1"/>
    <col min="3575" max="3575" width="21.28515625" style="17" customWidth="1"/>
    <col min="3576" max="3579" width="21.5703125" style="17" customWidth="1"/>
    <col min="3580" max="3580" width="28.28515625" style="17" customWidth="1"/>
    <col min="3581" max="3581" width="33" style="17" customWidth="1"/>
    <col min="3582" max="3582" width="22.85546875" style="17" customWidth="1"/>
    <col min="3583" max="3583" width="22" style="17" customWidth="1"/>
    <col min="3584" max="3584" width="24.7109375" style="17" customWidth="1"/>
    <col min="3585" max="3585" width="28.7109375" style="17" customWidth="1"/>
    <col min="3586" max="3586" width="23.5703125" style="17" customWidth="1"/>
    <col min="3587" max="3587" width="24.28515625" style="17" customWidth="1"/>
    <col min="3588" max="3588" width="23.5703125" style="17" customWidth="1"/>
    <col min="3589" max="3593" width="24.28515625" style="17" customWidth="1"/>
    <col min="3594" max="3594" width="22.7109375" style="17" customWidth="1"/>
    <col min="3595" max="3595" width="21.5703125" style="17" customWidth="1"/>
    <col min="3596" max="3596" width="21.42578125" style="17" customWidth="1"/>
    <col min="3597" max="3597" width="22.28515625" style="17" customWidth="1"/>
    <col min="3598" max="3598" width="22.5703125" style="17" customWidth="1"/>
    <col min="3599" max="3599" width="23.28515625" style="17" customWidth="1"/>
    <col min="3600" max="3601" width="20.5703125" style="17" customWidth="1"/>
    <col min="3602" max="3602" width="21.28515625" style="17" customWidth="1"/>
    <col min="3603" max="3603" width="21.42578125" style="17" customWidth="1"/>
    <col min="3604" max="3604" width="22" style="17" customWidth="1"/>
    <col min="3605" max="3606" width="21.5703125" style="17" customWidth="1"/>
    <col min="3607" max="3607" width="22.28515625" style="17" customWidth="1"/>
    <col min="3608" max="3608" width="25.42578125" style="17" customWidth="1"/>
    <col min="3609" max="3609" width="25.28515625" style="17" customWidth="1"/>
    <col min="3610" max="3610" width="28.7109375" style="17" customWidth="1"/>
    <col min="3611" max="3611" width="22.140625" style="17" customWidth="1"/>
    <col min="3612" max="3612" width="22" style="17" customWidth="1"/>
    <col min="3613" max="3613" width="24.5703125" style="17" customWidth="1"/>
    <col min="3614" max="3614" width="19.7109375" style="17" customWidth="1"/>
    <col min="3615" max="3615" width="29.140625" style="17" customWidth="1"/>
    <col min="3616" max="3616" width="25.140625" style="17" customWidth="1"/>
    <col min="3617" max="3618" width="29.42578125" style="17" customWidth="1"/>
    <col min="3619" max="3620" width="23.7109375" style="17" customWidth="1"/>
    <col min="3621" max="3621" width="26.7109375" style="17" customWidth="1"/>
    <col min="3622" max="3622" width="29.85546875" style="17" customWidth="1"/>
    <col min="3623" max="3625" width="23.28515625" style="17" customWidth="1"/>
    <col min="3626" max="3626" width="23.85546875" style="17" customWidth="1"/>
    <col min="3627" max="3627" width="26.7109375" style="17" customWidth="1"/>
    <col min="3628" max="3628" width="24.5703125" style="17" customWidth="1"/>
    <col min="3629" max="3629" width="26.85546875" style="17" customWidth="1"/>
    <col min="3630" max="3631" width="23.5703125" style="17" customWidth="1"/>
    <col min="3632" max="3632" width="28.7109375" style="17" customWidth="1"/>
    <col min="3633" max="3633" width="34.42578125" style="17" customWidth="1"/>
    <col min="3634" max="3634" width="29.7109375" style="17" customWidth="1"/>
    <col min="3635" max="3635" width="22" style="17" customWidth="1"/>
    <col min="3636" max="3636" width="23.7109375" style="17" customWidth="1"/>
    <col min="3637" max="3637" width="23.5703125" style="17" customWidth="1"/>
    <col min="3638" max="3641" width="22.140625" style="17" customWidth="1"/>
    <col min="3642" max="3642" width="25.28515625" style="17" customWidth="1"/>
    <col min="3643" max="3643" width="45.42578125" style="17" customWidth="1"/>
    <col min="3644" max="3644" width="24.7109375" style="17" customWidth="1"/>
    <col min="3645" max="3645" width="26.42578125" style="17" customWidth="1"/>
    <col min="3646" max="3646" width="29.28515625" style="17" customWidth="1"/>
    <col min="3647" max="3649" width="27.28515625" style="17" customWidth="1"/>
    <col min="3650" max="3650" width="31.7109375" style="17" customWidth="1"/>
    <col min="3651" max="3651" width="27.7109375" style="17" customWidth="1"/>
    <col min="3652" max="3654" width="28.28515625" style="17" customWidth="1"/>
    <col min="3655" max="3655" width="24.7109375" style="17" customWidth="1"/>
    <col min="3656" max="3656" width="24.140625" style="17" customWidth="1"/>
    <col min="3657" max="3659" width="22.28515625" style="17" customWidth="1"/>
    <col min="3660" max="3660" width="22.42578125" style="17" customWidth="1"/>
    <col min="3661" max="3661" width="23.7109375" style="17" customWidth="1"/>
    <col min="3662" max="3664" width="9.28515625" style="17" customWidth="1"/>
    <col min="3665" max="3818" width="9.28515625" style="17"/>
    <col min="3819" max="3819" width="26.28515625" style="17" customWidth="1"/>
    <col min="3820" max="3820" width="45.42578125" style="17" customWidth="1"/>
    <col min="3821" max="3821" width="14.85546875" style="17" customWidth="1"/>
    <col min="3822" max="3825" width="9.28515625" style="17" customWidth="1"/>
    <col min="3826" max="3826" width="0.140625" style="17" customWidth="1"/>
    <col min="3827" max="3827" width="29.42578125" style="17" customWidth="1"/>
    <col min="3828" max="3828" width="24.42578125" style="17" customWidth="1"/>
    <col min="3829" max="3829" width="26.7109375" style="17" customWidth="1"/>
    <col min="3830" max="3830" width="24.85546875" style="17" customWidth="1"/>
    <col min="3831" max="3831" width="21.28515625" style="17" customWidth="1"/>
    <col min="3832" max="3835" width="21.5703125" style="17" customWidth="1"/>
    <col min="3836" max="3836" width="28.28515625" style="17" customWidth="1"/>
    <col min="3837" max="3837" width="33" style="17" customWidth="1"/>
    <col min="3838" max="3838" width="22.85546875" style="17" customWidth="1"/>
    <col min="3839" max="3839" width="22" style="17" customWidth="1"/>
    <col min="3840" max="3840" width="24.7109375" style="17" customWidth="1"/>
    <col min="3841" max="3841" width="28.7109375" style="17" customWidth="1"/>
    <col min="3842" max="3842" width="23.5703125" style="17" customWidth="1"/>
    <col min="3843" max="3843" width="24.28515625" style="17" customWidth="1"/>
    <col min="3844" max="3844" width="23.5703125" style="17" customWidth="1"/>
    <col min="3845" max="3849" width="24.28515625" style="17" customWidth="1"/>
    <col min="3850" max="3850" width="22.7109375" style="17" customWidth="1"/>
    <col min="3851" max="3851" width="21.5703125" style="17" customWidth="1"/>
    <col min="3852" max="3852" width="21.42578125" style="17" customWidth="1"/>
    <col min="3853" max="3853" width="22.28515625" style="17" customWidth="1"/>
    <col min="3854" max="3854" width="22.5703125" style="17" customWidth="1"/>
    <col min="3855" max="3855" width="23.28515625" style="17" customWidth="1"/>
    <col min="3856" max="3857" width="20.5703125" style="17" customWidth="1"/>
    <col min="3858" max="3858" width="21.28515625" style="17" customWidth="1"/>
    <col min="3859" max="3859" width="21.42578125" style="17" customWidth="1"/>
    <col min="3860" max="3860" width="22" style="17" customWidth="1"/>
    <col min="3861" max="3862" width="21.5703125" style="17" customWidth="1"/>
    <col min="3863" max="3863" width="22.28515625" style="17" customWidth="1"/>
    <col min="3864" max="3864" width="25.42578125" style="17" customWidth="1"/>
    <col min="3865" max="3865" width="25.28515625" style="17" customWidth="1"/>
    <col min="3866" max="3866" width="28.7109375" style="17" customWidth="1"/>
    <col min="3867" max="3867" width="22.140625" style="17" customWidth="1"/>
    <col min="3868" max="3868" width="22" style="17" customWidth="1"/>
    <col min="3869" max="3869" width="24.5703125" style="17" customWidth="1"/>
    <col min="3870" max="3870" width="19.7109375" style="17" customWidth="1"/>
    <col min="3871" max="3871" width="29.140625" style="17" customWidth="1"/>
    <col min="3872" max="3872" width="25.140625" style="17" customWidth="1"/>
    <col min="3873" max="3874" width="29.42578125" style="17" customWidth="1"/>
    <col min="3875" max="3876" width="23.7109375" style="17" customWidth="1"/>
    <col min="3877" max="3877" width="26.7109375" style="17" customWidth="1"/>
    <col min="3878" max="3878" width="29.85546875" style="17" customWidth="1"/>
    <col min="3879" max="3881" width="23.28515625" style="17" customWidth="1"/>
    <col min="3882" max="3882" width="23.85546875" style="17" customWidth="1"/>
    <col min="3883" max="3883" width="26.7109375" style="17" customWidth="1"/>
    <col min="3884" max="3884" width="24.5703125" style="17" customWidth="1"/>
    <col min="3885" max="3885" width="26.85546875" style="17" customWidth="1"/>
    <col min="3886" max="3887" width="23.5703125" style="17" customWidth="1"/>
    <col min="3888" max="3888" width="28.7109375" style="17" customWidth="1"/>
    <col min="3889" max="3889" width="34.42578125" style="17" customWidth="1"/>
    <col min="3890" max="3890" width="29.7109375" style="17" customWidth="1"/>
    <col min="3891" max="3891" width="22" style="17" customWidth="1"/>
    <col min="3892" max="3892" width="23.7109375" style="17" customWidth="1"/>
    <col min="3893" max="3893" width="23.5703125" style="17" customWidth="1"/>
    <col min="3894" max="3897" width="22.140625" style="17" customWidth="1"/>
    <col min="3898" max="3898" width="25.28515625" style="17" customWidth="1"/>
    <col min="3899" max="3899" width="45.42578125" style="17" customWidth="1"/>
    <col min="3900" max="3900" width="24.7109375" style="17" customWidth="1"/>
    <col min="3901" max="3901" width="26.42578125" style="17" customWidth="1"/>
    <col min="3902" max="3902" width="29.28515625" style="17" customWidth="1"/>
    <col min="3903" max="3905" width="27.28515625" style="17" customWidth="1"/>
    <col min="3906" max="3906" width="31.7109375" style="17" customWidth="1"/>
    <col min="3907" max="3907" width="27.7109375" style="17" customWidth="1"/>
    <col min="3908" max="3910" width="28.28515625" style="17" customWidth="1"/>
    <col min="3911" max="3911" width="24.7109375" style="17" customWidth="1"/>
    <col min="3912" max="3912" width="24.140625" style="17" customWidth="1"/>
    <col min="3913" max="3915" width="22.28515625" style="17" customWidth="1"/>
    <col min="3916" max="3916" width="22.42578125" style="17" customWidth="1"/>
    <col min="3917" max="3917" width="23.7109375" style="17" customWidth="1"/>
    <col min="3918" max="3920" width="9.28515625" style="17" customWidth="1"/>
    <col min="3921" max="4074" width="9.28515625" style="17"/>
    <col min="4075" max="4075" width="26.28515625" style="17" customWidth="1"/>
    <col min="4076" max="4076" width="45.42578125" style="17" customWidth="1"/>
    <col min="4077" max="4077" width="14.85546875" style="17" customWidth="1"/>
    <col min="4078" max="4081" width="9.28515625" style="17" customWidth="1"/>
    <col min="4082" max="4082" width="0.140625" style="17" customWidth="1"/>
    <col min="4083" max="4083" width="29.42578125" style="17" customWidth="1"/>
    <col min="4084" max="4084" width="24.42578125" style="17" customWidth="1"/>
    <col min="4085" max="4085" width="26.7109375" style="17" customWidth="1"/>
    <col min="4086" max="4086" width="24.85546875" style="17" customWidth="1"/>
    <col min="4087" max="4087" width="21.28515625" style="17" customWidth="1"/>
    <col min="4088" max="4091" width="21.5703125" style="17" customWidth="1"/>
    <col min="4092" max="4092" width="28.28515625" style="17" customWidth="1"/>
    <col min="4093" max="4093" width="33" style="17" customWidth="1"/>
    <col min="4094" max="4094" width="22.85546875" style="17" customWidth="1"/>
    <col min="4095" max="4095" width="22" style="17" customWidth="1"/>
    <col min="4096" max="4096" width="24.7109375" style="17" customWidth="1"/>
    <col min="4097" max="4097" width="28.7109375" style="17" customWidth="1"/>
    <col min="4098" max="4098" width="23.5703125" style="17" customWidth="1"/>
    <col min="4099" max="4099" width="24.28515625" style="17" customWidth="1"/>
    <col min="4100" max="4100" width="23.5703125" style="17" customWidth="1"/>
    <col min="4101" max="4105" width="24.28515625" style="17" customWidth="1"/>
    <col min="4106" max="4106" width="22.7109375" style="17" customWidth="1"/>
    <col min="4107" max="4107" width="21.5703125" style="17" customWidth="1"/>
    <col min="4108" max="4108" width="21.42578125" style="17" customWidth="1"/>
    <col min="4109" max="4109" width="22.28515625" style="17" customWidth="1"/>
    <col min="4110" max="4110" width="22.5703125" style="17" customWidth="1"/>
    <col min="4111" max="4111" width="23.28515625" style="17" customWidth="1"/>
    <col min="4112" max="4113" width="20.5703125" style="17" customWidth="1"/>
    <col min="4114" max="4114" width="21.28515625" style="17" customWidth="1"/>
    <col min="4115" max="4115" width="21.42578125" style="17" customWidth="1"/>
    <col min="4116" max="4116" width="22" style="17" customWidth="1"/>
    <col min="4117" max="4118" width="21.5703125" style="17" customWidth="1"/>
    <col min="4119" max="4119" width="22.28515625" style="17" customWidth="1"/>
    <col min="4120" max="4120" width="25.42578125" style="17" customWidth="1"/>
    <col min="4121" max="4121" width="25.28515625" style="17" customWidth="1"/>
    <col min="4122" max="4122" width="28.7109375" style="17" customWidth="1"/>
    <col min="4123" max="4123" width="22.140625" style="17" customWidth="1"/>
    <col min="4124" max="4124" width="22" style="17" customWidth="1"/>
    <col min="4125" max="4125" width="24.5703125" style="17" customWidth="1"/>
    <col min="4126" max="4126" width="19.7109375" style="17" customWidth="1"/>
    <col min="4127" max="4127" width="29.140625" style="17" customWidth="1"/>
    <col min="4128" max="4128" width="25.140625" style="17" customWidth="1"/>
    <col min="4129" max="4130" width="29.42578125" style="17" customWidth="1"/>
    <col min="4131" max="4132" width="23.7109375" style="17" customWidth="1"/>
    <col min="4133" max="4133" width="26.7109375" style="17" customWidth="1"/>
    <col min="4134" max="4134" width="29.85546875" style="17" customWidth="1"/>
    <col min="4135" max="4137" width="23.28515625" style="17" customWidth="1"/>
    <col min="4138" max="4138" width="23.85546875" style="17" customWidth="1"/>
    <col min="4139" max="4139" width="26.7109375" style="17" customWidth="1"/>
    <col min="4140" max="4140" width="24.5703125" style="17" customWidth="1"/>
    <col min="4141" max="4141" width="26.85546875" style="17" customWidth="1"/>
    <col min="4142" max="4143" width="23.5703125" style="17" customWidth="1"/>
    <col min="4144" max="4144" width="28.7109375" style="17" customWidth="1"/>
    <col min="4145" max="4145" width="34.42578125" style="17" customWidth="1"/>
    <col min="4146" max="4146" width="29.7109375" style="17" customWidth="1"/>
    <col min="4147" max="4147" width="22" style="17" customWidth="1"/>
    <col min="4148" max="4148" width="23.7109375" style="17" customWidth="1"/>
    <col min="4149" max="4149" width="23.5703125" style="17" customWidth="1"/>
    <col min="4150" max="4153" width="22.140625" style="17" customWidth="1"/>
    <col min="4154" max="4154" width="25.28515625" style="17" customWidth="1"/>
    <col min="4155" max="4155" width="45.42578125" style="17" customWidth="1"/>
    <col min="4156" max="4156" width="24.7109375" style="17" customWidth="1"/>
    <col min="4157" max="4157" width="26.42578125" style="17" customWidth="1"/>
    <col min="4158" max="4158" width="29.28515625" style="17" customWidth="1"/>
    <col min="4159" max="4161" width="27.28515625" style="17" customWidth="1"/>
    <col min="4162" max="4162" width="31.7109375" style="17" customWidth="1"/>
    <col min="4163" max="4163" width="27.7109375" style="17" customWidth="1"/>
    <col min="4164" max="4166" width="28.28515625" style="17" customWidth="1"/>
    <col min="4167" max="4167" width="24.7109375" style="17" customWidth="1"/>
    <col min="4168" max="4168" width="24.140625" style="17" customWidth="1"/>
    <col min="4169" max="4171" width="22.28515625" style="17" customWidth="1"/>
    <col min="4172" max="4172" width="22.42578125" style="17" customWidth="1"/>
    <col min="4173" max="4173" width="23.7109375" style="17" customWidth="1"/>
    <col min="4174" max="4176" width="9.28515625" style="17" customWidth="1"/>
    <col min="4177" max="4330" width="9.28515625" style="17"/>
    <col min="4331" max="4331" width="26.28515625" style="17" customWidth="1"/>
    <col min="4332" max="4332" width="45.42578125" style="17" customWidth="1"/>
    <col min="4333" max="4333" width="14.85546875" style="17" customWidth="1"/>
    <col min="4334" max="4337" width="9.28515625" style="17" customWidth="1"/>
    <col min="4338" max="4338" width="0.140625" style="17" customWidth="1"/>
    <col min="4339" max="4339" width="29.42578125" style="17" customWidth="1"/>
    <col min="4340" max="4340" width="24.42578125" style="17" customWidth="1"/>
    <col min="4341" max="4341" width="26.7109375" style="17" customWidth="1"/>
    <col min="4342" max="4342" width="24.85546875" style="17" customWidth="1"/>
    <col min="4343" max="4343" width="21.28515625" style="17" customWidth="1"/>
    <col min="4344" max="4347" width="21.5703125" style="17" customWidth="1"/>
    <col min="4348" max="4348" width="28.28515625" style="17" customWidth="1"/>
    <col min="4349" max="4349" width="33" style="17" customWidth="1"/>
    <col min="4350" max="4350" width="22.85546875" style="17" customWidth="1"/>
    <col min="4351" max="4351" width="22" style="17" customWidth="1"/>
    <col min="4352" max="4352" width="24.7109375" style="17" customWidth="1"/>
    <col min="4353" max="4353" width="28.7109375" style="17" customWidth="1"/>
    <col min="4354" max="4354" width="23.5703125" style="17" customWidth="1"/>
    <col min="4355" max="4355" width="24.28515625" style="17" customWidth="1"/>
    <col min="4356" max="4356" width="23.5703125" style="17" customWidth="1"/>
    <col min="4357" max="4361" width="24.28515625" style="17" customWidth="1"/>
    <col min="4362" max="4362" width="22.7109375" style="17" customWidth="1"/>
    <col min="4363" max="4363" width="21.5703125" style="17" customWidth="1"/>
    <col min="4364" max="4364" width="21.42578125" style="17" customWidth="1"/>
    <col min="4365" max="4365" width="22.28515625" style="17" customWidth="1"/>
    <col min="4366" max="4366" width="22.5703125" style="17" customWidth="1"/>
    <col min="4367" max="4367" width="23.28515625" style="17" customWidth="1"/>
    <col min="4368" max="4369" width="20.5703125" style="17" customWidth="1"/>
    <col min="4370" max="4370" width="21.28515625" style="17" customWidth="1"/>
    <col min="4371" max="4371" width="21.42578125" style="17" customWidth="1"/>
    <col min="4372" max="4372" width="22" style="17" customWidth="1"/>
    <col min="4373" max="4374" width="21.5703125" style="17" customWidth="1"/>
    <col min="4375" max="4375" width="22.28515625" style="17" customWidth="1"/>
    <col min="4376" max="4376" width="25.42578125" style="17" customWidth="1"/>
    <col min="4377" max="4377" width="25.28515625" style="17" customWidth="1"/>
    <col min="4378" max="4378" width="28.7109375" style="17" customWidth="1"/>
    <col min="4379" max="4379" width="22.140625" style="17" customWidth="1"/>
    <col min="4380" max="4380" width="22" style="17" customWidth="1"/>
    <col min="4381" max="4381" width="24.5703125" style="17" customWidth="1"/>
    <col min="4382" max="4382" width="19.7109375" style="17" customWidth="1"/>
    <col min="4383" max="4383" width="29.140625" style="17" customWidth="1"/>
    <col min="4384" max="4384" width="25.140625" style="17" customWidth="1"/>
    <col min="4385" max="4386" width="29.42578125" style="17" customWidth="1"/>
    <col min="4387" max="4388" width="23.7109375" style="17" customWidth="1"/>
    <col min="4389" max="4389" width="26.7109375" style="17" customWidth="1"/>
    <col min="4390" max="4390" width="29.85546875" style="17" customWidth="1"/>
    <col min="4391" max="4393" width="23.28515625" style="17" customWidth="1"/>
    <col min="4394" max="4394" width="23.85546875" style="17" customWidth="1"/>
    <col min="4395" max="4395" width="26.7109375" style="17" customWidth="1"/>
    <col min="4396" max="4396" width="24.5703125" style="17" customWidth="1"/>
    <col min="4397" max="4397" width="26.85546875" style="17" customWidth="1"/>
    <col min="4398" max="4399" width="23.5703125" style="17" customWidth="1"/>
    <col min="4400" max="4400" width="28.7109375" style="17" customWidth="1"/>
    <col min="4401" max="4401" width="34.42578125" style="17" customWidth="1"/>
    <col min="4402" max="4402" width="29.7109375" style="17" customWidth="1"/>
    <col min="4403" max="4403" width="22" style="17" customWidth="1"/>
    <col min="4404" max="4404" width="23.7109375" style="17" customWidth="1"/>
    <col min="4405" max="4405" width="23.5703125" style="17" customWidth="1"/>
    <col min="4406" max="4409" width="22.140625" style="17" customWidth="1"/>
    <col min="4410" max="4410" width="25.28515625" style="17" customWidth="1"/>
    <col min="4411" max="4411" width="45.42578125" style="17" customWidth="1"/>
    <col min="4412" max="4412" width="24.7109375" style="17" customWidth="1"/>
    <col min="4413" max="4413" width="26.42578125" style="17" customWidth="1"/>
    <col min="4414" max="4414" width="29.28515625" style="17" customWidth="1"/>
    <col min="4415" max="4417" width="27.28515625" style="17" customWidth="1"/>
    <col min="4418" max="4418" width="31.7109375" style="17" customWidth="1"/>
    <col min="4419" max="4419" width="27.7109375" style="17" customWidth="1"/>
    <col min="4420" max="4422" width="28.28515625" style="17" customWidth="1"/>
    <col min="4423" max="4423" width="24.7109375" style="17" customWidth="1"/>
    <col min="4424" max="4424" width="24.140625" style="17" customWidth="1"/>
    <col min="4425" max="4427" width="22.28515625" style="17" customWidth="1"/>
    <col min="4428" max="4428" width="22.42578125" style="17" customWidth="1"/>
    <col min="4429" max="4429" width="23.7109375" style="17" customWidth="1"/>
    <col min="4430" max="4432" width="9.28515625" style="17" customWidth="1"/>
    <col min="4433" max="4586" width="9.28515625" style="17"/>
    <col min="4587" max="4587" width="26.28515625" style="17" customWidth="1"/>
    <col min="4588" max="4588" width="45.42578125" style="17" customWidth="1"/>
    <col min="4589" max="4589" width="14.85546875" style="17" customWidth="1"/>
    <col min="4590" max="4593" width="9.28515625" style="17" customWidth="1"/>
    <col min="4594" max="4594" width="0.140625" style="17" customWidth="1"/>
    <col min="4595" max="4595" width="29.42578125" style="17" customWidth="1"/>
    <col min="4596" max="4596" width="24.42578125" style="17" customWidth="1"/>
    <col min="4597" max="4597" width="26.7109375" style="17" customWidth="1"/>
    <col min="4598" max="4598" width="24.85546875" style="17" customWidth="1"/>
    <col min="4599" max="4599" width="21.28515625" style="17" customWidth="1"/>
    <col min="4600" max="4603" width="21.5703125" style="17" customWidth="1"/>
    <col min="4604" max="4604" width="28.28515625" style="17" customWidth="1"/>
    <col min="4605" max="4605" width="33" style="17" customWidth="1"/>
    <col min="4606" max="4606" width="22.85546875" style="17" customWidth="1"/>
    <col min="4607" max="4607" width="22" style="17" customWidth="1"/>
    <col min="4608" max="4608" width="24.7109375" style="17" customWidth="1"/>
    <col min="4609" max="4609" width="28.7109375" style="17" customWidth="1"/>
    <col min="4610" max="4610" width="23.5703125" style="17" customWidth="1"/>
    <col min="4611" max="4611" width="24.28515625" style="17" customWidth="1"/>
    <col min="4612" max="4612" width="23.5703125" style="17" customWidth="1"/>
    <col min="4613" max="4617" width="24.28515625" style="17" customWidth="1"/>
    <col min="4618" max="4618" width="22.7109375" style="17" customWidth="1"/>
    <col min="4619" max="4619" width="21.5703125" style="17" customWidth="1"/>
    <col min="4620" max="4620" width="21.42578125" style="17" customWidth="1"/>
    <col min="4621" max="4621" width="22.28515625" style="17" customWidth="1"/>
    <col min="4622" max="4622" width="22.5703125" style="17" customWidth="1"/>
    <col min="4623" max="4623" width="23.28515625" style="17" customWidth="1"/>
    <col min="4624" max="4625" width="20.5703125" style="17" customWidth="1"/>
    <col min="4626" max="4626" width="21.28515625" style="17" customWidth="1"/>
    <col min="4627" max="4627" width="21.42578125" style="17" customWidth="1"/>
    <col min="4628" max="4628" width="22" style="17" customWidth="1"/>
    <col min="4629" max="4630" width="21.5703125" style="17" customWidth="1"/>
    <col min="4631" max="4631" width="22.28515625" style="17" customWidth="1"/>
    <col min="4632" max="4632" width="25.42578125" style="17" customWidth="1"/>
    <col min="4633" max="4633" width="25.28515625" style="17" customWidth="1"/>
    <col min="4634" max="4634" width="28.7109375" style="17" customWidth="1"/>
    <col min="4635" max="4635" width="22.140625" style="17" customWidth="1"/>
    <col min="4636" max="4636" width="22" style="17" customWidth="1"/>
    <col min="4637" max="4637" width="24.5703125" style="17" customWidth="1"/>
    <col min="4638" max="4638" width="19.7109375" style="17" customWidth="1"/>
    <col min="4639" max="4639" width="29.140625" style="17" customWidth="1"/>
    <col min="4640" max="4640" width="25.140625" style="17" customWidth="1"/>
    <col min="4641" max="4642" width="29.42578125" style="17" customWidth="1"/>
    <col min="4643" max="4644" width="23.7109375" style="17" customWidth="1"/>
    <col min="4645" max="4645" width="26.7109375" style="17" customWidth="1"/>
    <col min="4646" max="4646" width="29.85546875" style="17" customWidth="1"/>
    <col min="4647" max="4649" width="23.28515625" style="17" customWidth="1"/>
    <col min="4650" max="4650" width="23.85546875" style="17" customWidth="1"/>
    <col min="4651" max="4651" width="26.7109375" style="17" customWidth="1"/>
    <col min="4652" max="4652" width="24.5703125" style="17" customWidth="1"/>
    <col min="4653" max="4653" width="26.85546875" style="17" customWidth="1"/>
    <col min="4654" max="4655" width="23.5703125" style="17" customWidth="1"/>
    <col min="4656" max="4656" width="28.7109375" style="17" customWidth="1"/>
    <col min="4657" max="4657" width="34.42578125" style="17" customWidth="1"/>
    <col min="4658" max="4658" width="29.7109375" style="17" customWidth="1"/>
    <col min="4659" max="4659" width="22" style="17" customWidth="1"/>
    <col min="4660" max="4660" width="23.7109375" style="17" customWidth="1"/>
    <col min="4661" max="4661" width="23.5703125" style="17" customWidth="1"/>
    <col min="4662" max="4665" width="22.140625" style="17" customWidth="1"/>
    <col min="4666" max="4666" width="25.28515625" style="17" customWidth="1"/>
    <col min="4667" max="4667" width="45.42578125" style="17" customWidth="1"/>
    <col min="4668" max="4668" width="24.7109375" style="17" customWidth="1"/>
    <col min="4669" max="4669" width="26.42578125" style="17" customWidth="1"/>
    <col min="4670" max="4670" width="29.28515625" style="17" customWidth="1"/>
    <col min="4671" max="4673" width="27.28515625" style="17" customWidth="1"/>
    <col min="4674" max="4674" width="31.7109375" style="17" customWidth="1"/>
    <col min="4675" max="4675" width="27.7109375" style="17" customWidth="1"/>
    <col min="4676" max="4678" width="28.28515625" style="17" customWidth="1"/>
    <col min="4679" max="4679" width="24.7109375" style="17" customWidth="1"/>
    <col min="4680" max="4680" width="24.140625" style="17" customWidth="1"/>
    <col min="4681" max="4683" width="22.28515625" style="17" customWidth="1"/>
    <col min="4684" max="4684" width="22.42578125" style="17" customWidth="1"/>
    <col min="4685" max="4685" width="23.7109375" style="17" customWidth="1"/>
    <col min="4686" max="4688" width="9.28515625" style="17" customWidth="1"/>
    <col min="4689" max="4842" width="9.28515625" style="17"/>
    <col min="4843" max="4843" width="26.28515625" style="17" customWidth="1"/>
    <col min="4844" max="4844" width="45.42578125" style="17" customWidth="1"/>
    <col min="4845" max="4845" width="14.85546875" style="17" customWidth="1"/>
    <col min="4846" max="4849" width="9.28515625" style="17" customWidth="1"/>
    <col min="4850" max="4850" width="0.140625" style="17" customWidth="1"/>
    <col min="4851" max="4851" width="29.42578125" style="17" customWidth="1"/>
    <col min="4852" max="4852" width="24.42578125" style="17" customWidth="1"/>
    <col min="4853" max="4853" width="26.7109375" style="17" customWidth="1"/>
    <col min="4854" max="4854" width="24.85546875" style="17" customWidth="1"/>
    <col min="4855" max="4855" width="21.28515625" style="17" customWidth="1"/>
    <col min="4856" max="4859" width="21.5703125" style="17" customWidth="1"/>
    <col min="4860" max="4860" width="28.28515625" style="17" customWidth="1"/>
    <col min="4861" max="4861" width="33" style="17" customWidth="1"/>
    <col min="4862" max="4862" width="22.85546875" style="17" customWidth="1"/>
    <col min="4863" max="4863" width="22" style="17" customWidth="1"/>
    <col min="4864" max="4864" width="24.7109375" style="17" customWidth="1"/>
    <col min="4865" max="4865" width="28.7109375" style="17" customWidth="1"/>
    <col min="4866" max="4866" width="23.5703125" style="17" customWidth="1"/>
    <col min="4867" max="4867" width="24.28515625" style="17" customWidth="1"/>
    <col min="4868" max="4868" width="23.5703125" style="17" customWidth="1"/>
    <col min="4869" max="4873" width="24.28515625" style="17" customWidth="1"/>
    <col min="4874" max="4874" width="22.7109375" style="17" customWidth="1"/>
    <col min="4875" max="4875" width="21.5703125" style="17" customWidth="1"/>
    <col min="4876" max="4876" width="21.42578125" style="17" customWidth="1"/>
    <col min="4877" max="4877" width="22.28515625" style="17" customWidth="1"/>
    <col min="4878" max="4878" width="22.5703125" style="17" customWidth="1"/>
    <col min="4879" max="4879" width="23.28515625" style="17" customWidth="1"/>
    <col min="4880" max="4881" width="20.5703125" style="17" customWidth="1"/>
    <col min="4882" max="4882" width="21.28515625" style="17" customWidth="1"/>
    <col min="4883" max="4883" width="21.42578125" style="17" customWidth="1"/>
    <col min="4884" max="4884" width="22" style="17" customWidth="1"/>
    <col min="4885" max="4886" width="21.5703125" style="17" customWidth="1"/>
    <col min="4887" max="4887" width="22.28515625" style="17" customWidth="1"/>
    <col min="4888" max="4888" width="25.42578125" style="17" customWidth="1"/>
    <col min="4889" max="4889" width="25.28515625" style="17" customWidth="1"/>
    <col min="4890" max="4890" width="28.7109375" style="17" customWidth="1"/>
    <col min="4891" max="4891" width="22.140625" style="17" customWidth="1"/>
    <col min="4892" max="4892" width="22" style="17" customWidth="1"/>
    <col min="4893" max="4893" width="24.5703125" style="17" customWidth="1"/>
    <col min="4894" max="4894" width="19.7109375" style="17" customWidth="1"/>
    <col min="4895" max="4895" width="29.140625" style="17" customWidth="1"/>
    <col min="4896" max="4896" width="25.140625" style="17" customWidth="1"/>
    <col min="4897" max="4898" width="29.42578125" style="17" customWidth="1"/>
    <col min="4899" max="4900" width="23.7109375" style="17" customWidth="1"/>
    <col min="4901" max="4901" width="26.7109375" style="17" customWidth="1"/>
    <col min="4902" max="4902" width="29.85546875" style="17" customWidth="1"/>
    <col min="4903" max="4905" width="23.28515625" style="17" customWidth="1"/>
    <col min="4906" max="4906" width="23.85546875" style="17" customWidth="1"/>
    <col min="4907" max="4907" width="26.7109375" style="17" customWidth="1"/>
    <col min="4908" max="4908" width="24.5703125" style="17" customWidth="1"/>
    <col min="4909" max="4909" width="26.85546875" style="17" customWidth="1"/>
    <col min="4910" max="4911" width="23.5703125" style="17" customWidth="1"/>
    <col min="4912" max="4912" width="28.7109375" style="17" customWidth="1"/>
    <col min="4913" max="4913" width="34.42578125" style="17" customWidth="1"/>
    <col min="4914" max="4914" width="29.7109375" style="17" customWidth="1"/>
    <col min="4915" max="4915" width="22" style="17" customWidth="1"/>
    <col min="4916" max="4916" width="23.7109375" style="17" customWidth="1"/>
    <col min="4917" max="4917" width="23.5703125" style="17" customWidth="1"/>
    <col min="4918" max="4921" width="22.140625" style="17" customWidth="1"/>
    <col min="4922" max="4922" width="25.28515625" style="17" customWidth="1"/>
    <col min="4923" max="4923" width="45.42578125" style="17" customWidth="1"/>
    <col min="4924" max="4924" width="24.7109375" style="17" customWidth="1"/>
    <col min="4925" max="4925" width="26.42578125" style="17" customWidth="1"/>
    <col min="4926" max="4926" width="29.28515625" style="17" customWidth="1"/>
    <col min="4927" max="4929" width="27.28515625" style="17" customWidth="1"/>
    <col min="4930" max="4930" width="31.7109375" style="17" customWidth="1"/>
    <col min="4931" max="4931" width="27.7109375" style="17" customWidth="1"/>
    <col min="4932" max="4934" width="28.28515625" style="17" customWidth="1"/>
    <col min="4935" max="4935" width="24.7109375" style="17" customWidth="1"/>
    <col min="4936" max="4936" width="24.140625" style="17" customWidth="1"/>
    <col min="4937" max="4939" width="22.28515625" style="17" customWidth="1"/>
    <col min="4940" max="4940" width="22.42578125" style="17" customWidth="1"/>
    <col min="4941" max="4941" width="23.7109375" style="17" customWidth="1"/>
    <col min="4942" max="4944" width="9.28515625" style="17" customWidth="1"/>
    <col min="4945" max="5098" width="9.28515625" style="17"/>
    <col min="5099" max="5099" width="26.28515625" style="17" customWidth="1"/>
    <col min="5100" max="5100" width="45.42578125" style="17" customWidth="1"/>
    <col min="5101" max="5101" width="14.85546875" style="17" customWidth="1"/>
    <col min="5102" max="5105" width="9.28515625" style="17" customWidth="1"/>
    <col min="5106" max="5106" width="0.140625" style="17" customWidth="1"/>
    <col min="5107" max="5107" width="29.42578125" style="17" customWidth="1"/>
    <col min="5108" max="5108" width="24.42578125" style="17" customWidth="1"/>
    <col min="5109" max="5109" width="26.7109375" style="17" customWidth="1"/>
    <col min="5110" max="5110" width="24.85546875" style="17" customWidth="1"/>
    <col min="5111" max="5111" width="21.28515625" style="17" customWidth="1"/>
    <col min="5112" max="5115" width="21.5703125" style="17" customWidth="1"/>
    <col min="5116" max="5116" width="28.28515625" style="17" customWidth="1"/>
    <col min="5117" max="5117" width="33" style="17" customWidth="1"/>
    <col min="5118" max="5118" width="22.85546875" style="17" customWidth="1"/>
    <col min="5119" max="5119" width="22" style="17" customWidth="1"/>
    <col min="5120" max="5120" width="24.7109375" style="17" customWidth="1"/>
    <col min="5121" max="5121" width="28.7109375" style="17" customWidth="1"/>
    <col min="5122" max="5122" width="23.5703125" style="17" customWidth="1"/>
    <col min="5123" max="5123" width="24.28515625" style="17" customWidth="1"/>
    <col min="5124" max="5124" width="23.5703125" style="17" customWidth="1"/>
    <col min="5125" max="5129" width="24.28515625" style="17" customWidth="1"/>
    <col min="5130" max="5130" width="22.7109375" style="17" customWidth="1"/>
    <col min="5131" max="5131" width="21.5703125" style="17" customWidth="1"/>
    <col min="5132" max="5132" width="21.42578125" style="17" customWidth="1"/>
    <col min="5133" max="5133" width="22.28515625" style="17" customWidth="1"/>
    <col min="5134" max="5134" width="22.5703125" style="17" customWidth="1"/>
    <col min="5135" max="5135" width="23.28515625" style="17" customWidth="1"/>
    <col min="5136" max="5137" width="20.5703125" style="17" customWidth="1"/>
    <col min="5138" max="5138" width="21.28515625" style="17" customWidth="1"/>
    <col min="5139" max="5139" width="21.42578125" style="17" customWidth="1"/>
    <col min="5140" max="5140" width="22" style="17" customWidth="1"/>
    <col min="5141" max="5142" width="21.5703125" style="17" customWidth="1"/>
    <col min="5143" max="5143" width="22.28515625" style="17" customWidth="1"/>
    <col min="5144" max="5144" width="25.42578125" style="17" customWidth="1"/>
    <col min="5145" max="5145" width="25.28515625" style="17" customWidth="1"/>
    <col min="5146" max="5146" width="28.7109375" style="17" customWidth="1"/>
    <col min="5147" max="5147" width="22.140625" style="17" customWidth="1"/>
    <col min="5148" max="5148" width="22" style="17" customWidth="1"/>
    <col min="5149" max="5149" width="24.5703125" style="17" customWidth="1"/>
    <col min="5150" max="5150" width="19.7109375" style="17" customWidth="1"/>
    <col min="5151" max="5151" width="29.140625" style="17" customWidth="1"/>
    <col min="5152" max="5152" width="25.140625" style="17" customWidth="1"/>
    <col min="5153" max="5154" width="29.42578125" style="17" customWidth="1"/>
    <col min="5155" max="5156" width="23.7109375" style="17" customWidth="1"/>
    <col min="5157" max="5157" width="26.7109375" style="17" customWidth="1"/>
    <col min="5158" max="5158" width="29.85546875" style="17" customWidth="1"/>
    <col min="5159" max="5161" width="23.28515625" style="17" customWidth="1"/>
    <col min="5162" max="5162" width="23.85546875" style="17" customWidth="1"/>
    <col min="5163" max="5163" width="26.7109375" style="17" customWidth="1"/>
    <col min="5164" max="5164" width="24.5703125" style="17" customWidth="1"/>
    <col min="5165" max="5165" width="26.85546875" style="17" customWidth="1"/>
    <col min="5166" max="5167" width="23.5703125" style="17" customWidth="1"/>
    <col min="5168" max="5168" width="28.7109375" style="17" customWidth="1"/>
    <col min="5169" max="5169" width="34.42578125" style="17" customWidth="1"/>
    <col min="5170" max="5170" width="29.7109375" style="17" customWidth="1"/>
    <col min="5171" max="5171" width="22" style="17" customWidth="1"/>
    <col min="5172" max="5172" width="23.7109375" style="17" customWidth="1"/>
    <col min="5173" max="5173" width="23.5703125" style="17" customWidth="1"/>
    <col min="5174" max="5177" width="22.140625" style="17" customWidth="1"/>
    <col min="5178" max="5178" width="25.28515625" style="17" customWidth="1"/>
    <col min="5179" max="5179" width="45.42578125" style="17" customWidth="1"/>
    <col min="5180" max="5180" width="24.7109375" style="17" customWidth="1"/>
    <col min="5181" max="5181" width="26.42578125" style="17" customWidth="1"/>
    <col min="5182" max="5182" width="29.28515625" style="17" customWidth="1"/>
    <col min="5183" max="5185" width="27.28515625" style="17" customWidth="1"/>
    <col min="5186" max="5186" width="31.7109375" style="17" customWidth="1"/>
    <col min="5187" max="5187" width="27.7109375" style="17" customWidth="1"/>
    <col min="5188" max="5190" width="28.28515625" style="17" customWidth="1"/>
    <col min="5191" max="5191" width="24.7109375" style="17" customWidth="1"/>
    <col min="5192" max="5192" width="24.140625" style="17" customWidth="1"/>
    <col min="5193" max="5195" width="22.28515625" style="17" customWidth="1"/>
    <col min="5196" max="5196" width="22.42578125" style="17" customWidth="1"/>
    <col min="5197" max="5197" width="23.7109375" style="17" customWidth="1"/>
    <col min="5198" max="5200" width="9.28515625" style="17" customWidth="1"/>
    <col min="5201" max="5354" width="9.28515625" style="17"/>
    <col min="5355" max="5355" width="26.28515625" style="17" customWidth="1"/>
    <col min="5356" max="5356" width="45.42578125" style="17" customWidth="1"/>
    <col min="5357" max="5357" width="14.85546875" style="17" customWidth="1"/>
    <col min="5358" max="5361" width="9.28515625" style="17" customWidth="1"/>
    <col min="5362" max="5362" width="0.140625" style="17" customWidth="1"/>
    <col min="5363" max="5363" width="29.42578125" style="17" customWidth="1"/>
    <col min="5364" max="5364" width="24.42578125" style="17" customWidth="1"/>
    <col min="5365" max="5365" width="26.7109375" style="17" customWidth="1"/>
    <col min="5366" max="5366" width="24.85546875" style="17" customWidth="1"/>
    <col min="5367" max="5367" width="21.28515625" style="17" customWidth="1"/>
    <col min="5368" max="5371" width="21.5703125" style="17" customWidth="1"/>
    <col min="5372" max="5372" width="28.28515625" style="17" customWidth="1"/>
    <col min="5373" max="5373" width="33" style="17" customWidth="1"/>
    <col min="5374" max="5374" width="22.85546875" style="17" customWidth="1"/>
    <col min="5375" max="5375" width="22" style="17" customWidth="1"/>
    <col min="5376" max="5376" width="24.7109375" style="17" customWidth="1"/>
    <col min="5377" max="5377" width="28.7109375" style="17" customWidth="1"/>
    <col min="5378" max="5378" width="23.5703125" style="17" customWidth="1"/>
    <col min="5379" max="5379" width="24.28515625" style="17" customWidth="1"/>
    <col min="5380" max="5380" width="23.5703125" style="17" customWidth="1"/>
    <col min="5381" max="5385" width="24.28515625" style="17" customWidth="1"/>
    <col min="5386" max="5386" width="22.7109375" style="17" customWidth="1"/>
    <col min="5387" max="5387" width="21.5703125" style="17" customWidth="1"/>
    <col min="5388" max="5388" width="21.42578125" style="17" customWidth="1"/>
    <col min="5389" max="5389" width="22.28515625" style="17" customWidth="1"/>
    <col min="5390" max="5390" width="22.5703125" style="17" customWidth="1"/>
    <col min="5391" max="5391" width="23.28515625" style="17" customWidth="1"/>
    <col min="5392" max="5393" width="20.5703125" style="17" customWidth="1"/>
    <col min="5394" max="5394" width="21.28515625" style="17" customWidth="1"/>
    <col min="5395" max="5395" width="21.42578125" style="17" customWidth="1"/>
    <col min="5396" max="5396" width="22" style="17" customWidth="1"/>
    <col min="5397" max="5398" width="21.5703125" style="17" customWidth="1"/>
    <col min="5399" max="5399" width="22.28515625" style="17" customWidth="1"/>
    <col min="5400" max="5400" width="25.42578125" style="17" customWidth="1"/>
    <col min="5401" max="5401" width="25.28515625" style="17" customWidth="1"/>
    <col min="5402" max="5402" width="28.7109375" style="17" customWidth="1"/>
    <col min="5403" max="5403" width="22.140625" style="17" customWidth="1"/>
    <col min="5404" max="5404" width="22" style="17" customWidth="1"/>
    <col min="5405" max="5405" width="24.5703125" style="17" customWidth="1"/>
    <col min="5406" max="5406" width="19.7109375" style="17" customWidth="1"/>
    <col min="5407" max="5407" width="29.140625" style="17" customWidth="1"/>
    <col min="5408" max="5408" width="25.140625" style="17" customWidth="1"/>
    <col min="5409" max="5410" width="29.42578125" style="17" customWidth="1"/>
    <col min="5411" max="5412" width="23.7109375" style="17" customWidth="1"/>
    <col min="5413" max="5413" width="26.7109375" style="17" customWidth="1"/>
    <col min="5414" max="5414" width="29.85546875" style="17" customWidth="1"/>
    <col min="5415" max="5417" width="23.28515625" style="17" customWidth="1"/>
    <col min="5418" max="5418" width="23.85546875" style="17" customWidth="1"/>
    <col min="5419" max="5419" width="26.7109375" style="17" customWidth="1"/>
    <col min="5420" max="5420" width="24.5703125" style="17" customWidth="1"/>
    <col min="5421" max="5421" width="26.85546875" style="17" customWidth="1"/>
    <col min="5422" max="5423" width="23.5703125" style="17" customWidth="1"/>
    <col min="5424" max="5424" width="28.7109375" style="17" customWidth="1"/>
    <col min="5425" max="5425" width="34.42578125" style="17" customWidth="1"/>
    <col min="5426" max="5426" width="29.7109375" style="17" customWidth="1"/>
    <col min="5427" max="5427" width="22" style="17" customWidth="1"/>
    <col min="5428" max="5428" width="23.7109375" style="17" customWidth="1"/>
    <col min="5429" max="5429" width="23.5703125" style="17" customWidth="1"/>
    <col min="5430" max="5433" width="22.140625" style="17" customWidth="1"/>
    <col min="5434" max="5434" width="25.28515625" style="17" customWidth="1"/>
    <col min="5435" max="5435" width="45.42578125" style="17" customWidth="1"/>
    <col min="5436" max="5436" width="24.7109375" style="17" customWidth="1"/>
    <col min="5437" max="5437" width="26.42578125" style="17" customWidth="1"/>
    <col min="5438" max="5438" width="29.28515625" style="17" customWidth="1"/>
    <col min="5439" max="5441" width="27.28515625" style="17" customWidth="1"/>
    <col min="5442" max="5442" width="31.7109375" style="17" customWidth="1"/>
    <col min="5443" max="5443" width="27.7109375" style="17" customWidth="1"/>
    <col min="5444" max="5446" width="28.28515625" style="17" customWidth="1"/>
    <col min="5447" max="5447" width="24.7109375" style="17" customWidth="1"/>
    <col min="5448" max="5448" width="24.140625" style="17" customWidth="1"/>
    <col min="5449" max="5451" width="22.28515625" style="17" customWidth="1"/>
    <col min="5452" max="5452" width="22.42578125" style="17" customWidth="1"/>
    <col min="5453" max="5453" width="23.7109375" style="17" customWidth="1"/>
    <col min="5454" max="5456" width="9.28515625" style="17" customWidth="1"/>
    <col min="5457" max="5610" width="9.28515625" style="17"/>
    <col min="5611" max="5611" width="26.28515625" style="17" customWidth="1"/>
    <col min="5612" max="5612" width="45.42578125" style="17" customWidth="1"/>
    <col min="5613" max="5613" width="14.85546875" style="17" customWidth="1"/>
    <col min="5614" max="5617" width="9.28515625" style="17" customWidth="1"/>
    <col min="5618" max="5618" width="0.140625" style="17" customWidth="1"/>
    <col min="5619" max="5619" width="29.42578125" style="17" customWidth="1"/>
    <col min="5620" max="5620" width="24.42578125" style="17" customWidth="1"/>
    <col min="5621" max="5621" width="26.7109375" style="17" customWidth="1"/>
    <col min="5622" max="5622" width="24.85546875" style="17" customWidth="1"/>
    <col min="5623" max="5623" width="21.28515625" style="17" customWidth="1"/>
    <col min="5624" max="5627" width="21.5703125" style="17" customWidth="1"/>
    <col min="5628" max="5628" width="28.28515625" style="17" customWidth="1"/>
    <col min="5629" max="5629" width="33" style="17" customWidth="1"/>
    <col min="5630" max="5630" width="22.85546875" style="17" customWidth="1"/>
    <col min="5631" max="5631" width="22" style="17" customWidth="1"/>
    <col min="5632" max="5632" width="24.7109375" style="17" customWidth="1"/>
    <col min="5633" max="5633" width="28.7109375" style="17" customWidth="1"/>
    <col min="5634" max="5634" width="23.5703125" style="17" customWidth="1"/>
    <col min="5635" max="5635" width="24.28515625" style="17" customWidth="1"/>
    <col min="5636" max="5636" width="23.5703125" style="17" customWidth="1"/>
    <col min="5637" max="5641" width="24.28515625" style="17" customWidth="1"/>
    <col min="5642" max="5642" width="22.7109375" style="17" customWidth="1"/>
    <col min="5643" max="5643" width="21.5703125" style="17" customWidth="1"/>
    <col min="5644" max="5644" width="21.42578125" style="17" customWidth="1"/>
    <col min="5645" max="5645" width="22.28515625" style="17" customWidth="1"/>
    <col min="5646" max="5646" width="22.5703125" style="17" customWidth="1"/>
    <col min="5647" max="5647" width="23.28515625" style="17" customWidth="1"/>
    <col min="5648" max="5649" width="20.5703125" style="17" customWidth="1"/>
    <col min="5650" max="5650" width="21.28515625" style="17" customWidth="1"/>
    <col min="5651" max="5651" width="21.42578125" style="17" customWidth="1"/>
    <col min="5652" max="5652" width="22" style="17" customWidth="1"/>
    <col min="5653" max="5654" width="21.5703125" style="17" customWidth="1"/>
    <col min="5655" max="5655" width="22.28515625" style="17" customWidth="1"/>
    <col min="5656" max="5656" width="25.42578125" style="17" customWidth="1"/>
    <col min="5657" max="5657" width="25.28515625" style="17" customWidth="1"/>
    <col min="5658" max="5658" width="28.7109375" style="17" customWidth="1"/>
    <col min="5659" max="5659" width="22.140625" style="17" customWidth="1"/>
    <col min="5660" max="5660" width="22" style="17" customWidth="1"/>
    <col min="5661" max="5661" width="24.5703125" style="17" customWidth="1"/>
    <col min="5662" max="5662" width="19.7109375" style="17" customWidth="1"/>
    <col min="5663" max="5663" width="29.140625" style="17" customWidth="1"/>
    <col min="5664" max="5664" width="25.140625" style="17" customWidth="1"/>
    <col min="5665" max="5666" width="29.42578125" style="17" customWidth="1"/>
    <col min="5667" max="5668" width="23.7109375" style="17" customWidth="1"/>
    <col min="5669" max="5669" width="26.7109375" style="17" customWidth="1"/>
    <col min="5670" max="5670" width="29.85546875" style="17" customWidth="1"/>
    <col min="5671" max="5673" width="23.28515625" style="17" customWidth="1"/>
    <col min="5674" max="5674" width="23.85546875" style="17" customWidth="1"/>
    <col min="5675" max="5675" width="26.7109375" style="17" customWidth="1"/>
    <col min="5676" max="5676" width="24.5703125" style="17" customWidth="1"/>
    <col min="5677" max="5677" width="26.85546875" style="17" customWidth="1"/>
    <col min="5678" max="5679" width="23.5703125" style="17" customWidth="1"/>
    <col min="5680" max="5680" width="28.7109375" style="17" customWidth="1"/>
    <col min="5681" max="5681" width="34.42578125" style="17" customWidth="1"/>
    <col min="5682" max="5682" width="29.7109375" style="17" customWidth="1"/>
    <col min="5683" max="5683" width="22" style="17" customWidth="1"/>
    <col min="5684" max="5684" width="23.7109375" style="17" customWidth="1"/>
    <col min="5685" max="5685" width="23.5703125" style="17" customWidth="1"/>
    <col min="5686" max="5689" width="22.140625" style="17" customWidth="1"/>
    <col min="5690" max="5690" width="25.28515625" style="17" customWidth="1"/>
    <col min="5691" max="5691" width="45.42578125" style="17" customWidth="1"/>
    <col min="5692" max="5692" width="24.7109375" style="17" customWidth="1"/>
    <col min="5693" max="5693" width="26.42578125" style="17" customWidth="1"/>
    <col min="5694" max="5694" width="29.28515625" style="17" customWidth="1"/>
    <col min="5695" max="5697" width="27.28515625" style="17" customWidth="1"/>
    <col min="5698" max="5698" width="31.7109375" style="17" customWidth="1"/>
    <col min="5699" max="5699" width="27.7109375" style="17" customWidth="1"/>
    <col min="5700" max="5702" width="28.28515625" style="17" customWidth="1"/>
    <col min="5703" max="5703" width="24.7109375" style="17" customWidth="1"/>
    <col min="5704" max="5704" width="24.140625" style="17" customWidth="1"/>
    <col min="5705" max="5707" width="22.28515625" style="17" customWidth="1"/>
    <col min="5708" max="5708" width="22.42578125" style="17" customWidth="1"/>
    <col min="5709" max="5709" width="23.7109375" style="17" customWidth="1"/>
    <col min="5710" max="5712" width="9.28515625" style="17" customWidth="1"/>
    <col min="5713" max="5866" width="9.28515625" style="17"/>
    <col min="5867" max="5867" width="26.28515625" style="17" customWidth="1"/>
    <col min="5868" max="5868" width="45.42578125" style="17" customWidth="1"/>
    <col min="5869" max="5869" width="14.85546875" style="17" customWidth="1"/>
    <col min="5870" max="5873" width="9.28515625" style="17" customWidth="1"/>
    <col min="5874" max="5874" width="0.140625" style="17" customWidth="1"/>
    <col min="5875" max="5875" width="29.42578125" style="17" customWidth="1"/>
    <col min="5876" max="5876" width="24.42578125" style="17" customWidth="1"/>
    <col min="5877" max="5877" width="26.7109375" style="17" customWidth="1"/>
    <col min="5878" max="5878" width="24.85546875" style="17" customWidth="1"/>
    <col min="5879" max="5879" width="21.28515625" style="17" customWidth="1"/>
    <col min="5880" max="5883" width="21.5703125" style="17" customWidth="1"/>
    <col min="5884" max="5884" width="28.28515625" style="17" customWidth="1"/>
    <col min="5885" max="5885" width="33" style="17" customWidth="1"/>
    <col min="5886" max="5886" width="22.85546875" style="17" customWidth="1"/>
    <col min="5887" max="5887" width="22" style="17" customWidth="1"/>
    <col min="5888" max="5888" width="24.7109375" style="17" customWidth="1"/>
    <col min="5889" max="5889" width="28.7109375" style="17" customWidth="1"/>
    <col min="5890" max="5890" width="23.5703125" style="17" customWidth="1"/>
    <col min="5891" max="5891" width="24.28515625" style="17" customWidth="1"/>
    <col min="5892" max="5892" width="23.5703125" style="17" customWidth="1"/>
    <col min="5893" max="5897" width="24.28515625" style="17" customWidth="1"/>
    <col min="5898" max="5898" width="22.7109375" style="17" customWidth="1"/>
    <col min="5899" max="5899" width="21.5703125" style="17" customWidth="1"/>
    <col min="5900" max="5900" width="21.42578125" style="17" customWidth="1"/>
    <col min="5901" max="5901" width="22.28515625" style="17" customWidth="1"/>
    <col min="5902" max="5902" width="22.5703125" style="17" customWidth="1"/>
    <col min="5903" max="5903" width="23.28515625" style="17" customWidth="1"/>
    <col min="5904" max="5905" width="20.5703125" style="17" customWidth="1"/>
    <col min="5906" max="5906" width="21.28515625" style="17" customWidth="1"/>
    <col min="5907" max="5907" width="21.42578125" style="17" customWidth="1"/>
    <col min="5908" max="5908" width="22" style="17" customWidth="1"/>
    <col min="5909" max="5910" width="21.5703125" style="17" customWidth="1"/>
    <col min="5911" max="5911" width="22.28515625" style="17" customWidth="1"/>
    <col min="5912" max="5912" width="25.42578125" style="17" customWidth="1"/>
    <col min="5913" max="5913" width="25.28515625" style="17" customWidth="1"/>
    <col min="5914" max="5914" width="28.7109375" style="17" customWidth="1"/>
    <col min="5915" max="5915" width="22.140625" style="17" customWidth="1"/>
    <col min="5916" max="5916" width="22" style="17" customWidth="1"/>
    <col min="5917" max="5917" width="24.5703125" style="17" customWidth="1"/>
    <col min="5918" max="5918" width="19.7109375" style="17" customWidth="1"/>
    <col min="5919" max="5919" width="29.140625" style="17" customWidth="1"/>
    <col min="5920" max="5920" width="25.140625" style="17" customWidth="1"/>
    <col min="5921" max="5922" width="29.42578125" style="17" customWidth="1"/>
    <col min="5923" max="5924" width="23.7109375" style="17" customWidth="1"/>
    <col min="5925" max="5925" width="26.7109375" style="17" customWidth="1"/>
    <col min="5926" max="5926" width="29.85546875" style="17" customWidth="1"/>
    <col min="5927" max="5929" width="23.28515625" style="17" customWidth="1"/>
    <col min="5930" max="5930" width="23.85546875" style="17" customWidth="1"/>
    <col min="5931" max="5931" width="26.7109375" style="17" customWidth="1"/>
    <col min="5932" max="5932" width="24.5703125" style="17" customWidth="1"/>
    <col min="5933" max="5933" width="26.85546875" style="17" customWidth="1"/>
    <col min="5934" max="5935" width="23.5703125" style="17" customWidth="1"/>
    <col min="5936" max="5936" width="28.7109375" style="17" customWidth="1"/>
    <col min="5937" max="5937" width="34.42578125" style="17" customWidth="1"/>
    <col min="5938" max="5938" width="29.7109375" style="17" customWidth="1"/>
    <col min="5939" max="5939" width="22" style="17" customWidth="1"/>
    <col min="5940" max="5940" width="23.7109375" style="17" customWidth="1"/>
    <col min="5941" max="5941" width="23.5703125" style="17" customWidth="1"/>
    <col min="5942" max="5945" width="22.140625" style="17" customWidth="1"/>
    <col min="5946" max="5946" width="25.28515625" style="17" customWidth="1"/>
    <col min="5947" max="5947" width="45.42578125" style="17" customWidth="1"/>
    <col min="5948" max="5948" width="24.7109375" style="17" customWidth="1"/>
    <col min="5949" max="5949" width="26.42578125" style="17" customWidth="1"/>
    <col min="5950" max="5950" width="29.28515625" style="17" customWidth="1"/>
    <col min="5951" max="5953" width="27.28515625" style="17" customWidth="1"/>
    <col min="5954" max="5954" width="31.7109375" style="17" customWidth="1"/>
    <col min="5955" max="5955" width="27.7109375" style="17" customWidth="1"/>
    <col min="5956" max="5958" width="28.28515625" style="17" customWidth="1"/>
    <col min="5959" max="5959" width="24.7109375" style="17" customWidth="1"/>
    <col min="5960" max="5960" width="24.140625" style="17" customWidth="1"/>
    <col min="5961" max="5963" width="22.28515625" style="17" customWidth="1"/>
    <col min="5964" max="5964" width="22.42578125" style="17" customWidth="1"/>
    <col min="5965" max="5965" width="23.7109375" style="17" customWidth="1"/>
    <col min="5966" max="5968" width="9.28515625" style="17" customWidth="1"/>
    <col min="5969" max="6122" width="9.28515625" style="17"/>
    <col min="6123" max="6123" width="26.28515625" style="17" customWidth="1"/>
    <col min="6124" max="6124" width="45.42578125" style="17" customWidth="1"/>
    <col min="6125" max="6125" width="14.85546875" style="17" customWidth="1"/>
    <col min="6126" max="6129" width="9.28515625" style="17" customWidth="1"/>
    <col min="6130" max="6130" width="0.140625" style="17" customWidth="1"/>
    <col min="6131" max="6131" width="29.42578125" style="17" customWidth="1"/>
    <col min="6132" max="6132" width="24.42578125" style="17" customWidth="1"/>
    <col min="6133" max="6133" width="26.7109375" style="17" customWidth="1"/>
    <col min="6134" max="6134" width="24.85546875" style="17" customWidth="1"/>
    <col min="6135" max="6135" width="21.28515625" style="17" customWidth="1"/>
    <col min="6136" max="6139" width="21.5703125" style="17" customWidth="1"/>
    <col min="6140" max="6140" width="28.28515625" style="17" customWidth="1"/>
    <col min="6141" max="6141" width="33" style="17" customWidth="1"/>
    <col min="6142" max="6142" width="22.85546875" style="17" customWidth="1"/>
    <col min="6143" max="6143" width="22" style="17" customWidth="1"/>
    <col min="6144" max="6144" width="24.7109375" style="17" customWidth="1"/>
    <col min="6145" max="6145" width="28.7109375" style="17" customWidth="1"/>
    <col min="6146" max="6146" width="23.5703125" style="17" customWidth="1"/>
    <col min="6147" max="6147" width="24.28515625" style="17" customWidth="1"/>
    <col min="6148" max="6148" width="23.5703125" style="17" customWidth="1"/>
    <col min="6149" max="6153" width="24.28515625" style="17" customWidth="1"/>
    <col min="6154" max="6154" width="22.7109375" style="17" customWidth="1"/>
    <col min="6155" max="6155" width="21.5703125" style="17" customWidth="1"/>
    <col min="6156" max="6156" width="21.42578125" style="17" customWidth="1"/>
    <col min="6157" max="6157" width="22.28515625" style="17" customWidth="1"/>
    <col min="6158" max="6158" width="22.5703125" style="17" customWidth="1"/>
    <col min="6159" max="6159" width="23.28515625" style="17" customWidth="1"/>
    <col min="6160" max="6161" width="20.5703125" style="17" customWidth="1"/>
    <col min="6162" max="6162" width="21.28515625" style="17" customWidth="1"/>
    <col min="6163" max="6163" width="21.42578125" style="17" customWidth="1"/>
    <col min="6164" max="6164" width="22" style="17" customWidth="1"/>
    <col min="6165" max="6166" width="21.5703125" style="17" customWidth="1"/>
    <col min="6167" max="6167" width="22.28515625" style="17" customWidth="1"/>
    <col min="6168" max="6168" width="25.42578125" style="17" customWidth="1"/>
    <col min="6169" max="6169" width="25.28515625" style="17" customWidth="1"/>
    <col min="6170" max="6170" width="28.7109375" style="17" customWidth="1"/>
    <col min="6171" max="6171" width="22.140625" style="17" customWidth="1"/>
    <col min="6172" max="6172" width="22" style="17" customWidth="1"/>
    <col min="6173" max="6173" width="24.5703125" style="17" customWidth="1"/>
    <col min="6174" max="6174" width="19.7109375" style="17" customWidth="1"/>
    <col min="6175" max="6175" width="29.140625" style="17" customWidth="1"/>
    <col min="6176" max="6176" width="25.140625" style="17" customWidth="1"/>
    <col min="6177" max="6178" width="29.42578125" style="17" customWidth="1"/>
    <col min="6179" max="6180" width="23.7109375" style="17" customWidth="1"/>
    <col min="6181" max="6181" width="26.7109375" style="17" customWidth="1"/>
    <col min="6182" max="6182" width="29.85546875" style="17" customWidth="1"/>
    <col min="6183" max="6185" width="23.28515625" style="17" customWidth="1"/>
    <col min="6186" max="6186" width="23.85546875" style="17" customWidth="1"/>
    <col min="6187" max="6187" width="26.7109375" style="17" customWidth="1"/>
    <col min="6188" max="6188" width="24.5703125" style="17" customWidth="1"/>
    <col min="6189" max="6189" width="26.85546875" style="17" customWidth="1"/>
    <col min="6190" max="6191" width="23.5703125" style="17" customWidth="1"/>
    <col min="6192" max="6192" width="28.7109375" style="17" customWidth="1"/>
    <col min="6193" max="6193" width="34.42578125" style="17" customWidth="1"/>
    <col min="6194" max="6194" width="29.7109375" style="17" customWidth="1"/>
    <col min="6195" max="6195" width="22" style="17" customWidth="1"/>
    <col min="6196" max="6196" width="23.7109375" style="17" customWidth="1"/>
    <col min="6197" max="6197" width="23.5703125" style="17" customWidth="1"/>
    <col min="6198" max="6201" width="22.140625" style="17" customWidth="1"/>
    <col min="6202" max="6202" width="25.28515625" style="17" customWidth="1"/>
    <col min="6203" max="6203" width="45.42578125" style="17" customWidth="1"/>
    <col min="6204" max="6204" width="24.7109375" style="17" customWidth="1"/>
    <col min="6205" max="6205" width="26.42578125" style="17" customWidth="1"/>
    <col min="6206" max="6206" width="29.28515625" style="17" customWidth="1"/>
    <col min="6207" max="6209" width="27.28515625" style="17" customWidth="1"/>
    <col min="6210" max="6210" width="31.7109375" style="17" customWidth="1"/>
    <col min="6211" max="6211" width="27.7109375" style="17" customWidth="1"/>
    <col min="6212" max="6214" width="28.28515625" style="17" customWidth="1"/>
    <col min="6215" max="6215" width="24.7109375" style="17" customWidth="1"/>
    <col min="6216" max="6216" width="24.140625" style="17" customWidth="1"/>
    <col min="6217" max="6219" width="22.28515625" style="17" customWidth="1"/>
    <col min="6220" max="6220" width="22.42578125" style="17" customWidth="1"/>
    <col min="6221" max="6221" width="23.7109375" style="17" customWidth="1"/>
    <col min="6222" max="6224" width="9.28515625" style="17" customWidth="1"/>
    <col min="6225" max="6378" width="9.28515625" style="17"/>
    <col min="6379" max="6379" width="26.28515625" style="17" customWidth="1"/>
    <col min="6380" max="6380" width="45.42578125" style="17" customWidth="1"/>
    <col min="6381" max="6381" width="14.85546875" style="17" customWidth="1"/>
    <col min="6382" max="6385" width="9.28515625" style="17" customWidth="1"/>
    <col min="6386" max="6386" width="0.140625" style="17" customWidth="1"/>
    <col min="6387" max="6387" width="29.42578125" style="17" customWidth="1"/>
    <col min="6388" max="6388" width="24.42578125" style="17" customWidth="1"/>
    <col min="6389" max="6389" width="26.7109375" style="17" customWidth="1"/>
    <col min="6390" max="6390" width="24.85546875" style="17" customWidth="1"/>
    <col min="6391" max="6391" width="21.28515625" style="17" customWidth="1"/>
    <col min="6392" max="6395" width="21.5703125" style="17" customWidth="1"/>
    <col min="6396" max="6396" width="28.28515625" style="17" customWidth="1"/>
    <col min="6397" max="6397" width="33" style="17" customWidth="1"/>
    <col min="6398" max="6398" width="22.85546875" style="17" customWidth="1"/>
    <col min="6399" max="6399" width="22" style="17" customWidth="1"/>
    <col min="6400" max="6400" width="24.7109375" style="17" customWidth="1"/>
    <col min="6401" max="6401" width="28.7109375" style="17" customWidth="1"/>
    <col min="6402" max="6402" width="23.5703125" style="17" customWidth="1"/>
    <col min="6403" max="6403" width="24.28515625" style="17" customWidth="1"/>
    <col min="6404" max="6404" width="23.5703125" style="17" customWidth="1"/>
    <col min="6405" max="6409" width="24.28515625" style="17" customWidth="1"/>
    <col min="6410" max="6410" width="22.7109375" style="17" customWidth="1"/>
    <col min="6411" max="6411" width="21.5703125" style="17" customWidth="1"/>
    <col min="6412" max="6412" width="21.42578125" style="17" customWidth="1"/>
    <col min="6413" max="6413" width="22.28515625" style="17" customWidth="1"/>
    <col min="6414" max="6414" width="22.5703125" style="17" customWidth="1"/>
    <col min="6415" max="6415" width="23.28515625" style="17" customWidth="1"/>
    <col min="6416" max="6417" width="20.5703125" style="17" customWidth="1"/>
    <col min="6418" max="6418" width="21.28515625" style="17" customWidth="1"/>
    <col min="6419" max="6419" width="21.42578125" style="17" customWidth="1"/>
    <col min="6420" max="6420" width="22" style="17" customWidth="1"/>
    <col min="6421" max="6422" width="21.5703125" style="17" customWidth="1"/>
    <col min="6423" max="6423" width="22.28515625" style="17" customWidth="1"/>
    <col min="6424" max="6424" width="25.42578125" style="17" customWidth="1"/>
    <col min="6425" max="6425" width="25.28515625" style="17" customWidth="1"/>
    <col min="6426" max="6426" width="28.7109375" style="17" customWidth="1"/>
    <col min="6427" max="6427" width="22.140625" style="17" customWidth="1"/>
    <col min="6428" max="6428" width="22" style="17" customWidth="1"/>
    <col min="6429" max="6429" width="24.5703125" style="17" customWidth="1"/>
    <col min="6430" max="6430" width="19.7109375" style="17" customWidth="1"/>
    <col min="6431" max="6431" width="29.140625" style="17" customWidth="1"/>
    <col min="6432" max="6432" width="25.140625" style="17" customWidth="1"/>
    <col min="6433" max="6434" width="29.42578125" style="17" customWidth="1"/>
    <col min="6435" max="6436" width="23.7109375" style="17" customWidth="1"/>
    <col min="6437" max="6437" width="26.7109375" style="17" customWidth="1"/>
    <col min="6438" max="6438" width="29.85546875" style="17" customWidth="1"/>
    <col min="6439" max="6441" width="23.28515625" style="17" customWidth="1"/>
    <col min="6442" max="6442" width="23.85546875" style="17" customWidth="1"/>
    <col min="6443" max="6443" width="26.7109375" style="17" customWidth="1"/>
    <col min="6444" max="6444" width="24.5703125" style="17" customWidth="1"/>
    <col min="6445" max="6445" width="26.85546875" style="17" customWidth="1"/>
    <col min="6446" max="6447" width="23.5703125" style="17" customWidth="1"/>
    <col min="6448" max="6448" width="28.7109375" style="17" customWidth="1"/>
    <col min="6449" max="6449" width="34.42578125" style="17" customWidth="1"/>
    <col min="6450" max="6450" width="29.7109375" style="17" customWidth="1"/>
    <col min="6451" max="6451" width="22" style="17" customWidth="1"/>
    <col min="6452" max="6452" width="23.7109375" style="17" customWidth="1"/>
    <col min="6453" max="6453" width="23.5703125" style="17" customWidth="1"/>
    <col min="6454" max="6457" width="22.140625" style="17" customWidth="1"/>
    <col min="6458" max="6458" width="25.28515625" style="17" customWidth="1"/>
    <col min="6459" max="6459" width="45.42578125" style="17" customWidth="1"/>
    <col min="6460" max="6460" width="24.7109375" style="17" customWidth="1"/>
    <col min="6461" max="6461" width="26.42578125" style="17" customWidth="1"/>
    <col min="6462" max="6462" width="29.28515625" style="17" customWidth="1"/>
    <col min="6463" max="6465" width="27.28515625" style="17" customWidth="1"/>
    <col min="6466" max="6466" width="31.7109375" style="17" customWidth="1"/>
    <col min="6467" max="6467" width="27.7109375" style="17" customWidth="1"/>
    <col min="6468" max="6470" width="28.28515625" style="17" customWidth="1"/>
    <col min="6471" max="6471" width="24.7109375" style="17" customWidth="1"/>
    <col min="6472" max="6472" width="24.140625" style="17" customWidth="1"/>
    <col min="6473" max="6475" width="22.28515625" style="17" customWidth="1"/>
    <col min="6476" max="6476" width="22.42578125" style="17" customWidth="1"/>
    <col min="6477" max="6477" width="23.7109375" style="17" customWidth="1"/>
    <col min="6478" max="6480" width="9.28515625" style="17" customWidth="1"/>
    <col min="6481" max="6634" width="9.28515625" style="17"/>
    <col min="6635" max="6635" width="26.28515625" style="17" customWidth="1"/>
    <col min="6636" max="6636" width="45.42578125" style="17" customWidth="1"/>
    <col min="6637" max="6637" width="14.85546875" style="17" customWidth="1"/>
    <col min="6638" max="6641" width="9.28515625" style="17" customWidth="1"/>
    <col min="6642" max="6642" width="0.140625" style="17" customWidth="1"/>
    <col min="6643" max="6643" width="29.42578125" style="17" customWidth="1"/>
    <col min="6644" max="6644" width="24.42578125" style="17" customWidth="1"/>
    <col min="6645" max="6645" width="26.7109375" style="17" customWidth="1"/>
    <col min="6646" max="6646" width="24.85546875" style="17" customWidth="1"/>
    <col min="6647" max="6647" width="21.28515625" style="17" customWidth="1"/>
    <col min="6648" max="6651" width="21.5703125" style="17" customWidth="1"/>
    <col min="6652" max="6652" width="28.28515625" style="17" customWidth="1"/>
    <col min="6653" max="6653" width="33" style="17" customWidth="1"/>
    <col min="6654" max="6654" width="22.85546875" style="17" customWidth="1"/>
    <col min="6655" max="6655" width="22" style="17" customWidth="1"/>
    <col min="6656" max="6656" width="24.7109375" style="17" customWidth="1"/>
    <col min="6657" max="6657" width="28.7109375" style="17" customWidth="1"/>
    <col min="6658" max="6658" width="23.5703125" style="17" customWidth="1"/>
    <col min="6659" max="6659" width="24.28515625" style="17" customWidth="1"/>
    <col min="6660" max="6660" width="23.5703125" style="17" customWidth="1"/>
    <col min="6661" max="6665" width="24.28515625" style="17" customWidth="1"/>
    <col min="6666" max="6666" width="22.7109375" style="17" customWidth="1"/>
    <col min="6667" max="6667" width="21.5703125" style="17" customWidth="1"/>
    <col min="6668" max="6668" width="21.42578125" style="17" customWidth="1"/>
    <col min="6669" max="6669" width="22.28515625" style="17" customWidth="1"/>
    <col min="6670" max="6670" width="22.5703125" style="17" customWidth="1"/>
    <col min="6671" max="6671" width="23.28515625" style="17" customWidth="1"/>
    <col min="6672" max="6673" width="20.5703125" style="17" customWidth="1"/>
    <col min="6674" max="6674" width="21.28515625" style="17" customWidth="1"/>
    <col min="6675" max="6675" width="21.42578125" style="17" customWidth="1"/>
    <col min="6676" max="6676" width="22" style="17" customWidth="1"/>
    <col min="6677" max="6678" width="21.5703125" style="17" customWidth="1"/>
    <col min="6679" max="6679" width="22.28515625" style="17" customWidth="1"/>
    <col min="6680" max="6680" width="25.42578125" style="17" customWidth="1"/>
    <col min="6681" max="6681" width="25.28515625" style="17" customWidth="1"/>
    <col min="6682" max="6682" width="28.7109375" style="17" customWidth="1"/>
    <col min="6683" max="6683" width="22.140625" style="17" customWidth="1"/>
    <col min="6684" max="6684" width="22" style="17" customWidth="1"/>
    <col min="6685" max="6685" width="24.5703125" style="17" customWidth="1"/>
    <col min="6686" max="6686" width="19.7109375" style="17" customWidth="1"/>
    <col min="6687" max="6687" width="29.140625" style="17" customWidth="1"/>
    <col min="6688" max="6688" width="25.140625" style="17" customWidth="1"/>
    <col min="6689" max="6690" width="29.42578125" style="17" customWidth="1"/>
    <col min="6691" max="6692" width="23.7109375" style="17" customWidth="1"/>
    <col min="6693" max="6693" width="26.7109375" style="17" customWidth="1"/>
    <col min="6694" max="6694" width="29.85546875" style="17" customWidth="1"/>
    <col min="6695" max="6697" width="23.28515625" style="17" customWidth="1"/>
    <col min="6698" max="6698" width="23.85546875" style="17" customWidth="1"/>
    <col min="6699" max="6699" width="26.7109375" style="17" customWidth="1"/>
    <col min="6700" max="6700" width="24.5703125" style="17" customWidth="1"/>
    <col min="6701" max="6701" width="26.85546875" style="17" customWidth="1"/>
    <col min="6702" max="6703" width="23.5703125" style="17" customWidth="1"/>
    <col min="6704" max="6704" width="28.7109375" style="17" customWidth="1"/>
    <col min="6705" max="6705" width="34.42578125" style="17" customWidth="1"/>
    <col min="6706" max="6706" width="29.7109375" style="17" customWidth="1"/>
    <col min="6707" max="6707" width="22" style="17" customWidth="1"/>
    <col min="6708" max="6708" width="23.7109375" style="17" customWidth="1"/>
    <col min="6709" max="6709" width="23.5703125" style="17" customWidth="1"/>
    <col min="6710" max="6713" width="22.140625" style="17" customWidth="1"/>
    <col min="6714" max="6714" width="25.28515625" style="17" customWidth="1"/>
    <col min="6715" max="6715" width="45.42578125" style="17" customWidth="1"/>
    <col min="6716" max="6716" width="24.7109375" style="17" customWidth="1"/>
    <col min="6717" max="6717" width="26.42578125" style="17" customWidth="1"/>
    <col min="6718" max="6718" width="29.28515625" style="17" customWidth="1"/>
    <col min="6719" max="6721" width="27.28515625" style="17" customWidth="1"/>
    <col min="6722" max="6722" width="31.7109375" style="17" customWidth="1"/>
    <col min="6723" max="6723" width="27.7109375" style="17" customWidth="1"/>
    <col min="6724" max="6726" width="28.28515625" style="17" customWidth="1"/>
    <col min="6727" max="6727" width="24.7109375" style="17" customWidth="1"/>
    <col min="6728" max="6728" width="24.140625" style="17" customWidth="1"/>
    <col min="6729" max="6731" width="22.28515625" style="17" customWidth="1"/>
    <col min="6732" max="6732" width="22.42578125" style="17" customWidth="1"/>
    <col min="6733" max="6733" width="23.7109375" style="17" customWidth="1"/>
    <col min="6734" max="6736" width="9.28515625" style="17" customWidth="1"/>
    <col min="6737" max="6890" width="9.28515625" style="17"/>
    <col min="6891" max="6891" width="26.28515625" style="17" customWidth="1"/>
    <col min="6892" max="6892" width="45.42578125" style="17" customWidth="1"/>
    <col min="6893" max="6893" width="14.85546875" style="17" customWidth="1"/>
    <col min="6894" max="6897" width="9.28515625" style="17" customWidth="1"/>
    <col min="6898" max="6898" width="0.140625" style="17" customWidth="1"/>
    <col min="6899" max="6899" width="29.42578125" style="17" customWidth="1"/>
    <col min="6900" max="6900" width="24.42578125" style="17" customWidth="1"/>
    <col min="6901" max="6901" width="26.7109375" style="17" customWidth="1"/>
    <col min="6902" max="6902" width="24.85546875" style="17" customWidth="1"/>
    <col min="6903" max="6903" width="21.28515625" style="17" customWidth="1"/>
    <col min="6904" max="6907" width="21.5703125" style="17" customWidth="1"/>
    <col min="6908" max="6908" width="28.28515625" style="17" customWidth="1"/>
    <col min="6909" max="6909" width="33" style="17" customWidth="1"/>
    <col min="6910" max="6910" width="22.85546875" style="17" customWidth="1"/>
    <col min="6911" max="6911" width="22" style="17" customWidth="1"/>
    <col min="6912" max="6912" width="24.7109375" style="17" customWidth="1"/>
    <col min="6913" max="6913" width="28.7109375" style="17" customWidth="1"/>
    <col min="6914" max="6914" width="23.5703125" style="17" customWidth="1"/>
    <col min="6915" max="6915" width="24.28515625" style="17" customWidth="1"/>
    <col min="6916" max="6916" width="23.5703125" style="17" customWidth="1"/>
    <col min="6917" max="6921" width="24.28515625" style="17" customWidth="1"/>
    <col min="6922" max="6922" width="22.7109375" style="17" customWidth="1"/>
    <col min="6923" max="6923" width="21.5703125" style="17" customWidth="1"/>
    <col min="6924" max="6924" width="21.42578125" style="17" customWidth="1"/>
    <col min="6925" max="6925" width="22.28515625" style="17" customWidth="1"/>
    <col min="6926" max="6926" width="22.5703125" style="17" customWidth="1"/>
    <col min="6927" max="6927" width="23.28515625" style="17" customWidth="1"/>
    <col min="6928" max="6929" width="20.5703125" style="17" customWidth="1"/>
    <col min="6930" max="6930" width="21.28515625" style="17" customWidth="1"/>
    <col min="6931" max="6931" width="21.42578125" style="17" customWidth="1"/>
    <col min="6932" max="6932" width="22" style="17" customWidth="1"/>
    <col min="6933" max="6934" width="21.5703125" style="17" customWidth="1"/>
    <col min="6935" max="6935" width="22.28515625" style="17" customWidth="1"/>
    <col min="6936" max="6936" width="25.42578125" style="17" customWidth="1"/>
    <col min="6937" max="6937" width="25.28515625" style="17" customWidth="1"/>
    <col min="6938" max="6938" width="28.7109375" style="17" customWidth="1"/>
    <col min="6939" max="6939" width="22.140625" style="17" customWidth="1"/>
    <col min="6940" max="6940" width="22" style="17" customWidth="1"/>
    <col min="6941" max="6941" width="24.5703125" style="17" customWidth="1"/>
    <col min="6942" max="6942" width="19.7109375" style="17" customWidth="1"/>
    <col min="6943" max="6943" width="29.140625" style="17" customWidth="1"/>
    <col min="6944" max="6944" width="25.140625" style="17" customWidth="1"/>
    <col min="6945" max="6946" width="29.42578125" style="17" customWidth="1"/>
    <col min="6947" max="6948" width="23.7109375" style="17" customWidth="1"/>
    <col min="6949" max="6949" width="26.7109375" style="17" customWidth="1"/>
    <col min="6950" max="6950" width="29.85546875" style="17" customWidth="1"/>
    <col min="6951" max="6953" width="23.28515625" style="17" customWidth="1"/>
    <col min="6954" max="6954" width="23.85546875" style="17" customWidth="1"/>
    <col min="6955" max="6955" width="26.7109375" style="17" customWidth="1"/>
    <col min="6956" max="6956" width="24.5703125" style="17" customWidth="1"/>
    <col min="6957" max="6957" width="26.85546875" style="17" customWidth="1"/>
    <col min="6958" max="6959" width="23.5703125" style="17" customWidth="1"/>
    <col min="6960" max="6960" width="28.7109375" style="17" customWidth="1"/>
    <col min="6961" max="6961" width="34.42578125" style="17" customWidth="1"/>
    <col min="6962" max="6962" width="29.7109375" style="17" customWidth="1"/>
    <col min="6963" max="6963" width="22" style="17" customWidth="1"/>
    <col min="6964" max="6964" width="23.7109375" style="17" customWidth="1"/>
    <col min="6965" max="6965" width="23.5703125" style="17" customWidth="1"/>
    <col min="6966" max="6969" width="22.140625" style="17" customWidth="1"/>
    <col min="6970" max="6970" width="25.28515625" style="17" customWidth="1"/>
    <col min="6971" max="6971" width="45.42578125" style="17" customWidth="1"/>
    <col min="6972" max="6972" width="24.7109375" style="17" customWidth="1"/>
    <col min="6973" max="6973" width="26.42578125" style="17" customWidth="1"/>
    <col min="6974" max="6974" width="29.28515625" style="17" customWidth="1"/>
    <col min="6975" max="6977" width="27.28515625" style="17" customWidth="1"/>
    <col min="6978" max="6978" width="31.7109375" style="17" customWidth="1"/>
    <col min="6979" max="6979" width="27.7109375" style="17" customWidth="1"/>
    <col min="6980" max="6982" width="28.28515625" style="17" customWidth="1"/>
    <col min="6983" max="6983" width="24.7109375" style="17" customWidth="1"/>
    <col min="6984" max="6984" width="24.140625" style="17" customWidth="1"/>
    <col min="6985" max="6987" width="22.28515625" style="17" customWidth="1"/>
    <col min="6988" max="6988" width="22.42578125" style="17" customWidth="1"/>
    <col min="6989" max="6989" width="23.7109375" style="17" customWidth="1"/>
    <col min="6990" max="6992" width="9.28515625" style="17" customWidth="1"/>
    <col min="6993" max="7146" width="9.28515625" style="17"/>
    <col min="7147" max="7147" width="26.28515625" style="17" customWidth="1"/>
    <col min="7148" max="7148" width="45.42578125" style="17" customWidth="1"/>
    <col min="7149" max="7149" width="14.85546875" style="17" customWidth="1"/>
    <col min="7150" max="7153" width="9.28515625" style="17" customWidth="1"/>
    <col min="7154" max="7154" width="0.140625" style="17" customWidth="1"/>
    <col min="7155" max="7155" width="29.42578125" style="17" customWidth="1"/>
    <col min="7156" max="7156" width="24.42578125" style="17" customWidth="1"/>
    <col min="7157" max="7157" width="26.7109375" style="17" customWidth="1"/>
    <col min="7158" max="7158" width="24.85546875" style="17" customWidth="1"/>
    <col min="7159" max="7159" width="21.28515625" style="17" customWidth="1"/>
    <col min="7160" max="7163" width="21.5703125" style="17" customWidth="1"/>
    <col min="7164" max="7164" width="28.28515625" style="17" customWidth="1"/>
    <col min="7165" max="7165" width="33" style="17" customWidth="1"/>
    <col min="7166" max="7166" width="22.85546875" style="17" customWidth="1"/>
    <col min="7167" max="7167" width="22" style="17" customWidth="1"/>
    <col min="7168" max="7168" width="24.7109375" style="17" customWidth="1"/>
    <col min="7169" max="7169" width="28.7109375" style="17" customWidth="1"/>
    <col min="7170" max="7170" width="23.5703125" style="17" customWidth="1"/>
    <col min="7171" max="7171" width="24.28515625" style="17" customWidth="1"/>
    <col min="7172" max="7172" width="23.5703125" style="17" customWidth="1"/>
    <col min="7173" max="7177" width="24.28515625" style="17" customWidth="1"/>
    <col min="7178" max="7178" width="22.7109375" style="17" customWidth="1"/>
    <col min="7179" max="7179" width="21.5703125" style="17" customWidth="1"/>
    <col min="7180" max="7180" width="21.42578125" style="17" customWidth="1"/>
    <col min="7181" max="7181" width="22.28515625" style="17" customWidth="1"/>
    <col min="7182" max="7182" width="22.5703125" style="17" customWidth="1"/>
    <col min="7183" max="7183" width="23.28515625" style="17" customWidth="1"/>
    <col min="7184" max="7185" width="20.5703125" style="17" customWidth="1"/>
    <col min="7186" max="7186" width="21.28515625" style="17" customWidth="1"/>
    <col min="7187" max="7187" width="21.42578125" style="17" customWidth="1"/>
    <col min="7188" max="7188" width="22" style="17" customWidth="1"/>
    <col min="7189" max="7190" width="21.5703125" style="17" customWidth="1"/>
    <col min="7191" max="7191" width="22.28515625" style="17" customWidth="1"/>
    <col min="7192" max="7192" width="25.42578125" style="17" customWidth="1"/>
    <col min="7193" max="7193" width="25.28515625" style="17" customWidth="1"/>
    <col min="7194" max="7194" width="28.7109375" style="17" customWidth="1"/>
    <col min="7195" max="7195" width="22.140625" style="17" customWidth="1"/>
    <col min="7196" max="7196" width="22" style="17" customWidth="1"/>
    <col min="7197" max="7197" width="24.5703125" style="17" customWidth="1"/>
    <col min="7198" max="7198" width="19.7109375" style="17" customWidth="1"/>
    <col min="7199" max="7199" width="29.140625" style="17" customWidth="1"/>
    <col min="7200" max="7200" width="25.140625" style="17" customWidth="1"/>
    <col min="7201" max="7202" width="29.42578125" style="17" customWidth="1"/>
    <col min="7203" max="7204" width="23.7109375" style="17" customWidth="1"/>
    <col min="7205" max="7205" width="26.7109375" style="17" customWidth="1"/>
    <col min="7206" max="7206" width="29.85546875" style="17" customWidth="1"/>
    <col min="7207" max="7209" width="23.28515625" style="17" customWidth="1"/>
    <col min="7210" max="7210" width="23.85546875" style="17" customWidth="1"/>
    <col min="7211" max="7211" width="26.7109375" style="17" customWidth="1"/>
    <col min="7212" max="7212" width="24.5703125" style="17" customWidth="1"/>
    <col min="7213" max="7213" width="26.85546875" style="17" customWidth="1"/>
    <col min="7214" max="7215" width="23.5703125" style="17" customWidth="1"/>
    <col min="7216" max="7216" width="28.7109375" style="17" customWidth="1"/>
    <col min="7217" max="7217" width="34.42578125" style="17" customWidth="1"/>
    <col min="7218" max="7218" width="29.7109375" style="17" customWidth="1"/>
    <col min="7219" max="7219" width="22" style="17" customWidth="1"/>
    <col min="7220" max="7220" width="23.7109375" style="17" customWidth="1"/>
    <col min="7221" max="7221" width="23.5703125" style="17" customWidth="1"/>
    <col min="7222" max="7225" width="22.140625" style="17" customWidth="1"/>
    <col min="7226" max="7226" width="25.28515625" style="17" customWidth="1"/>
    <col min="7227" max="7227" width="45.42578125" style="17" customWidth="1"/>
    <col min="7228" max="7228" width="24.7109375" style="17" customWidth="1"/>
    <col min="7229" max="7229" width="26.42578125" style="17" customWidth="1"/>
    <col min="7230" max="7230" width="29.28515625" style="17" customWidth="1"/>
    <col min="7231" max="7233" width="27.28515625" style="17" customWidth="1"/>
    <col min="7234" max="7234" width="31.7109375" style="17" customWidth="1"/>
    <col min="7235" max="7235" width="27.7109375" style="17" customWidth="1"/>
    <col min="7236" max="7238" width="28.28515625" style="17" customWidth="1"/>
    <col min="7239" max="7239" width="24.7109375" style="17" customWidth="1"/>
    <col min="7240" max="7240" width="24.140625" style="17" customWidth="1"/>
    <col min="7241" max="7243" width="22.28515625" style="17" customWidth="1"/>
    <col min="7244" max="7244" width="22.42578125" style="17" customWidth="1"/>
    <col min="7245" max="7245" width="23.7109375" style="17" customWidth="1"/>
    <col min="7246" max="7248" width="9.28515625" style="17" customWidth="1"/>
    <col min="7249" max="7402" width="9.28515625" style="17"/>
    <col min="7403" max="7403" width="26.28515625" style="17" customWidth="1"/>
    <col min="7404" max="7404" width="45.42578125" style="17" customWidth="1"/>
    <col min="7405" max="7405" width="14.85546875" style="17" customWidth="1"/>
    <col min="7406" max="7409" width="9.28515625" style="17" customWidth="1"/>
    <col min="7410" max="7410" width="0.140625" style="17" customWidth="1"/>
    <col min="7411" max="7411" width="29.42578125" style="17" customWidth="1"/>
    <col min="7412" max="7412" width="24.42578125" style="17" customWidth="1"/>
    <col min="7413" max="7413" width="26.7109375" style="17" customWidth="1"/>
    <col min="7414" max="7414" width="24.85546875" style="17" customWidth="1"/>
    <col min="7415" max="7415" width="21.28515625" style="17" customWidth="1"/>
    <col min="7416" max="7419" width="21.5703125" style="17" customWidth="1"/>
    <col min="7420" max="7420" width="28.28515625" style="17" customWidth="1"/>
    <col min="7421" max="7421" width="33" style="17" customWidth="1"/>
    <col min="7422" max="7422" width="22.85546875" style="17" customWidth="1"/>
    <col min="7423" max="7423" width="22" style="17" customWidth="1"/>
    <col min="7424" max="7424" width="24.7109375" style="17" customWidth="1"/>
    <col min="7425" max="7425" width="28.7109375" style="17" customWidth="1"/>
    <col min="7426" max="7426" width="23.5703125" style="17" customWidth="1"/>
    <col min="7427" max="7427" width="24.28515625" style="17" customWidth="1"/>
    <col min="7428" max="7428" width="23.5703125" style="17" customWidth="1"/>
    <col min="7429" max="7433" width="24.28515625" style="17" customWidth="1"/>
    <col min="7434" max="7434" width="22.7109375" style="17" customWidth="1"/>
    <col min="7435" max="7435" width="21.5703125" style="17" customWidth="1"/>
    <col min="7436" max="7436" width="21.42578125" style="17" customWidth="1"/>
    <col min="7437" max="7437" width="22.28515625" style="17" customWidth="1"/>
    <col min="7438" max="7438" width="22.5703125" style="17" customWidth="1"/>
    <col min="7439" max="7439" width="23.28515625" style="17" customWidth="1"/>
    <col min="7440" max="7441" width="20.5703125" style="17" customWidth="1"/>
    <col min="7442" max="7442" width="21.28515625" style="17" customWidth="1"/>
    <col min="7443" max="7443" width="21.42578125" style="17" customWidth="1"/>
    <col min="7444" max="7444" width="22" style="17" customWidth="1"/>
    <col min="7445" max="7446" width="21.5703125" style="17" customWidth="1"/>
    <col min="7447" max="7447" width="22.28515625" style="17" customWidth="1"/>
    <col min="7448" max="7448" width="25.42578125" style="17" customWidth="1"/>
    <col min="7449" max="7449" width="25.28515625" style="17" customWidth="1"/>
    <col min="7450" max="7450" width="28.7109375" style="17" customWidth="1"/>
    <col min="7451" max="7451" width="22.140625" style="17" customWidth="1"/>
    <col min="7452" max="7452" width="22" style="17" customWidth="1"/>
    <col min="7453" max="7453" width="24.5703125" style="17" customWidth="1"/>
    <col min="7454" max="7454" width="19.7109375" style="17" customWidth="1"/>
    <col min="7455" max="7455" width="29.140625" style="17" customWidth="1"/>
    <col min="7456" max="7456" width="25.140625" style="17" customWidth="1"/>
    <col min="7457" max="7458" width="29.42578125" style="17" customWidth="1"/>
    <col min="7459" max="7460" width="23.7109375" style="17" customWidth="1"/>
    <col min="7461" max="7461" width="26.7109375" style="17" customWidth="1"/>
    <col min="7462" max="7462" width="29.85546875" style="17" customWidth="1"/>
    <col min="7463" max="7465" width="23.28515625" style="17" customWidth="1"/>
    <col min="7466" max="7466" width="23.85546875" style="17" customWidth="1"/>
    <col min="7467" max="7467" width="26.7109375" style="17" customWidth="1"/>
    <col min="7468" max="7468" width="24.5703125" style="17" customWidth="1"/>
    <col min="7469" max="7469" width="26.85546875" style="17" customWidth="1"/>
    <col min="7470" max="7471" width="23.5703125" style="17" customWidth="1"/>
    <col min="7472" max="7472" width="28.7109375" style="17" customWidth="1"/>
    <col min="7473" max="7473" width="34.42578125" style="17" customWidth="1"/>
    <col min="7474" max="7474" width="29.7109375" style="17" customWidth="1"/>
    <col min="7475" max="7475" width="22" style="17" customWidth="1"/>
    <col min="7476" max="7476" width="23.7109375" style="17" customWidth="1"/>
    <col min="7477" max="7477" width="23.5703125" style="17" customWidth="1"/>
    <col min="7478" max="7481" width="22.140625" style="17" customWidth="1"/>
    <col min="7482" max="7482" width="25.28515625" style="17" customWidth="1"/>
    <col min="7483" max="7483" width="45.42578125" style="17" customWidth="1"/>
    <col min="7484" max="7484" width="24.7109375" style="17" customWidth="1"/>
    <col min="7485" max="7485" width="26.42578125" style="17" customWidth="1"/>
    <col min="7486" max="7486" width="29.28515625" style="17" customWidth="1"/>
    <col min="7487" max="7489" width="27.28515625" style="17" customWidth="1"/>
    <col min="7490" max="7490" width="31.7109375" style="17" customWidth="1"/>
    <col min="7491" max="7491" width="27.7109375" style="17" customWidth="1"/>
    <col min="7492" max="7494" width="28.28515625" style="17" customWidth="1"/>
    <col min="7495" max="7495" width="24.7109375" style="17" customWidth="1"/>
    <col min="7496" max="7496" width="24.140625" style="17" customWidth="1"/>
    <col min="7497" max="7499" width="22.28515625" style="17" customWidth="1"/>
    <col min="7500" max="7500" width="22.42578125" style="17" customWidth="1"/>
    <col min="7501" max="7501" width="23.7109375" style="17" customWidth="1"/>
    <col min="7502" max="7504" width="9.28515625" style="17" customWidth="1"/>
    <col min="7505" max="7658" width="9.28515625" style="17"/>
    <col min="7659" max="7659" width="26.28515625" style="17" customWidth="1"/>
    <col min="7660" max="7660" width="45.42578125" style="17" customWidth="1"/>
    <col min="7661" max="7661" width="14.85546875" style="17" customWidth="1"/>
    <col min="7662" max="7665" width="9.28515625" style="17" customWidth="1"/>
    <col min="7666" max="7666" width="0.140625" style="17" customWidth="1"/>
    <col min="7667" max="7667" width="29.42578125" style="17" customWidth="1"/>
    <col min="7668" max="7668" width="24.42578125" style="17" customWidth="1"/>
    <col min="7669" max="7669" width="26.7109375" style="17" customWidth="1"/>
    <col min="7670" max="7670" width="24.85546875" style="17" customWidth="1"/>
    <col min="7671" max="7671" width="21.28515625" style="17" customWidth="1"/>
    <col min="7672" max="7675" width="21.5703125" style="17" customWidth="1"/>
    <col min="7676" max="7676" width="28.28515625" style="17" customWidth="1"/>
    <col min="7677" max="7677" width="33" style="17" customWidth="1"/>
    <col min="7678" max="7678" width="22.85546875" style="17" customWidth="1"/>
    <col min="7679" max="7679" width="22" style="17" customWidth="1"/>
    <col min="7680" max="7680" width="24.7109375" style="17" customWidth="1"/>
    <col min="7681" max="7681" width="28.7109375" style="17" customWidth="1"/>
    <col min="7682" max="7682" width="23.5703125" style="17" customWidth="1"/>
    <col min="7683" max="7683" width="24.28515625" style="17" customWidth="1"/>
    <col min="7684" max="7684" width="23.5703125" style="17" customWidth="1"/>
    <col min="7685" max="7689" width="24.28515625" style="17" customWidth="1"/>
    <col min="7690" max="7690" width="22.7109375" style="17" customWidth="1"/>
    <col min="7691" max="7691" width="21.5703125" style="17" customWidth="1"/>
    <col min="7692" max="7692" width="21.42578125" style="17" customWidth="1"/>
    <col min="7693" max="7693" width="22.28515625" style="17" customWidth="1"/>
    <col min="7694" max="7694" width="22.5703125" style="17" customWidth="1"/>
    <col min="7695" max="7695" width="23.28515625" style="17" customWidth="1"/>
    <col min="7696" max="7697" width="20.5703125" style="17" customWidth="1"/>
    <col min="7698" max="7698" width="21.28515625" style="17" customWidth="1"/>
    <col min="7699" max="7699" width="21.42578125" style="17" customWidth="1"/>
    <col min="7700" max="7700" width="22" style="17" customWidth="1"/>
    <col min="7701" max="7702" width="21.5703125" style="17" customWidth="1"/>
    <col min="7703" max="7703" width="22.28515625" style="17" customWidth="1"/>
    <col min="7704" max="7704" width="25.42578125" style="17" customWidth="1"/>
    <col min="7705" max="7705" width="25.28515625" style="17" customWidth="1"/>
    <col min="7706" max="7706" width="28.7109375" style="17" customWidth="1"/>
    <col min="7707" max="7707" width="22.140625" style="17" customWidth="1"/>
    <col min="7708" max="7708" width="22" style="17" customWidth="1"/>
    <col min="7709" max="7709" width="24.5703125" style="17" customWidth="1"/>
    <col min="7710" max="7710" width="19.7109375" style="17" customWidth="1"/>
    <col min="7711" max="7711" width="29.140625" style="17" customWidth="1"/>
    <col min="7712" max="7712" width="25.140625" style="17" customWidth="1"/>
    <col min="7713" max="7714" width="29.42578125" style="17" customWidth="1"/>
    <col min="7715" max="7716" width="23.7109375" style="17" customWidth="1"/>
    <col min="7717" max="7717" width="26.7109375" style="17" customWidth="1"/>
    <col min="7718" max="7718" width="29.85546875" style="17" customWidth="1"/>
    <col min="7719" max="7721" width="23.28515625" style="17" customWidth="1"/>
    <col min="7722" max="7722" width="23.85546875" style="17" customWidth="1"/>
    <col min="7723" max="7723" width="26.7109375" style="17" customWidth="1"/>
    <col min="7724" max="7724" width="24.5703125" style="17" customWidth="1"/>
    <col min="7725" max="7725" width="26.85546875" style="17" customWidth="1"/>
    <col min="7726" max="7727" width="23.5703125" style="17" customWidth="1"/>
    <col min="7728" max="7728" width="28.7109375" style="17" customWidth="1"/>
    <col min="7729" max="7729" width="34.42578125" style="17" customWidth="1"/>
    <col min="7730" max="7730" width="29.7109375" style="17" customWidth="1"/>
    <col min="7731" max="7731" width="22" style="17" customWidth="1"/>
    <col min="7732" max="7732" width="23.7109375" style="17" customWidth="1"/>
    <col min="7733" max="7733" width="23.5703125" style="17" customWidth="1"/>
    <col min="7734" max="7737" width="22.140625" style="17" customWidth="1"/>
    <col min="7738" max="7738" width="25.28515625" style="17" customWidth="1"/>
    <col min="7739" max="7739" width="45.42578125" style="17" customWidth="1"/>
    <col min="7740" max="7740" width="24.7109375" style="17" customWidth="1"/>
    <col min="7741" max="7741" width="26.42578125" style="17" customWidth="1"/>
    <col min="7742" max="7742" width="29.28515625" style="17" customWidth="1"/>
    <col min="7743" max="7745" width="27.28515625" style="17" customWidth="1"/>
    <col min="7746" max="7746" width="31.7109375" style="17" customWidth="1"/>
    <col min="7747" max="7747" width="27.7109375" style="17" customWidth="1"/>
    <col min="7748" max="7750" width="28.28515625" style="17" customWidth="1"/>
    <col min="7751" max="7751" width="24.7109375" style="17" customWidth="1"/>
    <col min="7752" max="7752" width="24.140625" style="17" customWidth="1"/>
    <col min="7753" max="7755" width="22.28515625" style="17" customWidth="1"/>
    <col min="7756" max="7756" width="22.42578125" style="17" customWidth="1"/>
    <col min="7757" max="7757" width="23.7109375" style="17" customWidth="1"/>
    <col min="7758" max="7760" width="9.28515625" style="17" customWidth="1"/>
    <col min="7761" max="7914" width="9.28515625" style="17"/>
    <col min="7915" max="7915" width="26.28515625" style="17" customWidth="1"/>
    <col min="7916" max="7916" width="45.42578125" style="17" customWidth="1"/>
    <col min="7917" max="7917" width="14.85546875" style="17" customWidth="1"/>
    <col min="7918" max="7921" width="9.28515625" style="17" customWidth="1"/>
    <col min="7922" max="7922" width="0.140625" style="17" customWidth="1"/>
    <col min="7923" max="7923" width="29.42578125" style="17" customWidth="1"/>
    <col min="7924" max="7924" width="24.42578125" style="17" customWidth="1"/>
    <col min="7925" max="7925" width="26.7109375" style="17" customWidth="1"/>
    <col min="7926" max="7926" width="24.85546875" style="17" customWidth="1"/>
    <col min="7927" max="7927" width="21.28515625" style="17" customWidth="1"/>
    <col min="7928" max="7931" width="21.5703125" style="17" customWidth="1"/>
    <col min="7932" max="7932" width="28.28515625" style="17" customWidth="1"/>
    <col min="7933" max="7933" width="33" style="17" customWidth="1"/>
    <col min="7934" max="7934" width="22.85546875" style="17" customWidth="1"/>
    <col min="7935" max="7935" width="22" style="17" customWidth="1"/>
    <col min="7936" max="7936" width="24.7109375" style="17" customWidth="1"/>
    <col min="7937" max="7937" width="28.7109375" style="17" customWidth="1"/>
    <col min="7938" max="7938" width="23.5703125" style="17" customWidth="1"/>
    <col min="7939" max="7939" width="24.28515625" style="17" customWidth="1"/>
    <col min="7940" max="7940" width="23.5703125" style="17" customWidth="1"/>
    <col min="7941" max="7945" width="24.28515625" style="17" customWidth="1"/>
    <col min="7946" max="7946" width="22.7109375" style="17" customWidth="1"/>
    <col min="7947" max="7947" width="21.5703125" style="17" customWidth="1"/>
    <col min="7948" max="7948" width="21.42578125" style="17" customWidth="1"/>
    <col min="7949" max="7949" width="22.28515625" style="17" customWidth="1"/>
    <col min="7950" max="7950" width="22.5703125" style="17" customWidth="1"/>
    <col min="7951" max="7951" width="23.28515625" style="17" customWidth="1"/>
    <col min="7952" max="7953" width="20.5703125" style="17" customWidth="1"/>
    <col min="7954" max="7954" width="21.28515625" style="17" customWidth="1"/>
    <col min="7955" max="7955" width="21.42578125" style="17" customWidth="1"/>
    <col min="7956" max="7956" width="22" style="17" customWidth="1"/>
    <col min="7957" max="7958" width="21.5703125" style="17" customWidth="1"/>
    <col min="7959" max="7959" width="22.28515625" style="17" customWidth="1"/>
    <col min="7960" max="7960" width="25.42578125" style="17" customWidth="1"/>
    <col min="7961" max="7961" width="25.28515625" style="17" customWidth="1"/>
    <col min="7962" max="7962" width="28.7109375" style="17" customWidth="1"/>
    <col min="7963" max="7963" width="22.140625" style="17" customWidth="1"/>
    <col min="7964" max="7964" width="22" style="17" customWidth="1"/>
    <col min="7965" max="7965" width="24.5703125" style="17" customWidth="1"/>
    <col min="7966" max="7966" width="19.7109375" style="17" customWidth="1"/>
    <col min="7967" max="7967" width="29.140625" style="17" customWidth="1"/>
    <col min="7968" max="7968" width="25.140625" style="17" customWidth="1"/>
    <col min="7969" max="7970" width="29.42578125" style="17" customWidth="1"/>
    <col min="7971" max="7972" width="23.7109375" style="17" customWidth="1"/>
    <col min="7973" max="7973" width="26.7109375" style="17" customWidth="1"/>
    <col min="7974" max="7974" width="29.85546875" style="17" customWidth="1"/>
    <col min="7975" max="7977" width="23.28515625" style="17" customWidth="1"/>
    <col min="7978" max="7978" width="23.85546875" style="17" customWidth="1"/>
    <col min="7979" max="7979" width="26.7109375" style="17" customWidth="1"/>
    <col min="7980" max="7980" width="24.5703125" style="17" customWidth="1"/>
    <col min="7981" max="7981" width="26.85546875" style="17" customWidth="1"/>
    <col min="7982" max="7983" width="23.5703125" style="17" customWidth="1"/>
    <col min="7984" max="7984" width="28.7109375" style="17" customWidth="1"/>
    <col min="7985" max="7985" width="34.42578125" style="17" customWidth="1"/>
    <col min="7986" max="7986" width="29.7109375" style="17" customWidth="1"/>
    <col min="7987" max="7987" width="22" style="17" customWidth="1"/>
    <col min="7988" max="7988" width="23.7109375" style="17" customWidth="1"/>
    <col min="7989" max="7989" width="23.5703125" style="17" customWidth="1"/>
    <col min="7990" max="7993" width="22.140625" style="17" customWidth="1"/>
    <col min="7994" max="7994" width="25.28515625" style="17" customWidth="1"/>
    <col min="7995" max="7995" width="45.42578125" style="17" customWidth="1"/>
    <col min="7996" max="7996" width="24.7109375" style="17" customWidth="1"/>
    <col min="7997" max="7997" width="26.42578125" style="17" customWidth="1"/>
    <col min="7998" max="7998" width="29.28515625" style="17" customWidth="1"/>
    <col min="7999" max="8001" width="27.28515625" style="17" customWidth="1"/>
    <col min="8002" max="8002" width="31.7109375" style="17" customWidth="1"/>
    <col min="8003" max="8003" width="27.7109375" style="17" customWidth="1"/>
    <col min="8004" max="8006" width="28.28515625" style="17" customWidth="1"/>
    <col min="8007" max="8007" width="24.7109375" style="17" customWidth="1"/>
    <col min="8008" max="8008" width="24.140625" style="17" customWidth="1"/>
    <col min="8009" max="8011" width="22.28515625" style="17" customWidth="1"/>
    <col min="8012" max="8012" width="22.42578125" style="17" customWidth="1"/>
    <col min="8013" max="8013" width="23.7109375" style="17" customWidth="1"/>
    <col min="8014" max="8016" width="9.28515625" style="17" customWidth="1"/>
    <col min="8017" max="8170" width="9.28515625" style="17"/>
    <col min="8171" max="8171" width="26.28515625" style="17" customWidth="1"/>
    <col min="8172" max="8172" width="45.42578125" style="17" customWidth="1"/>
    <col min="8173" max="8173" width="14.85546875" style="17" customWidth="1"/>
    <col min="8174" max="8177" width="9.28515625" style="17" customWidth="1"/>
    <col min="8178" max="8178" width="0.140625" style="17" customWidth="1"/>
    <col min="8179" max="8179" width="29.42578125" style="17" customWidth="1"/>
    <col min="8180" max="8180" width="24.42578125" style="17" customWidth="1"/>
    <col min="8181" max="8181" width="26.7109375" style="17" customWidth="1"/>
    <col min="8182" max="8182" width="24.85546875" style="17" customWidth="1"/>
    <col min="8183" max="8183" width="21.28515625" style="17" customWidth="1"/>
    <col min="8184" max="8187" width="21.5703125" style="17" customWidth="1"/>
    <col min="8188" max="8188" width="28.28515625" style="17" customWidth="1"/>
    <col min="8189" max="8189" width="33" style="17" customWidth="1"/>
    <col min="8190" max="8190" width="22.85546875" style="17" customWidth="1"/>
    <col min="8191" max="8191" width="22" style="17" customWidth="1"/>
    <col min="8192" max="8192" width="24.7109375" style="17" customWidth="1"/>
    <col min="8193" max="8193" width="28.7109375" style="17" customWidth="1"/>
    <col min="8194" max="8194" width="23.5703125" style="17" customWidth="1"/>
    <col min="8195" max="8195" width="24.28515625" style="17" customWidth="1"/>
    <col min="8196" max="8196" width="23.5703125" style="17" customWidth="1"/>
    <col min="8197" max="8201" width="24.28515625" style="17" customWidth="1"/>
    <col min="8202" max="8202" width="22.7109375" style="17" customWidth="1"/>
    <col min="8203" max="8203" width="21.5703125" style="17" customWidth="1"/>
    <col min="8204" max="8204" width="21.42578125" style="17" customWidth="1"/>
    <col min="8205" max="8205" width="22.28515625" style="17" customWidth="1"/>
    <col min="8206" max="8206" width="22.5703125" style="17" customWidth="1"/>
    <col min="8207" max="8207" width="23.28515625" style="17" customWidth="1"/>
    <col min="8208" max="8209" width="20.5703125" style="17" customWidth="1"/>
    <col min="8210" max="8210" width="21.28515625" style="17" customWidth="1"/>
    <col min="8211" max="8211" width="21.42578125" style="17" customWidth="1"/>
    <col min="8212" max="8212" width="22" style="17" customWidth="1"/>
    <col min="8213" max="8214" width="21.5703125" style="17" customWidth="1"/>
    <col min="8215" max="8215" width="22.28515625" style="17" customWidth="1"/>
    <col min="8216" max="8216" width="25.42578125" style="17" customWidth="1"/>
    <col min="8217" max="8217" width="25.28515625" style="17" customWidth="1"/>
    <col min="8218" max="8218" width="28.7109375" style="17" customWidth="1"/>
    <col min="8219" max="8219" width="22.140625" style="17" customWidth="1"/>
    <col min="8220" max="8220" width="22" style="17" customWidth="1"/>
    <col min="8221" max="8221" width="24.5703125" style="17" customWidth="1"/>
    <col min="8222" max="8222" width="19.7109375" style="17" customWidth="1"/>
    <col min="8223" max="8223" width="29.140625" style="17" customWidth="1"/>
    <col min="8224" max="8224" width="25.140625" style="17" customWidth="1"/>
    <col min="8225" max="8226" width="29.42578125" style="17" customWidth="1"/>
    <col min="8227" max="8228" width="23.7109375" style="17" customWidth="1"/>
    <col min="8229" max="8229" width="26.7109375" style="17" customWidth="1"/>
    <col min="8230" max="8230" width="29.85546875" style="17" customWidth="1"/>
    <col min="8231" max="8233" width="23.28515625" style="17" customWidth="1"/>
    <col min="8234" max="8234" width="23.85546875" style="17" customWidth="1"/>
    <col min="8235" max="8235" width="26.7109375" style="17" customWidth="1"/>
    <col min="8236" max="8236" width="24.5703125" style="17" customWidth="1"/>
    <col min="8237" max="8237" width="26.85546875" style="17" customWidth="1"/>
    <col min="8238" max="8239" width="23.5703125" style="17" customWidth="1"/>
    <col min="8240" max="8240" width="28.7109375" style="17" customWidth="1"/>
    <col min="8241" max="8241" width="34.42578125" style="17" customWidth="1"/>
    <col min="8242" max="8242" width="29.7109375" style="17" customWidth="1"/>
    <col min="8243" max="8243" width="22" style="17" customWidth="1"/>
    <col min="8244" max="8244" width="23.7109375" style="17" customWidth="1"/>
    <col min="8245" max="8245" width="23.5703125" style="17" customWidth="1"/>
    <col min="8246" max="8249" width="22.140625" style="17" customWidth="1"/>
    <col min="8250" max="8250" width="25.28515625" style="17" customWidth="1"/>
    <col min="8251" max="8251" width="45.42578125" style="17" customWidth="1"/>
    <col min="8252" max="8252" width="24.7109375" style="17" customWidth="1"/>
    <col min="8253" max="8253" width="26.42578125" style="17" customWidth="1"/>
    <col min="8254" max="8254" width="29.28515625" style="17" customWidth="1"/>
    <col min="8255" max="8257" width="27.28515625" style="17" customWidth="1"/>
    <col min="8258" max="8258" width="31.7109375" style="17" customWidth="1"/>
    <col min="8259" max="8259" width="27.7109375" style="17" customWidth="1"/>
    <col min="8260" max="8262" width="28.28515625" style="17" customWidth="1"/>
    <col min="8263" max="8263" width="24.7109375" style="17" customWidth="1"/>
    <col min="8264" max="8264" width="24.140625" style="17" customWidth="1"/>
    <col min="8265" max="8267" width="22.28515625" style="17" customWidth="1"/>
    <col min="8268" max="8268" width="22.42578125" style="17" customWidth="1"/>
    <col min="8269" max="8269" width="23.7109375" style="17" customWidth="1"/>
    <col min="8270" max="8272" width="9.28515625" style="17" customWidth="1"/>
    <col min="8273" max="8426" width="9.28515625" style="17"/>
    <col min="8427" max="8427" width="26.28515625" style="17" customWidth="1"/>
    <col min="8428" max="8428" width="45.42578125" style="17" customWidth="1"/>
    <col min="8429" max="8429" width="14.85546875" style="17" customWidth="1"/>
    <col min="8430" max="8433" width="9.28515625" style="17" customWidth="1"/>
    <col min="8434" max="8434" width="0.140625" style="17" customWidth="1"/>
    <col min="8435" max="8435" width="29.42578125" style="17" customWidth="1"/>
    <col min="8436" max="8436" width="24.42578125" style="17" customWidth="1"/>
    <col min="8437" max="8437" width="26.7109375" style="17" customWidth="1"/>
    <col min="8438" max="8438" width="24.85546875" style="17" customWidth="1"/>
    <col min="8439" max="8439" width="21.28515625" style="17" customWidth="1"/>
    <col min="8440" max="8443" width="21.5703125" style="17" customWidth="1"/>
    <col min="8444" max="8444" width="28.28515625" style="17" customWidth="1"/>
    <col min="8445" max="8445" width="33" style="17" customWidth="1"/>
    <col min="8446" max="8446" width="22.85546875" style="17" customWidth="1"/>
    <col min="8447" max="8447" width="22" style="17" customWidth="1"/>
    <col min="8448" max="8448" width="24.7109375" style="17" customWidth="1"/>
    <col min="8449" max="8449" width="28.7109375" style="17" customWidth="1"/>
    <col min="8450" max="8450" width="23.5703125" style="17" customWidth="1"/>
    <col min="8451" max="8451" width="24.28515625" style="17" customWidth="1"/>
    <col min="8452" max="8452" width="23.5703125" style="17" customWidth="1"/>
    <col min="8453" max="8457" width="24.28515625" style="17" customWidth="1"/>
    <col min="8458" max="8458" width="22.7109375" style="17" customWidth="1"/>
    <col min="8459" max="8459" width="21.5703125" style="17" customWidth="1"/>
    <col min="8460" max="8460" width="21.42578125" style="17" customWidth="1"/>
    <col min="8461" max="8461" width="22.28515625" style="17" customWidth="1"/>
    <col min="8462" max="8462" width="22.5703125" style="17" customWidth="1"/>
    <col min="8463" max="8463" width="23.28515625" style="17" customWidth="1"/>
    <col min="8464" max="8465" width="20.5703125" style="17" customWidth="1"/>
    <col min="8466" max="8466" width="21.28515625" style="17" customWidth="1"/>
    <col min="8467" max="8467" width="21.42578125" style="17" customWidth="1"/>
    <col min="8468" max="8468" width="22" style="17" customWidth="1"/>
    <col min="8469" max="8470" width="21.5703125" style="17" customWidth="1"/>
    <col min="8471" max="8471" width="22.28515625" style="17" customWidth="1"/>
    <col min="8472" max="8472" width="25.42578125" style="17" customWidth="1"/>
    <col min="8473" max="8473" width="25.28515625" style="17" customWidth="1"/>
    <col min="8474" max="8474" width="28.7109375" style="17" customWidth="1"/>
    <col min="8475" max="8475" width="22.140625" style="17" customWidth="1"/>
    <col min="8476" max="8476" width="22" style="17" customWidth="1"/>
    <col min="8477" max="8477" width="24.5703125" style="17" customWidth="1"/>
    <col min="8478" max="8478" width="19.7109375" style="17" customWidth="1"/>
    <col min="8479" max="8479" width="29.140625" style="17" customWidth="1"/>
    <col min="8480" max="8480" width="25.140625" style="17" customWidth="1"/>
    <col min="8481" max="8482" width="29.42578125" style="17" customWidth="1"/>
    <col min="8483" max="8484" width="23.7109375" style="17" customWidth="1"/>
    <col min="8485" max="8485" width="26.7109375" style="17" customWidth="1"/>
    <col min="8486" max="8486" width="29.85546875" style="17" customWidth="1"/>
    <col min="8487" max="8489" width="23.28515625" style="17" customWidth="1"/>
    <col min="8490" max="8490" width="23.85546875" style="17" customWidth="1"/>
    <col min="8491" max="8491" width="26.7109375" style="17" customWidth="1"/>
    <col min="8492" max="8492" width="24.5703125" style="17" customWidth="1"/>
    <col min="8493" max="8493" width="26.85546875" style="17" customWidth="1"/>
    <col min="8494" max="8495" width="23.5703125" style="17" customWidth="1"/>
    <col min="8496" max="8496" width="28.7109375" style="17" customWidth="1"/>
    <col min="8497" max="8497" width="34.42578125" style="17" customWidth="1"/>
    <col min="8498" max="8498" width="29.7109375" style="17" customWidth="1"/>
    <col min="8499" max="8499" width="22" style="17" customWidth="1"/>
    <col min="8500" max="8500" width="23.7109375" style="17" customWidth="1"/>
    <col min="8501" max="8501" width="23.5703125" style="17" customWidth="1"/>
    <col min="8502" max="8505" width="22.140625" style="17" customWidth="1"/>
    <col min="8506" max="8506" width="25.28515625" style="17" customWidth="1"/>
    <col min="8507" max="8507" width="45.42578125" style="17" customWidth="1"/>
    <col min="8508" max="8508" width="24.7109375" style="17" customWidth="1"/>
    <col min="8509" max="8509" width="26.42578125" style="17" customWidth="1"/>
    <col min="8510" max="8510" width="29.28515625" style="17" customWidth="1"/>
    <col min="8511" max="8513" width="27.28515625" style="17" customWidth="1"/>
    <col min="8514" max="8514" width="31.7109375" style="17" customWidth="1"/>
    <col min="8515" max="8515" width="27.7109375" style="17" customWidth="1"/>
    <col min="8516" max="8518" width="28.28515625" style="17" customWidth="1"/>
    <col min="8519" max="8519" width="24.7109375" style="17" customWidth="1"/>
    <col min="8520" max="8520" width="24.140625" style="17" customWidth="1"/>
    <col min="8521" max="8523" width="22.28515625" style="17" customWidth="1"/>
    <col min="8524" max="8524" width="22.42578125" style="17" customWidth="1"/>
    <col min="8525" max="8525" width="23.7109375" style="17" customWidth="1"/>
    <col min="8526" max="8528" width="9.28515625" style="17" customWidth="1"/>
    <col min="8529" max="8682" width="9.28515625" style="17"/>
    <col min="8683" max="8683" width="26.28515625" style="17" customWidth="1"/>
    <col min="8684" max="8684" width="45.42578125" style="17" customWidth="1"/>
    <col min="8685" max="8685" width="14.85546875" style="17" customWidth="1"/>
    <col min="8686" max="8689" width="9.28515625" style="17" customWidth="1"/>
    <col min="8690" max="8690" width="0.140625" style="17" customWidth="1"/>
    <col min="8691" max="8691" width="29.42578125" style="17" customWidth="1"/>
    <col min="8692" max="8692" width="24.42578125" style="17" customWidth="1"/>
    <col min="8693" max="8693" width="26.7109375" style="17" customWidth="1"/>
    <col min="8694" max="8694" width="24.85546875" style="17" customWidth="1"/>
    <col min="8695" max="8695" width="21.28515625" style="17" customWidth="1"/>
    <col min="8696" max="8699" width="21.5703125" style="17" customWidth="1"/>
    <col min="8700" max="8700" width="28.28515625" style="17" customWidth="1"/>
    <col min="8701" max="8701" width="33" style="17" customWidth="1"/>
    <col min="8702" max="8702" width="22.85546875" style="17" customWidth="1"/>
    <col min="8703" max="8703" width="22" style="17" customWidth="1"/>
    <col min="8704" max="8704" width="24.7109375" style="17" customWidth="1"/>
    <col min="8705" max="8705" width="28.7109375" style="17" customWidth="1"/>
    <col min="8706" max="8706" width="23.5703125" style="17" customWidth="1"/>
    <col min="8707" max="8707" width="24.28515625" style="17" customWidth="1"/>
    <col min="8708" max="8708" width="23.5703125" style="17" customWidth="1"/>
    <col min="8709" max="8713" width="24.28515625" style="17" customWidth="1"/>
    <col min="8714" max="8714" width="22.7109375" style="17" customWidth="1"/>
    <col min="8715" max="8715" width="21.5703125" style="17" customWidth="1"/>
    <col min="8716" max="8716" width="21.42578125" style="17" customWidth="1"/>
    <col min="8717" max="8717" width="22.28515625" style="17" customWidth="1"/>
    <col min="8718" max="8718" width="22.5703125" style="17" customWidth="1"/>
    <col min="8719" max="8719" width="23.28515625" style="17" customWidth="1"/>
    <col min="8720" max="8721" width="20.5703125" style="17" customWidth="1"/>
    <col min="8722" max="8722" width="21.28515625" style="17" customWidth="1"/>
    <col min="8723" max="8723" width="21.42578125" style="17" customWidth="1"/>
    <col min="8724" max="8724" width="22" style="17" customWidth="1"/>
    <col min="8725" max="8726" width="21.5703125" style="17" customWidth="1"/>
    <col min="8727" max="8727" width="22.28515625" style="17" customWidth="1"/>
    <col min="8728" max="8728" width="25.42578125" style="17" customWidth="1"/>
    <col min="8729" max="8729" width="25.28515625" style="17" customWidth="1"/>
    <col min="8730" max="8730" width="28.7109375" style="17" customWidth="1"/>
    <col min="8731" max="8731" width="22.140625" style="17" customWidth="1"/>
    <col min="8732" max="8732" width="22" style="17" customWidth="1"/>
    <col min="8733" max="8733" width="24.5703125" style="17" customWidth="1"/>
    <col min="8734" max="8734" width="19.7109375" style="17" customWidth="1"/>
    <col min="8735" max="8735" width="29.140625" style="17" customWidth="1"/>
    <col min="8736" max="8736" width="25.140625" style="17" customWidth="1"/>
    <col min="8737" max="8738" width="29.42578125" style="17" customWidth="1"/>
    <col min="8739" max="8740" width="23.7109375" style="17" customWidth="1"/>
    <col min="8741" max="8741" width="26.7109375" style="17" customWidth="1"/>
    <col min="8742" max="8742" width="29.85546875" style="17" customWidth="1"/>
    <col min="8743" max="8745" width="23.28515625" style="17" customWidth="1"/>
    <col min="8746" max="8746" width="23.85546875" style="17" customWidth="1"/>
    <col min="8747" max="8747" width="26.7109375" style="17" customWidth="1"/>
    <col min="8748" max="8748" width="24.5703125" style="17" customWidth="1"/>
    <col min="8749" max="8749" width="26.85546875" style="17" customWidth="1"/>
    <col min="8750" max="8751" width="23.5703125" style="17" customWidth="1"/>
    <col min="8752" max="8752" width="28.7109375" style="17" customWidth="1"/>
    <col min="8753" max="8753" width="34.42578125" style="17" customWidth="1"/>
    <col min="8754" max="8754" width="29.7109375" style="17" customWidth="1"/>
    <col min="8755" max="8755" width="22" style="17" customWidth="1"/>
    <col min="8756" max="8756" width="23.7109375" style="17" customWidth="1"/>
    <col min="8757" max="8757" width="23.5703125" style="17" customWidth="1"/>
    <col min="8758" max="8761" width="22.140625" style="17" customWidth="1"/>
    <col min="8762" max="8762" width="25.28515625" style="17" customWidth="1"/>
    <col min="8763" max="8763" width="45.42578125" style="17" customWidth="1"/>
    <col min="8764" max="8764" width="24.7109375" style="17" customWidth="1"/>
    <col min="8765" max="8765" width="26.42578125" style="17" customWidth="1"/>
    <col min="8766" max="8766" width="29.28515625" style="17" customWidth="1"/>
    <col min="8767" max="8769" width="27.28515625" style="17" customWidth="1"/>
    <col min="8770" max="8770" width="31.7109375" style="17" customWidth="1"/>
    <col min="8771" max="8771" width="27.7109375" style="17" customWidth="1"/>
    <col min="8772" max="8774" width="28.28515625" style="17" customWidth="1"/>
    <col min="8775" max="8775" width="24.7109375" style="17" customWidth="1"/>
    <col min="8776" max="8776" width="24.140625" style="17" customWidth="1"/>
    <col min="8777" max="8779" width="22.28515625" style="17" customWidth="1"/>
    <col min="8780" max="8780" width="22.42578125" style="17" customWidth="1"/>
    <col min="8781" max="8781" width="23.7109375" style="17" customWidth="1"/>
    <col min="8782" max="8784" width="9.28515625" style="17" customWidth="1"/>
    <col min="8785" max="8938" width="9.28515625" style="17"/>
    <col min="8939" max="8939" width="26.28515625" style="17" customWidth="1"/>
    <col min="8940" max="8940" width="45.42578125" style="17" customWidth="1"/>
    <col min="8941" max="8941" width="14.85546875" style="17" customWidth="1"/>
    <col min="8942" max="8945" width="9.28515625" style="17" customWidth="1"/>
    <col min="8946" max="8946" width="0.140625" style="17" customWidth="1"/>
    <col min="8947" max="8947" width="29.42578125" style="17" customWidth="1"/>
    <col min="8948" max="8948" width="24.42578125" style="17" customWidth="1"/>
    <col min="8949" max="8949" width="26.7109375" style="17" customWidth="1"/>
    <col min="8950" max="8950" width="24.85546875" style="17" customWidth="1"/>
    <col min="8951" max="8951" width="21.28515625" style="17" customWidth="1"/>
    <col min="8952" max="8955" width="21.5703125" style="17" customWidth="1"/>
    <col min="8956" max="8956" width="28.28515625" style="17" customWidth="1"/>
    <col min="8957" max="8957" width="33" style="17" customWidth="1"/>
    <col min="8958" max="8958" width="22.85546875" style="17" customWidth="1"/>
    <col min="8959" max="8959" width="22" style="17" customWidth="1"/>
    <col min="8960" max="8960" width="24.7109375" style="17" customWidth="1"/>
    <col min="8961" max="8961" width="28.7109375" style="17" customWidth="1"/>
    <col min="8962" max="8962" width="23.5703125" style="17" customWidth="1"/>
    <col min="8963" max="8963" width="24.28515625" style="17" customWidth="1"/>
    <col min="8964" max="8964" width="23.5703125" style="17" customWidth="1"/>
    <col min="8965" max="8969" width="24.28515625" style="17" customWidth="1"/>
    <col min="8970" max="8970" width="22.7109375" style="17" customWidth="1"/>
    <col min="8971" max="8971" width="21.5703125" style="17" customWidth="1"/>
    <col min="8972" max="8972" width="21.42578125" style="17" customWidth="1"/>
    <col min="8973" max="8973" width="22.28515625" style="17" customWidth="1"/>
    <col min="8974" max="8974" width="22.5703125" style="17" customWidth="1"/>
    <col min="8975" max="8975" width="23.28515625" style="17" customWidth="1"/>
    <col min="8976" max="8977" width="20.5703125" style="17" customWidth="1"/>
    <col min="8978" max="8978" width="21.28515625" style="17" customWidth="1"/>
    <col min="8979" max="8979" width="21.42578125" style="17" customWidth="1"/>
    <col min="8980" max="8980" width="22" style="17" customWidth="1"/>
    <col min="8981" max="8982" width="21.5703125" style="17" customWidth="1"/>
    <col min="8983" max="8983" width="22.28515625" style="17" customWidth="1"/>
    <col min="8984" max="8984" width="25.42578125" style="17" customWidth="1"/>
    <col min="8985" max="8985" width="25.28515625" style="17" customWidth="1"/>
    <col min="8986" max="8986" width="28.7109375" style="17" customWidth="1"/>
    <col min="8987" max="8987" width="22.140625" style="17" customWidth="1"/>
    <col min="8988" max="8988" width="22" style="17" customWidth="1"/>
    <col min="8989" max="8989" width="24.5703125" style="17" customWidth="1"/>
    <col min="8990" max="8990" width="19.7109375" style="17" customWidth="1"/>
    <col min="8991" max="8991" width="29.140625" style="17" customWidth="1"/>
    <col min="8992" max="8992" width="25.140625" style="17" customWidth="1"/>
    <col min="8993" max="8994" width="29.42578125" style="17" customWidth="1"/>
    <col min="8995" max="8996" width="23.7109375" style="17" customWidth="1"/>
    <col min="8997" max="8997" width="26.7109375" style="17" customWidth="1"/>
    <col min="8998" max="8998" width="29.85546875" style="17" customWidth="1"/>
    <col min="8999" max="9001" width="23.28515625" style="17" customWidth="1"/>
    <col min="9002" max="9002" width="23.85546875" style="17" customWidth="1"/>
    <col min="9003" max="9003" width="26.7109375" style="17" customWidth="1"/>
    <col min="9004" max="9004" width="24.5703125" style="17" customWidth="1"/>
    <col min="9005" max="9005" width="26.85546875" style="17" customWidth="1"/>
    <col min="9006" max="9007" width="23.5703125" style="17" customWidth="1"/>
    <col min="9008" max="9008" width="28.7109375" style="17" customWidth="1"/>
    <col min="9009" max="9009" width="34.42578125" style="17" customWidth="1"/>
    <col min="9010" max="9010" width="29.7109375" style="17" customWidth="1"/>
    <col min="9011" max="9011" width="22" style="17" customWidth="1"/>
    <col min="9012" max="9012" width="23.7109375" style="17" customWidth="1"/>
    <col min="9013" max="9013" width="23.5703125" style="17" customWidth="1"/>
    <col min="9014" max="9017" width="22.140625" style="17" customWidth="1"/>
    <col min="9018" max="9018" width="25.28515625" style="17" customWidth="1"/>
    <col min="9019" max="9019" width="45.42578125" style="17" customWidth="1"/>
    <col min="9020" max="9020" width="24.7109375" style="17" customWidth="1"/>
    <col min="9021" max="9021" width="26.42578125" style="17" customWidth="1"/>
    <col min="9022" max="9022" width="29.28515625" style="17" customWidth="1"/>
    <col min="9023" max="9025" width="27.28515625" style="17" customWidth="1"/>
    <col min="9026" max="9026" width="31.7109375" style="17" customWidth="1"/>
    <col min="9027" max="9027" width="27.7109375" style="17" customWidth="1"/>
    <col min="9028" max="9030" width="28.28515625" style="17" customWidth="1"/>
    <col min="9031" max="9031" width="24.7109375" style="17" customWidth="1"/>
    <col min="9032" max="9032" width="24.140625" style="17" customWidth="1"/>
    <col min="9033" max="9035" width="22.28515625" style="17" customWidth="1"/>
    <col min="9036" max="9036" width="22.42578125" style="17" customWidth="1"/>
    <col min="9037" max="9037" width="23.7109375" style="17" customWidth="1"/>
    <col min="9038" max="9040" width="9.28515625" style="17" customWidth="1"/>
    <col min="9041" max="9194" width="9.28515625" style="17"/>
    <col min="9195" max="9195" width="26.28515625" style="17" customWidth="1"/>
    <col min="9196" max="9196" width="45.42578125" style="17" customWidth="1"/>
    <col min="9197" max="9197" width="14.85546875" style="17" customWidth="1"/>
    <col min="9198" max="9201" width="9.28515625" style="17" customWidth="1"/>
    <col min="9202" max="9202" width="0.140625" style="17" customWidth="1"/>
    <col min="9203" max="9203" width="29.42578125" style="17" customWidth="1"/>
    <col min="9204" max="9204" width="24.42578125" style="17" customWidth="1"/>
    <col min="9205" max="9205" width="26.7109375" style="17" customWidth="1"/>
    <col min="9206" max="9206" width="24.85546875" style="17" customWidth="1"/>
    <col min="9207" max="9207" width="21.28515625" style="17" customWidth="1"/>
    <col min="9208" max="9211" width="21.5703125" style="17" customWidth="1"/>
    <col min="9212" max="9212" width="28.28515625" style="17" customWidth="1"/>
    <col min="9213" max="9213" width="33" style="17" customWidth="1"/>
    <col min="9214" max="9214" width="22.85546875" style="17" customWidth="1"/>
    <col min="9215" max="9215" width="22" style="17" customWidth="1"/>
    <col min="9216" max="9216" width="24.7109375" style="17" customWidth="1"/>
    <col min="9217" max="9217" width="28.7109375" style="17" customWidth="1"/>
    <col min="9218" max="9218" width="23.5703125" style="17" customWidth="1"/>
    <col min="9219" max="9219" width="24.28515625" style="17" customWidth="1"/>
    <col min="9220" max="9220" width="23.5703125" style="17" customWidth="1"/>
    <col min="9221" max="9225" width="24.28515625" style="17" customWidth="1"/>
    <col min="9226" max="9226" width="22.7109375" style="17" customWidth="1"/>
    <col min="9227" max="9227" width="21.5703125" style="17" customWidth="1"/>
    <col min="9228" max="9228" width="21.42578125" style="17" customWidth="1"/>
    <col min="9229" max="9229" width="22.28515625" style="17" customWidth="1"/>
    <col min="9230" max="9230" width="22.5703125" style="17" customWidth="1"/>
    <col min="9231" max="9231" width="23.28515625" style="17" customWidth="1"/>
    <col min="9232" max="9233" width="20.5703125" style="17" customWidth="1"/>
    <col min="9234" max="9234" width="21.28515625" style="17" customWidth="1"/>
    <col min="9235" max="9235" width="21.42578125" style="17" customWidth="1"/>
    <col min="9236" max="9236" width="22" style="17" customWidth="1"/>
    <col min="9237" max="9238" width="21.5703125" style="17" customWidth="1"/>
    <col min="9239" max="9239" width="22.28515625" style="17" customWidth="1"/>
    <col min="9240" max="9240" width="25.42578125" style="17" customWidth="1"/>
    <col min="9241" max="9241" width="25.28515625" style="17" customWidth="1"/>
    <col min="9242" max="9242" width="28.7109375" style="17" customWidth="1"/>
    <col min="9243" max="9243" width="22.140625" style="17" customWidth="1"/>
    <col min="9244" max="9244" width="22" style="17" customWidth="1"/>
    <col min="9245" max="9245" width="24.5703125" style="17" customWidth="1"/>
    <col min="9246" max="9246" width="19.7109375" style="17" customWidth="1"/>
    <col min="9247" max="9247" width="29.140625" style="17" customWidth="1"/>
    <col min="9248" max="9248" width="25.140625" style="17" customWidth="1"/>
    <col min="9249" max="9250" width="29.42578125" style="17" customWidth="1"/>
    <col min="9251" max="9252" width="23.7109375" style="17" customWidth="1"/>
    <col min="9253" max="9253" width="26.7109375" style="17" customWidth="1"/>
    <col min="9254" max="9254" width="29.85546875" style="17" customWidth="1"/>
    <col min="9255" max="9257" width="23.28515625" style="17" customWidth="1"/>
    <col min="9258" max="9258" width="23.85546875" style="17" customWidth="1"/>
    <col min="9259" max="9259" width="26.7109375" style="17" customWidth="1"/>
    <col min="9260" max="9260" width="24.5703125" style="17" customWidth="1"/>
    <col min="9261" max="9261" width="26.85546875" style="17" customWidth="1"/>
    <col min="9262" max="9263" width="23.5703125" style="17" customWidth="1"/>
    <col min="9264" max="9264" width="28.7109375" style="17" customWidth="1"/>
    <col min="9265" max="9265" width="34.42578125" style="17" customWidth="1"/>
    <col min="9266" max="9266" width="29.7109375" style="17" customWidth="1"/>
    <col min="9267" max="9267" width="22" style="17" customWidth="1"/>
    <col min="9268" max="9268" width="23.7109375" style="17" customWidth="1"/>
    <col min="9269" max="9269" width="23.5703125" style="17" customWidth="1"/>
    <col min="9270" max="9273" width="22.140625" style="17" customWidth="1"/>
    <col min="9274" max="9274" width="25.28515625" style="17" customWidth="1"/>
    <col min="9275" max="9275" width="45.42578125" style="17" customWidth="1"/>
    <col min="9276" max="9276" width="24.7109375" style="17" customWidth="1"/>
    <col min="9277" max="9277" width="26.42578125" style="17" customWidth="1"/>
    <col min="9278" max="9278" width="29.28515625" style="17" customWidth="1"/>
    <col min="9279" max="9281" width="27.28515625" style="17" customWidth="1"/>
    <col min="9282" max="9282" width="31.7109375" style="17" customWidth="1"/>
    <col min="9283" max="9283" width="27.7109375" style="17" customWidth="1"/>
    <col min="9284" max="9286" width="28.28515625" style="17" customWidth="1"/>
    <col min="9287" max="9287" width="24.7109375" style="17" customWidth="1"/>
    <col min="9288" max="9288" width="24.140625" style="17" customWidth="1"/>
    <col min="9289" max="9291" width="22.28515625" style="17" customWidth="1"/>
    <col min="9292" max="9292" width="22.42578125" style="17" customWidth="1"/>
    <col min="9293" max="9293" width="23.7109375" style="17" customWidth="1"/>
    <col min="9294" max="9296" width="9.28515625" style="17" customWidth="1"/>
    <col min="9297" max="9450" width="9.28515625" style="17"/>
    <col min="9451" max="9451" width="26.28515625" style="17" customWidth="1"/>
    <col min="9452" max="9452" width="45.42578125" style="17" customWidth="1"/>
    <col min="9453" max="9453" width="14.85546875" style="17" customWidth="1"/>
    <col min="9454" max="9457" width="9.28515625" style="17" customWidth="1"/>
    <col min="9458" max="9458" width="0.140625" style="17" customWidth="1"/>
    <col min="9459" max="9459" width="29.42578125" style="17" customWidth="1"/>
    <col min="9460" max="9460" width="24.42578125" style="17" customWidth="1"/>
    <col min="9461" max="9461" width="26.7109375" style="17" customWidth="1"/>
    <col min="9462" max="9462" width="24.85546875" style="17" customWidth="1"/>
    <col min="9463" max="9463" width="21.28515625" style="17" customWidth="1"/>
    <col min="9464" max="9467" width="21.5703125" style="17" customWidth="1"/>
    <col min="9468" max="9468" width="28.28515625" style="17" customWidth="1"/>
    <col min="9469" max="9469" width="33" style="17" customWidth="1"/>
    <col min="9470" max="9470" width="22.85546875" style="17" customWidth="1"/>
    <col min="9471" max="9471" width="22" style="17" customWidth="1"/>
    <col min="9472" max="9472" width="24.7109375" style="17" customWidth="1"/>
    <col min="9473" max="9473" width="28.7109375" style="17" customWidth="1"/>
    <col min="9474" max="9474" width="23.5703125" style="17" customWidth="1"/>
    <col min="9475" max="9475" width="24.28515625" style="17" customWidth="1"/>
    <col min="9476" max="9476" width="23.5703125" style="17" customWidth="1"/>
    <col min="9477" max="9481" width="24.28515625" style="17" customWidth="1"/>
    <col min="9482" max="9482" width="22.7109375" style="17" customWidth="1"/>
    <col min="9483" max="9483" width="21.5703125" style="17" customWidth="1"/>
    <col min="9484" max="9484" width="21.42578125" style="17" customWidth="1"/>
    <col min="9485" max="9485" width="22.28515625" style="17" customWidth="1"/>
    <col min="9486" max="9486" width="22.5703125" style="17" customWidth="1"/>
    <col min="9487" max="9487" width="23.28515625" style="17" customWidth="1"/>
    <col min="9488" max="9489" width="20.5703125" style="17" customWidth="1"/>
    <col min="9490" max="9490" width="21.28515625" style="17" customWidth="1"/>
    <col min="9491" max="9491" width="21.42578125" style="17" customWidth="1"/>
    <col min="9492" max="9492" width="22" style="17" customWidth="1"/>
    <col min="9493" max="9494" width="21.5703125" style="17" customWidth="1"/>
    <col min="9495" max="9495" width="22.28515625" style="17" customWidth="1"/>
    <col min="9496" max="9496" width="25.42578125" style="17" customWidth="1"/>
    <col min="9497" max="9497" width="25.28515625" style="17" customWidth="1"/>
    <col min="9498" max="9498" width="28.7109375" style="17" customWidth="1"/>
    <col min="9499" max="9499" width="22.140625" style="17" customWidth="1"/>
    <col min="9500" max="9500" width="22" style="17" customWidth="1"/>
    <col min="9501" max="9501" width="24.5703125" style="17" customWidth="1"/>
    <col min="9502" max="9502" width="19.7109375" style="17" customWidth="1"/>
    <col min="9503" max="9503" width="29.140625" style="17" customWidth="1"/>
    <col min="9504" max="9504" width="25.140625" style="17" customWidth="1"/>
    <col min="9505" max="9506" width="29.42578125" style="17" customWidth="1"/>
    <col min="9507" max="9508" width="23.7109375" style="17" customWidth="1"/>
    <col min="9509" max="9509" width="26.7109375" style="17" customWidth="1"/>
    <col min="9510" max="9510" width="29.85546875" style="17" customWidth="1"/>
    <col min="9511" max="9513" width="23.28515625" style="17" customWidth="1"/>
    <col min="9514" max="9514" width="23.85546875" style="17" customWidth="1"/>
    <col min="9515" max="9515" width="26.7109375" style="17" customWidth="1"/>
    <col min="9516" max="9516" width="24.5703125" style="17" customWidth="1"/>
    <col min="9517" max="9517" width="26.85546875" style="17" customWidth="1"/>
    <col min="9518" max="9519" width="23.5703125" style="17" customWidth="1"/>
    <col min="9520" max="9520" width="28.7109375" style="17" customWidth="1"/>
    <col min="9521" max="9521" width="34.42578125" style="17" customWidth="1"/>
    <col min="9522" max="9522" width="29.7109375" style="17" customWidth="1"/>
    <col min="9523" max="9523" width="22" style="17" customWidth="1"/>
    <col min="9524" max="9524" width="23.7109375" style="17" customWidth="1"/>
    <col min="9525" max="9525" width="23.5703125" style="17" customWidth="1"/>
    <col min="9526" max="9529" width="22.140625" style="17" customWidth="1"/>
    <col min="9530" max="9530" width="25.28515625" style="17" customWidth="1"/>
    <col min="9531" max="9531" width="45.42578125" style="17" customWidth="1"/>
    <col min="9532" max="9532" width="24.7109375" style="17" customWidth="1"/>
    <col min="9533" max="9533" width="26.42578125" style="17" customWidth="1"/>
    <col min="9534" max="9534" width="29.28515625" style="17" customWidth="1"/>
    <col min="9535" max="9537" width="27.28515625" style="17" customWidth="1"/>
    <col min="9538" max="9538" width="31.7109375" style="17" customWidth="1"/>
    <col min="9539" max="9539" width="27.7109375" style="17" customWidth="1"/>
    <col min="9540" max="9542" width="28.28515625" style="17" customWidth="1"/>
    <col min="9543" max="9543" width="24.7109375" style="17" customWidth="1"/>
    <col min="9544" max="9544" width="24.140625" style="17" customWidth="1"/>
    <col min="9545" max="9547" width="22.28515625" style="17" customWidth="1"/>
    <col min="9548" max="9548" width="22.42578125" style="17" customWidth="1"/>
    <col min="9549" max="9549" width="23.7109375" style="17" customWidth="1"/>
    <col min="9550" max="9552" width="9.28515625" style="17" customWidth="1"/>
    <col min="9553" max="9706" width="9.28515625" style="17"/>
    <col min="9707" max="9707" width="26.28515625" style="17" customWidth="1"/>
    <col min="9708" max="9708" width="45.42578125" style="17" customWidth="1"/>
    <col min="9709" max="9709" width="14.85546875" style="17" customWidth="1"/>
    <col min="9710" max="9713" width="9.28515625" style="17" customWidth="1"/>
    <col min="9714" max="9714" width="0.140625" style="17" customWidth="1"/>
    <col min="9715" max="9715" width="29.42578125" style="17" customWidth="1"/>
    <col min="9716" max="9716" width="24.42578125" style="17" customWidth="1"/>
    <col min="9717" max="9717" width="26.7109375" style="17" customWidth="1"/>
    <col min="9718" max="9718" width="24.85546875" style="17" customWidth="1"/>
    <col min="9719" max="9719" width="21.28515625" style="17" customWidth="1"/>
    <col min="9720" max="9723" width="21.5703125" style="17" customWidth="1"/>
    <col min="9724" max="9724" width="28.28515625" style="17" customWidth="1"/>
    <col min="9725" max="9725" width="33" style="17" customWidth="1"/>
    <col min="9726" max="9726" width="22.85546875" style="17" customWidth="1"/>
    <col min="9727" max="9727" width="22" style="17" customWidth="1"/>
    <col min="9728" max="9728" width="24.7109375" style="17" customWidth="1"/>
    <col min="9729" max="9729" width="28.7109375" style="17" customWidth="1"/>
    <col min="9730" max="9730" width="23.5703125" style="17" customWidth="1"/>
    <col min="9731" max="9731" width="24.28515625" style="17" customWidth="1"/>
    <col min="9732" max="9732" width="23.5703125" style="17" customWidth="1"/>
    <col min="9733" max="9737" width="24.28515625" style="17" customWidth="1"/>
    <col min="9738" max="9738" width="22.7109375" style="17" customWidth="1"/>
    <col min="9739" max="9739" width="21.5703125" style="17" customWidth="1"/>
    <col min="9740" max="9740" width="21.42578125" style="17" customWidth="1"/>
    <col min="9741" max="9741" width="22.28515625" style="17" customWidth="1"/>
    <col min="9742" max="9742" width="22.5703125" style="17" customWidth="1"/>
    <col min="9743" max="9743" width="23.28515625" style="17" customWidth="1"/>
    <col min="9744" max="9745" width="20.5703125" style="17" customWidth="1"/>
    <col min="9746" max="9746" width="21.28515625" style="17" customWidth="1"/>
    <col min="9747" max="9747" width="21.42578125" style="17" customWidth="1"/>
    <col min="9748" max="9748" width="22" style="17" customWidth="1"/>
    <col min="9749" max="9750" width="21.5703125" style="17" customWidth="1"/>
    <col min="9751" max="9751" width="22.28515625" style="17" customWidth="1"/>
    <col min="9752" max="9752" width="25.42578125" style="17" customWidth="1"/>
    <col min="9753" max="9753" width="25.28515625" style="17" customWidth="1"/>
    <col min="9754" max="9754" width="28.7109375" style="17" customWidth="1"/>
    <col min="9755" max="9755" width="22.140625" style="17" customWidth="1"/>
    <col min="9756" max="9756" width="22" style="17" customWidth="1"/>
    <col min="9757" max="9757" width="24.5703125" style="17" customWidth="1"/>
    <col min="9758" max="9758" width="19.7109375" style="17" customWidth="1"/>
    <col min="9759" max="9759" width="29.140625" style="17" customWidth="1"/>
    <col min="9760" max="9760" width="25.140625" style="17" customWidth="1"/>
    <col min="9761" max="9762" width="29.42578125" style="17" customWidth="1"/>
    <col min="9763" max="9764" width="23.7109375" style="17" customWidth="1"/>
    <col min="9765" max="9765" width="26.7109375" style="17" customWidth="1"/>
    <col min="9766" max="9766" width="29.85546875" style="17" customWidth="1"/>
    <col min="9767" max="9769" width="23.28515625" style="17" customWidth="1"/>
    <col min="9770" max="9770" width="23.85546875" style="17" customWidth="1"/>
    <col min="9771" max="9771" width="26.7109375" style="17" customWidth="1"/>
    <col min="9772" max="9772" width="24.5703125" style="17" customWidth="1"/>
    <col min="9773" max="9773" width="26.85546875" style="17" customWidth="1"/>
    <col min="9774" max="9775" width="23.5703125" style="17" customWidth="1"/>
    <col min="9776" max="9776" width="28.7109375" style="17" customWidth="1"/>
    <col min="9777" max="9777" width="34.42578125" style="17" customWidth="1"/>
    <col min="9778" max="9778" width="29.7109375" style="17" customWidth="1"/>
    <col min="9779" max="9779" width="22" style="17" customWidth="1"/>
    <col min="9780" max="9780" width="23.7109375" style="17" customWidth="1"/>
    <col min="9781" max="9781" width="23.5703125" style="17" customWidth="1"/>
    <col min="9782" max="9785" width="22.140625" style="17" customWidth="1"/>
    <col min="9786" max="9786" width="25.28515625" style="17" customWidth="1"/>
    <col min="9787" max="9787" width="45.42578125" style="17" customWidth="1"/>
    <col min="9788" max="9788" width="24.7109375" style="17" customWidth="1"/>
    <col min="9789" max="9789" width="26.42578125" style="17" customWidth="1"/>
    <col min="9790" max="9790" width="29.28515625" style="17" customWidth="1"/>
    <col min="9791" max="9793" width="27.28515625" style="17" customWidth="1"/>
    <col min="9794" max="9794" width="31.7109375" style="17" customWidth="1"/>
    <col min="9795" max="9795" width="27.7109375" style="17" customWidth="1"/>
    <col min="9796" max="9798" width="28.28515625" style="17" customWidth="1"/>
    <col min="9799" max="9799" width="24.7109375" style="17" customWidth="1"/>
    <col min="9800" max="9800" width="24.140625" style="17" customWidth="1"/>
    <col min="9801" max="9803" width="22.28515625" style="17" customWidth="1"/>
    <col min="9804" max="9804" width="22.42578125" style="17" customWidth="1"/>
    <col min="9805" max="9805" width="23.7109375" style="17" customWidth="1"/>
    <col min="9806" max="9808" width="9.28515625" style="17" customWidth="1"/>
    <col min="9809" max="9962" width="9.28515625" style="17"/>
    <col min="9963" max="9963" width="26.28515625" style="17" customWidth="1"/>
    <col min="9964" max="9964" width="45.42578125" style="17" customWidth="1"/>
    <col min="9965" max="9965" width="14.85546875" style="17" customWidth="1"/>
    <col min="9966" max="9969" width="9.28515625" style="17" customWidth="1"/>
    <col min="9970" max="9970" width="0.140625" style="17" customWidth="1"/>
    <col min="9971" max="9971" width="29.42578125" style="17" customWidth="1"/>
    <col min="9972" max="9972" width="24.42578125" style="17" customWidth="1"/>
    <col min="9973" max="9973" width="26.7109375" style="17" customWidth="1"/>
    <col min="9974" max="9974" width="24.85546875" style="17" customWidth="1"/>
    <col min="9975" max="9975" width="21.28515625" style="17" customWidth="1"/>
    <col min="9976" max="9979" width="21.5703125" style="17" customWidth="1"/>
    <col min="9980" max="9980" width="28.28515625" style="17" customWidth="1"/>
    <col min="9981" max="9981" width="33" style="17" customWidth="1"/>
    <col min="9982" max="9982" width="22.85546875" style="17" customWidth="1"/>
    <col min="9983" max="9983" width="22" style="17" customWidth="1"/>
    <col min="9984" max="9984" width="24.7109375" style="17" customWidth="1"/>
    <col min="9985" max="9985" width="28.7109375" style="17" customWidth="1"/>
    <col min="9986" max="9986" width="23.5703125" style="17" customWidth="1"/>
    <col min="9987" max="9987" width="24.28515625" style="17" customWidth="1"/>
    <col min="9988" max="9988" width="23.5703125" style="17" customWidth="1"/>
    <col min="9989" max="9993" width="24.28515625" style="17" customWidth="1"/>
    <col min="9994" max="9994" width="22.7109375" style="17" customWidth="1"/>
    <col min="9995" max="9995" width="21.5703125" style="17" customWidth="1"/>
    <col min="9996" max="9996" width="21.42578125" style="17" customWidth="1"/>
    <col min="9997" max="9997" width="22.28515625" style="17" customWidth="1"/>
    <col min="9998" max="9998" width="22.5703125" style="17" customWidth="1"/>
    <col min="9999" max="9999" width="23.28515625" style="17" customWidth="1"/>
    <col min="10000" max="10001" width="20.5703125" style="17" customWidth="1"/>
    <col min="10002" max="10002" width="21.28515625" style="17" customWidth="1"/>
    <col min="10003" max="10003" width="21.42578125" style="17" customWidth="1"/>
    <col min="10004" max="10004" width="22" style="17" customWidth="1"/>
    <col min="10005" max="10006" width="21.5703125" style="17" customWidth="1"/>
    <col min="10007" max="10007" width="22.28515625" style="17" customWidth="1"/>
    <col min="10008" max="10008" width="25.42578125" style="17" customWidth="1"/>
    <col min="10009" max="10009" width="25.28515625" style="17" customWidth="1"/>
    <col min="10010" max="10010" width="28.7109375" style="17" customWidth="1"/>
    <col min="10011" max="10011" width="22.140625" style="17" customWidth="1"/>
    <col min="10012" max="10012" width="22" style="17" customWidth="1"/>
    <col min="10013" max="10013" width="24.5703125" style="17" customWidth="1"/>
    <col min="10014" max="10014" width="19.7109375" style="17" customWidth="1"/>
    <col min="10015" max="10015" width="29.140625" style="17" customWidth="1"/>
    <col min="10016" max="10016" width="25.140625" style="17" customWidth="1"/>
    <col min="10017" max="10018" width="29.42578125" style="17" customWidth="1"/>
    <col min="10019" max="10020" width="23.7109375" style="17" customWidth="1"/>
    <col min="10021" max="10021" width="26.7109375" style="17" customWidth="1"/>
    <col min="10022" max="10022" width="29.85546875" style="17" customWidth="1"/>
    <col min="10023" max="10025" width="23.28515625" style="17" customWidth="1"/>
    <col min="10026" max="10026" width="23.85546875" style="17" customWidth="1"/>
    <col min="10027" max="10027" width="26.7109375" style="17" customWidth="1"/>
    <col min="10028" max="10028" width="24.5703125" style="17" customWidth="1"/>
    <col min="10029" max="10029" width="26.85546875" style="17" customWidth="1"/>
    <col min="10030" max="10031" width="23.5703125" style="17" customWidth="1"/>
    <col min="10032" max="10032" width="28.7109375" style="17" customWidth="1"/>
    <col min="10033" max="10033" width="34.42578125" style="17" customWidth="1"/>
    <col min="10034" max="10034" width="29.7109375" style="17" customWidth="1"/>
    <col min="10035" max="10035" width="22" style="17" customWidth="1"/>
    <col min="10036" max="10036" width="23.7109375" style="17" customWidth="1"/>
    <col min="10037" max="10037" width="23.5703125" style="17" customWidth="1"/>
    <col min="10038" max="10041" width="22.140625" style="17" customWidth="1"/>
    <col min="10042" max="10042" width="25.28515625" style="17" customWidth="1"/>
    <col min="10043" max="10043" width="45.42578125" style="17" customWidth="1"/>
    <col min="10044" max="10044" width="24.7109375" style="17" customWidth="1"/>
    <col min="10045" max="10045" width="26.42578125" style="17" customWidth="1"/>
    <col min="10046" max="10046" width="29.28515625" style="17" customWidth="1"/>
    <col min="10047" max="10049" width="27.28515625" style="17" customWidth="1"/>
    <col min="10050" max="10050" width="31.7109375" style="17" customWidth="1"/>
    <col min="10051" max="10051" width="27.7109375" style="17" customWidth="1"/>
    <col min="10052" max="10054" width="28.28515625" style="17" customWidth="1"/>
    <col min="10055" max="10055" width="24.7109375" style="17" customWidth="1"/>
    <col min="10056" max="10056" width="24.140625" style="17" customWidth="1"/>
    <col min="10057" max="10059" width="22.28515625" style="17" customWidth="1"/>
    <col min="10060" max="10060" width="22.42578125" style="17" customWidth="1"/>
    <col min="10061" max="10061" width="23.7109375" style="17" customWidth="1"/>
    <col min="10062" max="10064" width="9.28515625" style="17" customWidth="1"/>
    <col min="10065" max="10218" width="9.28515625" style="17"/>
    <col min="10219" max="10219" width="26.28515625" style="17" customWidth="1"/>
    <col min="10220" max="10220" width="45.42578125" style="17" customWidth="1"/>
    <col min="10221" max="10221" width="14.85546875" style="17" customWidth="1"/>
    <col min="10222" max="10225" width="9.28515625" style="17" customWidth="1"/>
    <col min="10226" max="10226" width="0.140625" style="17" customWidth="1"/>
    <col min="10227" max="10227" width="29.42578125" style="17" customWidth="1"/>
    <col min="10228" max="10228" width="24.42578125" style="17" customWidth="1"/>
    <col min="10229" max="10229" width="26.7109375" style="17" customWidth="1"/>
    <col min="10230" max="10230" width="24.85546875" style="17" customWidth="1"/>
    <col min="10231" max="10231" width="21.28515625" style="17" customWidth="1"/>
    <col min="10232" max="10235" width="21.5703125" style="17" customWidth="1"/>
    <col min="10236" max="10236" width="28.28515625" style="17" customWidth="1"/>
    <col min="10237" max="10237" width="33" style="17" customWidth="1"/>
    <col min="10238" max="10238" width="22.85546875" style="17" customWidth="1"/>
    <col min="10239" max="10239" width="22" style="17" customWidth="1"/>
    <col min="10240" max="10240" width="24.7109375" style="17" customWidth="1"/>
    <col min="10241" max="10241" width="28.7109375" style="17" customWidth="1"/>
    <col min="10242" max="10242" width="23.5703125" style="17" customWidth="1"/>
    <col min="10243" max="10243" width="24.28515625" style="17" customWidth="1"/>
    <col min="10244" max="10244" width="23.5703125" style="17" customWidth="1"/>
    <col min="10245" max="10249" width="24.28515625" style="17" customWidth="1"/>
    <col min="10250" max="10250" width="22.7109375" style="17" customWidth="1"/>
    <col min="10251" max="10251" width="21.5703125" style="17" customWidth="1"/>
    <col min="10252" max="10252" width="21.42578125" style="17" customWidth="1"/>
    <col min="10253" max="10253" width="22.28515625" style="17" customWidth="1"/>
    <col min="10254" max="10254" width="22.5703125" style="17" customWidth="1"/>
    <col min="10255" max="10255" width="23.28515625" style="17" customWidth="1"/>
    <col min="10256" max="10257" width="20.5703125" style="17" customWidth="1"/>
    <col min="10258" max="10258" width="21.28515625" style="17" customWidth="1"/>
    <col min="10259" max="10259" width="21.42578125" style="17" customWidth="1"/>
    <col min="10260" max="10260" width="22" style="17" customWidth="1"/>
    <col min="10261" max="10262" width="21.5703125" style="17" customWidth="1"/>
    <col min="10263" max="10263" width="22.28515625" style="17" customWidth="1"/>
    <col min="10264" max="10264" width="25.42578125" style="17" customWidth="1"/>
    <col min="10265" max="10265" width="25.28515625" style="17" customWidth="1"/>
    <col min="10266" max="10266" width="28.7109375" style="17" customWidth="1"/>
    <col min="10267" max="10267" width="22.140625" style="17" customWidth="1"/>
    <col min="10268" max="10268" width="22" style="17" customWidth="1"/>
    <col min="10269" max="10269" width="24.5703125" style="17" customWidth="1"/>
    <col min="10270" max="10270" width="19.7109375" style="17" customWidth="1"/>
    <col min="10271" max="10271" width="29.140625" style="17" customWidth="1"/>
    <col min="10272" max="10272" width="25.140625" style="17" customWidth="1"/>
    <col min="10273" max="10274" width="29.42578125" style="17" customWidth="1"/>
    <col min="10275" max="10276" width="23.7109375" style="17" customWidth="1"/>
    <col min="10277" max="10277" width="26.7109375" style="17" customWidth="1"/>
    <col min="10278" max="10278" width="29.85546875" style="17" customWidth="1"/>
    <col min="10279" max="10281" width="23.28515625" style="17" customWidth="1"/>
    <col min="10282" max="10282" width="23.85546875" style="17" customWidth="1"/>
    <col min="10283" max="10283" width="26.7109375" style="17" customWidth="1"/>
    <col min="10284" max="10284" width="24.5703125" style="17" customWidth="1"/>
    <col min="10285" max="10285" width="26.85546875" style="17" customWidth="1"/>
    <col min="10286" max="10287" width="23.5703125" style="17" customWidth="1"/>
    <col min="10288" max="10288" width="28.7109375" style="17" customWidth="1"/>
    <col min="10289" max="10289" width="34.42578125" style="17" customWidth="1"/>
    <col min="10290" max="10290" width="29.7109375" style="17" customWidth="1"/>
    <col min="10291" max="10291" width="22" style="17" customWidth="1"/>
    <col min="10292" max="10292" width="23.7109375" style="17" customWidth="1"/>
    <col min="10293" max="10293" width="23.5703125" style="17" customWidth="1"/>
    <col min="10294" max="10297" width="22.140625" style="17" customWidth="1"/>
    <col min="10298" max="10298" width="25.28515625" style="17" customWidth="1"/>
    <col min="10299" max="10299" width="45.42578125" style="17" customWidth="1"/>
    <col min="10300" max="10300" width="24.7109375" style="17" customWidth="1"/>
    <col min="10301" max="10301" width="26.42578125" style="17" customWidth="1"/>
    <col min="10302" max="10302" width="29.28515625" style="17" customWidth="1"/>
    <col min="10303" max="10305" width="27.28515625" style="17" customWidth="1"/>
    <col min="10306" max="10306" width="31.7109375" style="17" customWidth="1"/>
    <col min="10307" max="10307" width="27.7109375" style="17" customWidth="1"/>
    <col min="10308" max="10310" width="28.28515625" style="17" customWidth="1"/>
    <col min="10311" max="10311" width="24.7109375" style="17" customWidth="1"/>
    <col min="10312" max="10312" width="24.140625" style="17" customWidth="1"/>
    <col min="10313" max="10315" width="22.28515625" style="17" customWidth="1"/>
    <col min="10316" max="10316" width="22.42578125" style="17" customWidth="1"/>
    <col min="10317" max="10317" width="23.7109375" style="17" customWidth="1"/>
    <col min="10318" max="10320" width="9.28515625" style="17" customWidth="1"/>
    <col min="10321" max="10474" width="9.28515625" style="17"/>
    <col min="10475" max="10475" width="26.28515625" style="17" customWidth="1"/>
    <col min="10476" max="10476" width="45.42578125" style="17" customWidth="1"/>
    <col min="10477" max="10477" width="14.85546875" style="17" customWidth="1"/>
    <col min="10478" max="10481" width="9.28515625" style="17" customWidth="1"/>
    <col min="10482" max="10482" width="0.140625" style="17" customWidth="1"/>
    <col min="10483" max="10483" width="29.42578125" style="17" customWidth="1"/>
    <col min="10484" max="10484" width="24.42578125" style="17" customWidth="1"/>
    <col min="10485" max="10485" width="26.7109375" style="17" customWidth="1"/>
    <col min="10486" max="10486" width="24.85546875" style="17" customWidth="1"/>
    <col min="10487" max="10487" width="21.28515625" style="17" customWidth="1"/>
    <col min="10488" max="10491" width="21.5703125" style="17" customWidth="1"/>
    <col min="10492" max="10492" width="28.28515625" style="17" customWidth="1"/>
    <col min="10493" max="10493" width="33" style="17" customWidth="1"/>
    <col min="10494" max="10494" width="22.85546875" style="17" customWidth="1"/>
    <col min="10495" max="10495" width="22" style="17" customWidth="1"/>
    <col min="10496" max="10496" width="24.7109375" style="17" customWidth="1"/>
    <col min="10497" max="10497" width="28.7109375" style="17" customWidth="1"/>
    <col min="10498" max="10498" width="23.5703125" style="17" customWidth="1"/>
    <col min="10499" max="10499" width="24.28515625" style="17" customWidth="1"/>
    <col min="10500" max="10500" width="23.5703125" style="17" customWidth="1"/>
    <col min="10501" max="10505" width="24.28515625" style="17" customWidth="1"/>
    <col min="10506" max="10506" width="22.7109375" style="17" customWidth="1"/>
    <col min="10507" max="10507" width="21.5703125" style="17" customWidth="1"/>
    <col min="10508" max="10508" width="21.42578125" style="17" customWidth="1"/>
    <col min="10509" max="10509" width="22.28515625" style="17" customWidth="1"/>
    <col min="10510" max="10510" width="22.5703125" style="17" customWidth="1"/>
    <col min="10511" max="10511" width="23.28515625" style="17" customWidth="1"/>
    <col min="10512" max="10513" width="20.5703125" style="17" customWidth="1"/>
    <col min="10514" max="10514" width="21.28515625" style="17" customWidth="1"/>
    <col min="10515" max="10515" width="21.42578125" style="17" customWidth="1"/>
    <col min="10516" max="10516" width="22" style="17" customWidth="1"/>
    <col min="10517" max="10518" width="21.5703125" style="17" customWidth="1"/>
    <col min="10519" max="10519" width="22.28515625" style="17" customWidth="1"/>
    <col min="10520" max="10520" width="25.42578125" style="17" customWidth="1"/>
    <col min="10521" max="10521" width="25.28515625" style="17" customWidth="1"/>
    <col min="10522" max="10522" width="28.7109375" style="17" customWidth="1"/>
    <col min="10523" max="10523" width="22.140625" style="17" customWidth="1"/>
    <col min="10524" max="10524" width="22" style="17" customWidth="1"/>
    <col min="10525" max="10525" width="24.5703125" style="17" customWidth="1"/>
    <col min="10526" max="10526" width="19.7109375" style="17" customWidth="1"/>
    <col min="10527" max="10527" width="29.140625" style="17" customWidth="1"/>
    <col min="10528" max="10528" width="25.140625" style="17" customWidth="1"/>
    <col min="10529" max="10530" width="29.42578125" style="17" customWidth="1"/>
    <col min="10531" max="10532" width="23.7109375" style="17" customWidth="1"/>
    <col min="10533" max="10533" width="26.7109375" style="17" customWidth="1"/>
    <col min="10534" max="10534" width="29.85546875" style="17" customWidth="1"/>
    <col min="10535" max="10537" width="23.28515625" style="17" customWidth="1"/>
    <col min="10538" max="10538" width="23.85546875" style="17" customWidth="1"/>
    <col min="10539" max="10539" width="26.7109375" style="17" customWidth="1"/>
    <col min="10540" max="10540" width="24.5703125" style="17" customWidth="1"/>
    <col min="10541" max="10541" width="26.85546875" style="17" customWidth="1"/>
    <col min="10542" max="10543" width="23.5703125" style="17" customWidth="1"/>
    <col min="10544" max="10544" width="28.7109375" style="17" customWidth="1"/>
    <col min="10545" max="10545" width="34.42578125" style="17" customWidth="1"/>
    <col min="10546" max="10546" width="29.7109375" style="17" customWidth="1"/>
    <col min="10547" max="10547" width="22" style="17" customWidth="1"/>
    <col min="10548" max="10548" width="23.7109375" style="17" customWidth="1"/>
    <col min="10549" max="10549" width="23.5703125" style="17" customWidth="1"/>
    <col min="10550" max="10553" width="22.140625" style="17" customWidth="1"/>
    <col min="10554" max="10554" width="25.28515625" style="17" customWidth="1"/>
    <col min="10555" max="10555" width="45.42578125" style="17" customWidth="1"/>
    <col min="10556" max="10556" width="24.7109375" style="17" customWidth="1"/>
    <col min="10557" max="10557" width="26.42578125" style="17" customWidth="1"/>
    <col min="10558" max="10558" width="29.28515625" style="17" customWidth="1"/>
    <col min="10559" max="10561" width="27.28515625" style="17" customWidth="1"/>
    <col min="10562" max="10562" width="31.7109375" style="17" customWidth="1"/>
    <col min="10563" max="10563" width="27.7109375" style="17" customWidth="1"/>
    <col min="10564" max="10566" width="28.28515625" style="17" customWidth="1"/>
    <col min="10567" max="10567" width="24.7109375" style="17" customWidth="1"/>
    <col min="10568" max="10568" width="24.140625" style="17" customWidth="1"/>
    <col min="10569" max="10571" width="22.28515625" style="17" customWidth="1"/>
    <col min="10572" max="10572" width="22.42578125" style="17" customWidth="1"/>
    <col min="10573" max="10573" width="23.7109375" style="17" customWidth="1"/>
    <col min="10574" max="10576" width="9.28515625" style="17" customWidth="1"/>
    <col min="10577" max="10730" width="9.28515625" style="17"/>
    <col min="10731" max="10731" width="26.28515625" style="17" customWidth="1"/>
    <col min="10732" max="10732" width="45.42578125" style="17" customWidth="1"/>
    <col min="10733" max="10733" width="14.85546875" style="17" customWidth="1"/>
    <col min="10734" max="10737" width="9.28515625" style="17" customWidth="1"/>
    <col min="10738" max="10738" width="0.140625" style="17" customWidth="1"/>
    <col min="10739" max="10739" width="29.42578125" style="17" customWidth="1"/>
    <col min="10740" max="10740" width="24.42578125" style="17" customWidth="1"/>
    <col min="10741" max="10741" width="26.7109375" style="17" customWidth="1"/>
    <col min="10742" max="10742" width="24.85546875" style="17" customWidth="1"/>
    <col min="10743" max="10743" width="21.28515625" style="17" customWidth="1"/>
    <col min="10744" max="10747" width="21.5703125" style="17" customWidth="1"/>
    <col min="10748" max="10748" width="28.28515625" style="17" customWidth="1"/>
    <col min="10749" max="10749" width="33" style="17" customWidth="1"/>
    <col min="10750" max="10750" width="22.85546875" style="17" customWidth="1"/>
    <col min="10751" max="10751" width="22" style="17" customWidth="1"/>
    <col min="10752" max="10752" width="24.7109375" style="17" customWidth="1"/>
    <col min="10753" max="10753" width="28.7109375" style="17" customWidth="1"/>
    <col min="10754" max="10754" width="23.5703125" style="17" customWidth="1"/>
    <col min="10755" max="10755" width="24.28515625" style="17" customWidth="1"/>
    <col min="10756" max="10756" width="23.5703125" style="17" customWidth="1"/>
    <col min="10757" max="10761" width="24.28515625" style="17" customWidth="1"/>
    <col min="10762" max="10762" width="22.7109375" style="17" customWidth="1"/>
    <col min="10763" max="10763" width="21.5703125" style="17" customWidth="1"/>
    <col min="10764" max="10764" width="21.42578125" style="17" customWidth="1"/>
    <col min="10765" max="10765" width="22.28515625" style="17" customWidth="1"/>
    <col min="10766" max="10766" width="22.5703125" style="17" customWidth="1"/>
    <col min="10767" max="10767" width="23.28515625" style="17" customWidth="1"/>
    <col min="10768" max="10769" width="20.5703125" style="17" customWidth="1"/>
    <col min="10770" max="10770" width="21.28515625" style="17" customWidth="1"/>
    <col min="10771" max="10771" width="21.42578125" style="17" customWidth="1"/>
    <col min="10772" max="10772" width="22" style="17" customWidth="1"/>
    <col min="10773" max="10774" width="21.5703125" style="17" customWidth="1"/>
    <col min="10775" max="10775" width="22.28515625" style="17" customWidth="1"/>
    <col min="10776" max="10776" width="25.42578125" style="17" customWidth="1"/>
    <col min="10777" max="10777" width="25.28515625" style="17" customWidth="1"/>
    <col min="10778" max="10778" width="28.7109375" style="17" customWidth="1"/>
    <col min="10779" max="10779" width="22.140625" style="17" customWidth="1"/>
    <col min="10780" max="10780" width="22" style="17" customWidth="1"/>
    <col min="10781" max="10781" width="24.5703125" style="17" customWidth="1"/>
    <col min="10782" max="10782" width="19.7109375" style="17" customWidth="1"/>
    <col min="10783" max="10783" width="29.140625" style="17" customWidth="1"/>
    <col min="10784" max="10784" width="25.140625" style="17" customWidth="1"/>
    <col min="10785" max="10786" width="29.42578125" style="17" customWidth="1"/>
    <col min="10787" max="10788" width="23.7109375" style="17" customWidth="1"/>
    <col min="10789" max="10789" width="26.7109375" style="17" customWidth="1"/>
    <col min="10790" max="10790" width="29.85546875" style="17" customWidth="1"/>
    <col min="10791" max="10793" width="23.28515625" style="17" customWidth="1"/>
    <col min="10794" max="10794" width="23.85546875" style="17" customWidth="1"/>
    <col min="10795" max="10795" width="26.7109375" style="17" customWidth="1"/>
    <col min="10796" max="10796" width="24.5703125" style="17" customWidth="1"/>
    <col min="10797" max="10797" width="26.85546875" style="17" customWidth="1"/>
    <col min="10798" max="10799" width="23.5703125" style="17" customWidth="1"/>
    <col min="10800" max="10800" width="28.7109375" style="17" customWidth="1"/>
    <col min="10801" max="10801" width="34.42578125" style="17" customWidth="1"/>
    <col min="10802" max="10802" width="29.7109375" style="17" customWidth="1"/>
    <col min="10803" max="10803" width="22" style="17" customWidth="1"/>
    <col min="10804" max="10804" width="23.7109375" style="17" customWidth="1"/>
    <col min="10805" max="10805" width="23.5703125" style="17" customWidth="1"/>
    <col min="10806" max="10809" width="22.140625" style="17" customWidth="1"/>
    <col min="10810" max="10810" width="25.28515625" style="17" customWidth="1"/>
    <col min="10811" max="10811" width="45.42578125" style="17" customWidth="1"/>
    <col min="10812" max="10812" width="24.7109375" style="17" customWidth="1"/>
    <col min="10813" max="10813" width="26.42578125" style="17" customWidth="1"/>
    <col min="10814" max="10814" width="29.28515625" style="17" customWidth="1"/>
    <col min="10815" max="10817" width="27.28515625" style="17" customWidth="1"/>
    <col min="10818" max="10818" width="31.7109375" style="17" customWidth="1"/>
    <col min="10819" max="10819" width="27.7109375" style="17" customWidth="1"/>
    <col min="10820" max="10822" width="28.28515625" style="17" customWidth="1"/>
    <col min="10823" max="10823" width="24.7109375" style="17" customWidth="1"/>
    <col min="10824" max="10824" width="24.140625" style="17" customWidth="1"/>
    <col min="10825" max="10827" width="22.28515625" style="17" customWidth="1"/>
    <col min="10828" max="10828" width="22.42578125" style="17" customWidth="1"/>
    <col min="10829" max="10829" width="23.7109375" style="17" customWidth="1"/>
    <col min="10830" max="10832" width="9.28515625" style="17" customWidth="1"/>
    <col min="10833" max="10986" width="9.28515625" style="17"/>
    <col min="10987" max="10987" width="26.28515625" style="17" customWidth="1"/>
    <col min="10988" max="10988" width="45.42578125" style="17" customWidth="1"/>
    <col min="10989" max="10989" width="14.85546875" style="17" customWidth="1"/>
    <col min="10990" max="10993" width="9.28515625" style="17" customWidth="1"/>
    <col min="10994" max="10994" width="0.140625" style="17" customWidth="1"/>
    <col min="10995" max="10995" width="29.42578125" style="17" customWidth="1"/>
    <col min="10996" max="10996" width="24.42578125" style="17" customWidth="1"/>
    <col min="10997" max="10997" width="26.7109375" style="17" customWidth="1"/>
    <col min="10998" max="10998" width="24.85546875" style="17" customWidth="1"/>
    <col min="10999" max="10999" width="21.28515625" style="17" customWidth="1"/>
    <col min="11000" max="11003" width="21.5703125" style="17" customWidth="1"/>
    <col min="11004" max="11004" width="28.28515625" style="17" customWidth="1"/>
    <col min="11005" max="11005" width="33" style="17" customWidth="1"/>
    <col min="11006" max="11006" width="22.85546875" style="17" customWidth="1"/>
    <col min="11007" max="11007" width="22" style="17" customWidth="1"/>
    <col min="11008" max="11008" width="24.7109375" style="17" customWidth="1"/>
    <col min="11009" max="11009" width="28.7109375" style="17" customWidth="1"/>
    <col min="11010" max="11010" width="23.5703125" style="17" customWidth="1"/>
    <col min="11011" max="11011" width="24.28515625" style="17" customWidth="1"/>
    <col min="11012" max="11012" width="23.5703125" style="17" customWidth="1"/>
    <col min="11013" max="11017" width="24.28515625" style="17" customWidth="1"/>
    <col min="11018" max="11018" width="22.7109375" style="17" customWidth="1"/>
    <col min="11019" max="11019" width="21.5703125" style="17" customWidth="1"/>
    <col min="11020" max="11020" width="21.42578125" style="17" customWidth="1"/>
    <col min="11021" max="11021" width="22.28515625" style="17" customWidth="1"/>
    <col min="11022" max="11022" width="22.5703125" style="17" customWidth="1"/>
    <col min="11023" max="11023" width="23.28515625" style="17" customWidth="1"/>
    <col min="11024" max="11025" width="20.5703125" style="17" customWidth="1"/>
    <col min="11026" max="11026" width="21.28515625" style="17" customWidth="1"/>
    <col min="11027" max="11027" width="21.42578125" style="17" customWidth="1"/>
    <col min="11028" max="11028" width="22" style="17" customWidth="1"/>
    <col min="11029" max="11030" width="21.5703125" style="17" customWidth="1"/>
    <col min="11031" max="11031" width="22.28515625" style="17" customWidth="1"/>
    <col min="11032" max="11032" width="25.42578125" style="17" customWidth="1"/>
    <col min="11033" max="11033" width="25.28515625" style="17" customWidth="1"/>
    <col min="11034" max="11034" width="28.7109375" style="17" customWidth="1"/>
    <col min="11035" max="11035" width="22.140625" style="17" customWidth="1"/>
    <col min="11036" max="11036" width="22" style="17" customWidth="1"/>
    <col min="11037" max="11037" width="24.5703125" style="17" customWidth="1"/>
    <col min="11038" max="11038" width="19.7109375" style="17" customWidth="1"/>
    <col min="11039" max="11039" width="29.140625" style="17" customWidth="1"/>
    <col min="11040" max="11040" width="25.140625" style="17" customWidth="1"/>
    <col min="11041" max="11042" width="29.42578125" style="17" customWidth="1"/>
    <col min="11043" max="11044" width="23.7109375" style="17" customWidth="1"/>
    <col min="11045" max="11045" width="26.7109375" style="17" customWidth="1"/>
    <col min="11046" max="11046" width="29.85546875" style="17" customWidth="1"/>
    <col min="11047" max="11049" width="23.28515625" style="17" customWidth="1"/>
    <col min="11050" max="11050" width="23.85546875" style="17" customWidth="1"/>
    <col min="11051" max="11051" width="26.7109375" style="17" customWidth="1"/>
    <col min="11052" max="11052" width="24.5703125" style="17" customWidth="1"/>
    <col min="11053" max="11053" width="26.85546875" style="17" customWidth="1"/>
    <col min="11054" max="11055" width="23.5703125" style="17" customWidth="1"/>
    <col min="11056" max="11056" width="28.7109375" style="17" customWidth="1"/>
    <col min="11057" max="11057" width="34.42578125" style="17" customWidth="1"/>
    <col min="11058" max="11058" width="29.7109375" style="17" customWidth="1"/>
    <col min="11059" max="11059" width="22" style="17" customWidth="1"/>
    <col min="11060" max="11060" width="23.7109375" style="17" customWidth="1"/>
    <col min="11061" max="11061" width="23.5703125" style="17" customWidth="1"/>
    <col min="11062" max="11065" width="22.140625" style="17" customWidth="1"/>
    <col min="11066" max="11066" width="25.28515625" style="17" customWidth="1"/>
    <col min="11067" max="11067" width="45.42578125" style="17" customWidth="1"/>
    <col min="11068" max="11068" width="24.7109375" style="17" customWidth="1"/>
    <col min="11069" max="11069" width="26.42578125" style="17" customWidth="1"/>
    <col min="11070" max="11070" width="29.28515625" style="17" customWidth="1"/>
    <col min="11071" max="11073" width="27.28515625" style="17" customWidth="1"/>
    <col min="11074" max="11074" width="31.7109375" style="17" customWidth="1"/>
    <col min="11075" max="11075" width="27.7109375" style="17" customWidth="1"/>
    <col min="11076" max="11078" width="28.28515625" style="17" customWidth="1"/>
    <col min="11079" max="11079" width="24.7109375" style="17" customWidth="1"/>
    <col min="11080" max="11080" width="24.140625" style="17" customWidth="1"/>
    <col min="11081" max="11083" width="22.28515625" style="17" customWidth="1"/>
    <col min="11084" max="11084" width="22.42578125" style="17" customWidth="1"/>
    <col min="11085" max="11085" width="23.7109375" style="17" customWidth="1"/>
    <col min="11086" max="11088" width="9.28515625" style="17" customWidth="1"/>
    <col min="11089" max="11242" width="9.28515625" style="17"/>
    <col min="11243" max="11243" width="26.28515625" style="17" customWidth="1"/>
    <col min="11244" max="11244" width="45.42578125" style="17" customWidth="1"/>
    <col min="11245" max="11245" width="14.85546875" style="17" customWidth="1"/>
    <col min="11246" max="11249" width="9.28515625" style="17" customWidth="1"/>
    <col min="11250" max="11250" width="0.140625" style="17" customWidth="1"/>
    <col min="11251" max="11251" width="29.42578125" style="17" customWidth="1"/>
    <col min="11252" max="11252" width="24.42578125" style="17" customWidth="1"/>
    <col min="11253" max="11253" width="26.7109375" style="17" customWidth="1"/>
    <col min="11254" max="11254" width="24.85546875" style="17" customWidth="1"/>
    <col min="11255" max="11255" width="21.28515625" style="17" customWidth="1"/>
    <col min="11256" max="11259" width="21.5703125" style="17" customWidth="1"/>
    <col min="11260" max="11260" width="28.28515625" style="17" customWidth="1"/>
    <col min="11261" max="11261" width="33" style="17" customWidth="1"/>
    <col min="11262" max="11262" width="22.85546875" style="17" customWidth="1"/>
    <col min="11263" max="11263" width="22" style="17" customWidth="1"/>
    <col min="11264" max="11264" width="24.7109375" style="17" customWidth="1"/>
    <col min="11265" max="11265" width="28.7109375" style="17" customWidth="1"/>
    <col min="11266" max="11266" width="23.5703125" style="17" customWidth="1"/>
    <col min="11267" max="11267" width="24.28515625" style="17" customWidth="1"/>
    <col min="11268" max="11268" width="23.5703125" style="17" customWidth="1"/>
    <col min="11269" max="11273" width="24.28515625" style="17" customWidth="1"/>
    <col min="11274" max="11274" width="22.7109375" style="17" customWidth="1"/>
    <col min="11275" max="11275" width="21.5703125" style="17" customWidth="1"/>
    <col min="11276" max="11276" width="21.42578125" style="17" customWidth="1"/>
    <col min="11277" max="11277" width="22.28515625" style="17" customWidth="1"/>
    <col min="11278" max="11278" width="22.5703125" style="17" customWidth="1"/>
    <col min="11279" max="11279" width="23.28515625" style="17" customWidth="1"/>
    <col min="11280" max="11281" width="20.5703125" style="17" customWidth="1"/>
    <col min="11282" max="11282" width="21.28515625" style="17" customWidth="1"/>
    <col min="11283" max="11283" width="21.42578125" style="17" customWidth="1"/>
    <col min="11284" max="11284" width="22" style="17" customWidth="1"/>
    <col min="11285" max="11286" width="21.5703125" style="17" customWidth="1"/>
    <col min="11287" max="11287" width="22.28515625" style="17" customWidth="1"/>
    <col min="11288" max="11288" width="25.42578125" style="17" customWidth="1"/>
    <col min="11289" max="11289" width="25.28515625" style="17" customWidth="1"/>
    <col min="11290" max="11290" width="28.7109375" style="17" customWidth="1"/>
    <col min="11291" max="11291" width="22.140625" style="17" customWidth="1"/>
    <col min="11292" max="11292" width="22" style="17" customWidth="1"/>
    <col min="11293" max="11293" width="24.5703125" style="17" customWidth="1"/>
    <col min="11294" max="11294" width="19.7109375" style="17" customWidth="1"/>
    <col min="11295" max="11295" width="29.140625" style="17" customWidth="1"/>
    <col min="11296" max="11296" width="25.140625" style="17" customWidth="1"/>
    <col min="11297" max="11298" width="29.42578125" style="17" customWidth="1"/>
    <col min="11299" max="11300" width="23.7109375" style="17" customWidth="1"/>
    <col min="11301" max="11301" width="26.7109375" style="17" customWidth="1"/>
    <col min="11302" max="11302" width="29.85546875" style="17" customWidth="1"/>
    <col min="11303" max="11305" width="23.28515625" style="17" customWidth="1"/>
    <col min="11306" max="11306" width="23.85546875" style="17" customWidth="1"/>
    <col min="11307" max="11307" width="26.7109375" style="17" customWidth="1"/>
    <col min="11308" max="11308" width="24.5703125" style="17" customWidth="1"/>
    <col min="11309" max="11309" width="26.85546875" style="17" customWidth="1"/>
    <col min="11310" max="11311" width="23.5703125" style="17" customWidth="1"/>
    <col min="11312" max="11312" width="28.7109375" style="17" customWidth="1"/>
    <col min="11313" max="11313" width="34.42578125" style="17" customWidth="1"/>
    <col min="11314" max="11314" width="29.7109375" style="17" customWidth="1"/>
    <col min="11315" max="11315" width="22" style="17" customWidth="1"/>
    <col min="11316" max="11316" width="23.7109375" style="17" customWidth="1"/>
    <col min="11317" max="11317" width="23.5703125" style="17" customWidth="1"/>
    <col min="11318" max="11321" width="22.140625" style="17" customWidth="1"/>
    <col min="11322" max="11322" width="25.28515625" style="17" customWidth="1"/>
    <col min="11323" max="11323" width="45.42578125" style="17" customWidth="1"/>
    <col min="11324" max="11324" width="24.7109375" style="17" customWidth="1"/>
    <col min="11325" max="11325" width="26.42578125" style="17" customWidth="1"/>
    <col min="11326" max="11326" width="29.28515625" style="17" customWidth="1"/>
    <col min="11327" max="11329" width="27.28515625" style="17" customWidth="1"/>
    <col min="11330" max="11330" width="31.7109375" style="17" customWidth="1"/>
    <col min="11331" max="11331" width="27.7109375" style="17" customWidth="1"/>
    <col min="11332" max="11334" width="28.28515625" style="17" customWidth="1"/>
    <col min="11335" max="11335" width="24.7109375" style="17" customWidth="1"/>
    <col min="11336" max="11336" width="24.140625" style="17" customWidth="1"/>
    <col min="11337" max="11339" width="22.28515625" style="17" customWidth="1"/>
    <col min="11340" max="11340" width="22.42578125" style="17" customWidth="1"/>
    <col min="11341" max="11341" width="23.7109375" style="17" customWidth="1"/>
    <col min="11342" max="11344" width="9.28515625" style="17" customWidth="1"/>
    <col min="11345" max="11498" width="9.28515625" style="17"/>
    <col min="11499" max="11499" width="26.28515625" style="17" customWidth="1"/>
    <col min="11500" max="11500" width="45.42578125" style="17" customWidth="1"/>
    <col min="11501" max="11501" width="14.85546875" style="17" customWidth="1"/>
    <col min="11502" max="11505" width="9.28515625" style="17" customWidth="1"/>
    <col min="11506" max="11506" width="0.140625" style="17" customWidth="1"/>
    <col min="11507" max="11507" width="29.42578125" style="17" customWidth="1"/>
    <col min="11508" max="11508" width="24.42578125" style="17" customWidth="1"/>
    <col min="11509" max="11509" width="26.7109375" style="17" customWidth="1"/>
    <col min="11510" max="11510" width="24.85546875" style="17" customWidth="1"/>
    <col min="11511" max="11511" width="21.28515625" style="17" customWidth="1"/>
    <col min="11512" max="11515" width="21.5703125" style="17" customWidth="1"/>
    <col min="11516" max="11516" width="28.28515625" style="17" customWidth="1"/>
    <col min="11517" max="11517" width="33" style="17" customWidth="1"/>
    <col min="11518" max="11518" width="22.85546875" style="17" customWidth="1"/>
    <col min="11519" max="11519" width="22" style="17" customWidth="1"/>
    <col min="11520" max="11520" width="24.7109375" style="17" customWidth="1"/>
    <col min="11521" max="11521" width="28.7109375" style="17" customWidth="1"/>
    <col min="11522" max="11522" width="23.5703125" style="17" customWidth="1"/>
    <col min="11523" max="11523" width="24.28515625" style="17" customWidth="1"/>
    <col min="11524" max="11524" width="23.5703125" style="17" customWidth="1"/>
    <col min="11525" max="11529" width="24.28515625" style="17" customWidth="1"/>
    <col min="11530" max="11530" width="22.7109375" style="17" customWidth="1"/>
    <col min="11531" max="11531" width="21.5703125" style="17" customWidth="1"/>
    <col min="11532" max="11532" width="21.42578125" style="17" customWidth="1"/>
    <col min="11533" max="11533" width="22.28515625" style="17" customWidth="1"/>
    <col min="11534" max="11534" width="22.5703125" style="17" customWidth="1"/>
    <col min="11535" max="11535" width="23.28515625" style="17" customWidth="1"/>
    <col min="11536" max="11537" width="20.5703125" style="17" customWidth="1"/>
    <col min="11538" max="11538" width="21.28515625" style="17" customWidth="1"/>
    <col min="11539" max="11539" width="21.42578125" style="17" customWidth="1"/>
    <col min="11540" max="11540" width="22" style="17" customWidth="1"/>
    <col min="11541" max="11542" width="21.5703125" style="17" customWidth="1"/>
    <col min="11543" max="11543" width="22.28515625" style="17" customWidth="1"/>
    <col min="11544" max="11544" width="25.42578125" style="17" customWidth="1"/>
    <col min="11545" max="11545" width="25.28515625" style="17" customWidth="1"/>
    <col min="11546" max="11546" width="28.7109375" style="17" customWidth="1"/>
    <col min="11547" max="11547" width="22.140625" style="17" customWidth="1"/>
    <col min="11548" max="11548" width="22" style="17" customWidth="1"/>
    <col min="11549" max="11549" width="24.5703125" style="17" customWidth="1"/>
    <col min="11550" max="11550" width="19.7109375" style="17" customWidth="1"/>
    <col min="11551" max="11551" width="29.140625" style="17" customWidth="1"/>
    <col min="11552" max="11552" width="25.140625" style="17" customWidth="1"/>
    <col min="11553" max="11554" width="29.42578125" style="17" customWidth="1"/>
    <col min="11555" max="11556" width="23.7109375" style="17" customWidth="1"/>
    <col min="11557" max="11557" width="26.7109375" style="17" customWidth="1"/>
    <col min="11558" max="11558" width="29.85546875" style="17" customWidth="1"/>
    <col min="11559" max="11561" width="23.28515625" style="17" customWidth="1"/>
    <col min="11562" max="11562" width="23.85546875" style="17" customWidth="1"/>
    <col min="11563" max="11563" width="26.7109375" style="17" customWidth="1"/>
    <col min="11564" max="11564" width="24.5703125" style="17" customWidth="1"/>
    <col min="11565" max="11565" width="26.85546875" style="17" customWidth="1"/>
    <col min="11566" max="11567" width="23.5703125" style="17" customWidth="1"/>
    <col min="11568" max="11568" width="28.7109375" style="17" customWidth="1"/>
    <col min="11569" max="11569" width="34.42578125" style="17" customWidth="1"/>
    <col min="11570" max="11570" width="29.7109375" style="17" customWidth="1"/>
    <col min="11571" max="11571" width="22" style="17" customWidth="1"/>
    <col min="11572" max="11572" width="23.7109375" style="17" customWidth="1"/>
    <col min="11573" max="11573" width="23.5703125" style="17" customWidth="1"/>
    <col min="11574" max="11577" width="22.140625" style="17" customWidth="1"/>
    <col min="11578" max="11578" width="25.28515625" style="17" customWidth="1"/>
    <col min="11579" max="11579" width="45.42578125" style="17" customWidth="1"/>
    <col min="11580" max="11580" width="24.7109375" style="17" customWidth="1"/>
    <col min="11581" max="11581" width="26.42578125" style="17" customWidth="1"/>
    <col min="11582" max="11582" width="29.28515625" style="17" customWidth="1"/>
    <col min="11583" max="11585" width="27.28515625" style="17" customWidth="1"/>
    <col min="11586" max="11586" width="31.7109375" style="17" customWidth="1"/>
    <col min="11587" max="11587" width="27.7109375" style="17" customWidth="1"/>
    <col min="11588" max="11590" width="28.28515625" style="17" customWidth="1"/>
    <col min="11591" max="11591" width="24.7109375" style="17" customWidth="1"/>
    <col min="11592" max="11592" width="24.140625" style="17" customWidth="1"/>
    <col min="11593" max="11595" width="22.28515625" style="17" customWidth="1"/>
    <col min="11596" max="11596" width="22.42578125" style="17" customWidth="1"/>
    <col min="11597" max="11597" width="23.7109375" style="17" customWidth="1"/>
    <col min="11598" max="11600" width="9.28515625" style="17" customWidth="1"/>
    <col min="11601" max="11754" width="9.28515625" style="17"/>
    <col min="11755" max="11755" width="26.28515625" style="17" customWidth="1"/>
    <col min="11756" max="11756" width="45.42578125" style="17" customWidth="1"/>
    <col min="11757" max="11757" width="14.85546875" style="17" customWidth="1"/>
    <col min="11758" max="11761" width="9.28515625" style="17" customWidth="1"/>
    <col min="11762" max="11762" width="0.140625" style="17" customWidth="1"/>
    <col min="11763" max="11763" width="29.42578125" style="17" customWidth="1"/>
    <col min="11764" max="11764" width="24.42578125" style="17" customWidth="1"/>
    <col min="11765" max="11765" width="26.7109375" style="17" customWidth="1"/>
    <col min="11766" max="11766" width="24.85546875" style="17" customWidth="1"/>
    <col min="11767" max="11767" width="21.28515625" style="17" customWidth="1"/>
    <col min="11768" max="11771" width="21.5703125" style="17" customWidth="1"/>
    <col min="11772" max="11772" width="28.28515625" style="17" customWidth="1"/>
    <col min="11773" max="11773" width="33" style="17" customWidth="1"/>
    <col min="11774" max="11774" width="22.85546875" style="17" customWidth="1"/>
    <col min="11775" max="11775" width="22" style="17" customWidth="1"/>
    <col min="11776" max="11776" width="24.7109375" style="17" customWidth="1"/>
    <col min="11777" max="11777" width="28.7109375" style="17" customWidth="1"/>
    <col min="11778" max="11778" width="23.5703125" style="17" customWidth="1"/>
    <col min="11779" max="11779" width="24.28515625" style="17" customWidth="1"/>
    <col min="11780" max="11780" width="23.5703125" style="17" customWidth="1"/>
    <col min="11781" max="11785" width="24.28515625" style="17" customWidth="1"/>
    <col min="11786" max="11786" width="22.7109375" style="17" customWidth="1"/>
    <col min="11787" max="11787" width="21.5703125" style="17" customWidth="1"/>
    <col min="11788" max="11788" width="21.42578125" style="17" customWidth="1"/>
    <col min="11789" max="11789" width="22.28515625" style="17" customWidth="1"/>
    <col min="11790" max="11790" width="22.5703125" style="17" customWidth="1"/>
    <col min="11791" max="11791" width="23.28515625" style="17" customWidth="1"/>
    <col min="11792" max="11793" width="20.5703125" style="17" customWidth="1"/>
    <col min="11794" max="11794" width="21.28515625" style="17" customWidth="1"/>
    <col min="11795" max="11795" width="21.42578125" style="17" customWidth="1"/>
    <col min="11796" max="11796" width="22" style="17" customWidth="1"/>
    <col min="11797" max="11798" width="21.5703125" style="17" customWidth="1"/>
    <col min="11799" max="11799" width="22.28515625" style="17" customWidth="1"/>
    <col min="11800" max="11800" width="25.42578125" style="17" customWidth="1"/>
    <col min="11801" max="11801" width="25.28515625" style="17" customWidth="1"/>
    <col min="11802" max="11802" width="28.7109375" style="17" customWidth="1"/>
    <col min="11803" max="11803" width="22.140625" style="17" customWidth="1"/>
    <col min="11804" max="11804" width="22" style="17" customWidth="1"/>
    <col min="11805" max="11805" width="24.5703125" style="17" customWidth="1"/>
    <col min="11806" max="11806" width="19.7109375" style="17" customWidth="1"/>
    <col min="11807" max="11807" width="29.140625" style="17" customWidth="1"/>
    <col min="11808" max="11808" width="25.140625" style="17" customWidth="1"/>
    <col min="11809" max="11810" width="29.42578125" style="17" customWidth="1"/>
    <col min="11811" max="11812" width="23.7109375" style="17" customWidth="1"/>
    <col min="11813" max="11813" width="26.7109375" style="17" customWidth="1"/>
    <col min="11814" max="11814" width="29.85546875" style="17" customWidth="1"/>
    <col min="11815" max="11817" width="23.28515625" style="17" customWidth="1"/>
    <col min="11818" max="11818" width="23.85546875" style="17" customWidth="1"/>
    <col min="11819" max="11819" width="26.7109375" style="17" customWidth="1"/>
    <col min="11820" max="11820" width="24.5703125" style="17" customWidth="1"/>
    <col min="11821" max="11821" width="26.85546875" style="17" customWidth="1"/>
    <col min="11822" max="11823" width="23.5703125" style="17" customWidth="1"/>
    <col min="11824" max="11824" width="28.7109375" style="17" customWidth="1"/>
    <col min="11825" max="11825" width="34.42578125" style="17" customWidth="1"/>
    <col min="11826" max="11826" width="29.7109375" style="17" customWidth="1"/>
    <col min="11827" max="11827" width="22" style="17" customWidth="1"/>
    <col min="11828" max="11828" width="23.7109375" style="17" customWidth="1"/>
    <col min="11829" max="11829" width="23.5703125" style="17" customWidth="1"/>
    <col min="11830" max="11833" width="22.140625" style="17" customWidth="1"/>
    <col min="11834" max="11834" width="25.28515625" style="17" customWidth="1"/>
    <col min="11835" max="11835" width="45.42578125" style="17" customWidth="1"/>
    <col min="11836" max="11836" width="24.7109375" style="17" customWidth="1"/>
    <col min="11837" max="11837" width="26.42578125" style="17" customWidth="1"/>
    <col min="11838" max="11838" width="29.28515625" style="17" customWidth="1"/>
    <col min="11839" max="11841" width="27.28515625" style="17" customWidth="1"/>
    <col min="11842" max="11842" width="31.7109375" style="17" customWidth="1"/>
    <col min="11843" max="11843" width="27.7109375" style="17" customWidth="1"/>
    <col min="11844" max="11846" width="28.28515625" style="17" customWidth="1"/>
    <col min="11847" max="11847" width="24.7109375" style="17" customWidth="1"/>
    <col min="11848" max="11848" width="24.140625" style="17" customWidth="1"/>
    <col min="11849" max="11851" width="22.28515625" style="17" customWidth="1"/>
    <col min="11852" max="11852" width="22.42578125" style="17" customWidth="1"/>
    <col min="11853" max="11853" width="23.7109375" style="17" customWidth="1"/>
    <col min="11854" max="11856" width="9.28515625" style="17" customWidth="1"/>
    <col min="11857" max="12010" width="9.28515625" style="17"/>
    <col min="12011" max="12011" width="26.28515625" style="17" customWidth="1"/>
    <col min="12012" max="12012" width="45.42578125" style="17" customWidth="1"/>
    <col min="12013" max="12013" width="14.85546875" style="17" customWidth="1"/>
    <col min="12014" max="12017" width="9.28515625" style="17" customWidth="1"/>
    <col min="12018" max="12018" width="0.140625" style="17" customWidth="1"/>
    <col min="12019" max="12019" width="29.42578125" style="17" customWidth="1"/>
    <col min="12020" max="12020" width="24.42578125" style="17" customWidth="1"/>
    <col min="12021" max="12021" width="26.7109375" style="17" customWidth="1"/>
    <col min="12022" max="12022" width="24.85546875" style="17" customWidth="1"/>
    <col min="12023" max="12023" width="21.28515625" style="17" customWidth="1"/>
    <col min="12024" max="12027" width="21.5703125" style="17" customWidth="1"/>
    <col min="12028" max="12028" width="28.28515625" style="17" customWidth="1"/>
    <col min="12029" max="12029" width="33" style="17" customWidth="1"/>
    <col min="12030" max="12030" width="22.85546875" style="17" customWidth="1"/>
    <col min="12031" max="12031" width="22" style="17" customWidth="1"/>
    <col min="12032" max="12032" width="24.7109375" style="17" customWidth="1"/>
    <col min="12033" max="12033" width="28.7109375" style="17" customWidth="1"/>
    <col min="12034" max="12034" width="23.5703125" style="17" customWidth="1"/>
    <col min="12035" max="12035" width="24.28515625" style="17" customWidth="1"/>
    <col min="12036" max="12036" width="23.5703125" style="17" customWidth="1"/>
    <col min="12037" max="12041" width="24.28515625" style="17" customWidth="1"/>
    <col min="12042" max="12042" width="22.7109375" style="17" customWidth="1"/>
    <col min="12043" max="12043" width="21.5703125" style="17" customWidth="1"/>
    <col min="12044" max="12044" width="21.42578125" style="17" customWidth="1"/>
    <col min="12045" max="12045" width="22.28515625" style="17" customWidth="1"/>
    <col min="12046" max="12046" width="22.5703125" style="17" customWidth="1"/>
    <col min="12047" max="12047" width="23.28515625" style="17" customWidth="1"/>
    <col min="12048" max="12049" width="20.5703125" style="17" customWidth="1"/>
    <col min="12050" max="12050" width="21.28515625" style="17" customWidth="1"/>
    <col min="12051" max="12051" width="21.42578125" style="17" customWidth="1"/>
    <col min="12052" max="12052" width="22" style="17" customWidth="1"/>
    <col min="12053" max="12054" width="21.5703125" style="17" customWidth="1"/>
    <col min="12055" max="12055" width="22.28515625" style="17" customWidth="1"/>
    <col min="12056" max="12056" width="25.42578125" style="17" customWidth="1"/>
    <col min="12057" max="12057" width="25.28515625" style="17" customWidth="1"/>
    <col min="12058" max="12058" width="28.7109375" style="17" customWidth="1"/>
    <col min="12059" max="12059" width="22.140625" style="17" customWidth="1"/>
    <col min="12060" max="12060" width="22" style="17" customWidth="1"/>
    <col min="12061" max="12061" width="24.5703125" style="17" customWidth="1"/>
    <col min="12062" max="12062" width="19.7109375" style="17" customWidth="1"/>
    <col min="12063" max="12063" width="29.140625" style="17" customWidth="1"/>
    <col min="12064" max="12064" width="25.140625" style="17" customWidth="1"/>
    <col min="12065" max="12066" width="29.42578125" style="17" customWidth="1"/>
    <col min="12067" max="12068" width="23.7109375" style="17" customWidth="1"/>
    <col min="12069" max="12069" width="26.7109375" style="17" customWidth="1"/>
    <col min="12070" max="12070" width="29.85546875" style="17" customWidth="1"/>
    <col min="12071" max="12073" width="23.28515625" style="17" customWidth="1"/>
    <col min="12074" max="12074" width="23.85546875" style="17" customWidth="1"/>
    <col min="12075" max="12075" width="26.7109375" style="17" customWidth="1"/>
    <col min="12076" max="12076" width="24.5703125" style="17" customWidth="1"/>
    <col min="12077" max="12077" width="26.85546875" style="17" customWidth="1"/>
    <col min="12078" max="12079" width="23.5703125" style="17" customWidth="1"/>
    <col min="12080" max="12080" width="28.7109375" style="17" customWidth="1"/>
    <col min="12081" max="12081" width="34.42578125" style="17" customWidth="1"/>
    <col min="12082" max="12082" width="29.7109375" style="17" customWidth="1"/>
    <col min="12083" max="12083" width="22" style="17" customWidth="1"/>
    <col min="12084" max="12084" width="23.7109375" style="17" customWidth="1"/>
    <col min="12085" max="12085" width="23.5703125" style="17" customWidth="1"/>
    <col min="12086" max="12089" width="22.140625" style="17" customWidth="1"/>
    <col min="12090" max="12090" width="25.28515625" style="17" customWidth="1"/>
    <col min="12091" max="12091" width="45.42578125" style="17" customWidth="1"/>
    <col min="12092" max="12092" width="24.7109375" style="17" customWidth="1"/>
    <col min="12093" max="12093" width="26.42578125" style="17" customWidth="1"/>
    <col min="12094" max="12094" width="29.28515625" style="17" customWidth="1"/>
    <col min="12095" max="12097" width="27.28515625" style="17" customWidth="1"/>
    <col min="12098" max="12098" width="31.7109375" style="17" customWidth="1"/>
    <col min="12099" max="12099" width="27.7109375" style="17" customWidth="1"/>
    <col min="12100" max="12102" width="28.28515625" style="17" customWidth="1"/>
    <col min="12103" max="12103" width="24.7109375" style="17" customWidth="1"/>
    <col min="12104" max="12104" width="24.140625" style="17" customWidth="1"/>
    <col min="12105" max="12107" width="22.28515625" style="17" customWidth="1"/>
    <col min="12108" max="12108" width="22.42578125" style="17" customWidth="1"/>
    <col min="12109" max="12109" width="23.7109375" style="17" customWidth="1"/>
    <col min="12110" max="12112" width="9.28515625" style="17" customWidth="1"/>
    <col min="12113" max="12266" width="9.28515625" style="17"/>
    <col min="12267" max="12267" width="26.28515625" style="17" customWidth="1"/>
    <col min="12268" max="12268" width="45.42578125" style="17" customWidth="1"/>
    <col min="12269" max="12269" width="14.85546875" style="17" customWidth="1"/>
    <col min="12270" max="12273" width="9.28515625" style="17" customWidth="1"/>
    <col min="12274" max="12274" width="0.140625" style="17" customWidth="1"/>
    <col min="12275" max="12275" width="29.42578125" style="17" customWidth="1"/>
    <col min="12276" max="12276" width="24.42578125" style="17" customWidth="1"/>
    <col min="12277" max="12277" width="26.7109375" style="17" customWidth="1"/>
    <col min="12278" max="12278" width="24.85546875" style="17" customWidth="1"/>
    <col min="12279" max="12279" width="21.28515625" style="17" customWidth="1"/>
    <col min="12280" max="12283" width="21.5703125" style="17" customWidth="1"/>
    <col min="12284" max="12284" width="28.28515625" style="17" customWidth="1"/>
    <col min="12285" max="12285" width="33" style="17" customWidth="1"/>
    <col min="12286" max="12286" width="22.85546875" style="17" customWidth="1"/>
    <col min="12287" max="12287" width="22" style="17" customWidth="1"/>
    <col min="12288" max="12288" width="24.7109375" style="17" customWidth="1"/>
    <col min="12289" max="12289" width="28.7109375" style="17" customWidth="1"/>
    <col min="12290" max="12290" width="23.5703125" style="17" customWidth="1"/>
    <col min="12291" max="12291" width="24.28515625" style="17" customWidth="1"/>
    <col min="12292" max="12292" width="23.5703125" style="17" customWidth="1"/>
    <col min="12293" max="12297" width="24.28515625" style="17" customWidth="1"/>
    <col min="12298" max="12298" width="22.7109375" style="17" customWidth="1"/>
    <col min="12299" max="12299" width="21.5703125" style="17" customWidth="1"/>
    <col min="12300" max="12300" width="21.42578125" style="17" customWidth="1"/>
    <col min="12301" max="12301" width="22.28515625" style="17" customWidth="1"/>
    <col min="12302" max="12302" width="22.5703125" style="17" customWidth="1"/>
    <col min="12303" max="12303" width="23.28515625" style="17" customWidth="1"/>
    <col min="12304" max="12305" width="20.5703125" style="17" customWidth="1"/>
    <col min="12306" max="12306" width="21.28515625" style="17" customWidth="1"/>
    <col min="12307" max="12307" width="21.42578125" style="17" customWidth="1"/>
    <col min="12308" max="12308" width="22" style="17" customWidth="1"/>
    <col min="12309" max="12310" width="21.5703125" style="17" customWidth="1"/>
    <col min="12311" max="12311" width="22.28515625" style="17" customWidth="1"/>
    <col min="12312" max="12312" width="25.42578125" style="17" customWidth="1"/>
    <col min="12313" max="12313" width="25.28515625" style="17" customWidth="1"/>
    <col min="12314" max="12314" width="28.7109375" style="17" customWidth="1"/>
    <col min="12315" max="12315" width="22.140625" style="17" customWidth="1"/>
    <col min="12316" max="12316" width="22" style="17" customWidth="1"/>
    <col min="12317" max="12317" width="24.5703125" style="17" customWidth="1"/>
    <col min="12318" max="12318" width="19.7109375" style="17" customWidth="1"/>
    <col min="12319" max="12319" width="29.140625" style="17" customWidth="1"/>
    <col min="12320" max="12320" width="25.140625" style="17" customWidth="1"/>
    <col min="12321" max="12322" width="29.42578125" style="17" customWidth="1"/>
    <col min="12323" max="12324" width="23.7109375" style="17" customWidth="1"/>
    <col min="12325" max="12325" width="26.7109375" style="17" customWidth="1"/>
    <col min="12326" max="12326" width="29.85546875" style="17" customWidth="1"/>
    <col min="12327" max="12329" width="23.28515625" style="17" customWidth="1"/>
    <col min="12330" max="12330" width="23.85546875" style="17" customWidth="1"/>
    <col min="12331" max="12331" width="26.7109375" style="17" customWidth="1"/>
    <col min="12332" max="12332" width="24.5703125" style="17" customWidth="1"/>
    <col min="12333" max="12333" width="26.85546875" style="17" customWidth="1"/>
    <col min="12334" max="12335" width="23.5703125" style="17" customWidth="1"/>
    <col min="12336" max="12336" width="28.7109375" style="17" customWidth="1"/>
    <col min="12337" max="12337" width="34.42578125" style="17" customWidth="1"/>
    <col min="12338" max="12338" width="29.7109375" style="17" customWidth="1"/>
    <col min="12339" max="12339" width="22" style="17" customWidth="1"/>
    <col min="12340" max="12340" width="23.7109375" style="17" customWidth="1"/>
    <col min="12341" max="12341" width="23.5703125" style="17" customWidth="1"/>
    <col min="12342" max="12345" width="22.140625" style="17" customWidth="1"/>
    <col min="12346" max="12346" width="25.28515625" style="17" customWidth="1"/>
    <col min="12347" max="12347" width="45.42578125" style="17" customWidth="1"/>
    <col min="12348" max="12348" width="24.7109375" style="17" customWidth="1"/>
    <col min="12349" max="12349" width="26.42578125" style="17" customWidth="1"/>
    <col min="12350" max="12350" width="29.28515625" style="17" customWidth="1"/>
    <col min="12351" max="12353" width="27.28515625" style="17" customWidth="1"/>
    <col min="12354" max="12354" width="31.7109375" style="17" customWidth="1"/>
    <col min="12355" max="12355" width="27.7109375" style="17" customWidth="1"/>
    <col min="12356" max="12358" width="28.28515625" style="17" customWidth="1"/>
    <col min="12359" max="12359" width="24.7109375" style="17" customWidth="1"/>
    <col min="12360" max="12360" width="24.140625" style="17" customWidth="1"/>
    <col min="12361" max="12363" width="22.28515625" style="17" customWidth="1"/>
    <col min="12364" max="12364" width="22.42578125" style="17" customWidth="1"/>
    <col min="12365" max="12365" width="23.7109375" style="17" customWidth="1"/>
    <col min="12366" max="12368" width="9.28515625" style="17" customWidth="1"/>
    <col min="12369" max="12522" width="9.28515625" style="17"/>
    <col min="12523" max="12523" width="26.28515625" style="17" customWidth="1"/>
    <col min="12524" max="12524" width="45.42578125" style="17" customWidth="1"/>
    <col min="12525" max="12525" width="14.85546875" style="17" customWidth="1"/>
    <col min="12526" max="12529" width="9.28515625" style="17" customWidth="1"/>
    <col min="12530" max="12530" width="0.140625" style="17" customWidth="1"/>
    <col min="12531" max="12531" width="29.42578125" style="17" customWidth="1"/>
    <col min="12532" max="12532" width="24.42578125" style="17" customWidth="1"/>
    <col min="12533" max="12533" width="26.7109375" style="17" customWidth="1"/>
    <col min="12534" max="12534" width="24.85546875" style="17" customWidth="1"/>
    <col min="12535" max="12535" width="21.28515625" style="17" customWidth="1"/>
    <col min="12536" max="12539" width="21.5703125" style="17" customWidth="1"/>
    <col min="12540" max="12540" width="28.28515625" style="17" customWidth="1"/>
    <col min="12541" max="12541" width="33" style="17" customWidth="1"/>
    <col min="12542" max="12542" width="22.85546875" style="17" customWidth="1"/>
    <col min="12543" max="12543" width="22" style="17" customWidth="1"/>
    <col min="12544" max="12544" width="24.7109375" style="17" customWidth="1"/>
    <col min="12545" max="12545" width="28.7109375" style="17" customWidth="1"/>
    <col min="12546" max="12546" width="23.5703125" style="17" customWidth="1"/>
    <col min="12547" max="12547" width="24.28515625" style="17" customWidth="1"/>
    <col min="12548" max="12548" width="23.5703125" style="17" customWidth="1"/>
    <col min="12549" max="12553" width="24.28515625" style="17" customWidth="1"/>
    <col min="12554" max="12554" width="22.7109375" style="17" customWidth="1"/>
    <col min="12555" max="12555" width="21.5703125" style="17" customWidth="1"/>
    <col min="12556" max="12556" width="21.42578125" style="17" customWidth="1"/>
    <col min="12557" max="12557" width="22.28515625" style="17" customWidth="1"/>
    <col min="12558" max="12558" width="22.5703125" style="17" customWidth="1"/>
    <col min="12559" max="12559" width="23.28515625" style="17" customWidth="1"/>
    <col min="12560" max="12561" width="20.5703125" style="17" customWidth="1"/>
    <col min="12562" max="12562" width="21.28515625" style="17" customWidth="1"/>
    <col min="12563" max="12563" width="21.42578125" style="17" customWidth="1"/>
    <col min="12564" max="12564" width="22" style="17" customWidth="1"/>
    <col min="12565" max="12566" width="21.5703125" style="17" customWidth="1"/>
    <col min="12567" max="12567" width="22.28515625" style="17" customWidth="1"/>
    <col min="12568" max="12568" width="25.42578125" style="17" customWidth="1"/>
    <col min="12569" max="12569" width="25.28515625" style="17" customWidth="1"/>
    <col min="12570" max="12570" width="28.7109375" style="17" customWidth="1"/>
    <col min="12571" max="12571" width="22.140625" style="17" customWidth="1"/>
    <col min="12572" max="12572" width="22" style="17" customWidth="1"/>
    <col min="12573" max="12573" width="24.5703125" style="17" customWidth="1"/>
    <col min="12574" max="12574" width="19.7109375" style="17" customWidth="1"/>
    <col min="12575" max="12575" width="29.140625" style="17" customWidth="1"/>
    <col min="12576" max="12576" width="25.140625" style="17" customWidth="1"/>
    <col min="12577" max="12578" width="29.42578125" style="17" customWidth="1"/>
    <col min="12579" max="12580" width="23.7109375" style="17" customWidth="1"/>
    <col min="12581" max="12581" width="26.7109375" style="17" customWidth="1"/>
    <col min="12582" max="12582" width="29.85546875" style="17" customWidth="1"/>
    <col min="12583" max="12585" width="23.28515625" style="17" customWidth="1"/>
    <col min="12586" max="12586" width="23.85546875" style="17" customWidth="1"/>
    <col min="12587" max="12587" width="26.7109375" style="17" customWidth="1"/>
    <col min="12588" max="12588" width="24.5703125" style="17" customWidth="1"/>
    <col min="12589" max="12589" width="26.85546875" style="17" customWidth="1"/>
    <col min="12590" max="12591" width="23.5703125" style="17" customWidth="1"/>
    <col min="12592" max="12592" width="28.7109375" style="17" customWidth="1"/>
    <col min="12593" max="12593" width="34.42578125" style="17" customWidth="1"/>
    <col min="12594" max="12594" width="29.7109375" style="17" customWidth="1"/>
    <col min="12595" max="12595" width="22" style="17" customWidth="1"/>
    <col min="12596" max="12596" width="23.7109375" style="17" customWidth="1"/>
    <col min="12597" max="12597" width="23.5703125" style="17" customWidth="1"/>
    <col min="12598" max="12601" width="22.140625" style="17" customWidth="1"/>
    <col min="12602" max="12602" width="25.28515625" style="17" customWidth="1"/>
    <col min="12603" max="12603" width="45.42578125" style="17" customWidth="1"/>
    <col min="12604" max="12604" width="24.7109375" style="17" customWidth="1"/>
    <col min="12605" max="12605" width="26.42578125" style="17" customWidth="1"/>
    <col min="12606" max="12606" width="29.28515625" style="17" customWidth="1"/>
    <col min="12607" max="12609" width="27.28515625" style="17" customWidth="1"/>
    <col min="12610" max="12610" width="31.7109375" style="17" customWidth="1"/>
    <col min="12611" max="12611" width="27.7109375" style="17" customWidth="1"/>
    <col min="12612" max="12614" width="28.28515625" style="17" customWidth="1"/>
    <col min="12615" max="12615" width="24.7109375" style="17" customWidth="1"/>
    <col min="12616" max="12616" width="24.140625" style="17" customWidth="1"/>
    <col min="12617" max="12619" width="22.28515625" style="17" customWidth="1"/>
    <col min="12620" max="12620" width="22.42578125" style="17" customWidth="1"/>
    <col min="12621" max="12621" width="23.7109375" style="17" customWidth="1"/>
    <col min="12622" max="12624" width="9.28515625" style="17" customWidth="1"/>
    <col min="12625" max="12778" width="9.28515625" style="17"/>
    <col min="12779" max="12779" width="26.28515625" style="17" customWidth="1"/>
    <col min="12780" max="12780" width="45.42578125" style="17" customWidth="1"/>
    <col min="12781" max="12781" width="14.85546875" style="17" customWidth="1"/>
    <col min="12782" max="12785" width="9.28515625" style="17" customWidth="1"/>
    <col min="12786" max="12786" width="0.140625" style="17" customWidth="1"/>
    <col min="12787" max="12787" width="29.42578125" style="17" customWidth="1"/>
    <col min="12788" max="12788" width="24.42578125" style="17" customWidth="1"/>
    <col min="12789" max="12789" width="26.7109375" style="17" customWidth="1"/>
    <col min="12790" max="12790" width="24.85546875" style="17" customWidth="1"/>
    <col min="12791" max="12791" width="21.28515625" style="17" customWidth="1"/>
    <col min="12792" max="12795" width="21.5703125" style="17" customWidth="1"/>
    <col min="12796" max="12796" width="28.28515625" style="17" customWidth="1"/>
    <col min="12797" max="12797" width="33" style="17" customWidth="1"/>
    <col min="12798" max="12798" width="22.85546875" style="17" customWidth="1"/>
    <col min="12799" max="12799" width="22" style="17" customWidth="1"/>
    <col min="12800" max="12800" width="24.7109375" style="17" customWidth="1"/>
    <col min="12801" max="12801" width="28.7109375" style="17" customWidth="1"/>
    <col min="12802" max="12802" width="23.5703125" style="17" customWidth="1"/>
    <col min="12803" max="12803" width="24.28515625" style="17" customWidth="1"/>
    <col min="12804" max="12804" width="23.5703125" style="17" customWidth="1"/>
    <col min="12805" max="12809" width="24.28515625" style="17" customWidth="1"/>
    <col min="12810" max="12810" width="22.7109375" style="17" customWidth="1"/>
    <col min="12811" max="12811" width="21.5703125" style="17" customWidth="1"/>
    <col min="12812" max="12812" width="21.42578125" style="17" customWidth="1"/>
    <col min="12813" max="12813" width="22.28515625" style="17" customWidth="1"/>
    <col min="12814" max="12814" width="22.5703125" style="17" customWidth="1"/>
    <col min="12815" max="12815" width="23.28515625" style="17" customWidth="1"/>
    <col min="12816" max="12817" width="20.5703125" style="17" customWidth="1"/>
    <col min="12818" max="12818" width="21.28515625" style="17" customWidth="1"/>
    <col min="12819" max="12819" width="21.42578125" style="17" customWidth="1"/>
    <col min="12820" max="12820" width="22" style="17" customWidth="1"/>
    <col min="12821" max="12822" width="21.5703125" style="17" customWidth="1"/>
    <col min="12823" max="12823" width="22.28515625" style="17" customWidth="1"/>
    <col min="12824" max="12824" width="25.42578125" style="17" customWidth="1"/>
    <col min="12825" max="12825" width="25.28515625" style="17" customWidth="1"/>
    <col min="12826" max="12826" width="28.7109375" style="17" customWidth="1"/>
    <col min="12827" max="12827" width="22.140625" style="17" customWidth="1"/>
    <col min="12828" max="12828" width="22" style="17" customWidth="1"/>
    <col min="12829" max="12829" width="24.5703125" style="17" customWidth="1"/>
    <col min="12830" max="12830" width="19.7109375" style="17" customWidth="1"/>
    <col min="12831" max="12831" width="29.140625" style="17" customWidth="1"/>
    <col min="12832" max="12832" width="25.140625" style="17" customWidth="1"/>
    <col min="12833" max="12834" width="29.42578125" style="17" customWidth="1"/>
    <col min="12835" max="12836" width="23.7109375" style="17" customWidth="1"/>
    <col min="12837" max="12837" width="26.7109375" style="17" customWidth="1"/>
    <col min="12838" max="12838" width="29.85546875" style="17" customWidth="1"/>
    <col min="12839" max="12841" width="23.28515625" style="17" customWidth="1"/>
    <col min="12842" max="12842" width="23.85546875" style="17" customWidth="1"/>
    <col min="12843" max="12843" width="26.7109375" style="17" customWidth="1"/>
    <col min="12844" max="12844" width="24.5703125" style="17" customWidth="1"/>
    <col min="12845" max="12845" width="26.85546875" style="17" customWidth="1"/>
    <col min="12846" max="12847" width="23.5703125" style="17" customWidth="1"/>
    <col min="12848" max="12848" width="28.7109375" style="17" customWidth="1"/>
    <col min="12849" max="12849" width="34.42578125" style="17" customWidth="1"/>
    <col min="12850" max="12850" width="29.7109375" style="17" customWidth="1"/>
    <col min="12851" max="12851" width="22" style="17" customWidth="1"/>
    <col min="12852" max="12852" width="23.7109375" style="17" customWidth="1"/>
    <col min="12853" max="12853" width="23.5703125" style="17" customWidth="1"/>
    <col min="12854" max="12857" width="22.140625" style="17" customWidth="1"/>
    <col min="12858" max="12858" width="25.28515625" style="17" customWidth="1"/>
    <col min="12859" max="12859" width="45.42578125" style="17" customWidth="1"/>
    <col min="12860" max="12860" width="24.7109375" style="17" customWidth="1"/>
    <col min="12861" max="12861" width="26.42578125" style="17" customWidth="1"/>
    <col min="12862" max="12862" width="29.28515625" style="17" customWidth="1"/>
    <col min="12863" max="12865" width="27.28515625" style="17" customWidth="1"/>
    <col min="12866" max="12866" width="31.7109375" style="17" customWidth="1"/>
    <col min="12867" max="12867" width="27.7109375" style="17" customWidth="1"/>
    <col min="12868" max="12870" width="28.28515625" style="17" customWidth="1"/>
    <col min="12871" max="12871" width="24.7109375" style="17" customWidth="1"/>
    <col min="12872" max="12872" width="24.140625" style="17" customWidth="1"/>
    <col min="12873" max="12875" width="22.28515625" style="17" customWidth="1"/>
    <col min="12876" max="12876" width="22.42578125" style="17" customWidth="1"/>
    <col min="12877" max="12877" width="23.7109375" style="17" customWidth="1"/>
    <col min="12878" max="12880" width="9.28515625" style="17" customWidth="1"/>
    <col min="12881" max="13034" width="9.28515625" style="17"/>
    <col min="13035" max="13035" width="26.28515625" style="17" customWidth="1"/>
    <col min="13036" max="13036" width="45.42578125" style="17" customWidth="1"/>
    <col min="13037" max="13037" width="14.85546875" style="17" customWidth="1"/>
    <col min="13038" max="13041" width="9.28515625" style="17" customWidth="1"/>
    <col min="13042" max="13042" width="0.140625" style="17" customWidth="1"/>
    <col min="13043" max="13043" width="29.42578125" style="17" customWidth="1"/>
    <col min="13044" max="13044" width="24.42578125" style="17" customWidth="1"/>
    <col min="13045" max="13045" width="26.7109375" style="17" customWidth="1"/>
    <col min="13046" max="13046" width="24.85546875" style="17" customWidth="1"/>
    <col min="13047" max="13047" width="21.28515625" style="17" customWidth="1"/>
    <col min="13048" max="13051" width="21.5703125" style="17" customWidth="1"/>
    <col min="13052" max="13052" width="28.28515625" style="17" customWidth="1"/>
    <col min="13053" max="13053" width="33" style="17" customWidth="1"/>
    <col min="13054" max="13054" width="22.85546875" style="17" customWidth="1"/>
    <col min="13055" max="13055" width="22" style="17" customWidth="1"/>
    <col min="13056" max="13056" width="24.7109375" style="17" customWidth="1"/>
    <col min="13057" max="13057" width="28.7109375" style="17" customWidth="1"/>
    <col min="13058" max="13058" width="23.5703125" style="17" customWidth="1"/>
    <col min="13059" max="13059" width="24.28515625" style="17" customWidth="1"/>
    <col min="13060" max="13060" width="23.5703125" style="17" customWidth="1"/>
    <col min="13061" max="13065" width="24.28515625" style="17" customWidth="1"/>
    <col min="13066" max="13066" width="22.7109375" style="17" customWidth="1"/>
    <col min="13067" max="13067" width="21.5703125" style="17" customWidth="1"/>
    <col min="13068" max="13068" width="21.42578125" style="17" customWidth="1"/>
    <col min="13069" max="13069" width="22.28515625" style="17" customWidth="1"/>
    <col min="13070" max="13070" width="22.5703125" style="17" customWidth="1"/>
    <col min="13071" max="13071" width="23.28515625" style="17" customWidth="1"/>
    <col min="13072" max="13073" width="20.5703125" style="17" customWidth="1"/>
    <col min="13074" max="13074" width="21.28515625" style="17" customWidth="1"/>
    <col min="13075" max="13075" width="21.42578125" style="17" customWidth="1"/>
    <col min="13076" max="13076" width="22" style="17" customWidth="1"/>
    <col min="13077" max="13078" width="21.5703125" style="17" customWidth="1"/>
    <col min="13079" max="13079" width="22.28515625" style="17" customWidth="1"/>
    <col min="13080" max="13080" width="25.42578125" style="17" customWidth="1"/>
    <col min="13081" max="13081" width="25.28515625" style="17" customWidth="1"/>
    <col min="13082" max="13082" width="28.7109375" style="17" customWidth="1"/>
    <col min="13083" max="13083" width="22.140625" style="17" customWidth="1"/>
    <col min="13084" max="13084" width="22" style="17" customWidth="1"/>
    <col min="13085" max="13085" width="24.5703125" style="17" customWidth="1"/>
    <col min="13086" max="13086" width="19.7109375" style="17" customWidth="1"/>
    <col min="13087" max="13087" width="29.140625" style="17" customWidth="1"/>
    <col min="13088" max="13088" width="25.140625" style="17" customWidth="1"/>
    <col min="13089" max="13090" width="29.42578125" style="17" customWidth="1"/>
    <col min="13091" max="13092" width="23.7109375" style="17" customWidth="1"/>
    <col min="13093" max="13093" width="26.7109375" style="17" customWidth="1"/>
    <col min="13094" max="13094" width="29.85546875" style="17" customWidth="1"/>
    <col min="13095" max="13097" width="23.28515625" style="17" customWidth="1"/>
    <col min="13098" max="13098" width="23.85546875" style="17" customWidth="1"/>
    <col min="13099" max="13099" width="26.7109375" style="17" customWidth="1"/>
    <col min="13100" max="13100" width="24.5703125" style="17" customWidth="1"/>
    <col min="13101" max="13101" width="26.85546875" style="17" customWidth="1"/>
    <col min="13102" max="13103" width="23.5703125" style="17" customWidth="1"/>
    <col min="13104" max="13104" width="28.7109375" style="17" customWidth="1"/>
    <col min="13105" max="13105" width="34.42578125" style="17" customWidth="1"/>
    <col min="13106" max="13106" width="29.7109375" style="17" customWidth="1"/>
    <col min="13107" max="13107" width="22" style="17" customWidth="1"/>
    <col min="13108" max="13108" width="23.7109375" style="17" customWidth="1"/>
    <col min="13109" max="13109" width="23.5703125" style="17" customWidth="1"/>
    <col min="13110" max="13113" width="22.140625" style="17" customWidth="1"/>
    <col min="13114" max="13114" width="25.28515625" style="17" customWidth="1"/>
    <col min="13115" max="13115" width="45.42578125" style="17" customWidth="1"/>
    <col min="13116" max="13116" width="24.7109375" style="17" customWidth="1"/>
    <col min="13117" max="13117" width="26.42578125" style="17" customWidth="1"/>
    <col min="13118" max="13118" width="29.28515625" style="17" customWidth="1"/>
    <col min="13119" max="13121" width="27.28515625" style="17" customWidth="1"/>
    <col min="13122" max="13122" width="31.7109375" style="17" customWidth="1"/>
    <col min="13123" max="13123" width="27.7109375" style="17" customWidth="1"/>
    <col min="13124" max="13126" width="28.28515625" style="17" customWidth="1"/>
    <col min="13127" max="13127" width="24.7109375" style="17" customWidth="1"/>
    <col min="13128" max="13128" width="24.140625" style="17" customWidth="1"/>
    <col min="13129" max="13131" width="22.28515625" style="17" customWidth="1"/>
    <col min="13132" max="13132" width="22.42578125" style="17" customWidth="1"/>
    <col min="13133" max="13133" width="23.7109375" style="17" customWidth="1"/>
    <col min="13134" max="13136" width="9.28515625" style="17" customWidth="1"/>
    <col min="13137" max="13290" width="9.28515625" style="17"/>
    <col min="13291" max="13291" width="26.28515625" style="17" customWidth="1"/>
    <col min="13292" max="13292" width="45.42578125" style="17" customWidth="1"/>
    <col min="13293" max="13293" width="14.85546875" style="17" customWidth="1"/>
    <col min="13294" max="13297" width="9.28515625" style="17" customWidth="1"/>
    <col min="13298" max="13298" width="0.140625" style="17" customWidth="1"/>
    <col min="13299" max="13299" width="29.42578125" style="17" customWidth="1"/>
    <col min="13300" max="13300" width="24.42578125" style="17" customWidth="1"/>
    <col min="13301" max="13301" width="26.7109375" style="17" customWidth="1"/>
    <col min="13302" max="13302" width="24.85546875" style="17" customWidth="1"/>
    <col min="13303" max="13303" width="21.28515625" style="17" customWidth="1"/>
    <col min="13304" max="13307" width="21.5703125" style="17" customWidth="1"/>
    <col min="13308" max="13308" width="28.28515625" style="17" customWidth="1"/>
    <col min="13309" max="13309" width="33" style="17" customWidth="1"/>
    <col min="13310" max="13310" width="22.85546875" style="17" customWidth="1"/>
    <col min="13311" max="13311" width="22" style="17" customWidth="1"/>
    <col min="13312" max="13312" width="24.7109375" style="17" customWidth="1"/>
    <col min="13313" max="13313" width="28.7109375" style="17" customWidth="1"/>
    <col min="13314" max="13314" width="23.5703125" style="17" customWidth="1"/>
    <col min="13315" max="13315" width="24.28515625" style="17" customWidth="1"/>
    <col min="13316" max="13316" width="23.5703125" style="17" customWidth="1"/>
    <col min="13317" max="13321" width="24.28515625" style="17" customWidth="1"/>
    <col min="13322" max="13322" width="22.7109375" style="17" customWidth="1"/>
    <col min="13323" max="13323" width="21.5703125" style="17" customWidth="1"/>
    <col min="13324" max="13324" width="21.42578125" style="17" customWidth="1"/>
    <col min="13325" max="13325" width="22.28515625" style="17" customWidth="1"/>
    <col min="13326" max="13326" width="22.5703125" style="17" customWidth="1"/>
    <col min="13327" max="13327" width="23.28515625" style="17" customWidth="1"/>
    <col min="13328" max="13329" width="20.5703125" style="17" customWidth="1"/>
    <col min="13330" max="13330" width="21.28515625" style="17" customWidth="1"/>
    <col min="13331" max="13331" width="21.42578125" style="17" customWidth="1"/>
    <col min="13332" max="13332" width="22" style="17" customWidth="1"/>
    <col min="13333" max="13334" width="21.5703125" style="17" customWidth="1"/>
    <col min="13335" max="13335" width="22.28515625" style="17" customWidth="1"/>
    <col min="13336" max="13336" width="25.42578125" style="17" customWidth="1"/>
    <col min="13337" max="13337" width="25.28515625" style="17" customWidth="1"/>
    <col min="13338" max="13338" width="28.7109375" style="17" customWidth="1"/>
    <col min="13339" max="13339" width="22.140625" style="17" customWidth="1"/>
    <col min="13340" max="13340" width="22" style="17" customWidth="1"/>
    <col min="13341" max="13341" width="24.5703125" style="17" customWidth="1"/>
    <col min="13342" max="13342" width="19.7109375" style="17" customWidth="1"/>
    <col min="13343" max="13343" width="29.140625" style="17" customWidth="1"/>
    <col min="13344" max="13344" width="25.140625" style="17" customWidth="1"/>
    <col min="13345" max="13346" width="29.42578125" style="17" customWidth="1"/>
    <col min="13347" max="13348" width="23.7109375" style="17" customWidth="1"/>
    <col min="13349" max="13349" width="26.7109375" style="17" customWidth="1"/>
    <col min="13350" max="13350" width="29.85546875" style="17" customWidth="1"/>
    <col min="13351" max="13353" width="23.28515625" style="17" customWidth="1"/>
    <col min="13354" max="13354" width="23.85546875" style="17" customWidth="1"/>
    <col min="13355" max="13355" width="26.7109375" style="17" customWidth="1"/>
    <col min="13356" max="13356" width="24.5703125" style="17" customWidth="1"/>
    <col min="13357" max="13357" width="26.85546875" style="17" customWidth="1"/>
    <col min="13358" max="13359" width="23.5703125" style="17" customWidth="1"/>
    <col min="13360" max="13360" width="28.7109375" style="17" customWidth="1"/>
    <col min="13361" max="13361" width="34.42578125" style="17" customWidth="1"/>
    <col min="13362" max="13362" width="29.7109375" style="17" customWidth="1"/>
    <col min="13363" max="13363" width="22" style="17" customWidth="1"/>
    <col min="13364" max="13364" width="23.7109375" style="17" customWidth="1"/>
    <col min="13365" max="13365" width="23.5703125" style="17" customWidth="1"/>
    <col min="13366" max="13369" width="22.140625" style="17" customWidth="1"/>
    <col min="13370" max="13370" width="25.28515625" style="17" customWidth="1"/>
    <col min="13371" max="13371" width="45.42578125" style="17" customWidth="1"/>
    <col min="13372" max="13372" width="24.7109375" style="17" customWidth="1"/>
    <col min="13373" max="13373" width="26.42578125" style="17" customWidth="1"/>
    <col min="13374" max="13374" width="29.28515625" style="17" customWidth="1"/>
    <col min="13375" max="13377" width="27.28515625" style="17" customWidth="1"/>
    <col min="13378" max="13378" width="31.7109375" style="17" customWidth="1"/>
    <col min="13379" max="13379" width="27.7109375" style="17" customWidth="1"/>
    <col min="13380" max="13382" width="28.28515625" style="17" customWidth="1"/>
    <col min="13383" max="13383" width="24.7109375" style="17" customWidth="1"/>
    <col min="13384" max="13384" width="24.140625" style="17" customWidth="1"/>
    <col min="13385" max="13387" width="22.28515625" style="17" customWidth="1"/>
    <col min="13388" max="13388" width="22.42578125" style="17" customWidth="1"/>
    <col min="13389" max="13389" width="23.7109375" style="17" customWidth="1"/>
    <col min="13390" max="13392" width="9.28515625" style="17" customWidth="1"/>
    <col min="13393" max="13546" width="9.28515625" style="17"/>
    <col min="13547" max="13547" width="26.28515625" style="17" customWidth="1"/>
    <col min="13548" max="13548" width="45.42578125" style="17" customWidth="1"/>
    <col min="13549" max="13549" width="14.85546875" style="17" customWidth="1"/>
    <col min="13550" max="13553" width="9.28515625" style="17" customWidth="1"/>
    <col min="13554" max="13554" width="0.140625" style="17" customWidth="1"/>
    <col min="13555" max="13555" width="29.42578125" style="17" customWidth="1"/>
    <col min="13556" max="13556" width="24.42578125" style="17" customWidth="1"/>
    <col min="13557" max="13557" width="26.7109375" style="17" customWidth="1"/>
    <col min="13558" max="13558" width="24.85546875" style="17" customWidth="1"/>
    <col min="13559" max="13559" width="21.28515625" style="17" customWidth="1"/>
    <col min="13560" max="13563" width="21.5703125" style="17" customWidth="1"/>
    <col min="13564" max="13564" width="28.28515625" style="17" customWidth="1"/>
    <col min="13565" max="13565" width="33" style="17" customWidth="1"/>
    <col min="13566" max="13566" width="22.85546875" style="17" customWidth="1"/>
    <col min="13567" max="13567" width="22" style="17" customWidth="1"/>
    <col min="13568" max="13568" width="24.7109375" style="17" customWidth="1"/>
    <col min="13569" max="13569" width="28.7109375" style="17" customWidth="1"/>
    <col min="13570" max="13570" width="23.5703125" style="17" customWidth="1"/>
    <col min="13571" max="13571" width="24.28515625" style="17" customWidth="1"/>
    <col min="13572" max="13572" width="23.5703125" style="17" customWidth="1"/>
    <col min="13573" max="13577" width="24.28515625" style="17" customWidth="1"/>
    <col min="13578" max="13578" width="22.7109375" style="17" customWidth="1"/>
    <col min="13579" max="13579" width="21.5703125" style="17" customWidth="1"/>
    <col min="13580" max="13580" width="21.42578125" style="17" customWidth="1"/>
    <col min="13581" max="13581" width="22.28515625" style="17" customWidth="1"/>
    <col min="13582" max="13582" width="22.5703125" style="17" customWidth="1"/>
    <col min="13583" max="13583" width="23.28515625" style="17" customWidth="1"/>
    <col min="13584" max="13585" width="20.5703125" style="17" customWidth="1"/>
    <col min="13586" max="13586" width="21.28515625" style="17" customWidth="1"/>
    <col min="13587" max="13587" width="21.42578125" style="17" customWidth="1"/>
    <col min="13588" max="13588" width="22" style="17" customWidth="1"/>
    <col min="13589" max="13590" width="21.5703125" style="17" customWidth="1"/>
    <col min="13591" max="13591" width="22.28515625" style="17" customWidth="1"/>
    <col min="13592" max="13592" width="25.42578125" style="17" customWidth="1"/>
    <col min="13593" max="13593" width="25.28515625" style="17" customWidth="1"/>
    <col min="13594" max="13594" width="28.7109375" style="17" customWidth="1"/>
    <col min="13595" max="13595" width="22.140625" style="17" customWidth="1"/>
    <col min="13596" max="13596" width="22" style="17" customWidth="1"/>
    <col min="13597" max="13597" width="24.5703125" style="17" customWidth="1"/>
    <col min="13598" max="13598" width="19.7109375" style="17" customWidth="1"/>
    <col min="13599" max="13599" width="29.140625" style="17" customWidth="1"/>
    <col min="13600" max="13600" width="25.140625" style="17" customWidth="1"/>
    <col min="13601" max="13602" width="29.42578125" style="17" customWidth="1"/>
    <col min="13603" max="13604" width="23.7109375" style="17" customWidth="1"/>
    <col min="13605" max="13605" width="26.7109375" style="17" customWidth="1"/>
    <col min="13606" max="13606" width="29.85546875" style="17" customWidth="1"/>
    <col min="13607" max="13609" width="23.28515625" style="17" customWidth="1"/>
    <col min="13610" max="13610" width="23.85546875" style="17" customWidth="1"/>
    <col min="13611" max="13611" width="26.7109375" style="17" customWidth="1"/>
    <col min="13612" max="13612" width="24.5703125" style="17" customWidth="1"/>
    <col min="13613" max="13613" width="26.85546875" style="17" customWidth="1"/>
    <col min="13614" max="13615" width="23.5703125" style="17" customWidth="1"/>
    <col min="13616" max="13616" width="28.7109375" style="17" customWidth="1"/>
    <col min="13617" max="13617" width="34.42578125" style="17" customWidth="1"/>
    <col min="13618" max="13618" width="29.7109375" style="17" customWidth="1"/>
    <col min="13619" max="13619" width="22" style="17" customWidth="1"/>
    <col min="13620" max="13620" width="23.7109375" style="17" customWidth="1"/>
    <col min="13621" max="13621" width="23.5703125" style="17" customWidth="1"/>
    <col min="13622" max="13625" width="22.140625" style="17" customWidth="1"/>
    <col min="13626" max="13626" width="25.28515625" style="17" customWidth="1"/>
    <col min="13627" max="13627" width="45.42578125" style="17" customWidth="1"/>
    <col min="13628" max="13628" width="24.7109375" style="17" customWidth="1"/>
    <col min="13629" max="13629" width="26.42578125" style="17" customWidth="1"/>
    <col min="13630" max="13630" width="29.28515625" style="17" customWidth="1"/>
    <col min="13631" max="13633" width="27.28515625" style="17" customWidth="1"/>
    <col min="13634" max="13634" width="31.7109375" style="17" customWidth="1"/>
    <col min="13635" max="13635" width="27.7109375" style="17" customWidth="1"/>
    <col min="13636" max="13638" width="28.28515625" style="17" customWidth="1"/>
    <col min="13639" max="13639" width="24.7109375" style="17" customWidth="1"/>
    <col min="13640" max="13640" width="24.140625" style="17" customWidth="1"/>
    <col min="13641" max="13643" width="22.28515625" style="17" customWidth="1"/>
    <col min="13644" max="13644" width="22.42578125" style="17" customWidth="1"/>
    <col min="13645" max="13645" width="23.7109375" style="17" customWidth="1"/>
    <col min="13646" max="13648" width="9.28515625" style="17" customWidth="1"/>
    <col min="13649" max="13802" width="9.28515625" style="17"/>
    <col min="13803" max="13803" width="26.28515625" style="17" customWidth="1"/>
    <col min="13804" max="13804" width="45.42578125" style="17" customWidth="1"/>
    <col min="13805" max="13805" width="14.85546875" style="17" customWidth="1"/>
    <col min="13806" max="13809" width="9.28515625" style="17" customWidth="1"/>
    <col min="13810" max="13810" width="0.140625" style="17" customWidth="1"/>
    <col min="13811" max="13811" width="29.42578125" style="17" customWidth="1"/>
    <col min="13812" max="13812" width="24.42578125" style="17" customWidth="1"/>
    <col min="13813" max="13813" width="26.7109375" style="17" customWidth="1"/>
    <col min="13814" max="13814" width="24.85546875" style="17" customWidth="1"/>
    <col min="13815" max="13815" width="21.28515625" style="17" customWidth="1"/>
    <col min="13816" max="13819" width="21.5703125" style="17" customWidth="1"/>
    <col min="13820" max="13820" width="28.28515625" style="17" customWidth="1"/>
    <col min="13821" max="13821" width="33" style="17" customWidth="1"/>
    <col min="13822" max="13822" width="22.85546875" style="17" customWidth="1"/>
    <col min="13823" max="13823" width="22" style="17" customWidth="1"/>
    <col min="13824" max="13824" width="24.7109375" style="17" customWidth="1"/>
    <col min="13825" max="13825" width="28.7109375" style="17" customWidth="1"/>
    <col min="13826" max="13826" width="23.5703125" style="17" customWidth="1"/>
    <col min="13827" max="13827" width="24.28515625" style="17" customWidth="1"/>
    <col min="13828" max="13828" width="23.5703125" style="17" customWidth="1"/>
    <col min="13829" max="13833" width="24.28515625" style="17" customWidth="1"/>
    <col min="13834" max="13834" width="22.7109375" style="17" customWidth="1"/>
    <col min="13835" max="13835" width="21.5703125" style="17" customWidth="1"/>
    <col min="13836" max="13836" width="21.42578125" style="17" customWidth="1"/>
    <col min="13837" max="13837" width="22.28515625" style="17" customWidth="1"/>
    <col min="13838" max="13838" width="22.5703125" style="17" customWidth="1"/>
    <col min="13839" max="13839" width="23.28515625" style="17" customWidth="1"/>
    <col min="13840" max="13841" width="20.5703125" style="17" customWidth="1"/>
    <col min="13842" max="13842" width="21.28515625" style="17" customWidth="1"/>
    <col min="13843" max="13843" width="21.42578125" style="17" customWidth="1"/>
    <col min="13844" max="13844" width="22" style="17" customWidth="1"/>
    <col min="13845" max="13846" width="21.5703125" style="17" customWidth="1"/>
    <col min="13847" max="13847" width="22.28515625" style="17" customWidth="1"/>
    <col min="13848" max="13848" width="25.42578125" style="17" customWidth="1"/>
    <col min="13849" max="13849" width="25.28515625" style="17" customWidth="1"/>
    <col min="13850" max="13850" width="28.7109375" style="17" customWidth="1"/>
    <col min="13851" max="13851" width="22.140625" style="17" customWidth="1"/>
    <col min="13852" max="13852" width="22" style="17" customWidth="1"/>
    <col min="13853" max="13853" width="24.5703125" style="17" customWidth="1"/>
    <col min="13854" max="13854" width="19.7109375" style="17" customWidth="1"/>
    <col min="13855" max="13855" width="29.140625" style="17" customWidth="1"/>
    <col min="13856" max="13856" width="25.140625" style="17" customWidth="1"/>
    <col min="13857" max="13858" width="29.42578125" style="17" customWidth="1"/>
    <col min="13859" max="13860" width="23.7109375" style="17" customWidth="1"/>
    <col min="13861" max="13861" width="26.7109375" style="17" customWidth="1"/>
    <col min="13862" max="13862" width="29.85546875" style="17" customWidth="1"/>
    <col min="13863" max="13865" width="23.28515625" style="17" customWidth="1"/>
    <col min="13866" max="13866" width="23.85546875" style="17" customWidth="1"/>
    <col min="13867" max="13867" width="26.7109375" style="17" customWidth="1"/>
    <col min="13868" max="13868" width="24.5703125" style="17" customWidth="1"/>
    <col min="13869" max="13869" width="26.85546875" style="17" customWidth="1"/>
    <col min="13870" max="13871" width="23.5703125" style="17" customWidth="1"/>
    <col min="13872" max="13872" width="28.7109375" style="17" customWidth="1"/>
    <col min="13873" max="13873" width="34.42578125" style="17" customWidth="1"/>
    <col min="13874" max="13874" width="29.7109375" style="17" customWidth="1"/>
    <col min="13875" max="13875" width="22" style="17" customWidth="1"/>
    <col min="13876" max="13876" width="23.7109375" style="17" customWidth="1"/>
    <col min="13877" max="13877" width="23.5703125" style="17" customWidth="1"/>
    <col min="13878" max="13881" width="22.140625" style="17" customWidth="1"/>
    <col min="13882" max="13882" width="25.28515625" style="17" customWidth="1"/>
    <col min="13883" max="13883" width="45.42578125" style="17" customWidth="1"/>
    <col min="13884" max="13884" width="24.7109375" style="17" customWidth="1"/>
    <col min="13885" max="13885" width="26.42578125" style="17" customWidth="1"/>
    <col min="13886" max="13886" width="29.28515625" style="17" customWidth="1"/>
    <col min="13887" max="13889" width="27.28515625" style="17" customWidth="1"/>
    <col min="13890" max="13890" width="31.7109375" style="17" customWidth="1"/>
    <col min="13891" max="13891" width="27.7109375" style="17" customWidth="1"/>
    <col min="13892" max="13894" width="28.28515625" style="17" customWidth="1"/>
    <col min="13895" max="13895" width="24.7109375" style="17" customWidth="1"/>
    <col min="13896" max="13896" width="24.140625" style="17" customWidth="1"/>
    <col min="13897" max="13899" width="22.28515625" style="17" customWidth="1"/>
    <col min="13900" max="13900" width="22.42578125" style="17" customWidth="1"/>
    <col min="13901" max="13901" width="23.7109375" style="17" customWidth="1"/>
    <col min="13902" max="13904" width="9.28515625" style="17" customWidth="1"/>
    <col min="13905" max="14058" width="9.28515625" style="17"/>
    <col min="14059" max="14059" width="26.28515625" style="17" customWidth="1"/>
    <col min="14060" max="14060" width="45.42578125" style="17" customWidth="1"/>
    <col min="14061" max="14061" width="14.85546875" style="17" customWidth="1"/>
    <col min="14062" max="14065" width="9.28515625" style="17" customWidth="1"/>
    <col min="14066" max="14066" width="0.140625" style="17" customWidth="1"/>
    <col min="14067" max="14067" width="29.42578125" style="17" customWidth="1"/>
    <col min="14068" max="14068" width="24.42578125" style="17" customWidth="1"/>
    <col min="14069" max="14069" width="26.7109375" style="17" customWidth="1"/>
    <col min="14070" max="14070" width="24.85546875" style="17" customWidth="1"/>
    <col min="14071" max="14071" width="21.28515625" style="17" customWidth="1"/>
    <col min="14072" max="14075" width="21.5703125" style="17" customWidth="1"/>
    <col min="14076" max="14076" width="28.28515625" style="17" customWidth="1"/>
    <col min="14077" max="14077" width="33" style="17" customWidth="1"/>
    <col min="14078" max="14078" width="22.85546875" style="17" customWidth="1"/>
    <col min="14079" max="14079" width="22" style="17" customWidth="1"/>
    <col min="14080" max="14080" width="24.7109375" style="17" customWidth="1"/>
    <col min="14081" max="14081" width="28.7109375" style="17" customWidth="1"/>
    <col min="14082" max="14082" width="23.5703125" style="17" customWidth="1"/>
    <col min="14083" max="14083" width="24.28515625" style="17" customWidth="1"/>
    <col min="14084" max="14084" width="23.5703125" style="17" customWidth="1"/>
    <col min="14085" max="14089" width="24.28515625" style="17" customWidth="1"/>
    <col min="14090" max="14090" width="22.7109375" style="17" customWidth="1"/>
    <col min="14091" max="14091" width="21.5703125" style="17" customWidth="1"/>
    <col min="14092" max="14092" width="21.42578125" style="17" customWidth="1"/>
    <col min="14093" max="14093" width="22.28515625" style="17" customWidth="1"/>
    <col min="14094" max="14094" width="22.5703125" style="17" customWidth="1"/>
    <col min="14095" max="14095" width="23.28515625" style="17" customWidth="1"/>
    <col min="14096" max="14097" width="20.5703125" style="17" customWidth="1"/>
    <col min="14098" max="14098" width="21.28515625" style="17" customWidth="1"/>
    <col min="14099" max="14099" width="21.42578125" style="17" customWidth="1"/>
    <col min="14100" max="14100" width="22" style="17" customWidth="1"/>
    <col min="14101" max="14102" width="21.5703125" style="17" customWidth="1"/>
    <col min="14103" max="14103" width="22.28515625" style="17" customWidth="1"/>
    <col min="14104" max="14104" width="25.42578125" style="17" customWidth="1"/>
    <col min="14105" max="14105" width="25.28515625" style="17" customWidth="1"/>
    <col min="14106" max="14106" width="28.7109375" style="17" customWidth="1"/>
    <col min="14107" max="14107" width="22.140625" style="17" customWidth="1"/>
    <col min="14108" max="14108" width="22" style="17" customWidth="1"/>
    <col min="14109" max="14109" width="24.5703125" style="17" customWidth="1"/>
    <col min="14110" max="14110" width="19.7109375" style="17" customWidth="1"/>
    <col min="14111" max="14111" width="29.140625" style="17" customWidth="1"/>
    <col min="14112" max="14112" width="25.140625" style="17" customWidth="1"/>
    <col min="14113" max="14114" width="29.42578125" style="17" customWidth="1"/>
    <col min="14115" max="14116" width="23.7109375" style="17" customWidth="1"/>
    <col min="14117" max="14117" width="26.7109375" style="17" customWidth="1"/>
    <col min="14118" max="14118" width="29.85546875" style="17" customWidth="1"/>
    <col min="14119" max="14121" width="23.28515625" style="17" customWidth="1"/>
    <col min="14122" max="14122" width="23.85546875" style="17" customWidth="1"/>
    <col min="14123" max="14123" width="26.7109375" style="17" customWidth="1"/>
    <col min="14124" max="14124" width="24.5703125" style="17" customWidth="1"/>
    <col min="14125" max="14125" width="26.85546875" style="17" customWidth="1"/>
    <col min="14126" max="14127" width="23.5703125" style="17" customWidth="1"/>
    <col min="14128" max="14128" width="28.7109375" style="17" customWidth="1"/>
    <col min="14129" max="14129" width="34.42578125" style="17" customWidth="1"/>
    <col min="14130" max="14130" width="29.7109375" style="17" customWidth="1"/>
    <col min="14131" max="14131" width="22" style="17" customWidth="1"/>
    <col min="14132" max="14132" width="23.7109375" style="17" customWidth="1"/>
    <col min="14133" max="14133" width="23.5703125" style="17" customWidth="1"/>
    <col min="14134" max="14137" width="22.140625" style="17" customWidth="1"/>
    <col min="14138" max="14138" width="25.28515625" style="17" customWidth="1"/>
    <col min="14139" max="14139" width="45.42578125" style="17" customWidth="1"/>
    <col min="14140" max="14140" width="24.7109375" style="17" customWidth="1"/>
    <col min="14141" max="14141" width="26.42578125" style="17" customWidth="1"/>
    <col min="14142" max="14142" width="29.28515625" style="17" customWidth="1"/>
    <col min="14143" max="14145" width="27.28515625" style="17" customWidth="1"/>
    <col min="14146" max="14146" width="31.7109375" style="17" customWidth="1"/>
    <col min="14147" max="14147" width="27.7109375" style="17" customWidth="1"/>
    <col min="14148" max="14150" width="28.28515625" style="17" customWidth="1"/>
    <col min="14151" max="14151" width="24.7109375" style="17" customWidth="1"/>
    <col min="14152" max="14152" width="24.140625" style="17" customWidth="1"/>
    <col min="14153" max="14155" width="22.28515625" style="17" customWidth="1"/>
    <col min="14156" max="14156" width="22.42578125" style="17" customWidth="1"/>
    <col min="14157" max="14157" width="23.7109375" style="17" customWidth="1"/>
    <col min="14158" max="14160" width="9.28515625" style="17" customWidth="1"/>
    <col min="14161" max="14314" width="9.28515625" style="17"/>
    <col min="14315" max="14315" width="26.28515625" style="17" customWidth="1"/>
    <col min="14316" max="14316" width="45.42578125" style="17" customWidth="1"/>
    <col min="14317" max="14317" width="14.85546875" style="17" customWidth="1"/>
    <col min="14318" max="14321" width="9.28515625" style="17" customWidth="1"/>
    <col min="14322" max="14322" width="0.140625" style="17" customWidth="1"/>
    <col min="14323" max="14323" width="29.42578125" style="17" customWidth="1"/>
    <col min="14324" max="14324" width="24.42578125" style="17" customWidth="1"/>
    <col min="14325" max="14325" width="26.7109375" style="17" customWidth="1"/>
    <col min="14326" max="14326" width="24.85546875" style="17" customWidth="1"/>
    <col min="14327" max="14327" width="21.28515625" style="17" customWidth="1"/>
    <col min="14328" max="14331" width="21.5703125" style="17" customWidth="1"/>
    <col min="14332" max="14332" width="28.28515625" style="17" customWidth="1"/>
    <col min="14333" max="14333" width="33" style="17" customWidth="1"/>
    <col min="14334" max="14334" width="22.85546875" style="17" customWidth="1"/>
    <col min="14335" max="14335" width="22" style="17" customWidth="1"/>
    <col min="14336" max="14336" width="24.7109375" style="17" customWidth="1"/>
    <col min="14337" max="14337" width="28.7109375" style="17" customWidth="1"/>
    <col min="14338" max="14338" width="23.5703125" style="17" customWidth="1"/>
    <col min="14339" max="14339" width="24.28515625" style="17" customWidth="1"/>
    <col min="14340" max="14340" width="23.5703125" style="17" customWidth="1"/>
    <col min="14341" max="14345" width="24.28515625" style="17" customWidth="1"/>
    <col min="14346" max="14346" width="22.7109375" style="17" customWidth="1"/>
    <col min="14347" max="14347" width="21.5703125" style="17" customWidth="1"/>
    <col min="14348" max="14348" width="21.42578125" style="17" customWidth="1"/>
    <col min="14349" max="14349" width="22.28515625" style="17" customWidth="1"/>
    <col min="14350" max="14350" width="22.5703125" style="17" customWidth="1"/>
    <col min="14351" max="14351" width="23.28515625" style="17" customWidth="1"/>
    <col min="14352" max="14353" width="20.5703125" style="17" customWidth="1"/>
    <col min="14354" max="14354" width="21.28515625" style="17" customWidth="1"/>
    <col min="14355" max="14355" width="21.42578125" style="17" customWidth="1"/>
    <col min="14356" max="14356" width="22" style="17" customWidth="1"/>
    <col min="14357" max="14358" width="21.5703125" style="17" customWidth="1"/>
    <col min="14359" max="14359" width="22.28515625" style="17" customWidth="1"/>
    <col min="14360" max="14360" width="25.42578125" style="17" customWidth="1"/>
    <col min="14361" max="14361" width="25.28515625" style="17" customWidth="1"/>
    <col min="14362" max="14362" width="28.7109375" style="17" customWidth="1"/>
    <col min="14363" max="14363" width="22.140625" style="17" customWidth="1"/>
    <col min="14364" max="14364" width="22" style="17" customWidth="1"/>
    <col min="14365" max="14365" width="24.5703125" style="17" customWidth="1"/>
    <col min="14366" max="14366" width="19.7109375" style="17" customWidth="1"/>
    <col min="14367" max="14367" width="29.140625" style="17" customWidth="1"/>
    <col min="14368" max="14368" width="25.140625" style="17" customWidth="1"/>
    <col min="14369" max="14370" width="29.42578125" style="17" customWidth="1"/>
    <col min="14371" max="14372" width="23.7109375" style="17" customWidth="1"/>
    <col min="14373" max="14373" width="26.7109375" style="17" customWidth="1"/>
    <col min="14374" max="14374" width="29.85546875" style="17" customWidth="1"/>
    <col min="14375" max="14377" width="23.28515625" style="17" customWidth="1"/>
    <col min="14378" max="14378" width="23.85546875" style="17" customWidth="1"/>
    <col min="14379" max="14379" width="26.7109375" style="17" customWidth="1"/>
    <col min="14380" max="14380" width="24.5703125" style="17" customWidth="1"/>
    <col min="14381" max="14381" width="26.85546875" style="17" customWidth="1"/>
    <col min="14382" max="14383" width="23.5703125" style="17" customWidth="1"/>
    <col min="14384" max="14384" width="28.7109375" style="17" customWidth="1"/>
    <col min="14385" max="14385" width="34.42578125" style="17" customWidth="1"/>
    <col min="14386" max="14386" width="29.7109375" style="17" customWidth="1"/>
    <col min="14387" max="14387" width="22" style="17" customWidth="1"/>
    <col min="14388" max="14388" width="23.7109375" style="17" customWidth="1"/>
    <col min="14389" max="14389" width="23.5703125" style="17" customWidth="1"/>
    <col min="14390" max="14393" width="22.140625" style="17" customWidth="1"/>
    <col min="14394" max="14394" width="25.28515625" style="17" customWidth="1"/>
    <col min="14395" max="14395" width="45.42578125" style="17" customWidth="1"/>
    <col min="14396" max="14396" width="24.7109375" style="17" customWidth="1"/>
    <col min="14397" max="14397" width="26.42578125" style="17" customWidth="1"/>
    <col min="14398" max="14398" width="29.28515625" style="17" customWidth="1"/>
    <col min="14399" max="14401" width="27.28515625" style="17" customWidth="1"/>
    <col min="14402" max="14402" width="31.7109375" style="17" customWidth="1"/>
    <col min="14403" max="14403" width="27.7109375" style="17" customWidth="1"/>
    <col min="14404" max="14406" width="28.28515625" style="17" customWidth="1"/>
    <col min="14407" max="14407" width="24.7109375" style="17" customWidth="1"/>
    <col min="14408" max="14408" width="24.140625" style="17" customWidth="1"/>
    <col min="14409" max="14411" width="22.28515625" style="17" customWidth="1"/>
    <col min="14412" max="14412" width="22.42578125" style="17" customWidth="1"/>
    <col min="14413" max="14413" width="23.7109375" style="17" customWidth="1"/>
    <col min="14414" max="14416" width="9.28515625" style="17" customWidth="1"/>
    <col min="14417" max="14570" width="9.28515625" style="17"/>
    <col min="14571" max="14571" width="26.28515625" style="17" customWidth="1"/>
    <col min="14572" max="14572" width="45.42578125" style="17" customWidth="1"/>
    <col min="14573" max="14573" width="14.85546875" style="17" customWidth="1"/>
    <col min="14574" max="14577" width="9.28515625" style="17" customWidth="1"/>
    <col min="14578" max="14578" width="0.140625" style="17" customWidth="1"/>
    <col min="14579" max="14579" width="29.42578125" style="17" customWidth="1"/>
    <col min="14580" max="14580" width="24.42578125" style="17" customWidth="1"/>
    <col min="14581" max="14581" width="26.7109375" style="17" customWidth="1"/>
    <col min="14582" max="14582" width="24.85546875" style="17" customWidth="1"/>
    <col min="14583" max="14583" width="21.28515625" style="17" customWidth="1"/>
    <col min="14584" max="14587" width="21.5703125" style="17" customWidth="1"/>
    <col min="14588" max="14588" width="28.28515625" style="17" customWidth="1"/>
    <col min="14589" max="14589" width="33" style="17" customWidth="1"/>
    <col min="14590" max="14590" width="22.85546875" style="17" customWidth="1"/>
    <col min="14591" max="14591" width="22" style="17" customWidth="1"/>
    <col min="14592" max="14592" width="24.7109375" style="17" customWidth="1"/>
    <col min="14593" max="14593" width="28.7109375" style="17" customWidth="1"/>
    <col min="14594" max="14594" width="23.5703125" style="17" customWidth="1"/>
    <col min="14595" max="14595" width="24.28515625" style="17" customWidth="1"/>
    <col min="14596" max="14596" width="23.5703125" style="17" customWidth="1"/>
    <col min="14597" max="14601" width="24.28515625" style="17" customWidth="1"/>
    <col min="14602" max="14602" width="22.7109375" style="17" customWidth="1"/>
    <col min="14603" max="14603" width="21.5703125" style="17" customWidth="1"/>
    <col min="14604" max="14604" width="21.42578125" style="17" customWidth="1"/>
    <col min="14605" max="14605" width="22.28515625" style="17" customWidth="1"/>
    <col min="14606" max="14606" width="22.5703125" style="17" customWidth="1"/>
    <col min="14607" max="14607" width="23.28515625" style="17" customWidth="1"/>
    <col min="14608" max="14609" width="20.5703125" style="17" customWidth="1"/>
    <col min="14610" max="14610" width="21.28515625" style="17" customWidth="1"/>
    <col min="14611" max="14611" width="21.42578125" style="17" customWidth="1"/>
    <col min="14612" max="14612" width="22" style="17" customWidth="1"/>
    <col min="14613" max="14614" width="21.5703125" style="17" customWidth="1"/>
    <col min="14615" max="14615" width="22.28515625" style="17" customWidth="1"/>
    <col min="14616" max="14616" width="25.42578125" style="17" customWidth="1"/>
    <col min="14617" max="14617" width="25.28515625" style="17" customWidth="1"/>
    <col min="14618" max="14618" width="28.7109375" style="17" customWidth="1"/>
    <col min="14619" max="14619" width="22.140625" style="17" customWidth="1"/>
    <col min="14620" max="14620" width="22" style="17" customWidth="1"/>
    <col min="14621" max="14621" width="24.5703125" style="17" customWidth="1"/>
    <col min="14622" max="14622" width="19.7109375" style="17" customWidth="1"/>
    <col min="14623" max="14623" width="29.140625" style="17" customWidth="1"/>
    <col min="14624" max="14624" width="25.140625" style="17" customWidth="1"/>
    <col min="14625" max="14626" width="29.42578125" style="17" customWidth="1"/>
    <col min="14627" max="14628" width="23.7109375" style="17" customWidth="1"/>
    <col min="14629" max="14629" width="26.7109375" style="17" customWidth="1"/>
    <col min="14630" max="14630" width="29.85546875" style="17" customWidth="1"/>
    <col min="14631" max="14633" width="23.28515625" style="17" customWidth="1"/>
    <col min="14634" max="14634" width="23.85546875" style="17" customWidth="1"/>
    <col min="14635" max="14635" width="26.7109375" style="17" customWidth="1"/>
    <col min="14636" max="14636" width="24.5703125" style="17" customWidth="1"/>
    <col min="14637" max="14637" width="26.85546875" style="17" customWidth="1"/>
    <col min="14638" max="14639" width="23.5703125" style="17" customWidth="1"/>
    <col min="14640" max="14640" width="28.7109375" style="17" customWidth="1"/>
    <col min="14641" max="14641" width="34.42578125" style="17" customWidth="1"/>
    <col min="14642" max="14642" width="29.7109375" style="17" customWidth="1"/>
    <col min="14643" max="14643" width="22" style="17" customWidth="1"/>
    <col min="14644" max="14644" width="23.7109375" style="17" customWidth="1"/>
    <col min="14645" max="14645" width="23.5703125" style="17" customWidth="1"/>
    <col min="14646" max="14649" width="22.140625" style="17" customWidth="1"/>
    <col min="14650" max="14650" width="25.28515625" style="17" customWidth="1"/>
    <col min="14651" max="14651" width="45.42578125" style="17" customWidth="1"/>
    <col min="14652" max="14652" width="24.7109375" style="17" customWidth="1"/>
    <col min="14653" max="14653" width="26.42578125" style="17" customWidth="1"/>
    <col min="14654" max="14654" width="29.28515625" style="17" customWidth="1"/>
    <col min="14655" max="14657" width="27.28515625" style="17" customWidth="1"/>
    <col min="14658" max="14658" width="31.7109375" style="17" customWidth="1"/>
    <col min="14659" max="14659" width="27.7109375" style="17" customWidth="1"/>
    <col min="14660" max="14662" width="28.28515625" style="17" customWidth="1"/>
    <col min="14663" max="14663" width="24.7109375" style="17" customWidth="1"/>
    <col min="14664" max="14664" width="24.140625" style="17" customWidth="1"/>
    <col min="14665" max="14667" width="22.28515625" style="17" customWidth="1"/>
    <col min="14668" max="14668" width="22.42578125" style="17" customWidth="1"/>
    <col min="14669" max="14669" width="23.7109375" style="17" customWidth="1"/>
    <col min="14670" max="14672" width="9.28515625" style="17" customWidth="1"/>
    <col min="14673" max="14826" width="9.28515625" style="17"/>
    <col min="14827" max="14827" width="26.28515625" style="17" customWidth="1"/>
    <col min="14828" max="14828" width="45.42578125" style="17" customWidth="1"/>
    <col min="14829" max="14829" width="14.85546875" style="17" customWidth="1"/>
    <col min="14830" max="14833" width="9.28515625" style="17" customWidth="1"/>
    <col min="14834" max="14834" width="0.140625" style="17" customWidth="1"/>
    <col min="14835" max="14835" width="29.42578125" style="17" customWidth="1"/>
    <col min="14836" max="14836" width="24.42578125" style="17" customWidth="1"/>
    <col min="14837" max="14837" width="26.7109375" style="17" customWidth="1"/>
    <col min="14838" max="14838" width="24.85546875" style="17" customWidth="1"/>
    <col min="14839" max="14839" width="21.28515625" style="17" customWidth="1"/>
    <col min="14840" max="14843" width="21.5703125" style="17" customWidth="1"/>
    <col min="14844" max="14844" width="28.28515625" style="17" customWidth="1"/>
    <col min="14845" max="14845" width="33" style="17" customWidth="1"/>
    <col min="14846" max="14846" width="22.85546875" style="17" customWidth="1"/>
    <col min="14847" max="14847" width="22" style="17" customWidth="1"/>
    <col min="14848" max="14848" width="24.7109375" style="17" customWidth="1"/>
    <col min="14849" max="14849" width="28.7109375" style="17" customWidth="1"/>
    <col min="14850" max="14850" width="23.5703125" style="17" customWidth="1"/>
    <col min="14851" max="14851" width="24.28515625" style="17" customWidth="1"/>
    <col min="14852" max="14852" width="23.5703125" style="17" customWidth="1"/>
    <col min="14853" max="14857" width="24.28515625" style="17" customWidth="1"/>
    <col min="14858" max="14858" width="22.7109375" style="17" customWidth="1"/>
    <col min="14859" max="14859" width="21.5703125" style="17" customWidth="1"/>
    <col min="14860" max="14860" width="21.42578125" style="17" customWidth="1"/>
    <col min="14861" max="14861" width="22.28515625" style="17" customWidth="1"/>
    <col min="14862" max="14862" width="22.5703125" style="17" customWidth="1"/>
    <col min="14863" max="14863" width="23.28515625" style="17" customWidth="1"/>
    <col min="14864" max="14865" width="20.5703125" style="17" customWidth="1"/>
    <col min="14866" max="14866" width="21.28515625" style="17" customWidth="1"/>
    <col min="14867" max="14867" width="21.42578125" style="17" customWidth="1"/>
    <col min="14868" max="14868" width="22" style="17" customWidth="1"/>
    <col min="14869" max="14870" width="21.5703125" style="17" customWidth="1"/>
    <col min="14871" max="14871" width="22.28515625" style="17" customWidth="1"/>
    <col min="14872" max="14872" width="25.42578125" style="17" customWidth="1"/>
    <col min="14873" max="14873" width="25.28515625" style="17" customWidth="1"/>
    <col min="14874" max="14874" width="28.7109375" style="17" customWidth="1"/>
    <col min="14875" max="14875" width="22.140625" style="17" customWidth="1"/>
    <col min="14876" max="14876" width="22" style="17" customWidth="1"/>
    <col min="14877" max="14877" width="24.5703125" style="17" customWidth="1"/>
    <col min="14878" max="14878" width="19.7109375" style="17" customWidth="1"/>
    <col min="14879" max="14879" width="29.140625" style="17" customWidth="1"/>
    <col min="14880" max="14880" width="25.140625" style="17" customWidth="1"/>
    <col min="14881" max="14882" width="29.42578125" style="17" customWidth="1"/>
    <col min="14883" max="14884" width="23.7109375" style="17" customWidth="1"/>
    <col min="14885" max="14885" width="26.7109375" style="17" customWidth="1"/>
    <col min="14886" max="14886" width="29.85546875" style="17" customWidth="1"/>
    <col min="14887" max="14889" width="23.28515625" style="17" customWidth="1"/>
    <col min="14890" max="14890" width="23.85546875" style="17" customWidth="1"/>
    <col min="14891" max="14891" width="26.7109375" style="17" customWidth="1"/>
    <col min="14892" max="14892" width="24.5703125" style="17" customWidth="1"/>
    <col min="14893" max="14893" width="26.85546875" style="17" customWidth="1"/>
    <col min="14894" max="14895" width="23.5703125" style="17" customWidth="1"/>
    <col min="14896" max="14896" width="28.7109375" style="17" customWidth="1"/>
    <col min="14897" max="14897" width="34.42578125" style="17" customWidth="1"/>
    <col min="14898" max="14898" width="29.7109375" style="17" customWidth="1"/>
    <col min="14899" max="14899" width="22" style="17" customWidth="1"/>
    <col min="14900" max="14900" width="23.7109375" style="17" customWidth="1"/>
    <col min="14901" max="14901" width="23.5703125" style="17" customWidth="1"/>
    <col min="14902" max="14905" width="22.140625" style="17" customWidth="1"/>
    <col min="14906" max="14906" width="25.28515625" style="17" customWidth="1"/>
    <col min="14907" max="14907" width="45.42578125" style="17" customWidth="1"/>
    <col min="14908" max="14908" width="24.7109375" style="17" customWidth="1"/>
    <col min="14909" max="14909" width="26.42578125" style="17" customWidth="1"/>
    <col min="14910" max="14910" width="29.28515625" style="17" customWidth="1"/>
    <col min="14911" max="14913" width="27.28515625" style="17" customWidth="1"/>
    <col min="14914" max="14914" width="31.7109375" style="17" customWidth="1"/>
    <col min="14915" max="14915" width="27.7109375" style="17" customWidth="1"/>
    <col min="14916" max="14918" width="28.28515625" style="17" customWidth="1"/>
    <col min="14919" max="14919" width="24.7109375" style="17" customWidth="1"/>
    <col min="14920" max="14920" width="24.140625" style="17" customWidth="1"/>
    <col min="14921" max="14923" width="22.28515625" style="17" customWidth="1"/>
    <col min="14924" max="14924" width="22.42578125" style="17" customWidth="1"/>
    <col min="14925" max="14925" width="23.7109375" style="17" customWidth="1"/>
    <col min="14926" max="14928" width="9.28515625" style="17" customWidth="1"/>
    <col min="14929" max="15082" width="9.28515625" style="17"/>
    <col min="15083" max="15083" width="26.28515625" style="17" customWidth="1"/>
    <col min="15084" max="15084" width="45.42578125" style="17" customWidth="1"/>
    <col min="15085" max="15085" width="14.85546875" style="17" customWidth="1"/>
    <col min="15086" max="15089" width="9.28515625" style="17" customWidth="1"/>
    <col min="15090" max="15090" width="0.140625" style="17" customWidth="1"/>
    <col min="15091" max="15091" width="29.42578125" style="17" customWidth="1"/>
    <col min="15092" max="15092" width="24.42578125" style="17" customWidth="1"/>
    <col min="15093" max="15093" width="26.7109375" style="17" customWidth="1"/>
    <col min="15094" max="15094" width="24.85546875" style="17" customWidth="1"/>
    <col min="15095" max="15095" width="21.28515625" style="17" customWidth="1"/>
    <col min="15096" max="15099" width="21.5703125" style="17" customWidth="1"/>
    <col min="15100" max="15100" width="28.28515625" style="17" customWidth="1"/>
    <col min="15101" max="15101" width="33" style="17" customWidth="1"/>
    <col min="15102" max="15102" width="22.85546875" style="17" customWidth="1"/>
    <col min="15103" max="15103" width="22" style="17" customWidth="1"/>
    <col min="15104" max="15104" width="24.7109375" style="17" customWidth="1"/>
    <col min="15105" max="15105" width="28.7109375" style="17" customWidth="1"/>
    <col min="15106" max="15106" width="23.5703125" style="17" customWidth="1"/>
    <col min="15107" max="15107" width="24.28515625" style="17" customWidth="1"/>
    <col min="15108" max="15108" width="23.5703125" style="17" customWidth="1"/>
    <col min="15109" max="15113" width="24.28515625" style="17" customWidth="1"/>
    <col min="15114" max="15114" width="22.7109375" style="17" customWidth="1"/>
    <col min="15115" max="15115" width="21.5703125" style="17" customWidth="1"/>
    <col min="15116" max="15116" width="21.42578125" style="17" customWidth="1"/>
    <col min="15117" max="15117" width="22.28515625" style="17" customWidth="1"/>
    <col min="15118" max="15118" width="22.5703125" style="17" customWidth="1"/>
    <col min="15119" max="15119" width="23.28515625" style="17" customWidth="1"/>
    <col min="15120" max="15121" width="20.5703125" style="17" customWidth="1"/>
    <col min="15122" max="15122" width="21.28515625" style="17" customWidth="1"/>
    <col min="15123" max="15123" width="21.42578125" style="17" customWidth="1"/>
    <col min="15124" max="15124" width="22" style="17" customWidth="1"/>
    <col min="15125" max="15126" width="21.5703125" style="17" customWidth="1"/>
    <col min="15127" max="15127" width="22.28515625" style="17" customWidth="1"/>
    <col min="15128" max="15128" width="25.42578125" style="17" customWidth="1"/>
    <col min="15129" max="15129" width="25.28515625" style="17" customWidth="1"/>
    <col min="15130" max="15130" width="28.7109375" style="17" customWidth="1"/>
    <col min="15131" max="15131" width="22.140625" style="17" customWidth="1"/>
    <col min="15132" max="15132" width="22" style="17" customWidth="1"/>
    <col min="15133" max="15133" width="24.5703125" style="17" customWidth="1"/>
    <col min="15134" max="15134" width="19.7109375" style="17" customWidth="1"/>
    <col min="15135" max="15135" width="29.140625" style="17" customWidth="1"/>
    <col min="15136" max="15136" width="25.140625" style="17" customWidth="1"/>
    <col min="15137" max="15138" width="29.42578125" style="17" customWidth="1"/>
    <col min="15139" max="15140" width="23.7109375" style="17" customWidth="1"/>
    <col min="15141" max="15141" width="26.7109375" style="17" customWidth="1"/>
    <col min="15142" max="15142" width="29.85546875" style="17" customWidth="1"/>
    <col min="15143" max="15145" width="23.28515625" style="17" customWidth="1"/>
    <col min="15146" max="15146" width="23.85546875" style="17" customWidth="1"/>
    <col min="15147" max="15147" width="26.7109375" style="17" customWidth="1"/>
    <col min="15148" max="15148" width="24.5703125" style="17" customWidth="1"/>
    <col min="15149" max="15149" width="26.85546875" style="17" customWidth="1"/>
    <col min="15150" max="15151" width="23.5703125" style="17" customWidth="1"/>
    <col min="15152" max="15152" width="28.7109375" style="17" customWidth="1"/>
    <col min="15153" max="15153" width="34.42578125" style="17" customWidth="1"/>
    <col min="15154" max="15154" width="29.7109375" style="17" customWidth="1"/>
    <col min="15155" max="15155" width="22" style="17" customWidth="1"/>
    <col min="15156" max="15156" width="23.7109375" style="17" customWidth="1"/>
    <col min="15157" max="15157" width="23.5703125" style="17" customWidth="1"/>
    <col min="15158" max="15161" width="22.140625" style="17" customWidth="1"/>
    <col min="15162" max="15162" width="25.28515625" style="17" customWidth="1"/>
    <col min="15163" max="15163" width="45.42578125" style="17" customWidth="1"/>
    <col min="15164" max="15164" width="24.7109375" style="17" customWidth="1"/>
    <col min="15165" max="15165" width="26.42578125" style="17" customWidth="1"/>
    <col min="15166" max="15166" width="29.28515625" style="17" customWidth="1"/>
    <col min="15167" max="15169" width="27.28515625" style="17" customWidth="1"/>
    <col min="15170" max="15170" width="31.7109375" style="17" customWidth="1"/>
    <col min="15171" max="15171" width="27.7109375" style="17" customWidth="1"/>
    <col min="15172" max="15174" width="28.28515625" style="17" customWidth="1"/>
    <col min="15175" max="15175" width="24.7109375" style="17" customWidth="1"/>
    <col min="15176" max="15176" width="24.140625" style="17" customWidth="1"/>
    <col min="15177" max="15179" width="22.28515625" style="17" customWidth="1"/>
    <col min="15180" max="15180" width="22.42578125" style="17" customWidth="1"/>
    <col min="15181" max="15181" width="23.7109375" style="17" customWidth="1"/>
    <col min="15182" max="15184" width="9.28515625" style="17" customWidth="1"/>
    <col min="15185" max="15338" width="9.28515625" style="17"/>
    <col min="15339" max="15339" width="26.28515625" style="17" customWidth="1"/>
    <col min="15340" max="15340" width="45.42578125" style="17" customWidth="1"/>
    <col min="15341" max="15341" width="14.85546875" style="17" customWidth="1"/>
    <col min="15342" max="15345" width="9.28515625" style="17" customWidth="1"/>
    <col min="15346" max="15346" width="0.140625" style="17" customWidth="1"/>
    <col min="15347" max="15347" width="29.42578125" style="17" customWidth="1"/>
    <col min="15348" max="15348" width="24.42578125" style="17" customWidth="1"/>
    <col min="15349" max="15349" width="26.7109375" style="17" customWidth="1"/>
    <col min="15350" max="15350" width="24.85546875" style="17" customWidth="1"/>
    <col min="15351" max="15351" width="21.28515625" style="17" customWidth="1"/>
    <col min="15352" max="15355" width="21.5703125" style="17" customWidth="1"/>
    <col min="15356" max="15356" width="28.28515625" style="17" customWidth="1"/>
    <col min="15357" max="15357" width="33" style="17" customWidth="1"/>
    <col min="15358" max="15358" width="22.85546875" style="17" customWidth="1"/>
    <col min="15359" max="15359" width="22" style="17" customWidth="1"/>
    <col min="15360" max="15360" width="24.7109375" style="17" customWidth="1"/>
    <col min="15361" max="15361" width="28.7109375" style="17" customWidth="1"/>
    <col min="15362" max="15362" width="23.5703125" style="17" customWidth="1"/>
    <col min="15363" max="15363" width="24.28515625" style="17" customWidth="1"/>
    <col min="15364" max="15364" width="23.5703125" style="17" customWidth="1"/>
    <col min="15365" max="15369" width="24.28515625" style="17" customWidth="1"/>
    <col min="15370" max="15370" width="22.7109375" style="17" customWidth="1"/>
    <col min="15371" max="15371" width="21.5703125" style="17" customWidth="1"/>
    <col min="15372" max="15372" width="21.42578125" style="17" customWidth="1"/>
    <col min="15373" max="15373" width="22.28515625" style="17" customWidth="1"/>
    <col min="15374" max="15374" width="22.5703125" style="17" customWidth="1"/>
    <col min="15375" max="15375" width="23.28515625" style="17" customWidth="1"/>
    <col min="15376" max="15377" width="20.5703125" style="17" customWidth="1"/>
    <col min="15378" max="15378" width="21.28515625" style="17" customWidth="1"/>
    <col min="15379" max="15379" width="21.42578125" style="17" customWidth="1"/>
    <col min="15380" max="15380" width="22" style="17" customWidth="1"/>
    <col min="15381" max="15382" width="21.5703125" style="17" customWidth="1"/>
    <col min="15383" max="15383" width="22.28515625" style="17" customWidth="1"/>
    <col min="15384" max="15384" width="25.42578125" style="17" customWidth="1"/>
    <col min="15385" max="15385" width="25.28515625" style="17" customWidth="1"/>
    <col min="15386" max="15386" width="28.7109375" style="17" customWidth="1"/>
    <col min="15387" max="15387" width="22.140625" style="17" customWidth="1"/>
    <col min="15388" max="15388" width="22" style="17" customWidth="1"/>
    <col min="15389" max="15389" width="24.5703125" style="17" customWidth="1"/>
    <col min="15390" max="15390" width="19.7109375" style="17" customWidth="1"/>
    <col min="15391" max="15391" width="29.140625" style="17" customWidth="1"/>
    <col min="15392" max="15392" width="25.140625" style="17" customWidth="1"/>
    <col min="15393" max="15394" width="29.42578125" style="17" customWidth="1"/>
    <col min="15395" max="15396" width="23.7109375" style="17" customWidth="1"/>
    <col min="15397" max="15397" width="26.7109375" style="17" customWidth="1"/>
    <col min="15398" max="15398" width="29.85546875" style="17" customWidth="1"/>
    <col min="15399" max="15401" width="23.28515625" style="17" customWidth="1"/>
    <col min="15402" max="15402" width="23.85546875" style="17" customWidth="1"/>
    <col min="15403" max="15403" width="26.7109375" style="17" customWidth="1"/>
    <col min="15404" max="15404" width="24.5703125" style="17" customWidth="1"/>
    <col min="15405" max="15405" width="26.85546875" style="17" customWidth="1"/>
    <col min="15406" max="15407" width="23.5703125" style="17" customWidth="1"/>
    <col min="15408" max="15408" width="28.7109375" style="17" customWidth="1"/>
    <col min="15409" max="15409" width="34.42578125" style="17" customWidth="1"/>
    <col min="15410" max="15410" width="29.7109375" style="17" customWidth="1"/>
    <col min="15411" max="15411" width="22" style="17" customWidth="1"/>
    <col min="15412" max="15412" width="23.7109375" style="17" customWidth="1"/>
    <col min="15413" max="15413" width="23.5703125" style="17" customWidth="1"/>
    <col min="15414" max="15417" width="22.140625" style="17" customWidth="1"/>
    <col min="15418" max="15418" width="25.28515625" style="17" customWidth="1"/>
    <col min="15419" max="15419" width="45.42578125" style="17" customWidth="1"/>
    <col min="15420" max="15420" width="24.7109375" style="17" customWidth="1"/>
    <col min="15421" max="15421" width="26.42578125" style="17" customWidth="1"/>
    <col min="15422" max="15422" width="29.28515625" style="17" customWidth="1"/>
    <col min="15423" max="15425" width="27.28515625" style="17" customWidth="1"/>
    <col min="15426" max="15426" width="31.7109375" style="17" customWidth="1"/>
    <col min="15427" max="15427" width="27.7109375" style="17" customWidth="1"/>
    <col min="15428" max="15430" width="28.28515625" style="17" customWidth="1"/>
    <col min="15431" max="15431" width="24.7109375" style="17" customWidth="1"/>
    <col min="15432" max="15432" width="24.140625" style="17" customWidth="1"/>
    <col min="15433" max="15435" width="22.28515625" style="17" customWidth="1"/>
    <col min="15436" max="15436" width="22.42578125" style="17" customWidth="1"/>
    <col min="15437" max="15437" width="23.7109375" style="17" customWidth="1"/>
    <col min="15438" max="15440" width="9.28515625" style="17" customWidth="1"/>
    <col min="15441" max="15594" width="9.28515625" style="17"/>
    <col min="15595" max="15595" width="26.28515625" style="17" customWidth="1"/>
    <col min="15596" max="15596" width="45.42578125" style="17" customWidth="1"/>
    <col min="15597" max="15597" width="14.85546875" style="17" customWidth="1"/>
    <col min="15598" max="15601" width="9.28515625" style="17" customWidth="1"/>
    <col min="15602" max="15602" width="0.140625" style="17" customWidth="1"/>
    <col min="15603" max="15603" width="29.42578125" style="17" customWidth="1"/>
    <col min="15604" max="15604" width="24.42578125" style="17" customWidth="1"/>
    <col min="15605" max="15605" width="26.7109375" style="17" customWidth="1"/>
    <col min="15606" max="15606" width="24.85546875" style="17" customWidth="1"/>
    <col min="15607" max="15607" width="21.28515625" style="17" customWidth="1"/>
    <col min="15608" max="15611" width="21.5703125" style="17" customWidth="1"/>
    <col min="15612" max="15612" width="28.28515625" style="17" customWidth="1"/>
    <col min="15613" max="15613" width="33" style="17" customWidth="1"/>
    <col min="15614" max="15614" width="22.85546875" style="17" customWidth="1"/>
    <col min="15615" max="15615" width="22" style="17" customWidth="1"/>
    <col min="15616" max="15616" width="24.7109375" style="17" customWidth="1"/>
    <col min="15617" max="15617" width="28.7109375" style="17" customWidth="1"/>
    <col min="15618" max="15618" width="23.5703125" style="17" customWidth="1"/>
    <col min="15619" max="15619" width="24.28515625" style="17" customWidth="1"/>
    <col min="15620" max="15620" width="23.5703125" style="17" customWidth="1"/>
    <col min="15621" max="15625" width="24.28515625" style="17" customWidth="1"/>
    <col min="15626" max="15626" width="22.7109375" style="17" customWidth="1"/>
    <col min="15627" max="15627" width="21.5703125" style="17" customWidth="1"/>
    <col min="15628" max="15628" width="21.42578125" style="17" customWidth="1"/>
    <col min="15629" max="15629" width="22.28515625" style="17" customWidth="1"/>
    <col min="15630" max="15630" width="22.5703125" style="17" customWidth="1"/>
    <col min="15631" max="15631" width="23.28515625" style="17" customWidth="1"/>
    <col min="15632" max="15633" width="20.5703125" style="17" customWidth="1"/>
    <col min="15634" max="15634" width="21.28515625" style="17" customWidth="1"/>
    <col min="15635" max="15635" width="21.42578125" style="17" customWidth="1"/>
    <col min="15636" max="15636" width="22" style="17" customWidth="1"/>
    <col min="15637" max="15638" width="21.5703125" style="17" customWidth="1"/>
    <col min="15639" max="15639" width="22.28515625" style="17" customWidth="1"/>
    <col min="15640" max="15640" width="25.42578125" style="17" customWidth="1"/>
    <col min="15641" max="15641" width="25.28515625" style="17" customWidth="1"/>
    <col min="15642" max="15642" width="28.7109375" style="17" customWidth="1"/>
    <col min="15643" max="15643" width="22.140625" style="17" customWidth="1"/>
    <col min="15644" max="15644" width="22" style="17" customWidth="1"/>
    <col min="15645" max="15645" width="24.5703125" style="17" customWidth="1"/>
    <col min="15646" max="15646" width="19.7109375" style="17" customWidth="1"/>
    <col min="15647" max="15647" width="29.140625" style="17" customWidth="1"/>
    <col min="15648" max="15648" width="25.140625" style="17" customWidth="1"/>
    <col min="15649" max="15650" width="29.42578125" style="17" customWidth="1"/>
    <col min="15651" max="15652" width="23.7109375" style="17" customWidth="1"/>
    <col min="15653" max="15653" width="26.7109375" style="17" customWidth="1"/>
    <col min="15654" max="15654" width="29.85546875" style="17" customWidth="1"/>
    <col min="15655" max="15657" width="23.28515625" style="17" customWidth="1"/>
    <col min="15658" max="15658" width="23.85546875" style="17" customWidth="1"/>
    <col min="15659" max="15659" width="26.7109375" style="17" customWidth="1"/>
    <col min="15660" max="15660" width="24.5703125" style="17" customWidth="1"/>
    <col min="15661" max="15661" width="26.85546875" style="17" customWidth="1"/>
    <col min="15662" max="15663" width="23.5703125" style="17" customWidth="1"/>
    <col min="15664" max="15664" width="28.7109375" style="17" customWidth="1"/>
    <col min="15665" max="15665" width="34.42578125" style="17" customWidth="1"/>
    <col min="15666" max="15666" width="29.7109375" style="17" customWidth="1"/>
    <col min="15667" max="15667" width="22" style="17" customWidth="1"/>
    <col min="15668" max="15668" width="23.7109375" style="17" customWidth="1"/>
    <col min="15669" max="15669" width="23.5703125" style="17" customWidth="1"/>
    <col min="15670" max="15673" width="22.140625" style="17" customWidth="1"/>
    <col min="15674" max="15674" width="25.28515625" style="17" customWidth="1"/>
    <col min="15675" max="15675" width="45.42578125" style="17" customWidth="1"/>
    <col min="15676" max="15676" width="24.7109375" style="17" customWidth="1"/>
    <col min="15677" max="15677" width="26.42578125" style="17" customWidth="1"/>
    <col min="15678" max="15678" width="29.28515625" style="17" customWidth="1"/>
    <col min="15679" max="15681" width="27.28515625" style="17" customWidth="1"/>
    <col min="15682" max="15682" width="31.7109375" style="17" customWidth="1"/>
    <col min="15683" max="15683" width="27.7109375" style="17" customWidth="1"/>
    <col min="15684" max="15686" width="28.28515625" style="17" customWidth="1"/>
    <col min="15687" max="15687" width="24.7109375" style="17" customWidth="1"/>
    <col min="15688" max="15688" width="24.140625" style="17" customWidth="1"/>
    <col min="15689" max="15691" width="22.28515625" style="17" customWidth="1"/>
    <col min="15692" max="15692" width="22.42578125" style="17" customWidth="1"/>
    <col min="15693" max="15693" width="23.7109375" style="17" customWidth="1"/>
    <col min="15694" max="15696" width="9.28515625" style="17" customWidth="1"/>
    <col min="15697" max="15850" width="9.28515625" style="17"/>
    <col min="15851" max="15851" width="26.28515625" style="17" customWidth="1"/>
    <col min="15852" max="15852" width="45.42578125" style="17" customWidth="1"/>
    <col min="15853" max="15853" width="14.85546875" style="17" customWidth="1"/>
    <col min="15854" max="15857" width="9.28515625" style="17" customWidth="1"/>
    <col min="15858" max="15858" width="0.140625" style="17" customWidth="1"/>
    <col min="15859" max="15859" width="29.42578125" style="17" customWidth="1"/>
    <col min="15860" max="15860" width="24.42578125" style="17" customWidth="1"/>
    <col min="15861" max="15861" width="26.7109375" style="17" customWidth="1"/>
    <col min="15862" max="15862" width="24.85546875" style="17" customWidth="1"/>
    <col min="15863" max="15863" width="21.28515625" style="17" customWidth="1"/>
    <col min="15864" max="15867" width="21.5703125" style="17" customWidth="1"/>
    <col min="15868" max="15868" width="28.28515625" style="17" customWidth="1"/>
    <col min="15869" max="15869" width="33" style="17" customWidth="1"/>
    <col min="15870" max="15870" width="22.85546875" style="17" customWidth="1"/>
    <col min="15871" max="15871" width="22" style="17" customWidth="1"/>
    <col min="15872" max="15872" width="24.7109375" style="17" customWidth="1"/>
    <col min="15873" max="15873" width="28.7109375" style="17" customWidth="1"/>
    <col min="15874" max="15874" width="23.5703125" style="17" customWidth="1"/>
    <col min="15875" max="15875" width="24.28515625" style="17" customWidth="1"/>
    <col min="15876" max="15876" width="23.5703125" style="17" customWidth="1"/>
    <col min="15877" max="15881" width="24.28515625" style="17" customWidth="1"/>
    <col min="15882" max="15882" width="22.7109375" style="17" customWidth="1"/>
    <col min="15883" max="15883" width="21.5703125" style="17" customWidth="1"/>
    <col min="15884" max="15884" width="21.42578125" style="17" customWidth="1"/>
    <col min="15885" max="15885" width="22.28515625" style="17" customWidth="1"/>
    <col min="15886" max="15886" width="22.5703125" style="17" customWidth="1"/>
    <col min="15887" max="15887" width="23.28515625" style="17" customWidth="1"/>
    <col min="15888" max="15889" width="20.5703125" style="17" customWidth="1"/>
    <col min="15890" max="15890" width="21.28515625" style="17" customWidth="1"/>
    <col min="15891" max="15891" width="21.42578125" style="17" customWidth="1"/>
    <col min="15892" max="15892" width="22" style="17" customWidth="1"/>
    <col min="15893" max="15894" width="21.5703125" style="17" customWidth="1"/>
    <col min="15895" max="15895" width="22.28515625" style="17" customWidth="1"/>
    <col min="15896" max="15896" width="25.42578125" style="17" customWidth="1"/>
    <col min="15897" max="15897" width="25.28515625" style="17" customWidth="1"/>
    <col min="15898" max="15898" width="28.7109375" style="17" customWidth="1"/>
    <col min="15899" max="15899" width="22.140625" style="17" customWidth="1"/>
    <col min="15900" max="15900" width="22" style="17" customWidth="1"/>
    <col min="15901" max="15901" width="24.5703125" style="17" customWidth="1"/>
    <col min="15902" max="15902" width="19.7109375" style="17" customWidth="1"/>
    <col min="15903" max="15903" width="29.140625" style="17" customWidth="1"/>
    <col min="15904" max="15904" width="25.140625" style="17" customWidth="1"/>
    <col min="15905" max="15906" width="29.42578125" style="17" customWidth="1"/>
    <col min="15907" max="15908" width="23.7109375" style="17" customWidth="1"/>
    <col min="15909" max="15909" width="26.7109375" style="17" customWidth="1"/>
    <col min="15910" max="15910" width="29.85546875" style="17" customWidth="1"/>
    <col min="15911" max="15913" width="23.28515625" style="17" customWidth="1"/>
    <col min="15914" max="15914" width="23.85546875" style="17" customWidth="1"/>
    <col min="15915" max="15915" width="26.7109375" style="17" customWidth="1"/>
    <col min="15916" max="15916" width="24.5703125" style="17" customWidth="1"/>
    <col min="15917" max="15917" width="26.85546875" style="17" customWidth="1"/>
    <col min="15918" max="15919" width="23.5703125" style="17" customWidth="1"/>
    <col min="15920" max="15920" width="28.7109375" style="17" customWidth="1"/>
    <col min="15921" max="15921" width="34.42578125" style="17" customWidth="1"/>
    <col min="15922" max="15922" width="29.7109375" style="17" customWidth="1"/>
    <col min="15923" max="15923" width="22" style="17" customWidth="1"/>
    <col min="15924" max="15924" width="23.7109375" style="17" customWidth="1"/>
    <col min="15925" max="15925" width="23.5703125" style="17" customWidth="1"/>
    <col min="15926" max="15929" width="22.140625" style="17" customWidth="1"/>
    <col min="15930" max="15930" width="25.28515625" style="17" customWidth="1"/>
    <col min="15931" max="15931" width="45.42578125" style="17" customWidth="1"/>
    <col min="15932" max="15932" width="24.7109375" style="17" customWidth="1"/>
    <col min="15933" max="15933" width="26.42578125" style="17" customWidth="1"/>
    <col min="15934" max="15934" width="29.28515625" style="17" customWidth="1"/>
    <col min="15935" max="15937" width="27.28515625" style="17" customWidth="1"/>
    <col min="15938" max="15938" width="31.7109375" style="17" customWidth="1"/>
    <col min="15939" max="15939" width="27.7109375" style="17" customWidth="1"/>
    <col min="15940" max="15942" width="28.28515625" style="17" customWidth="1"/>
    <col min="15943" max="15943" width="24.7109375" style="17" customWidth="1"/>
    <col min="15944" max="15944" width="24.140625" style="17" customWidth="1"/>
    <col min="15945" max="15947" width="22.28515625" style="17" customWidth="1"/>
    <col min="15948" max="15948" width="22.42578125" style="17" customWidth="1"/>
    <col min="15949" max="15949" width="23.7109375" style="17" customWidth="1"/>
    <col min="15950" max="15952" width="9.28515625" style="17" customWidth="1"/>
    <col min="15953" max="16106" width="9.28515625" style="17"/>
    <col min="16107" max="16107" width="26.28515625" style="17" customWidth="1"/>
    <col min="16108" max="16108" width="45.42578125" style="17" customWidth="1"/>
    <col min="16109" max="16109" width="14.85546875" style="17" customWidth="1"/>
    <col min="16110" max="16113" width="9.28515625" style="17" customWidth="1"/>
    <col min="16114" max="16114" width="0.140625" style="17" customWidth="1"/>
    <col min="16115" max="16115" width="29.42578125" style="17" customWidth="1"/>
    <col min="16116" max="16116" width="24.42578125" style="17" customWidth="1"/>
    <col min="16117" max="16117" width="26.7109375" style="17" customWidth="1"/>
    <col min="16118" max="16118" width="24.85546875" style="17" customWidth="1"/>
    <col min="16119" max="16119" width="21.28515625" style="17" customWidth="1"/>
    <col min="16120" max="16123" width="21.5703125" style="17" customWidth="1"/>
    <col min="16124" max="16124" width="28.28515625" style="17" customWidth="1"/>
    <col min="16125" max="16125" width="33" style="17" customWidth="1"/>
    <col min="16126" max="16126" width="22.85546875" style="17" customWidth="1"/>
    <col min="16127" max="16127" width="22" style="17" customWidth="1"/>
    <col min="16128" max="16128" width="24.7109375" style="17" customWidth="1"/>
    <col min="16129" max="16129" width="28.7109375" style="17" customWidth="1"/>
    <col min="16130" max="16130" width="23.5703125" style="17" customWidth="1"/>
    <col min="16131" max="16131" width="24.28515625" style="17" customWidth="1"/>
    <col min="16132" max="16132" width="23.5703125" style="17" customWidth="1"/>
    <col min="16133" max="16137" width="24.28515625" style="17" customWidth="1"/>
    <col min="16138" max="16138" width="22.7109375" style="17" customWidth="1"/>
    <col min="16139" max="16139" width="21.5703125" style="17" customWidth="1"/>
    <col min="16140" max="16140" width="21.42578125" style="17" customWidth="1"/>
    <col min="16141" max="16141" width="22.28515625" style="17" customWidth="1"/>
    <col min="16142" max="16142" width="22.5703125" style="17" customWidth="1"/>
    <col min="16143" max="16143" width="23.28515625" style="17" customWidth="1"/>
    <col min="16144" max="16145" width="20.5703125" style="17" customWidth="1"/>
    <col min="16146" max="16146" width="21.28515625" style="17" customWidth="1"/>
    <col min="16147" max="16147" width="21.42578125" style="17" customWidth="1"/>
    <col min="16148" max="16148" width="22" style="17" customWidth="1"/>
    <col min="16149" max="16150" width="21.5703125" style="17" customWidth="1"/>
    <col min="16151" max="16151" width="22.28515625" style="17" customWidth="1"/>
    <col min="16152" max="16152" width="25.42578125" style="17" customWidth="1"/>
    <col min="16153" max="16153" width="25.28515625" style="17" customWidth="1"/>
    <col min="16154" max="16154" width="28.7109375" style="17" customWidth="1"/>
    <col min="16155" max="16155" width="22.140625" style="17" customWidth="1"/>
    <col min="16156" max="16156" width="22" style="17" customWidth="1"/>
    <col min="16157" max="16157" width="24.5703125" style="17" customWidth="1"/>
    <col min="16158" max="16158" width="19.7109375" style="17" customWidth="1"/>
    <col min="16159" max="16159" width="29.140625" style="17" customWidth="1"/>
    <col min="16160" max="16160" width="25.140625" style="17" customWidth="1"/>
    <col min="16161" max="16162" width="29.42578125" style="17" customWidth="1"/>
    <col min="16163" max="16164" width="23.7109375" style="17" customWidth="1"/>
    <col min="16165" max="16165" width="26.7109375" style="17" customWidth="1"/>
    <col min="16166" max="16166" width="29.85546875" style="17" customWidth="1"/>
    <col min="16167" max="16169" width="23.28515625" style="17" customWidth="1"/>
    <col min="16170" max="16170" width="23.85546875" style="17" customWidth="1"/>
    <col min="16171" max="16171" width="26.7109375" style="17" customWidth="1"/>
    <col min="16172" max="16172" width="24.5703125" style="17" customWidth="1"/>
    <col min="16173" max="16173" width="26.85546875" style="17" customWidth="1"/>
    <col min="16174" max="16175" width="23.5703125" style="17" customWidth="1"/>
    <col min="16176" max="16176" width="28.7109375" style="17" customWidth="1"/>
    <col min="16177" max="16177" width="34.42578125" style="17" customWidth="1"/>
    <col min="16178" max="16178" width="29.7109375" style="17" customWidth="1"/>
    <col min="16179" max="16179" width="22" style="17" customWidth="1"/>
    <col min="16180" max="16180" width="23.7109375" style="17" customWidth="1"/>
    <col min="16181" max="16181" width="23.5703125" style="17" customWidth="1"/>
    <col min="16182" max="16185" width="22.140625" style="17" customWidth="1"/>
    <col min="16186" max="16186" width="25.28515625" style="17" customWidth="1"/>
    <col min="16187" max="16187" width="45.42578125" style="17" customWidth="1"/>
    <col min="16188" max="16188" width="24.7109375" style="17" customWidth="1"/>
    <col min="16189" max="16189" width="26.42578125" style="17" customWidth="1"/>
    <col min="16190" max="16190" width="29.28515625" style="17" customWidth="1"/>
    <col min="16191" max="16193" width="27.28515625" style="17" customWidth="1"/>
    <col min="16194" max="16194" width="31.7109375" style="17" customWidth="1"/>
    <col min="16195" max="16195" width="27.7109375" style="17" customWidth="1"/>
    <col min="16196" max="16198" width="28.28515625" style="17" customWidth="1"/>
    <col min="16199" max="16199" width="24.7109375" style="17" customWidth="1"/>
    <col min="16200" max="16200" width="24.140625" style="17" customWidth="1"/>
    <col min="16201" max="16203" width="22.28515625" style="17" customWidth="1"/>
    <col min="16204" max="16204" width="22.42578125" style="17" customWidth="1"/>
    <col min="16205" max="16205" width="23.7109375" style="17" customWidth="1"/>
    <col min="16206" max="16206" width="0" style="17" hidden="1" customWidth="1"/>
    <col min="16207" max="16208" width="9.28515625" style="17" customWidth="1"/>
    <col min="16209" max="16384" width="9.28515625" style="17"/>
  </cols>
  <sheetData>
    <row r="1" spans="1:1199" ht="28.5" hidden="1" customHeight="1" x14ac:dyDescent="0.3">
      <c r="B1" s="2" t="s">
        <v>1067</v>
      </c>
      <c r="G1" s="7"/>
      <c r="H1" s="8"/>
      <c r="I1" s="8"/>
      <c r="J1" s="7"/>
      <c r="K1" s="8"/>
      <c r="L1" s="9"/>
      <c r="M1" s="9"/>
      <c r="N1" s="10"/>
      <c r="O1" s="7"/>
      <c r="P1" s="8"/>
      <c r="Q1" s="8"/>
      <c r="R1" s="8"/>
      <c r="S1" s="7"/>
      <c r="T1" s="8"/>
      <c r="U1" s="8"/>
      <c r="V1" s="7"/>
      <c r="W1" s="8"/>
      <c r="X1" s="7"/>
      <c r="Y1" s="8"/>
      <c r="Z1" s="11"/>
      <c r="AA1" s="9"/>
      <c r="AB1" s="7"/>
      <c r="AC1" s="8"/>
      <c r="AD1" s="12"/>
      <c r="AE1" s="12"/>
      <c r="AF1" s="182"/>
      <c r="AG1" s="8"/>
      <c r="AH1" s="8"/>
      <c r="AI1" s="13"/>
      <c r="AJ1" s="7"/>
      <c r="AK1" s="8"/>
      <c r="AL1" s="11"/>
      <c r="AM1" s="14"/>
      <c r="AN1" s="11"/>
      <c r="AO1" s="8"/>
      <c r="AP1" s="7"/>
      <c r="AQ1" s="9"/>
      <c r="AR1" s="9"/>
      <c r="AS1" s="9"/>
      <c r="AT1" s="8"/>
      <c r="AU1" s="8"/>
      <c r="AV1" s="8"/>
      <c r="AW1" s="15"/>
      <c r="AX1" s="7"/>
      <c r="AY1" s="8"/>
      <c r="AZ1" s="11"/>
      <c r="BA1" s="317"/>
      <c r="BB1" s="317"/>
      <c r="BC1" s="221"/>
      <c r="BD1" s="16"/>
      <c r="BE1" s="16"/>
      <c r="BF1" s="248"/>
    </row>
    <row r="2" spans="1:1199" ht="37.5" hidden="1" customHeight="1" x14ac:dyDescent="0.35">
      <c r="B2" s="19" t="s">
        <v>0</v>
      </c>
      <c r="D2" s="20"/>
      <c r="E2" s="21"/>
      <c r="G2" s="318"/>
      <c r="H2" s="318"/>
      <c r="I2" s="318"/>
      <c r="J2" s="318"/>
      <c r="K2" s="318"/>
      <c r="L2" s="319"/>
      <c r="M2" s="319"/>
      <c r="N2" s="319"/>
      <c r="O2" s="318"/>
      <c r="P2" s="318"/>
      <c r="Q2" s="318"/>
      <c r="R2" s="318"/>
      <c r="S2" s="318"/>
      <c r="T2" s="318"/>
      <c r="U2" s="23"/>
      <c r="V2" s="320"/>
      <c r="W2" s="320"/>
      <c r="X2" s="24"/>
      <c r="Y2" s="25"/>
      <c r="Z2" s="321"/>
      <c r="AA2" s="322"/>
      <c r="AB2" s="26"/>
      <c r="AC2" s="252"/>
      <c r="AD2" s="29"/>
      <c r="AE2" s="29"/>
      <c r="AF2" s="183"/>
      <c r="AG2" s="25"/>
      <c r="AH2" s="250"/>
      <c r="AI2" s="8"/>
      <c r="AJ2" s="24"/>
      <c r="AK2" s="250"/>
      <c r="AL2" s="31"/>
      <c r="AM2" s="32"/>
      <c r="AN2" s="31"/>
      <c r="AO2" s="322"/>
      <c r="AP2" s="26"/>
      <c r="AQ2" s="323"/>
      <c r="AR2" s="323"/>
      <c r="AS2" s="323"/>
      <c r="AT2" s="323"/>
      <c r="AU2" s="33"/>
      <c r="AV2" s="33"/>
      <c r="AW2" s="34"/>
      <c r="AX2" s="261"/>
      <c r="AY2" s="33"/>
      <c r="AZ2" s="31"/>
      <c r="BA2" s="324"/>
      <c r="BB2" s="324"/>
      <c r="BC2" s="223"/>
      <c r="BD2" s="35"/>
      <c r="BE2" s="35"/>
      <c r="BF2" s="251"/>
    </row>
    <row r="3" spans="1:1199" ht="20.25" hidden="1" customHeight="1" x14ac:dyDescent="0.3">
      <c r="C3" s="36"/>
      <c r="D3" s="37"/>
      <c r="E3" s="38"/>
      <c r="F3" s="36"/>
      <c r="G3" s="325"/>
      <c r="H3" s="325"/>
      <c r="I3" s="27"/>
      <c r="J3" s="318"/>
      <c r="K3" s="318"/>
      <c r="L3" s="216"/>
      <c r="M3" s="216"/>
      <c r="N3" s="39"/>
      <c r="O3" s="318"/>
      <c r="P3" s="318"/>
      <c r="Q3" s="23"/>
      <c r="R3" s="23"/>
      <c r="S3" s="318"/>
      <c r="T3" s="318"/>
      <c r="U3" s="23"/>
      <c r="V3" s="320"/>
      <c r="W3" s="320"/>
      <c r="X3" s="24"/>
      <c r="Y3" s="25"/>
      <c r="Z3" s="321"/>
      <c r="AA3" s="322"/>
      <c r="AB3" s="26"/>
      <c r="AC3" s="252"/>
      <c r="AD3" s="29"/>
      <c r="AE3" s="29"/>
      <c r="AF3" s="183"/>
      <c r="AG3" s="25"/>
      <c r="AH3" s="250"/>
      <c r="AI3" s="25"/>
      <c r="AJ3" s="24"/>
      <c r="AK3" s="250"/>
      <c r="AL3" s="31"/>
      <c r="AM3" s="32"/>
      <c r="AN3" s="31"/>
      <c r="AO3" s="322"/>
      <c r="AP3" s="26"/>
      <c r="AQ3" s="25"/>
      <c r="AR3" s="250"/>
      <c r="AS3" s="25"/>
      <c r="AT3" s="250"/>
      <c r="AU3" s="25"/>
      <c r="AV3" s="25"/>
      <c r="AW3" s="40"/>
      <c r="AX3" s="24"/>
      <c r="AY3" s="25"/>
      <c r="AZ3" s="31"/>
      <c r="BA3" s="325"/>
      <c r="BB3" s="325"/>
      <c r="BC3" s="224"/>
      <c r="BD3" s="28"/>
      <c r="BE3" s="28"/>
      <c r="BF3" s="252"/>
    </row>
    <row r="4" spans="1:1199" ht="21" hidden="1" customHeight="1" x14ac:dyDescent="0.3">
      <c r="B4" s="19" t="s">
        <v>1</v>
      </c>
      <c r="C4" s="41"/>
      <c r="D4" s="42"/>
      <c r="E4" s="43"/>
      <c r="F4" s="44"/>
      <c r="G4" s="26"/>
      <c r="H4" s="204"/>
      <c r="I4" s="27"/>
      <c r="J4" s="22"/>
      <c r="K4" s="218"/>
      <c r="L4" s="216"/>
      <c r="M4" s="216"/>
      <c r="N4" s="39"/>
      <c r="O4" s="22"/>
      <c r="P4" s="222"/>
      <c r="Q4" s="23"/>
      <c r="R4" s="23"/>
      <c r="S4" s="22"/>
      <c r="T4" s="23"/>
      <c r="U4" s="23"/>
      <c r="V4" s="24"/>
      <c r="W4" s="25"/>
      <c r="X4" s="24"/>
      <c r="Y4" s="25"/>
      <c r="Z4" s="31"/>
      <c r="AA4" s="30"/>
      <c r="AB4" s="26"/>
      <c r="AC4" s="252"/>
      <c r="AD4" s="29"/>
      <c r="AE4" s="29"/>
      <c r="AF4" s="183"/>
      <c r="AG4" s="25"/>
      <c r="AH4" s="250"/>
      <c r="AI4" s="25"/>
      <c r="AJ4" s="24"/>
      <c r="AK4" s="250"/>
      <c r="AL4" s="31"/>
      <c r="AM4" s="32"/>
      <c r="AN4" s="31"/>
      <c r="AO4" s="250"/>
      <c r="AP4" s="26"/>
      <c r="AQ4" s="30"/>
      <c r="AR4" s="249"/>
      <c r="AS4" s="30"/>
      <c r="AT4" s="250"/>
      <c r="AU4" s="25"/>
      <c r="AV4" s="25"/>
      <c r="AW4" s="40"/>
      <c r="AX4" s="24"/>
      <c r="AY4" s="25"/>
      <c r="AZ4" s="31"/>
      <c r="BA4" s="179"/>
      <c r="BB4" s="28"/>
      <c r="BC4" s="224"/>
      <c r="BD4" s="28"/>
      <c r="BE4" s="28"/>
      <c r="BF4" s="252"/>
    </row>
    <row r="5" spans="1:1199" ht="20.25" hidden="1" customHeight="1" x14ac:dyDescent="0.3">
      <c r="C5" s="41"/>
      <c r="D5" s="45"/>
      <c r="E5" s="43"/>
      <c r="F5" s="44"/>
      <c r="G5" s="26"/>
      <c r="H5" s="204"/>
      <c r="I5" s="27"/>
      <c r="J5" s="22"/>
      <c r="K5" s="218"/>
      <c r="L5" s="216"/>
      <c r="M5" s="216"/>
      <c r="N5" s="39"/>
      <c r="O5" s="22"/>
      <c r="P5" s="222"/>
      <c r="Q5" s="23"/>
      <c r="R5" s="23"/>
      <c r="S5" s="22"/>
      <c r="T5" s="23"/>
      <c r="U5" s="23"/>
      <c r="V5" s="24"/>
      <c r="W5" s="25"/>
      <c r="X5" s="24"/>
      <c r="Y5" s="25"/>
      <c r="Z5" s="31"/>
      <c r="AA5" s="30"/>
      <c r="AB5" s="26"/>
      <c r="AC5" s="252"/>
      <c r="AD5" s="29"/>
      <c r="AE5" s="29"/>
      <c r="AF5" s="183"/>
      <c r="AG5" s="25"/>
      <c r="AH5" s="250"/>
      <c r="AI5" s="25"/>
      <c r="AJ5" s="24"/>
      <c r="AK5" s="250"/>
      <c r="AL5" s="31"/>
      <c r="AM5" s="32"/>
      <c r="AN5" s="31"/>
      <c r="AO5" s="250"/>
      <c r="AP5" s="26"/>
      <c r="AQ5" s="30"/>
      <c r="AR5" s="249"/>
      <c r="AS5" s="30"/>
      <c r="AT5" s="250"/>
      <c r="AU5" s="25"/>
      <c r="AV5" s="25"/>
      <c r="AW5" s="40"/>
      <c r="AX5" s="24"/>
      <c r="AY5" s="25"/>
      <c r="AZ5" s="31"/>
      <c r="BA5" s="179"/>
      <c r="BB5" s="28"/>
      <c r="BC5" s="224"/>
      <c r="BD5" s="28"/>
      <c r="BE5" s="28"/>
      <c r="BF5" s="252"/>
    </row>
    <row r="6" spans="1:1199" ht="21" hidden="1" customHeight="1" x14ac:dyDescent="0.35">
      <c r="B6" s="19" t="s">
        <v>2</v>
      </c>
      <c r="C6" s="41"/>
      <c r="D6" s="46"/>
      <c r="E6" s="47"/>
      <c r="F6" s="48" t="s">
        <v>3</v>
      </c>
      <c r="G6" s="26"/>
      <c r="H6" s="204"/>
      <c r="I6" s="27"/>
      <c r="J6" s="22"/>
      <c r="K6" s="218"/>
      <c r="L6" s="216"/>
      <c r="M6" s="216"/>
      <c r="N6" s="39"/>
      <c r="O6" s="22"/>
      <c r="P6" s="222"/>
      <c r="Q6" s="23"/>
      <c r="R6" s="23"/>
      <c r="S6" s="22"/>
      <c r="T6" s="23"/>
      <c r="U6" s="23"/>
      <c r="V6" s="24"/>
      <c r="W6" s="25"/>
      <c r="X6" s="24"/>
      <c r="Y6" s="25"/>
      <c r="Z6" s="31"/>
      <c r="AA6" s="30"/>
      <c r="AB6" s="26"/>
      <c r="AC6" s="252"/>
      <c r="AD6" s="29"/>
      <c r="AE6" s="29"/>
      <c r="AF6" s="183"/>
      <c r="AG6" s="25"/>
      <c r="AH6" s="250"/>
      <c r="AI6" s="25"/>
      <c r="AJ6" s="24"/>
      <c r="AK6" s="250"/>
      <c r="AL6" s="31"/>
      <c r="AM6" s="32"/>
      <c r="AN6" s="31"/>
      <c r="AO6" s="250"/>
      <c r="AP6" s="26"/>
      <c r="AQ6" s="30"/>
      <c r="AR6" s="249"/>
      <c r="AS6" s="30"/>
      <c r="AT6" s="250"/>
      <c r="AU6" s="25"/>
      <c r="AV6" s="25"/>
      <c r="AW6" s="40"/>
      <c r="AX6" s="24"/>
      <c r="AY6" s="25"/>
      <c r="AZ6" s="31"/>
      <c r="BA6" s="179"/>
      <c r="BB6" s="28"/>
      <c r="BC6" s="224"/>
      <c r="BD6" s="28"/>
      <c r="BE6" s="28"/>
      <c r="BF6" s="252"/>
    </row>
    <row r="7" spans="1:1199" ht="20.25" hidden="1" customHeight="1" x14ac:dyDescent="0.3">
      <c r="B7" s="41"/>
      <c r="C7" s="41"/>
      <c r="D7" s="37"/>
      <c r="E7" s="38"/>
      <c r="F7" s="49" t="s">
        <v>4</v>
      </c>
      <c r="G7" s="26"/>
      <c r="H7" s="204"/>
      <c r="I7" s="27"/>
      <c r="J7" s="22"/>
      <c r="K7" s="218"/>
      <c r="L7" s="216"/>
      <c r="M7" s="216"/>
      <c r="N7" s="39"/>
      <c r="O7" s="22"/>
      <c r="P7" s="222"/>
      <c r="Q7" s="23"/>
      <c r="R7" s="23"/>
      <c r="S7" s="22"/>
      <c r="T7" s="23"/>
      <c r="U7" s="23"/>
      <c r="V7" s="24"/>
      <c r="W7" s="25"/>
      <c r="X7" s="24"/>
      <c r="Y7" s="25"/>
      <c r="Z7" s="31"/>
      <c r="AA7" s="30"/>
      <c r="AB7" s="26"/>
      <c r="AC7" s="252"/>
      <c r="AD7" s="29"/>
      <c r="AE7" s="29"/>
      <c r="AF7" s="183"/>
      <c r="AG7" s="25"/>
      <c r="AH7" s="250"/>
      <c r="AI7" s="25"/>
      <c r="AJ7" s="24"/>
      <c r="AK7" s="250"/>
      <c r="AL7" s="31"/>
      <c r="AM7" s="32"/>
      <c r="AN7" s="31"/>
      <c r="AO7" s="250"/>
      <c r="AP7" s="26"/>
      <c r="AQ7" s="30"/>
      <c r="AR7" s="249"/>
      <c r="AS7" s="30"/>
      <c r="AT7" s="250"/>
      <c r="AU7" s="25"/>
      <c r="AV7" s="25"/>
      <c r="AW7" s="40"/>
      <c r="AX7" s="24"/>
      <c r="AY7" s="25"/>
      <c r="AZ7" s="31"/>
      <c r="BA7" s="179"/>
      <c r="BB7" s="28"/>
      <c r="BC7" s="224"/>
      <c r="BD7" s="28"/>
      <c r="BE7" s="28"/>
      <c r="BF7" s="252"/>
    </row>
    <row r="8" spans="1:1199" s="271" customFormat="1" ht="99.75" customHeight="1" x14ac:dyDescent="0.3">
      <c r="A8" s="326" t="s">
        <v>5</v>
      </c>
      <c r="B8" s="326"/>
      <c r="C8" s="326"/>
      <c r="D8" s="326"/>
      <c r="E8" s="326"/>
      <c r="F8" s="326"/>
      <c r="G8" s="326"/>
      <c r="H8" s="326"/>
      <c r="I8" s="264"/>
      <c r="J8" s="265"/>
      <c r="K8" s="265"/>
      <c r="L8" s="266"/>
      <c r="M8" s="266"/>
      <c r="N8" s="267"/>
      <c r="O8" s="265"/>
      <c r="P8" s="265"/>
      <c r="Q8" s="265"/>
      <c r="R8" s="265"/>
      <c r="S8" s="265"/>
      <c r="T8" s="265"/>
      <c r="U8" s="265"/>
      <c r="V8" s="268"/>
      <c r="W8" s="268"/>
      <c r="X8" s="268"/>
      <c r="Y8" s="268"/>
      <c r="Z8" s="269"/>
      <c r="AA8" s="269"/>
      <c r="AB8" s="264"/>
      <c r="AC8" s="264"/>
      <c r="AD8" s="268"/>
      <c r="AE8" s="268"/>
      <c r="AF8" s="270"/>
      <c r="AG8" s="268"/>
      <c r="AH8" s="268"/>
      <c r="AI8" s="268"/>
      <c r="AJ8" s="268"/>
      <c r="AK8" s="268"/>
      <c r="AL8" s="269"/>
      <c r="AM8" s="269"/>
      <c r="AN8" s="269"/>
      <c r="AO8" s="268"/>
      <c r="AP8" s="264"/>
      <c r="AQ8" s="269"/>
      <c r="AR8" s="269"/>
      <c r="AS8" s="269"/>
      <c r="AT8" s="268"/>
      <c r="AU8" s="268"/>
      <c r="AV8" s="268"/>
      <c r="AW8" s="268"/>
      <c r="AX8" s="268"/>
      <c r="AY8" s="268"/>
      <c r="AZ8" s="269"/>
      <c r="BA8" s="269"/>
      <c r="BB8" s="264"/>
      <c r="BC8" s="264"/>
      <c r="BD8" s="264"/>
      <c r="BE8" s="264"/>
      <c r="BF8" s="264"/>
      <c r="CB8" s="175"/>
      <c r="CC8" s="175"/>
      <c r="CD8" s="175"/>
      <c r="CE8" s="175"/>
      <c r="CF8" s="175"/>
      <c r="CG8" s="175"/>
      <c r="CH8" s="175"/>
      <c r="CI8" s="175"/>
      <c r="CJ8" s="175"/>
      <c r="CK8" s="175"/>
      <c r="CL8" s="175"/>
      <c r="CM8" s="175"/>
      <c r="CN8" s="175"/>
      <c r="CO8" s="175"/>
      <c r="CP8" s="175"/>
      <c r="CQ8" s="175"/>
      <c r="CR8" s="175"/>
      <c r="CS8" s="175"/>
      <c r="CT8" s="175"/>
      <c r="CU8" s="175"/>
      <c r="CV8" s="175"/>
      <c r="CW8" s="175"/>
      <c r="CX8" s="175"/>
      <c r="CY8" s="175"/>
      <c r="CZ8" s="175"/>
      <c r="DA8" s="175"/>
      <c r="DB8" s="175"/>
      <c r="DC8" s="175"/>
      <c r="DD8" s="175"/>
      <c r="DE8" s="175"/>
      <c r="DF8" s="175"/>
      <c r="DG8" s="175"/>
      <c r="DH8" s="175"/>
      <c r="DI8" s="175"/>
      <c r="DJ8" s="175"/>
      <c r="DK8" s="175"/>
      <c r="DL8" s="175"/>
      <c r="DM8" s="175"/>
      <c r="DN8" s="175"/>
      <c r="DO8" s="175"/>
      <c r="DP8" s="175"/>
      <c r="DQ8" s="175"/>
      <c r="DR8" s="175"/>
      <c r="DS8" s="175"/>
      <c r="DT8" s="175"/>
      <c r="DU8" s="175"/>
      <c r="DV8" s="175"/>
      <c r="DW8" s="175"/>
      <c r="DX8" s="175"/>
      <c r="DY8" s="175"/>
      <c r="DZ8" s="175"/>
      <c r="EA8" s="175"/>
      <c r="EB8" s="175"/>
      <c r="EC8" s="175"/>
      <c r="ED8" s="175"/>
      <c r="EE8" s="175"/>
      <c r="EF8" s="175"/>
      <c r="EG8" s="175"/>
      <c r="EH8" s="175"/>
      <c r="EI8" s="175"/>
      <c r="EJ8" s="175"/>
      <c r="EK8" s="175"/>
      <c r="EL8" s="175"/>
      <c r="EM8" s="175"/>
      <c r="EN8" s="175"/>
      <c r="EO8" s="175"/>
      <c r="EP8" s="175"/>
      <c r="EQ8" s="175"/>
      <c r="ER8" s="175"/>
      <c r="ES8" s="175"/>
      <c r="ET8" s="175"/>
      <c r="EU8" s="175"/>
      <c r="EV8" s="175"/>
      <c r="EW8" s="175"/>
      <c r="EX8" s="175"/>
      <c r="EY8" s="175"/>
      <c r="EZ8" s="175"/>
      <c r="FA8" s="175"/>
      <c r="FB8" s="175"/>
      <c r="FC8" s="175"/>
      <c r="FD8" s="175"/>
      <c r="FE8" s="175"/>
      <c r="FF8" s="175"/>
      <c r="FG8" s="175"/>
      <c r="FH8" s="175"/>
      <c r="FI8" s="175"/>
      <c r="FJ8" s="175"/>
      <c r="FK8" s="175"/>
      <c r="FL8" s="175"/>
      <c r="FM8" s="175"/>
      <c r="FN8" s="175"/>
      <c r="FO8" s="175"/>
      <c r="FP8" s="175"/>
      <c r="FQ8" s="175"/>
      <c r="FR8" s="175"/>
      <c r="FS8" s="175"/>
      <c r="FT8" s="175"/>
      <c r="FU8" s="175"/>
      <c r="FV8" s="175"/>
      <c r="FW8" s="175"/>
      <c r="FX8" s="175"/>
      <c r="FY8" s="175"/>
      <c r="FZ8" s="175"/>
      <c r="GA8" s="175"/>
      <c r="GB8" s="175"/>
      <c r="GC8" s="175"/>
      <c r="GD8" s="175"/>
      <c r="GE8" s="175"/>
      <c r="GF8" s="175"/>
      <c r="GG8" s="175"/>
      <c r="GH8" s="175"/>
      <c r="GI8" s="175"/>
      <c r="GJ8" s="175"/>
      <c r="GK8" s="175"/>
      <c r="GL8" s="175"/>
      <c r="GM8" s="175"/>
      <c r="GN8" s="175"/>
      <c r="GO8" s="175"/>
      <c r="GP8" s="175"/>
      <c r="GQ8" s="175"/>
      <c r="GR8" s="175"/>
      <c r="GS8" s="175"/>
      <c r="GT8" s="175"/>
      <c r="GU8" s="175"/>
      <c r="GV8" s="175"/>
      <c r="GW8" s="175"/>
      <c r="GX8" s="175"/>
      <c r="GY8" s="175"/>
      <c r="GZ8" s="175"/>
      <c r="HA8" s="175"/>
      <c r="HB8" s="175"/>
      <c r="HC8" s="175"/>
      <c r="HD8" s="175"/>
      <c r="HE8" s="175"/>
      <c r="HF8" s="175"/>
      <c r="HG8" s="175"/>
      <c r="HH8" s="175"/>
      <c r="HI8" s="175"/>
      <c r="HJ8" s="175"/>
      <c r="HK8" s="175"/>
      <c r="HL8" s="175"/>
      <c r="HM8" s="175"/>
      <c r="HN8" s="175"/>
      <c r="HO8" s="175"/>
      <c r="HP8" s="175"/>
      <c r="HQ8" s="175"/>
      <c r="HR8" s="175"/>
      <c r="HS8" s="175"/>
      <c r="HT8" s="175"/>
      <c r="HU8" s="175"/>
      <c r="HV8" s="175"/>
      <c r="HW8" s="175"/>
      <c r="HX8" s="175"/>
      <c r="HY8" s="175"/>
      <c r="HZ8" s="175"/>
      <c r="IA8" s="175"/>
      <c r="IB8" s="175"/>
      <c r="IC8" s="175"/>
      <c r="ID8" s="175"/>
      <c r="IE8" s="175"/>
      <c r="IF8" s="175"/>
      <c r="IG8" s="175"/>
      <c r="IH8" s="175"/>
      <c r="II8" s="175"/>
      <c r="IJ8" s="175"/>
      <c r="IK8" s="175"/>
      <c r="IL8" s="175"/>
      <c r="IM8" s="175"/>
      <c r="IN8" s="175"/>
      <c r="IO8" s="175"/>
      <c r="IP8" s="175"/>
      <c r="IQ8" s="175"/>
      <c r="IR8" s="175"/>
      <c r="IS8" s="175"/>
      <c r="IT8" s="175"/>
      <c r="IU8" s="175"/>
      <c r="IV8" s="175"/>
      <c r="IW8" s="175"/>
      <c r="IX8" s="175"/>
      <c r="IY8" s="175"/>
      <c r="IZ8" s="175"/>
      <c r="JA8" s="175"/>
      <c r="JB8" s="175"/>
      <c r="JC8" s="175"/>
      <c r="JD8" s="175"/>
      <c r="JE8" s="175"/>
      <c r="JF8" s="175"/>
      <c r="JG8" s="175"/>
      <c r="JH8" s="175"/>
      <c r="JI8" s="175"/>
      <c r="JJ8" s="175"/>
      <c r="JK8" s="175"/>
      <c r="JL8" s="175"/>
      <c r="JM8" s="175"/>
      <c r="JN8" s="175"/>
      <c r="JO8" s="175"/>
      <c r="JP8" s="175"/>
      <c r="JQ8" s="175"/>
      <c r="JR8" s="175"/>
      <c r="JS8" s="175"/>
      <c r="JT8" s="175"/>
      <c r="JU8" s="175"/>
      <c r="JV8" s="175"/>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row>
    <row r="9" spans="1:1199" s="50" customFormat="1" ht="114" customHeight="1" x14ac:dyDescent="0.25">
      <c r="A9" s="327" t="s">
        <v>6</v>
      </c>
      <c r="B9" s="327" t="s">
        <v>7</v>
      </c>
      <c r="C9" s="335"/>
      <c r="D9" s="287" t="s">
        <v>1120</v>
      </c>
      <c r="E9" s="288"/>
      <c r="F9" s="288"/>
      <c r="G9" s="291" t="s">
        <v>1214</v>
      </c>
      <c r="H9" s="292"/>
      <c r="I9" s="297" t="s">
        <v>1226</v>
      </c>
      <c r="J9" s="341" t="s">
        <v>1215</v>
      </c>
      <c r="K9" s="341"/>
      <c r="L9" s="277" t="s">
        <v>1102</v>
      </c>
      <c r="M9" s="295" t="s">
        <v>1224</v>
      </c>
      <c r="N9" s="345" t="s">
        <v>8</v>
      </c>
      <c r="O9" s="343" t="s">
        <v>1216</v>
      </c>
      <c r="P9" s="341"/>
      <c r="Q9" s="297" t="s">
        <v>9</v>
      </c>
      <c r="R9" s="297" t="s">
        <v>10</v>
      </c>
      <c r="S9" s="291" t="s">
        <v>1225</v>
      </c>
      <c r="T9" s="292"/>
      <c r="U9" s="297" t="s">
        <v>1227</v>
      </c>
      <c r="V9" s="279" t="s">
        <v>11</v>
      </c>
      <c r="W9" s="279"/>
      <c r="X9" s="276" t="s">
        <v>12</v>
      </c>
      <c r="Y9" s="276"/>
      <c r="Z9" s="313" t="s">
        <v>13</v>
      </c>
      <c r="AA9" s="314"/>
      <c r="AB9" s="304" t="s">
        <v>1217</v>
      </c>
      <c r="AC9" s="305"/>
      <c r="AD9" s="276" t="s">
        <v>1228</v>
      </c>
      <c r="AE9" s="276" t="s">
        <v>14</v>
      </c>
      <c r="AF9" s="276"/>
      <c r="AG9" s="297" t="s">
        <v>1248</v>
      </c>
      <c r="AH9" s="280" t="s">
        <v>1229</v>
      </c>
      <c r="AI9" s="333" t="s">
        <v>1244</v>
      </c>
      <c r="AJ9" s="329" t="s">
        <v>1141</v>
      </c>
      <c r="AK9" s="330"/>
      <c r="AL9" s="329" t="s">
        <v>1218</v>
      </c>
      <c r="AM9" s="330"/>
      <c r="AN9" s="276" t="s">
        <v>1265</v>
      </c>
      <c r="AO9" s="276"/>
      <c r="AP9" s="304" t="s">
        <v>1230</v>
      </c>
      <c r="AQ9" s="305"/>
      <c r="AR9" s="280" t="s">
        <v>15</v>
      </c>
      <c r="AS9" s="276" t="s">
        <v>1231</v>
      </c>
      <c r="AT9" s="276" t="s">
        <v>16</v>
      </c>
      <c r="AU9" s="279" t="s">
        <v>970</v>
      </c>
      <c r="AV9" s="277" t="s">
        <v>17</v>
      </c>
      <c r="AW9" s="278" t="s">
        <v>1245</v>
      </c>
      <c r="AX9" s="329" t="s">
        <v>1249</v>
      </c>
      <c r="AY9" s="346"/>
      <c r="AZ9" s="282" t="s">
        <v>18</v>
      </c>
      <c r="BA9" s="283"/>
      <c r="BB9" s="340" t="s">
        <v>1232</v>
      </c>
      <c r="BC9" s="276" t="s">
        <v>1233</v>
      </c>
      <c r="BD9" s="304" t="s">
        <v>1221</v>
      </c>
      <c r="BE9" s="308"/>
      <c r="BF9" s="310" t="s">
        <v>1103</v>
      </c>
      <c r="BG9" s="280" t="s">
        <v>1234</v>
      </c>
      <c r="BH9" s="275" t="s">
        <v>19</v>
      </c>
      <c r="BI9" s="275" t="s">
        <v>20</v>
      </c>
      <c r="BJ9" s="311" t="s">
        <v>1117</v>
      </c>
      <c r="BK9" s="275" t="s">
        <v>21</v>
      </c>
      <c r="BL9" s="275" t="s">
        <v>22</v>
      </c>
      <c r="BM9" s="275" t="s">
        <v>23</v>
      </c>
      <c r="BN9" s="338" t="s">
        <v>1235</v>
      </c>
      <c r="BO9" s="275" t="s">
        <v>24</v>
      </c>
      <c r="BP9" s="275" t="s">
        <v>25</v>
      </c>
      <c r="BQ9" s="275" t="s">
        <v>26</v>
      </c>
      <c r="BR9" s="336" t="s">
        <v>1223</v>
      </c>
      <c r="BS9" s="298" t="s">
        <v>1222</v>
      </c>
      <c r="BT9" s="303" t="s">
        <v>1054</v>
      </c>
      <c r="BU9" s="275" t="s">
        <v>1053</v>
      </c>
      <c r="BV9" s="299" t="s">
        <v>1191</v>
      </c>
      <c r="BW9" s="300"/>
      <c r="BX9" s="299" t="s">
        <v>27</v>
      </c>
      <c r="BY9" s="300"/>
      <c r="BZ9" s="275" t="s">
        <v>28</v>
      </c>
      <c r="CA9" s="275"/>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c r="ED9" s="251"/>
      <c r="EE9" s="251"/>
      <c r="EF9" s="251"/>
      <c r="EG9" s="251"/>
      <c r="EH9" s="251"/>
      <c r="EI9" s="251"/>
      <c r="EJ9" s="251"/>
      <c r="EK9" s="251"/>
      <c r="EL9" s="251"/>
      <c r="EM9" s="251"/>
      <c r="EN9" s="251"/>
      <c r="EO9" s="251"/>
      <c r="EP9" s="251"/>
      <c r="EQ9" s="251"/>
      <c r="ER9" s="251"/>
      <c r="ES9" s="251"/>
      <c r="ET9" s="251"/>
      <c r="EU9" s="251"/>
      <c r="EV9" s="251"/>
      <c r="EW9" s="251"/>
      <c r="EX9" s="251"/>
      <c r="EY9" s="251"/>
      <c r="EZ9" s="251"/>
      <c r="FA9" s="251"/>
      <c r="FB9" s="251"/>
      <c r="FC9" s="251"/>
      <c r="FD9" s="251"/>
      <c r="FE9" s="251"/>
      <c r="FF9" s="251"/>
      <c r="FG9" s="251"/>
      <c r="FH9" s="251"/>
      <c r="FI9" s="251"/>
      <c r="FJ9" s="251"/>
      <c r="FK9" s="251"/>
      <c r="FL9" s="251"/>
      <c r="FM9" s="251"/>
      <c r="FN9" s="251"/>
      <c r="FO9" s="251"/>
      <c r="FP9" s="251"/>
      <c r="FQ9" s="251"/>
      <c r="FR9" s="251"/>
      <c r="FS9" s="251"/>
      <c r="FT9" s="251"/>
      <c r="FU9" s="251"/>
      <c r="FV9" s="251"/>
      <c r="FW9" s="251"/>
      <c r="FX9" s="251"/>
      <c r="FY9" s="251"/>
      <c r="FZ9" s="251"/>
      <c r="GA9" s="251"/>
      <c r="GB9" s="251"/>
      <c r="GC9" s="251"/>
      <c r="GD9" s="251"/>
      <c r="GE9" s="251"/>
      <c r="GF9" s="251"/>
      <c r="GG9" s="251"/>
      <c r="GH9" s="251"/>
      <c r="GI9" s="251"/>
      <c r="GJ9" s="251"/>
      <c r="GK9" s="251"/>
      <c r="GL9" s="251"/>
      <c r="GM9" s="251"/>
      <c r="GN9" s="251"/>
      <c r="GO9" s="251"/>
      <c r="GP9" s="251"/>
      <c r="GQ9" s="251"/>
      <c r="GR9" s="251"/>
      <c r="GS9" s="251"/>
      <c r="GT9" s="251"/>
      <c r="GU9" s="251"/>
      <c r="GV9" s="251"/>
      <c r="GW9" s="251"/>
      <c r="GX9" s="251"/>
      <c r="GY9" s="251"/>
      <c r="GZ9" s="251"/>
      <c r="HA9" s="251"/>
      <c r="HB9" s="251"/>
      <c r="HC9" s="251"/>
      <c r="HD9" s="251"/>
      <c r="HE9" s="251"/>
      <c r="HF9" s="251"/>
      <c r="HG9" s="251"/>
      <c r="HH9" s="251"/>
      <c r="HI9" s="251"/>
      <c r="HJ9" s="251"/>
      <c r="HK9" s="251"/>
      <c r="HL9" s="251"/>
      <c r="HM9" s="251"/>
      <c r="HN9" s="251"/>
      <c r="HO9" s="251"/>
      <c r="HP9" s="251"/>
      <c r="HQ9" s="251"/>
      <c r="HR9" s="251"/>
      <c r="HS9" s="251"/>
      <c r="HT9" s="251"/>
      <c r="HU9" s="251"/>
      <c r="HV9" s="251"/>
      <c r="HW9" s="251"/>
      <c r="HX9" s="251"/>
      <c r="HY9" s="251"/>
      <c r="HZ9" s="251"/>
      <c r="IA9" s="251"/>
      <c r="IB9" s="251"/>
      <c r="IC9" s="251"/>
      <c r="ID9" s="251"/>
      <c r="IE9" s="251"/>
      <c r="IF9" s="251"/>
      <c r="IG9" s="251"/>
      <c r="IH9" s="251"/>
      <c r="II9" s="251"/>
      <c r="IJ9" s="251"/>
      <c r="IK9" s="251"/>
      <c r="IL9" s="251"/>
      <c r="IM9" s="251"/>
      <c r="IN9" s="251"/>
      <c r="IO9" s="251"/>
      <c r="IP9" s="251"/>
      <c r="IQ9" s="251"/>
      <c r="IR9" s="251"/>
      <c r="IS9" s="251"/>
      <c r="IT9" s="251"/>
      <c r="IU9" s="251"/>
      <c r="IV9" s="251"/>
      <c r="IW9" s="251"/>
      <c r="IX9" s="251"/>
      <c r="IY9" s="251"/>
      <c r="IZ9" s="251"/>
      <c r="JA9" s="251"/>
      <c r="JB9" s="251"/>
      <c r="JC9" s="251"/>
      <c r="JD9" s="251"/>
      <c r="JE9" s="251"/>
      <c r="JF9" s="251"/>
      <c r="JG9" s="251"/>
      <c r="JH9" s="251"/>
      <c r="JI9" s="251"/>
      <c r="JJ9" s="251"/>
      <c r="JK9" s="251"/>
      <c r="JL9" s="251"/>
      <c r="JM9" s="251"/>
      <c r="JN9" s="251"/>
      <c r="JO9" s="251"/>
      <c r="JP9" s="251"/>
      <c r="JQ9" s="251"/>
      <c r="JR9" s="251"/>
      <c r="JS9" s="251"/>
      <c r="JT9" s="251"/>
      <c r="JU9" s="251"/>
      <c r="JV9" s="251"/>
    </row>
    <row r="10" spans="1:1199" s="52" customFormat="1" ht="70.5" customHeight="1" outlineLevel="1" x14ac:dyDescent="0.25">
      <c r="A10" s="328"/>
      <c r="B10" s="327"/>
      <c r="C10" s="335"/>
      <c r="D10" s="289"/>
      <c r="E10" s="290"/>
      <c r="F10" s="290"/>
      <c r="G10" s="293"/>
      <c r="H10" s="294"/>
      <c r="I10" s="297"/>
      <c r="J10" s="342"/>
      <c r="K10" s="342"/>
      <c r="L10" s="277"/>
      <c r="M10" s="296"/>
      <c r="N10" s="345"/>
      <c r="O10" s="344"/>
      <c r="P10" s="342"/>
      <c r="Q10" s="297"/>
      <c r="R10" s="297"/>
      <c r="S10" s="293"/>
      <c r="T10" s="294"/>
      <c r="U10" s="297"/>
      <c r="V10" s="279"/>
      <c r="W10" s="279"/>
      <c r="X10" s="276"/>
      <c r="Y10" s="276"/>
      <c r="Z10" s="315"/>
      <c r="AA10" s="316"/>
      <c r="AB10" s="306"/>
      <c r="AC10" s="307"/>
      <c r="AD10" s="276"/>
      <c r="AE10" s="213" t="s">
        <v>29</v>
      </c>
      <c r="AF10" s="181" t="s">
        <v>30</v>
      </c>
      <c r="AG10" s="297"/>
      <c r="AH10" s="281"/>
      <c r="AI10" s="334"/>
      <c r="AJ10" s="331"/>
      <c r="AK10" s="332"/>
      <c r="AL10" s="331"/>
      <c r="AM10" s="332"/>
      <c r="AN10" s="276"/>
      <c r="AO10" s="276"/>
      <c r="AP10" s="306"/>
      <c r="AQ10" s="307"/>
      <c r="AR10" s="281"/>
      <c r="AS10" s="276"/>
      <c r="AT10" s="276"/>
      <c r="AU10" s="279"/>
      <c r="AV10" s="277"/>
      <c r="AW10" s="278"/>
      <c r="AX10" s="331"/>
      <c r="AY10" s="347"/>
      <c r="AZ10" s="284"/>
      <c r="BA10" s="285"/>
      <c r="BB10" s="340"/>
      <c r="BC10" s="276"/>
      <c r="BD10" s="306"/>
      <c r="BE10" s="309"/>
      <c r="BF10" s="310"/>
      <c r="BG10" s="281"/>
      <c r="BH10" s="275"/>
      <c r="BI10" s="275"/>
      <c r="BJ10" s="312"/>
      <c r="BK10" s="275"/>
      <c r="BL10" s="275"/>
      <c r="BM10" s="275"/>
      <c r="BN10" s="339"/>
      <c r="BO10" s="275"/>
      <c r="BP10" s="275"/>
      <c r="BQ10" s="275"/>
      <c r="BR10" s="337"/>
      <c r="BS10" s="298"/>
      <c r="BT10" s="303"/>
      <c r="BU10" s="275"/>
      <c r="BV10" s="301"/>
      <c r="BW10" s="302"/>
      <c r="BX10" s="301"/>
      <c r="BY10" s="302"/>
      <c r="BZ10" s="275"/>
      <c r="CA10" s="275"/>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c r="DM10" s="252"/>
      <c r="DN10" s="252"/>
      <c r="DO10" s="252"/>
      <c r="DP10" s="252"/>
      <c r="DQ10" s="252"/>
      <c r="DR10" s="252"/>
      <c r="DS10" s="252"/>
      <c r="DT10" s="252"/>
      <c r="DU10" s="252"/>
      <c r="DV10" s="252"/>
      <c r="DW10" s="252"/>
      <c r="DX10" s="252"/>
      <c r="DY10" s="252"/>
      <c r="DZ10" s="252"/>
      <c r="EA10" s="252"/>
      <c r="EB10" s="252"/>
      <c r="EC10" s="252"/>
      <c r="ED10" s="252"/>
      <c r="EE10" s="252"/>
      <c r="EF10" s="252"/>
      <c r="EG10" s="252"/>
      <c r="EH10" s="252"/>
      <c r="EI10" s="252"/>
      <c r="EJ10" s="252"/>
      <c r="EK10" s="252"/>
      <c r="EL10" s="252"/>
      <c r="EM10" s="252"/>
      <c r="EN10" s="252"/>
      <c r="EO10" s="252"/>
      <c r="EP10" s="252"/>
      <c r="EQ10" s="252"/>
      <c r="ER10" s="252"/>
      <c r="ES10" s="252"/>
      <c r="ET10" s="252"/>
      <c r="EU10" s="252"/>
      <c r="EV10" s="252"/>
      <c r="EW10" s="252"/>
      <c r="EX10" s="252"/>
      <c r="EY10" s="252"/>
      <c r="EZ10" s="252"/>
      <c r="FA10" s="252"/>
      <c r="FB10" s="252"/>
      <c r="FC10" s="252"/>
      <c r="FD10" s="252"/>
      <c r="FE10" s="252"/>
      <c r="FF10" s="252"/>
      <c r="FG10" s="252"/>
      <c r="FH10" s="252"/>
      <c r="FI10" s="252"/>
      <c r="FJ10" s="252"/>
      <c r="FK10" s="252"/>
      <c r="FL10" s="252"/>
      <c r="FM10" s="252"/>
      <c r="FN10" s="252"/>
      <c r="FO10" s="252"/>
      <c r="FP10" s="252"/>
      <c r="FQ10" s="252"/>
      <c r="FR10" s="252"/>
      <c r="FS10" s="252"/>
      <c r="FT10" s="252"/>
      <c r="FU10" s="252"/>
      <c r="FV10" s="252"/>
      <c r="FW10" s="252"/>
      <c r="FX10" s="252"/>
      <c r="FY10" s="252"/>
      <c r="FZ10" s="252"/>
      <c r="GA10" s="252"/>
      <c r="GB10" s="252"/>
      <c r="GC10" s="252"/>
      <c r="GD10" s="252"/>
      <c r="GE10" s="252"/>
      <c r="GF10" s="252"/>
      <c r="GG10" s="252"/>
      <c r="GH10" s="252"/>
      <c r="GI10" s="252"/>
      <c r="GJ10" s="252"/>
      <c r="GK10" s="252"/>
      <c r="GL10" s="252"/>
      <c r="GM10" s="252"/>
      <c r="GN10" s="252"/>
      <c r="GO10" s="252"/>
      <c r="GP10" s="252"/>
      <c r="GQ10" s="252"/>
      <c r="GR10" s="252"/>
      <c r="GS10" s="252"/>
      <c r="GT10" s="252"/>
      <c r="GU10" s="252"/>
      <c r="GV10" s="252"/>
      <c r="GW10" s="252"/>
      <c r="GX10" s="252"/>
      <c r="GY10" s="252"/>
      <c r="GZ10" s="252"/>
      <c r="HA10" s="252"/>
      <c r="HB10" s="252"/>
      <c r="HC10" s="252"/>
      <c r="HD10" s="252"/>
      <c r="HE10" s="252"/>
      <c r="HF10" s="252"/>
      <c r="HG10" s="252"/>
      <c r="HH10" s="252"/>
      <c r="HI10" s="252"/>
      <c r="HJ10" s="252"/>
      <c r="HK10" s="252"/>
      <c r="HL10" s="252"/>
      <c r="HM10" s="252"/>
      <c r="HN10" s="252"/>
      <c r="HO10" s="252"/>
      <c r="HP10" s="252"/>
      <c r="HQ10" s="252"/>
      <c r="HR10" s="252"/>
      <c r="HS10" s="252"/>
      <c r="HT10" s="252"/>
      <c r="HU10" s="252"/>
      <c r="HV10" s="252"/>
      <c r="HW10" s="252"/>
      <c r="HX10" s="252"/>
      <c r="HY10" s="252"/>
      <c r="HZ10" s="252"/>
      <c r="IA10" s="252"/>
      <c r="IB10" s="252"/>
      <c r="IC10" s="252"/>
      <c r="ID10" s="252"/>
      <c r="IE10" s="252"/>
      <c r="IF10" s="252"/>
      <c r="IG10" s="252"/>
      <c r="IH10" s="252"/>
      <c r="II10" s="252"/>
      <c r="IJ10" s="252"/>
      <c r="IK10" s="252"/>
      <c r="IL10" s="252"/>
      <c r="IM10" s="252"/>
      <c r="IN10" s="252"/>
      <c r="IO10" s="252"/>
      <c r="IP10" s="252"/>
      <c r="IQ10" s="252"/>
      <c r="IR10" s="252"/>
      <c r="IS10" s="252"/>
      <c r="IT10" s="252"/>
      <c r="IU10" s="252"/>
      <c r="IV10" s="252"/>
      <c r="IW10" s="252"/>
      <c r="IX10" s="252"/>
      <c r="IY10" s="252"/>
      <c r="IZ10" s="252"/>
      <c r="JA10" s="252"/>
      <c r="JB10" s="252"/>
      <c r="JC10" s="252"/>
      <c r="JD10" s="252"/>
      <c r="JE10" s="252"/>
      <c r="JF10" s="252"/>
      <c r="JG10" s="252"/>
      <c r="JH10" s="252"/>
      <c r="JI10" s="252"/>
      <c r="JJ10" s="252"/>
      <c r="JK10" s="252"/>
      <c r="JL10" s="252"/>
      <c r="JM10" s="252"/>
      <c r="JN10" s="252"/>
      <c r="JO10" s="252"/>
      <c r="JP10" s="252"/>
      <c r="JQ10" s="252"/>
      <c r="JR10" s="252"/>
      <c r="JS10" s="252"/>
      <c r="JT10" s="252"/>
      <c r="JU10" s="252"/>
      <c r="JV10" s="252"/>
    </row>
    <row r="11" spans="1:1199" s="52" customFormat="1" ht="60" customHeight="1" outlineLevel="1" x14ac:dyDescent="0.25">
      <c r="A11" s="328"/>
      <c r="B11" s="327"/>
      <c r="C11" s="335"/>
      <c r="D11" s="57" t="s">
        <v>31</v>
      </c>
      <c r="E11" s="56" t="s">
        <v>32</v>
      </c>
      <c r="F11" s="53" t="s">
        <v>33</v>
      </c>
      <c r="G11" s="58" t="s">
        <v>32</v>
      </c>
      <c r="H11" s="205" t="s">
        <v>33</v>
      </c>
      <c r="I11" s="51" t="s">
        <v>33</v>
      </c>
      <c r="J11" s="58" t="s">
        <v>32</v>
      </c>
      <c r="K11" s="219" t="s">
        <v>33</v>
      </c>
      <c r="L11" s="59" t="s">
        <v>33</v>
      </c>
      <c r="M11" s="253" t="s">
        <v>33</v>
      </c>
      <c r="N11" s="60" t="s">
        <v>33</v>
      </c>
      <c r="O11" s="58" t="s">
        <v>32</v>
      </c>
      <c r="P11" s="225" t="s">
        <v>33</v>
      </c>
      <c r="Q11" s="51" t="s">
        <v>33</v>
      </c>
      <c r="R11" s="51" t="s">
        <v>33</v>
      </c>
      <c r="S11" s="58" t="s">
        <v>32</v>
      </c>
      <c r="T11" s="51" t="s">
        <v>33</v>
      </c>
      <c r="U11" s="51" t="s">
        <v>33</v>
      </c>
      <c r="V11" s="58" t="s">
        <v>32</v>
      </c>
      <c r="W11" s="51" t="s">
        <v>33</v>
      </c>
      <c r="X11" s="61" t="s">
        <v>34</v>
      </c>
      <c r="Y11" s="51" t="s">
        <v>33</v>
      </c>
      <c r="Z11" s="61" t="s">
        <v>32</v>
      </c>
      <c r="AA11" s="59" t="s">
        <v>33</v>
      </c>
      <c r="AB11" s="58" t="s">
        <v>32</v>
      </c>
      <c r="AC11" s="254" t="s">
        <v>33</v>
      </c>
      <c r="AD11" s="62" t="s">
        <v>33</v>
      </c>
      <c r="AE11" s="214" t="s">
        <v>33</v>
      </c>
      <c r="AF11" s="184" t="s">
        <v>33</v>
      </c>
      <c r="AG11" s="51" t="s">
        <v>33</v>
      </c>
      <c r="AH11" s="254" t="s">
        <v>33</v>
      </c>
      <c r="AI11" s="51" t="s">
        <v>33</v>
      </c>
      <c r="AJ11" s="58" t="s">
        <v>32</v>
      </c>
      <c r="AK11" s="254" t="s">
        <v>33</v>
      </c>
      <c r="AL11" s="58" t="s">
        <v>32</v>
      </c>
      <c r="AM11" s="59" t="s">
        <v>33</v>
      </c>
      <c r="AN11" s="58" t="s">
        <v>35</v>
      </c>
      <c r="AO11" s="254" t="s">
        <v>33</v>
      </c>
      <c r="AP11" s="58" t="s">
        <v>32</v>
      </c>
      <c r="AQ11" s="59" t="s">
        <v>33</v>
      </c>
      <c r="AR11" s="59" t="s">
        <v>33</v>
      </c>
      <c r="AS11" s="59" t="s">
        <v>33</v>
      </c>
      <c r="AT11" s="254" t="s">
        <v>33</v>
      </c>
      <c r="AU11" s="51" t="s">
        <v>33</v>
      </c>
      <c r="AV11" s="51" t="s">
        <v>33</v>
      </c>
      <c r="AW11" s="63" t="s">
        <v>33</v>
      </c>
      <c r="AX11" s="58" t="s">
        <v>32</v>
      </c>
      <c r="AY11" s="60" t="s">
        <v>33</v>
      </c>
      <c r="AZ11" s="61" t="s">
        <v>32</v>
      </c>
      <c r="BA11" s="59" t="s">
        <v>33</v>
      </c>
      <c r="BB11" s="62" t="s">
        <v>33</v>
      </c>
      <c r="BC11" s="225" t="s">
        <v>33</v>
      </c>
      <c r="BD11" s="64" t="s">
        <v>32</v>
      </c>
      <c r="BE11" s="62" t="s">
        <v>33</v>
      </c>
      <c r="BF11" s="254" t="s">
        <v>33</v>
      </c>
      <c r="BG11" s="254" t="s">
        <v>33</v>
      </c>
      <c r="BH11" s="51" t="s">
        <v>33</v>
      </c>
      <c r="BI11" s="51" t="s">
        <v>33</v>
      </c>
      <c r="BJ11" s="51" t="s">
        <v>33</v>
      </c>
      <c r="BK11" s="51" t="s">
        <v>33</v>
      </c>
      <c r="BL11" s="51" t="s">
        <v>33</v>
      </c>
      <c r="BM11" s="51" t="s">
        <v>33</v>
      </c>
      <c r="BN11" s="254" t="s">
        <v>33</v>
      </c>
      <c r="BO11" s="51" t="s">
        <v>33</v>
      </c>
      <c r="BP11" s="254" t="s">
        <v>33</v>
      </c>
      <c r="BQ11" s="51" t="s">
        <v>33</v>
      </c>
      <c r="BR11" s="58" t="s">
        <v>32</v>
      </c>
      <c r="BS11" s="51" t="s">
        <v>33</v>
      </c>
      <c r="BT11" s="254" t="s">
        <v>33</v>
      </c>
      <c r="BU11" s="51" t="s">
        <v>33</v>
      </c>
      <c r="BV11" s="58" t="s">
        <v>32</v>
      </c>
      <c r="BW11" s="51" t="s">
        <v>33</v>
      </c>
      <c r="BX11" s="58" t="s">
        <v>32</v>
      </c>
      <c r="BY11" s="51" t="s">
        <v>33</v>
      </c>
      <c r="BZ11" s="58" t="s">
        <v>32</v>
      </c>
      <c r="CA11" s="254" t="s">
        <v>33</v>
      </c>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c r="FB11" s="252"/>
      <c r="FC11" s="252"/>
      <c r="FD11" s="252"/>
      <c r="FE11" s="252"/>
      <c r="FF11" s="252"/>
      <c r="FG11" s="252"/>
      <c r="FH11" s="252"/>
      <c r="FI11" s="252"/>
      <c r="FJ11" s="252"/>
      <c r="FK11" s="252"/>
      <c r="FL11" s="252"/>
      <c r="FM11" s="252"/>
      <c r="FN11" s="252"/>
      <c r="FO11" s="252"/>
      <c r="FP11" s="252"/>
      <c r="FQ11" s="252"/>
      <c r="FR11" s="252"/>
      <c r="FS11" s="252"/>
      <c r="FT11" s="252"/>
      <c r="FU11" s="252"/>
      <c r="FV11" s="252"/>
      <c r="FW11" s="252"/>
      <c r="FX11" s="252"/>
      <c r="FY11" s="252"/>
      <c r="FZ11" s="252"/>
      <c r="GA11" s="252"/>
      <c r="GB11" s="252"/>
      <c r="GC11" s="252"/>
      <c r="GD11" s="252"/>
      <c r="GE11" s="252"/>
      <c r="GF11" s="252"/>
      <c r="GG11" s="252"/>
      <c r="GH11" s="252"/>
      <c r="GI11" s="252"/>
      <c r="GJ11" s="252"/>
      <c r="GK11" s="252"/>
      <c r="GL11" s="252"/>
      <c r="GM11" s="252"/>
      <c r="GN11" s="252"/>
      <c r="GO11" s="252"/>
      <c r="GP11" s="252"/>
      <c r="GQ11" s="252"/>
      <c r="GR11" s="252"/>
      <c r="GS11" s="252"/>
      <c r="GT11" s="252"/>
      <c r="GU11" s="252"/>
      <c r="GV11" s="252"/>
      <c r="GW11" s="252"/>
      <c r="GX11" s="252"/>
      <c r="GY11" s="252"/>
      <c r="GZ11" s="252"/>
      <c r="HA11" s="252"/>
      <c r="HB11" s="252"/>
      <c r="HC11" s="252"/>
      <c r="HD11" s="252"/>
      <c r="HE11" s="252"/>
      <c r="HF11" s="252"/>
      <c r="HG11" s="252"/>
      <c r="HH11" s="252"/>
      <c r="HI11" s="252"/>
      <c r="HJ11" s="252"/>
      <c r="HK11" s="252"/>
      <c r="HL11" s="252"/>
      <c r="HM11" s="252"/>
      <c r="HN11" s="252"/>
      <c r="HO11" s="252"/>
      <c r="HP11" s="252"/>
      <c r="HQ11" s="252"/>
      <c r="HR11" s="252"/>
      <c r="HS11" s="252"/>
      <c r="HT11" s="252"/>
      <c r="HU11" s="252"/>
      <c r="HV11" s="252"/>
      <c r="HW11" s="252"/>
      <c r="HX11" s="252"/>
      <c r="HY11" s="252"/>
      <c r="HZ11" s="252"/>
      <c r="IA11" s="252"/>
      <c r="IB11" s="252"/>
      <c r="IC11" s="252"/>
      <c r="ID11" s="252"/>
      <c r="IE11" s="252"/>
      <c r="IF11" s="252"/>
      <c r="IG11" s="252"/>
      <c r="IH11" s="252"/>
      <c r="II11" s="252"/>
      <c r="IJ11" s="252"/>
      <c r="IK11" s="252"/>
      <c r="IL11" s="252"/>
      <c r="IM11" s="252"/>
      <c r="IN11" s="252"/>
      <c r="IO11" s="252"/>
      <c r="IP11" s="252"/>
      <c r="IQ11" s="252"/>
      <c r="IR11" s="252"/>
      <c r="IS11" s="252"/>
      <c r="IT11" s="252"/>
      <c r="IU11" s="252"/>
      <c r="IV11" s="252"/>
      <c r="IW11" s="252"/>
      <c r="IX11" s="252"/>
      <c r="IY11" s="252"/>
      <c r="IZ11" s="252"/>
      <c r="JA11" s="252"/>
      <c r="JB11" s="252"/>
      <c r="JC11" s="252"/>
      <c r="JD11" s="252"/>
      <c r="JE11" s="252"/>
      <c r="JF11" s="252"/>
      <c r="JG11" s="252"/>
      <c r="JH11" s="252"/>
      <c r="JI11" s="252"/>
      <c r="JJ11" s="252"/>
      <c r="JK11" s="252"/>
      <c r="JL11" s="252"/>
      <c r="JM11" s="252"/>
      <c r="JN11" s="252"/>
      <c r="JO11" s="252"/>
      <c r="JP11" s="252"/>
      <c r="JQ11" s="252"/>
      <c r="JR11" s="252"/>
      <c r="JS11" s="252"/>
      <c r="JT11" s="252"/>
      <c r="JU11" s="252"/>
      <c r="JV11" s="252"/>
    </row>
    <row r="12" spans="1:1199" s="52" customFormat="1" ht="25.5" customHeight="1" outlineLevel="1" x14ac:dyDescent="0.3">
      <c r="A12" s="65"/>
      <c r="B12" s="66"/>
      <c r="C12" s="67"/>
      <c r="D12" s="68"/>
      <c r="E12" s="69"/>
      <c r="F12" s="70"/>
      <c r="G12" s="69"/>
      <c r="H12" s="70"/>
      <c r="I12" s="70"/>
      <c r="J12" s="69"/>
      <c r="K12" s="70"/>
      <c r="L12" s="71"/>
      <c r="M12" s="71"/>
      <c r="N12" s="72"/>
      <c r="O12" s="69"/>
      <c r="P12" s="70"/>
      <c r="Q12" s="70"/>
      <c r="R12" s="70"/>
      <c r="S12" s="73"/>
      <c r="T12" s="70"/>
      <c r="U12" s="70"/>
      <c r="V12" s="69"/>
      <c r="W12" s="70"/>
      <c r="X12" s="69"/>
      <c r="Y12" s="70"/>
      <c r="Z12" s="74"/>
      <c r="AA12" s="71"/>
      <c r="AB12" s="69"/>
      <c r="AC12" s="70"/>
      <c r="AD12" s="75"/>
      <c r="AE12" s="75"/>
      <c r="AF12" s="185"/>
      <c r="AG12" s="70"/>
      <c r="AH12" s="70"/>
      <c r="AI12" s="70"/>
      <c r="AJ12" s="69"/>
      <c r="AK12" s="70"/>
      <c r="AL12" s="74"/>
      <c r="AM12" s="76"/>
      <c r="AN12" s="74"/>
      <c r="AO12" s="70"/>
      <c r="AP12" s="57"/>
      <c r="AQ12" s="71"/>
      <c r="AR12" s="71"/>
      <c r="AS12" s="71"/>
      <c r="AT12" s="70"/>
      <c r="AU12" s="70"/>
      <c r="AV12" s="70"/>
      <c r="AW12" s="77"/>
      <c r="AX12" s="262"/>
      <c r="AY12" s="72"/>
      <c r="AZ12" s="74"/>
      <c r="BA12" s="71"/>
      <c r="BB12" s="75"/>
      <c r="BC12" s="70"/>
      <c r="BD12" s="69"/>
      <c r="BE12" s="75"/>
      <c r="BF12" s="247"/>
      <c r="BG12" s="247"/>
      <c r="BH12" s="54"/>
      <c r="BI12" s="54"/>
      <c r="BJ12" s="54"/>
      <c r="BK12" s="54"/>
      <c r="BL12" s="54"/>
      <c r="BM12" s="54"/>
      <c r="BN12" s="247"/>
      <c r="BO12" s="54"/>
      <c r="BP12" s="247"/>
      <c r="BQ12" s="54"/>
      <c r="BR12" s="78"/>
      <c r="BS12" s="54"/>
      <c r="BT12" s="247"/>
      <c r="BU12" s="54"/>
      <c r="BV12" s="78"/>
      <c r="BW12" s="54"/>
      <c r="BX12" s="78"/>
      <c r="BY12" s="54"/>
      <c r="BZ12" s="78"/>
      <c r="CA12" s="247"/>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252"/>
      <c r="DW12" s="252"/>
      <c r="DX12" s="252"/>
      <c r="DY12" s="252"/>
      <c r="DZ12" s="252"/>
      <c r="EA12" s="252"/>
      <c r="EB12" s="252"/>
      <c r="EC12" s="252"/>
      <c r="ED12" s="252"/>
      <c r="EE12" s="252"/>
      <c r="EF12" s="252"/>
      <c r="EG12" s="252"/>
      <c r="EH12" s="252"/>
      <c r="EI12" s="252"/>
      <c r="EJ12" s="252"/>
      <c r="EK12" s="252"/>
      <c r="EL12" s="252"/>
      <c r="EM12" s="252"/>
      <c r="EN12" s="252"/>
      <c r="EO12" s="252"/>
      <c r="EP12" s="252"/>
      <c r="EQ12" s="252"/>
      <c r="ER12" s="252"/>
      <c r="ES12" s="252"/>
      <c r="ET12" s="252"/>
      <c r="EU12" s="252"/>
      <c r="EV12" s="252"/>
      <c r="EW12" s="252"/>
      <c r="EX12" s="252"/>
      <c r="EY12" s="252"/>
      <c r="EZ12" s="252"/>
      <c r="FA12" s="252"/>
      <c r="FB12" s="252"/>
      <c r="FC12" s="252"/>
      <c r="FD12" s="252"/>
      <c r="FE12" s="252"/>
      <c r="FF12" s="252"/>
      <c r="FG12" s="252"/>
      <c r="FH12" s="252"/>
      <c r="FI12" s="252"/>
      <c r="FJ12" s="252"/>
      <c r="FK12" s="252"/>
      <c r="FL12" s="252"/>
      <c r="FM12" s="252"/>
      <c r="FN12" s="252"/>
      <c r="FO12" s="252"/>
      <c r="FP12" s="252"/>
      <c r="FQ12" s="252"/>
      <c r="FR12" s="252"/>
      <c r="FS12" s="252"/>
      <c r="FT12" s="252"/>
      <c r="FU12" s="252"/>
      <c r="FV12" s="252"/>
      <c r="FW12" s="252"/>
      <c r="FX12" s="252"/>
      <c r="FY12" s="252"/>
      <c r="FZ12" s="252"/>
      <c r="GA12" s="252"/>
      <c r="GB12" s="252"/>
      <c r="GC12" s="252"/>
      <c r="GD12" s="252"/>
      <c r="GE12" s="252"/>
      <c r="GF12" s="252"/>
      <c r="GG12" s="252"/>
      <c r="GH12" s="252"/>
      <c r="GI12" s="252"/>
      <c r="GJ12" s="252"/>
      <c r="GK12" s="252"/>
      <c r="GL12" s="252"/>
      <c r="GM12" s="252"/>
      <c r="GN12" s="252"/>
      <c r="GO12" s="252"/>
      <c r="GP12" s="252"/>
      <c r="GQ12" s="252"/>
      <c r="GR12" s="252"/>
      <c r="GS12" s="252"/>
      <c r="GT12" s="252"/>
      <c r="GU12" s="252"/>
      <c r="GV12" s="252"/>
      <c r="GW12" s="252"/>
      <c r="GX12" s="252"/>
      <c r="GY12" s="252"/>
      <c r="GZ12" s="252"/>
      <c r="HA12" s="252"/>
      <c r="HB12" s="252"/>
      <c r="HC12" s="252"/>
      <c r="HD12" s="252"/>
      <c r="HE12" s="252"/>
      <c r="HF12" s="252"/>
      <c r="HG12" s="252"/>
      <c r="HH12" s="252"/>
      <c r="HI12" s="252"/>
      <c r="HJ12" s="252"/>
      <c r="HK12" s="252"/>
      <c r="HL12" s="252"/>
      <c r="HM12" s="252"/>
      <c r="HN12" s="252"/>
      <c r="HO12" s="252"/>
      <c r="HP12" s="252"/>
      <c r="HQ12" s="252"/>
      <c r="HR12" s="252"/>
      <c r="HS12" s="252"/>
      <c r="HT12" s="252"/>
      <c r="HU12" s="252"/>
      <c r="HV12" s="252"/>
      <c r="HW12" s="252"/>
      <c r="HX12" s="252"/>
      <c r="HY12" s="252"/>
      <c r="HZ12" s="252"/>
      <c r="IA12" s="252"/>
      <c r="IB12" s="252"/>
      <c r="IC12" s="252"/>
      <c r="ID12" s="252"/>
      <c r="IE12" s="252"/>
      <c r="IF12" s="252"/>
      <c r="IG12" s="252"/>
      <c r="IH12" s="252"/>
      <c r="II12" s="252"/>
      <c r="IJ12" s="252"/>
      <c r="IK12" s="252"/>
      <c r="IL12" s="252"/>
      <c r="IM12" s="252"/>
      <c r="IN12" s="252"/>
      <c r="IO12" s="252"/>
      <c r="IP12" s="252"/>
      <c r="IQ12" s="252"/>
      <c r="IR12" s="252"/>
      <c r="IS12" s="252"/>
      <c r="IT12" s="252"/>
      <c r="IU12" s="252"/>
      <c r="IV12" s="252"/>
      <c r="IW12" s="252"/>
      <c r="IX12" s="252"/>
      <c r="IY12" s="252"/>
      <c r="IZ12" s="252"/>
      <c r="JA12" s="252"/>
      <c r="JB12" s="252"/>
      <c r="JC12" s="252"/>
      <c r="JD12" s="252"/>
      <c r="JE12" s="252"/>
      <c r="JF12" s="252"/>
      <c r="JG12" s="252"/>
      <c r="JH12" s="252"/>
      <c r="JI12" s="252"/>
      <c r="JJ12" s="252"/>
      <c r="JK12" s="252"/>
      <c r="JL12" s="252"/>
      <c r="JM12" s="252"/>
      <c r="JN12" s="252"/>
      <c r="JO12" s="252"/>
      <c r="JP12" s="252"/>
      <c r="JQ12" s="252"/>
      <c r="JR12" s="252"/>
      <c r="JS12" s="252"/>
      <c r="JT12" s="252"/>
      <c r="JU12" s="252"/>
      <c r="JV12" s="252"/>
    </row>
    <row r="13" spans="1:1199" ht="50.1" customHeight="1" outlineLevel="2" x14ac:dyDescent="0.3">
      <c r="A13" s="92" t="s">
        <v>36</v>
      </c>
      <c r="B13" s="92" t="s">
        <v>38</v>
      </c>
      <c r="C13" s="79" t="s">
        <v>37</v>
      </c>
      <c r="D13" s="81">
        <f t="shared" ref="D13:D63" si="0">E13+F13</f>
        <v>136.51052999999999</v>
      </c>
      <c r="E13" s="82">
        <f t="shared" ref="E13:E63" si="1">G13+J13+O13+S13+V13+X13+Z13+AB13+AJ13+AL13+AN13+AP13+AX13+AZ13+BD13+BV13+BX13+BZ13+BR13</f>
        <v>4.4071100000000003</v>
      </c>
      <c r="F13" s="83">
        <f t="shared" ref="F13:F63" si="2">H13+I13+K13+L13+M13+N13+P13+Q13+R13+T13+U13+W13+Y13+AA13+AC13+AD13+AG13+AH13+AI13+AK13+AM13+AO13+AQ13+AR13+AS13+AT13+AU13+AV13+AW13+AY13+BA13+BB13+BC13+BE13+BF13+BG13+BH13+BI13+BJ13+BK13+BL13+BO13+BP13+BQ13+BS13+BT13+BU13+BW13+BY13+CA13+BM13+BN13</f>
        <v>132.10342</v>
      </c>
      <c r="G13" s="84"/>
      <c r="H13" s="85"/>
      <c r="I13" s="85"/>
      <c r="J13" s="84">
        <v>4.4071100000000003</v>
      </c>
      <c r="K13" s="85">
        <v>0.84514</v>
      </c>
      <c r="L13" s="85">
        <v>131.25828000000001</v>
      </c>
      <c r="M13" s="85"/>
      <c r="N13" s="85"/>
      <c r="O13" s="82"/>
      <c r="P13" s="83"/>
      <c r="Q13" s="83"/>
      <c r="R13" s="83"/>
      <c r="S13" s="82"/>
      <c r="T13" s="85"/>
      <c r="U13" s="85"/>
      <c r="V13" s="84"/>
      <c r="W13" s="83"/>
      <c r="X13" s="87"/>
      <c r="Y13" s="83"/>
      <c r="Z13" s="84"/>
      <c r="AA13" s="85"/>
      <c r="AB13" s="84"/>
      <c r="AC13" s="85"/>
      <c r="AD13" s="89">
        <f t="shared" ref="AD13:AD64" si="3">AE13+AF13</f>
        <v>0</v>
      </c>
      <c r="AE13" s="89"/>
      <c r="AF13" s="186"/>
      <c r="AG13" s="85"/>
      <c r="AH13" s="85"/>
      <c r="AI13" s="85"/>
      <c r="AJ13" s="84"/>
      <c r="AK13" s="85"/>
      <c r="AL13" s="84"/>
      <c r="AM13" s="88"/>
      <c r="AN13" s="84"/>
      <c r="AO13" s="85"/>
      <c r="AP13" s="84"/>
      <c r="AQ13" s="83"/>
      <c r="AR13" s="83"/>
      <c r="AS13" s="83"/>
      <c r="AT13" s="85"/>
      <c r="AU13" s="85"/>
      <c r="AV13" s="85"/>
      <c r="AW13" s="88"/>
      <c r="AX13" s="84"/>
      <c r="AY13" s="85"/>
      <c r="AZ13" s="84"/>
      <c r="BA13" s="83"/>
      <c r="BB13" s="88"/>
      <c r="BC13" s="85"/>
      <c r="BD13" s="84"/>
      <c r="BE13" s="88"/>
      <c r="BF13" s="85"/>
      <c r="BG13" s="85"/>
      <c r="BH13" s="85"/>
      <c r="BI13" s="85"/>
      <c r="BJ13" s="85"/>
      <c r="BK13" s="85"/>
      <c r="BL13" s="85"/>
      <c r="BM13" s="85"/>
      <c r="BN13" s="85"/>
      <c r="BO13" s="85"/>
      <c r="BP13" s="85"/>
      <c r="BQ13" s="85"/>
      <c r="BR13" s="84"/>
      <c r="BS13" s="85"/>
      <c r="BT13" s="85"/>
      <c r="BU13" s="55"/>
      <c r="BV13" s="90"/>
      <c r="BW13" s="55"/>
      <c r="BX13" s="90"/>
      <c r="BY13" s="55"/>
      <c r="BZ13" s="90"/>
      <c r="CA13" s="91"/>
    </row>
    <row r="14" spans="1:1199" ht="50.1" customHeight="1" outlineLevel="2" x14ac:dyDescent="0.3">
      <c r="A14" s="92" t="s">
        <v>36</v>
      </c>
      <c r="B14" s="92" t="s">
        <v>39</v>
      </c>
      <c r="C14" s="79" t="s">
        <v>37</v>
      </c>
      <c r="D14" s="81">
        <f t="shared" si="0"/>
        <v>575.71929999999998</v>
      </c>
      <c r="E14" s="82">
        <f t="shared" si="1"/>
        <v>192.37212</v>
      </c>
      <c r="F14" s="83">
        <f t="shared" si="2"/>
        <v>383.34717999999998</v>
      </c>
      <c r="G14" s="84"/>
      <c r="H14" s="85"/>
      <c r="I14" s="85"/>
      <c r="J14" s="84"/>
      <c r="K14" s="85"/>
      <c r="L14" s="85"/>
      <c r="M14" s="85"/>
      <c r="N14" s="85"/>
      <c r="O14" s="82"/>
      <c r="P14" s="83"/>
      <c r="Q14" s="83"/>
      <c r="R14" s="83"/>
      <c r="S14" s="82"/>
      <c r="T14" s="85"/>
      <c r="U14" s="85"/>
      <c r="V14" s="84"/>
      <c r="W14" s="83"/>
      <c r="X14" s="87"/>
      <c r="Y14" s="83">
        <v>97.656000000000006</v>
      </c>
      <c r="Z14" s="84"/>
      <c r="AA14" s="85"/>
      <c r="AB14" s="84"/>
      <c r="AC14" s="85"/>
      <c r="AD14" s="89">
        <f t="shared" si="3"/>
        <v>111.48249000000001</v>
      </c>
      <c r="AE14" s="89">
        <v>70.623000000000005</v>
      </c>
      <c r="AF14" s="186">
        <v>40.859490000000001</v>
      </c>
      <c r="AG14" s="85"/>
      <c r="AH14" s="85"/>
      <c r="AI14" s="85"/>
      <c r="AJ14" s="84"/>
      <c r="AK14" s="85"/>
      <c r="AL14" s="84"/>
      <c r="AM14" s="88"/>
      <c r="AN14" s="84"/>
      <c r="AO14" s="85"/>
      <c r="AP14" s="84"/>
      <c r="AQ14" s="83"/>
      <c r="AR14" s="83"/>
      <c r="AS14" s="83"/>
      <c r="AT14" s="85"/>
      <c r="AU14" s="85"/>
      <c r="AV14" s="85"/>
      <c r="AW14" s="88"/>
      <c r="AX14" s="84"/>
      <c r="AY14" s="85"/>
      <c r="AZ14" s="84">
        <v>192.37212</v>
      </c>
      <c r="BA14" s="83">
        <v>174.20868999999999</v>
      </c>
      <c r="BB14" s="88"/>
      <c r="BC14" s="85"/>
      <c r="BD14" s="84"/>
      <c r="BE14" s="88"/>
      <c r="BF14" s="85"/>
      <c r="BG14" s="85"/>
      <c r="BH14" s="85"/>
      <c r="BI14" s="85"/>
      <c r="BJ14" s="85"/>
      <c r="BK14" s="85"/>
      <c r="BL14" s="85"/>
      <c r="BM14" s="85"/>
      <c r="BN14" s="85"/>
      <c r="BO14" s="85"/>
      <c r="BP14" s="85"/>
      <c r="BQ14" s="85"/>
      <c r="BR14" s="84"/>
      <c r="BS14" s="85"/>
      <c r="BT14" s="85"/>
      <c r="BU14" s="55"/>
      <c r="BV14" s="90"/>
      <c r="BW14" s="55"/>
      <c r="BX14" s="90"/>
      <c r="BY14" s="55"/>
      <c r="BZ14" s="90"/>
      <c r="CA14" s="91"/>
    </row>
    <row r="15" spans="1:1199" ht="50.1" customHeight="1" outlineLevel="2" x14ac:dyDescent="0.3">
      <c r="A15" s="92" t="s">
        <v>36</v>
      </c>
      <c r="B15" s="92" t="s">
        <v>40</v>
      </c>
      <c r="C15" s="79" t="s">
        <v>37</v>
      </c>
      <c r="D15" s="81">
        <f t="shared" si="0"/>
        <v>1119.54937</v>
      </c>
      <c r="E15" s="82">
        <f t="shared" si="1"/>
        <v>456.52713</v>
      </c>
      <c r="F15" s="83">
        <f t="shared" si="2"/>
        <v>663.02224000000001</v>
      </c>
      <c r="G15" s="84"/>
      <c r="H15" s="85"/>
      <c r="I15" s="85"/>
      <c r="J15" s="84"/>
      <c r="K15" s="85"/>
      <c r="L15" s="85"/>
      <c r="M15" s="85"/>
      <c r="N15" s="85"/>
      <c r="O15" s="82"/>
      <c r="P15" s="83"/>
      <c r="Q15" s="83"/>
      <c r="R15" s="83"/>
      <c r="S15" s="93"/>
      <c r="T15" s="85"/>
      <c r="U15" s="85"/>
      <c r="V15" s="84"/>
      <c r="W15" s="83"/>
      <c r="X15" s="87"/>
      <c r="Y15" s="83">
        <v>249.6</v>
      </c>
      <c r="Z15" s="84"/>
      <c r="AA15" s="85"/>
      <c r="AB15" s="84"/>
      <c r="AC15" s="85"/>
      <c r="AD15" s="89">
        <f t="shared" si="3"/>
        <v>0</v>
      </c>
      <c r="AE15" s="89"/>
      <c r="AF15" s="186"/>
      <c r="AG15" s="85"/>
      <c r="AH15" s="85"/>
      <c r="AI15" s="85"/>
      <c r="AJ15" s="84"/>
      <c r="AK15" s="85"/>
      <c r="AL15" s="84"/>
      <c r="AM15" s="88"/>
      <c r="AN15" s="84"/>
      <c r="AO15" s="85"/>
      <c r="AP15" s="84"/>
      <c r="AQ15" s="83"/>
      <c r="AR15" s="83"/>
      <c r="AS15" s="83"/>
      <c r="AT15" s="85"/>
      <c r="AU15" s="85"/>
      <c r="AV15" s="85"/>
      <c r="AW15" s="88"/>
      <c r="AX15" s="84"/>
      <c r="AY15" s="85"/>
      <c r="AZ15" s="84">
        <v>456.52713</v>
      </c>
      <c r="BA15" s="83">
        <v>413.42223999999999</v>
      </c>
      <c r="BB15" s="88"/>
      <c r="BC15" s="85"/>
      <c r="BD15" s="84"/>
      <c r="BE15" s="88"/>
      <c r="BF15" s="85"/>
      <c r="BG15" s="85"/>
      <c r="BH15" s="85"/>
      <c r="BI15" s="85"/>
      <c r="BJ15" s="85"/>
      <c r="BK15" s="85"/>
      <c r="BL15" s="85"/>
      <c r="BM15" s="85"/>
      <c r="BN15" s="85"/>
      <c r="BO15" s="85"/>
      <c r="BP15" s="85"/>
      <c r="BQ15" s="85"/>
      <c r="BR15" s="84"/>
      <c r="BS15" s="85"/>
      <c r="BT15" s="85"/>
      <c r="BU15" s="55"/>
      <c r="BV15" s="90"/>
      <c r="BW15" s="55"/>
      <c r="BX15" s="90"/>
      <c r="BY15" s="55"/>
      <c r="BZ15" s="90"/>
      <c r="CA15" s="91"/>
    </row>
    <row r="16" spans="1:1199" ht="50.1" customHeight="1" outlineLevel="2" x14ac:dyDescent="0.3">
      <c r="A16" s="92" t="s">
        <v>36</v>
      </c>
      <c r="B16" s="92" t="s">
        <v>41</v>
      </c>
      <c r="C16" s="79" t="s">
        <v>37</v>
      </c>
      <c r="D16" s="81">
        <f t="shared" si="0"/>
        <v>5665.2271400000009</v>
      </c>
      <c r="E16" s="82">
        <f t="shared" si="1"/>
        <v>483.95537999999999</v>
      </c>
      <c r="F16" s="83">
        <f t="shared" si="2"/>
        <v>5181.2717600000005</v>
      </c>
      <c r="G16" s="84"/>
      <c r="H16" s="85"/>
      <c r="I16" s="85"/>
      <c r="J16" s="84"/>
      <c r="K16" s="85"/>
      <c r="L16" s="85"/>
      <c r="M16" s="85"/>
      <c r="N16" s="85"/>
      <c r="O16" s="82"/>
      <c r="P16" s="83"/>
      <c r="Q16" s="83"/>
      <c r="R16" s="83"/>
      <c r="S16" s="93"/>
      <c r="T16" s="85">
        <v>341.26591000000002</v>
      </c>
      <c r="U16" s="85"/>
      <c r="V16" s="84">
        <v>41.509900000000002</v>
      </c>
      <c r="W16" s="83">
        <v>72.45</v>
      </c>
      <c r="X16" s="87"/>
      <c r="Y16" s="83">
        <v>418.08</v>
      </c>
      <c r="Z16" s="84"/>
      <c r="AA16" s="85"/>
      <c r="AB16" s="84"/>
      <c r="AC16" s="85"/>
      <c r="AD16" s="89">
        <f t="shared" si="3"/>
        <v>1185.8533400000001</v>
      </c>
      <c r="AE16" s="89">
        <f>525.69+98.8722</f>
        <v>624.56220000000008</v>
      </c>
      <c r="AF16" s="186">
        <f>88.25849+473.03265</f>
        <v>561.29114000000004</v>
      </c>
      <c r="AG16" s="85"/>
      <c r="AH16" s="85"/>
      <c r="AI16" s="85"/>
      <c r="AJ16" s="84"/>
      <c r="AK16" s="85"/>
      <c r="AL16" s="84"/>
      <c r="AM16" s="88"/>
      <c r="AN16" s="84"/>
      <c r="AO16" s="85"/>
      <c r="AP16" s="84"/>
      <c r="AQ16" s="83"/>
      <c r="AR16" s="83"/>
      <c r="AS16" s="83"/>
      <c r="AT16" s="85"/>
      <c r="AU16" s="85"/>
      <c r="AV16" s="85">
        <v>1564.1904999999999</v>
      </c>
      <c r="AW16" s="88"/>
      <c r="AX16" s="84"/>
      <c r="AY16" s="85"/>
      <c r="AZ16" s="84">
        <v>442.44547999999998</v>
      </c>
      <c r="BA16" s="83">
        <v>400.67030999999997</v>
      </c>
      <c r="BB16" s="88">
        <v>647.50618999999995</v>
      </c>
      <c r="BC16" s="85"/>
      <c r="BD16" s="84"/>
      <c r="BE16" s="88"/>
      <c r="BF16" s="85"/>
      <c r="BG16" s="85">
        <v>454.39085999999998</v>
      </c>
      <c r="BH16" s="85"/>
      <c r="BI16" s="85"/>
      <c r="BJ16" s="85"/>
      <c r="BK16" s="85"/>
      <c r="BL16" s="85"/>
      <c r="BM16" s="85"/>
      <c r="BN16" s="85"/>
      <c r="BO16" s="85"/>
      <c r="BP16" s="85"/>
      <c r="BQ16" s="85"/>
      <c r="BR16" s="84"/>
      <c r="BS16" s="85"/>
      <c r="BT16" s="85">
        <v>96.864649999999997</v>
      </c>
      <c r="BU16" s="55"/>
      <c r="BV16" s="90"/>
      <c r="BW16" s="55"/>
      <c r="BX16" s="90"/>
      <c r="BY16" s="55"/>
      <c r="BZ16" s="90"/>
      <c r="CA16" s="91"/>
    </row>
    <row r="17" spans="1:282" ht="50.1" customHeight="1" outlineLevel="2" x14ac:dyDescent="0.3">
      <c r="A17" s="92" t="s">
        <v>36</v>
      </c>
      <c r="B17" s="92" t="s">
        <v>42</v>
      </c>
      <c r="C17" s="79" t="s">
        <v>37</v>
      </c>
      <c r="D17" s="81">
        <f t="shared" si="0"/>
        <v>1081.3767900000003</v>
      </c>
      <c r="E17" s="82">
        <f t="shared" si="1"/>
        <v>376.30982000000006</v>
      </c>
      <c r="F17" s="83">
        <f t="shared" si="2"/>
        <v>705.06697000000008</v>
      </c>
      <c r="G17" s="84"/>
      <c r="H17" s="85"/>
      <c r="I17" s="85"/>
      <c r="J17" s="84">
        <v>9.8306900000000006</v>
      </c>
      <c r="K17" s="85">
        <v>3.5748000000000002</v>
      </c>
      <c r="L17" s="85">
        <v>89.451620000000005</v>
      </c>
      <c r="M17" s="85"/>
      <c r="N17" s="85"/>
      <c r="O17" s="82"/>
      <c r="P17" s="83"/>
      <c r="Q17" s="83"/>
      <c r="R17" s="83"/>
      <c r="S17" s="93"/>
      <c r="T17" s="85"/>
      <c r="U17" s="85"/>
      <c r="V17" s="84">
        <v>35.872129999999999</v>
      </c>
      <c r="W17" s="83">
        <v>60.1995</v>
      </c>
      <c r="X17" s="87"/>
      <c r="Y17" s="83">
        <v>218.4</v>
      </c>
      <c r="Z17" s="84"/>
      <c r="AA17" s="85"/>
      <c r="AB17" s="84"/>
      <c r="AC17" s="85"/>
      <c r="AD17" s="89">
        <f t="shared" si="3"/>
        <v>34.049570000000003</v>
      </c>
      <c r="AE17" s="89"/>
      <c r="AF17" s="186">
        <v>34.049570000000003</v>
      </c>
      <c r="AG17" s="85"/>
      <c r="AH17" s="85"/>
      <c r="AI17" s="85"/>
      <c r="AJ17" s="84"/>
      <c r="AK17" s="85"/>
      <c r="AL17" s="84"/>
      <c r="AM17" s="88"/>
      <c r="AN17" s="84"/>
      <c r="AO17" s="85"/>
      <c r="AP17" s="84"/>
      <c r="AQ17" s="83"/>
      <c r="AR17" s="83"/>
      <c r="AS17" s="83"/>
      <c r="AT17" s="85"/>
      <c r="AU17" s="85"/>
      <c r="AV17" s="85"/>
      <c r="AW17" s="88"/>
      <c r="AX17" s="84"/>
      <c r="AY17" s="85"/>
      <c r="AZ17" s="84">
        <v>330.60700000000003</v>
      </c>
      <c r="BA17" s="83">
        <v>299.39148</v>
      </c>
      <c r="BB17" s="88"/>
      <c r="BC17" s="85"/>
      <c r="BD17" s="84"/>
      <c r="BE17" s="88"/>
      <c r="BF17" s="85"/>
      <c r="BG17" s="85"/>
      <c r="BH17" s="85"/>
      <c r="BI17" s="85"/>
      <c r="BJ17" s="85"/>
      <c r="BK17" s="85"/>
      <c r="BL17" s="85"/>
      <c r="BM17" s="85"/>
      <c r="BN17" s="85"/>
      <c r="BO17" s="85"/>
      <c r="BP17" s="85"/>
      <c r="BQ17" s="85"/>
      <c r="BR17" s="84"/>
      <c r="BS17" s="85"/>
      <c r="BT17" s="85"/>
      <c r="BU17" s="55"/>
      <c r="BV17" s="90"/>
      <c r="BW17" s="55"/>
      <c r="BX17" s="90"/>
      <c r="BY17" s="55"/>
      <c r="BZ17" s="90"/>
      <c r="CA17" s="91"/>
    </row>
    <row r="18" spans="1:282" ht="50.1" customHeight="1" outlineLevel="2" x14ac:dyDescent="0.3">
      <c r="A18" s="92" t="s">
        <v>36</v>
      </c>
      <c r="B18" s="92" t="s">
        <v>43</v>
      </c>
      <c r="C18" s="79" t="s">
        <v>37</v>
      </c>
      <c r="D18" s="81">
        <f t="shared" si="0"/>
        <v>28619.097899999997</v>
      </c>
      <c r="E18" s="82">
        <f t="shared" si="1"/>
        <v>6319.7602799999995</v>
      </c>
      <c r="F18" s="83">
        <f t="shared" si="2"/>
        <v>22299.337619999998</v>
      </c>
      <c r="G18" s="84">
        <v>3125.8382099999999</v>
      </c>
      <c r="H18" s="85">
        <v>1523.96462</v>
      </c>
      <c r="I18" s="85"/>
      <c r="J18" s="84"/>
      <c r="K18" s="85"/>
      <c r="L18" s="85">
        <v>1004.39208</v>
      </c>
      <c r="M18" s="85">
        <v>4015.2750000000001</v>
      </c>
      <c r="N18" s="85"/>
      <c r="O18" s="82"/>
      <c r="P18" s="83"/>
      <c r="Q18" s="83"/>
      <c r="R18" s="83"/>
      <c r="S18" s="93"/>
      <c r="T18" s="85"/>
      <c r="U18" s="85"/>
      <c r="V18" s="84">
        <v>128.34227999999999</v>
      </c>
      <c r="W18" s="83">
        <v>447.39</v>
      </c>
      <c r="X18" s="87"/>
      <c r="Y18" s="83">
        <v>1596.5039999999999</v>
      </c>
      <c r="Z18" s="84"/>
      <c r="AA18" s="85"/>
      <c r="AB18" s="84"/>
      <c r="AC18" s="85"/>
      <c r="AD18" s="89">
        <f t="shared" si="3"/>
        <v>1363.6792400000002</v>
      </c>
      <c r="AE18" s="89">
        <f>157.707+64.473</f>
        <v>222.18</v>
      </c>
      <c r="AF18" s="186">
        <f>523.08943+104.60266+513.80715</f>
        <v>1141.4992400000001</v>
      </c>
      <c r="AG18" s="85"/>
      <c r="AH18" s="85"/>
      <c r="AI18" s="85"/>
      <c r="AJ18" s="84"/>
      <c r="AK18" s="85"/>
      <c r="AL18" s="84"/>
      <c r="AM18" s="88"/>
      <c r="AN18" s="84"/>
      <c r="AO18" s="85">
        <v>998.4</v>
      </c>
      <c r="AP18" s="84">
        <v>1540.6903500000001</v>
      </c>
      <c r="AQ18" s="83">
        <v>3330.0449899999999</v>
      </c>
      <c r="AR18" s="83"/>
      <c r="AS18" s="83"/>
      <c r="AT18" s="85"/>
      <c r="AU18" s="85"/>
      <c r="AV18" s="85"/>
      <c r="AW18" s="88"/>
      <c r="AX18" s="84"/>
      <c r="AY18" s="85"/>
      <c r="AZ18" s="84">
        <v>1524.8894399999999</v>
      </c>
      <c r="BA18" s="83">
        <v>1380.9105099999999</v>
      </c>
      <c r="BB18" s="88">
        <v>481.03440000000001</v>
      </c>
      <c r="BC18" s="85"/>
      <c r="BD18" s="84"/>
      <c r="BE18" s="88"/>
      <c r="BF18" s="85"/>
      <c r="BG18" s="85">
        <v>1050.34671</v>
      </c>
      <c r="BH18" s="85"/>
      <c r="BI18" s="85"/>
      <c r="BJ18" s="85"/>
      <c r="BK18" s="85">
        <v>985.29606999999999</v>
      </c>
      <c r="BL18" s="85"/>
      <c r="BM18" s="85"/>
      <c r="BN18" s="85"/>
      <c r="BO18" s="85"/>
      <c r="BP18" s="85"/>
      <c r="BQ18" s="85"/>
      <c r="BR18" s="84"/>
      <c r="BS18" s="85">
        <v>4122.1000000000004</v>
      </c>
      <c r="BT18" s="85"/>
      <c r="BU18" s="55"/>
      <c r="BV18" s="90"/>
      <c r="BW18" s="55"/>
      <c r="BX18" s="90"/>
      <c r="BY18" s="55"/>
      <c r="BZ18" s="90"/>
      <c r="CA18" s="91"/>
    </row>
    <row r="19" spans="1:282" ht="50.1" customHeight="1" outlineLevel="2" x14ac:dyDescent="0.3">
      <c r="A19" s="92" t="s">
        <v>36</v>
      </c>
      <c r="B19" s="92" t="s">
        <v>44</v>
      </c>
      <c r="C19" s="79" t="s">
        <v>37</v>
      </c>
      <c r="D19" s="81">
        <f t="shared" si="0"/>
        <v>7403.16831</v>
      </c>
      <c r="E19" s="82">
        <f t="shared" si="1"/>
        <v>1271.7874400000001</v>
      </c>
      <c r="F19" s="83">
        <f t="shared" si="2"/>
        <v>6131.38087</v>
      </c>
      <c r="G19" s="84"/>
      <c r="H19" s="85"/>
      <c r="I19" s="85"/>
      <c r="J19" s="84"/>
      <c r="K19" s="85"/>
      <c r="L19" s="85"/>
      <c r="M19" s="85"/>
      <c r="N19" s="85"/>
      <c r="O19" s="82"/>
      <c r="P19" s="83"/>
      <c r="Q19" s="83"/>
      <c r="R19" s="83"/>
      <c r="S19" s="93"/>
      <c r="T19" s="85"/>
      <c r="U19" s="85"/>
      <c r="V19" s="84">
        <v>57.987499999999997</v>
      </c>
      <c r="W19" s="83">
        <v>101.25</v>
      </c>
      <c r="X19" s="87"/>
      <c r="Y19" s="83">
        <v>383.76</v>
      </c>
      <c r="Z19" s="84"/>
      <c r="AA19" s="85"/>
      <c r="AB19" s="84"/>
      <c r="AC19" s="85"/>
      <c r="AD19" s="89">
        <f t="shared" si="3"/>
        <v>190.33261999999999</v>
      </c>
      <c r="AE19" s="89">
        <v>58.025700000000001</v>
      </c>
      <c r="AF19" s="186">
        <v>132.30691999999999</v>
      </c>
      <c r="AG19" s="85"/>
      <c r="AH19" s="85"/>
      <c r="AI19" s="85"/>
      <c r="AJ19" s="84"/>
      <c r="AK19" s="85"/>
      <c r="AL19" s="84"/>
      <c r="AM19" s="88"/>
      <c r="AN19" s="84"/>
      <c r="AO19" s="85"/>
      <c r="AP19" s="84">
        <v>451.85570999999999</v>
      </c>
      <c r="AQ19" s="83">
        <v>518.65517999999997</v>
      </c>
      <c r="AR19" s="83"/>
      <c r="AS19" s="83"/>
      <c r="AT19" s="85"/>
      <c r="AU19" s="85"/>
      <c r="AV19" s="85"/>
      <c r="AW19" s="88"/>
      <c r="AX19" s="84"/>
      <c r="AY19" s="85"/>
      <c r="AZ19" s="84">
        <v>761.94422999999995</v>
      </c>
      <c r="BA19" s="83">
        <v>690.00219000000004</v>
      </c>
      <c r="BB19" s="88"/>
      <c r="BC19" s="85"/>
      <c r="BD19" s="84"/>
      <c r="BE19" s="88"/>
      <c r="BF19" s="85"/>
      <c r="BG19" s="85"/>
      <c r="BH19" s="85"/>
      <c r="BI19" s="85"/>
      <c r="BJ19" s="85"/>
      <c r="BK19" s="85"/>
      <c r="BL19" s="85"/>
      <c r="BM19" s="85"/>
      <c r="BN19" s="85"/>
      <c r="BO19" s="85"/>
      <c r="BP19" s="85"/>
      <c r="BQ19" s="85"/>
      <c r="BR19" s="84"/>
      <c r="BS19" s="85">
        <v>4093.7</v>
      </c>
      <c r="BT19" s="85">
        <v>153.68088</v>
      </c>
      <c r="BU19" s="55"/>
      <c r="BV19" s="90"/>
      <c r="BW19" s="55"/>
      <c r="BX19" s="90"/>
      <c r="BY19" s="55"/>
      <c r="BZ19" s="90"/>
      <c r="CA19" s="91"/>
    </row>
    <row r="20" spans="1:282" ht="50.1" customHeight="1" outlineLevel="2" x14ac:dyDescent="0.3">
      <c r="A20" s="92" t="s">
        <v>36</v>
      </c>
      <c r="B20" s="92" t="s">
        <v>45</v>
      </c>
      <c r="C20" s="79" t="s">
        <v>37</v>
      </c>
      <c r="D20" s="81">
        <f t="shared" si="0"/>
        <v>582.84050999999999</v>
      </c>
      <c r="E20" s="82">
        <f t="shared" si="1"/>
        <v>111.86876000000001</v>
      </c>
      <c r="F20" s="83">
        <f t="shared" si="2"/>
        <v>470.97175000000004</v>
      </c>
      <c r="G20" s="84"/>
      <c r="H20" s="85"/>
      <c r="I20" s="85"/>
      <c r="J20" s="86"/>
      <c r="K20" s="85"/>
      <c r="L20" s="85">
        <f>6.25503</f>
        <v>6.2550299999999996</v>
      </c>
      <c r="M20" s="85"/>
      <c r="N20" s="85"/>
      <c r="O20" s="82"/>
      <c r="P20" s="83"/>
      <c r="Q20" s="83"/>
      <c r="R20" s="83"/>
      <c r="S20" s="93"/>
      <c r="T20" s="85"/>
      <c r="U20" s="85"/>
      <c r="V20" s="84">
        <v>34.792499999999997</v>
      </c>
      <c r="W20" s="83">
        <v>60.75</v>
      </c>
      <c r="X20" s="87"/>
      <c r="Y20" s="83">
        <v>43.68</v>
      </c>
      <c r="Z20" s="84"/>
      <c r="AA20" s="85"/>
      <c r="AB20" s="84"/>
      <c r="AC20" s="85"/>
      <c r="AD20" s="89">
        <f t="shared" si="3"/>
        <v>3.8913799999999998</v>
      </c>
      <c r="AE20" s="89"/>
      <c r="AF20" s="188">
        <v>3.8913799999999998</v>
      </c>
      <c r="AG20" s="85"/>
      <c r="AH20" s="85"/>
      <c r="AI20" s="85"/>
      <c r="AJ20" s="84"/>
      <c r="AK20" s="85"/>
      <c r="AL20" s="84"/>
      <c r="AM20" s="88"/>
      <c r="AN20" s="84"/>
      <c r="AO20" s="85"/>
      <c r="AP20" s="84"/>
      <c r="AQ20" s="83"/>
      <c r="AR20" s="83"/>
      <c r="AS20" s="83"/>
      <c r="AT20" s="85"/>
      <c r="AU20" s="85"/>
      <c r="AV20" s="85"/>
      <c r="AW20" s="88"/>
      <c r="AX20" s="84"/>
      <c r="AY20" s="85"/>
      <c r="AZ20" s="84">
        <v>77.076260000000005</v>
      </c>
      <c r="BA20" s="83">
        <v>69.798730000000006</v>
      </c>
      <c r="BB20" s="88"/>
      <c r="BC20" s="85"/>
      <c r="BD20" s="84"/>
      <c r="BE20" s="88"/>
      <c r="BF20" s="85"/>
      <c r="BG20" s="85"/>
      <c r="BH20" s="85"/>
      <c r="BI20" s="85"/>
      <c r="BJ20" s="85"/>
      <c r="BK20" s="85">
        <v>286.59661</v>
      </c>
      <c r="BL20" s="85"/>
      <c r="BM20" s="85"/>
      <c r="BN20" s="85"/>
      <c r="BO20" s="85"/>
      <c r="BP20" s="85"/>
      <c r="BQ20" s="85"/>
      <c r="BR20" s="84"/>
      <c r="BS20" s="85"/>
      <c r="BT20" s="85"/>
      <c r="BU20" s="55"/>
      <c r="BV20" s="90"/>
      <c r="BW20" s="55"/>
      <c r="BX20" s="90"/>
      <c r="BY20" s="55"/>
      <c r="BZ20" s="90"/>
      <c r="CA20" s="91"/>
    </row>
    <row r="21" spans="1:282" ht="50.1" customHeight="1" outlineLevel="2" x14ac:dyDescent="0.3">
      <c r="A21" s="92" t="s">
        <v>36</v>
      </c>
      <c r="B21" s="92" t="s">
        <v>46</v>
      </c>
      <c r="C21" s="79" t="s">
        <v>37</v>
      </c>
      <c r="D21" s="81">
        <f t="shared" si="0"/>
        <v>1450.3930599999999</v>
      </c>
      <c r="E21" s="82">
        <f t="shared" si="1"/>
        <v>198.58927</v>
      </c>
      <c r="F21" s="83">
        <f t="shared" si="2"/>
        <v>1251.8037899999999</v>
      </c>
      <c r="G21" s="84"/>
      <c r="H21" s="85"/>
      <c r="I21" s="85"/>
      <c r="J21" s="84"/>
      <c r="K21" s="85"/>
      <c r="L21" s="85">
        <v>159.71176</v>
      </c>
      <c r="M21" s="85"/>
      <c r="N21" s="85"/>
      <c r="O21" s="82"/>
      <c r="P21" s="83"/>
      <c r="Q21" s="83"/>
      <c r="R21" s="83"/>
      <c r="S21" s="93"/>
      <c r="T21" s="85"/>
      <c r="U21" s="85"/>
      <c r="V21" s="84">
        <v>6.9584999999999999</v>
      </c>
      <c r="W21" s="83">
        <v>12.15</v>
      </c>
      <c r="X21" s="87"/>
      <c r="Y21" s="83">
        <v>132.6</v>
      </c>
      <c r="Z21" s="84"/>
      <c r="AA21" s="85"/>
      <c r="AB21" s="84"/>
      <c r="AC21" s="85"/>
      <c r="AD21" s="89">
        <f t="shared" si="3"/>
        <v>38.913800000000002</v>
      </c>
      <c r="AE21" s="89"/>
      <c r="AF21" s="188">
        <v>38.913800000000002</v>
      </c>
      <c r="AG21" s="85"/>
      <c r="AH21" s="85"/>
      <c r="AI21" s="85"/>
      <c r="AJ21" s="84"/>
      <c r="AK21" s="85"/>
      <c r="AL21" s="84"/>
      <c r="AM21" s="88"/>
      <c r="AN21" s="84"/>
      <c r="AO21" s="85"/>
      <c r="AP21" s="84"/>
      <c r="AQ21" s="83"/>
      <c r="AR21" s="83"/>
      <c r="AS21" s="83"/>
      <c r="AT21" s="85"/>
      <c r="AU21" s="85"/>
      <c r="AV21" s="85"/>
      <c r="AW21" s="88"/>
      <c r="AX21" s="84"/>
      <c r="AY21" s="85"/>
      <c r="AZ21" s="84">
        <v>191.63077000000001</v>
      </c>
      <c r="BA21" s="83">
        <v>173.53718000000001</v>
      </c>
      <c r="BB21" s="88"/>
      <c r="BC21" s="85"/>
      <c r="BD21" s="84"/>
      <c r="BE21" s="88"/>
      <c r="BF21" s="85"/>
      <c r="BG21" s="85">
        <v>410.35757999999998</v>
      </c>
      <c r="BH21" s="85"/>
      <c r="BI21" s="85"/>
      <c r="BJ21" s="85"/>
      <c r="BK21" s="85">
        <v>324.53347000000002</v>
      </c>
      <c r="BL21" s="85"/>
      <c r="BM21" s="85"/>
      <c r="BN21" s="85"/>
      <c r="BO21" s="85"/>
      <c r="BP21" s="85"/>
      <c r="BQ21" s="85"/>
      <c r="BR21" s="84"/>
      <c r="BS21" s="85"/>
      <c r="BT21" s="85"/>
      <c r="BU21" s="55"/>
      <c r="BV21" s="90"/>
      <c r="BW21" s="55"/>
      <c r="BX21" s="90"/>
      <c r="BY21" s="55"/>
      <c r="BZ21" s="90"/>
      <c r="CA21" s="91"/>
    </row>
    <row r="22" spans="1:282" ht="50.1" customHeight="1" outlineLevel="2" x14ac:dyDescent="0.3">
      <c r="A22" s="92" t="s">
        <v>36</v>
      </c>
      <c r="B22" s="92" t="s">
        <v>47</v>
      </c>
      <c r="C22" s="79" t="s">
        <v>37</v>
      </c>
      <c r="D22" s="81">
        <f t="shared" si="0"/>
        <v>139.15199999999999</v>
      </c>
      <c r="E22" s="82">
        <f t="shared" si="1"/>
        <v>0</v>
      </c>
      <c r="F22" s="83">
        <f t="shared" si="2"/>
        <v>139.15199999999999</v>
      </c>
      <c r="G22" s="84"/>
      <c r="H22" s="85"/>
      <c r="I22" s="85"/>
      <c r="J22" s="84"/>
      <c r="K22" s="85"/>
      <c r="L22" s="85"/>
      <c r="M22" s="85"/>
      <c r="N22" s="85"/>
      <c r="O22" s="82"/>
      <c r="P22" s="83"/>
      <c r="Q22" s="83"/>
      <c r="R22" s="83"/>
      <c r="S22" s="93"/>
      <c r="T22" s="85"/>
      <c r="U22" s="85"/>
      <c r="V22" s="84"/>
      <c r="W22" s="83"/>
      <c r="X22" s="87"/>
      <c r="Y22" s="83">
        <v>139.15199999999999</v>
      </c>
      <c r="Z22" s="84"/>
      <c r="AA22" s="85"/>
      <c r="AB22" s="84"/>
      <c r="AC22" s="85"/>
      <c r="AD22" s="89">
        <f t="shared" si="3"/>
        <v>0</v>
      </c>
      <c r="AE22" s="89"/>
      <c r="AF22" s="186"/>
      <c r="AG22" s="85"/>
      <c r="AH22" s="85"/>
      <c r="AI22" s="85"/>
      <c r="AJ22" s="84"/>
      <c r="AK22" s="85"/>
      <c r="AL22" s="84"/>
      <c r="AM22" s="88"/>
      <c r="AN22" s="84"/>
      <c r="AO22" s="85"/>
      <c r="AP22" s="84"/>
      <c r="AQ22" s="83"/>
      <c r="AR22" s="83"/>
      <c r="AS22" s="83"/>
      <c r="AT22" s="85"/>
      <c r="AU22" s="85"/>
      <c r="AV22" s="85"/>
      <c r="AW22" s="88"/>
      <c r="AX22" s="84"/>
      <c r="AY22" s="85"/>
      <c r="AZ22" s="84"/>
      <c r="BA22" s="83"/>
      <c r="BB22" s="88"/>
      <c r="BC22" s="85"/>
      <c r="BD22" s="84"/>
      <c r="BE22" s="88"/>
      <c r="BF22" s="85"/>
      <c r="BG22" s="85"/>
      <c r="BH22" s="85"/>
      <c r="BI22" s="85"/>
      <c r="BJ22" s="85"/>
      <c r="BK22" s="85"/>
      <c r="BL22" s="85"/>
      <c r="BM22" s="85"/>
      <c r="BN22" s="85"/>
      <c r="BO22" s="85"/>
      <c r="BP22" s="85"/>
      <c r="BQ22" s="85"/>
      <c r="BR22" s="84"/>
      <c r="BS22" s="85"/>
      <c r="BT22" s="85"/>
      <c r="BU22" s="55"/>
      <c r="BV22" s="90"/>
      <c r="BW22" s="55"/>
      <c r="BX22" s="90"/>
      <c r="BY22" s="55"/>
      <c r="BZ22" s="90"/>
      <c r="CA22" s="91"/>
    </row>
    <row r="23" spans="1:282" ht="50.1" customHeight="1" outlineLevel="2" x14ac:dyDescent="0.3">
      <c r="A23" s="92" t="s">
        <v>36</v>
      </c>
      <c r="B23" s="92" t="s">
        <v>48</v>
      </c>
      <c r="C23" s="79" t="s">
        <v>37</v>
      </c>
      <c r="D23" s="81">
        <f t="shared" si="0"/>
        <v>250.76519999999999</v>
      </c>
      <c r="E23" s="82">
        <f t="shared" si="1"/>
        <v>82.511259999999993</v>
      </c>
      <c r="F23" s="83">
        <f t="shared" si="2"/>
        <v>168.25394</v>
      </c>
      <c r="G23" s="84"/>
      <c r="H23" s="85"/>
      <c r="I23" s="85"/>
      <c r="J23" s="84"/>
      <c r="K23" s="85"/>
      <c r="L23" s="85"/>
      <c r="M23" s="85"/>
      <c r="N23" s="85"/>
      <c r="O23" s="82"/>
      <c r="P23" s="83"/>
      <c r="Q23" s="83"/>
      <c r="R23" s="83"/>
      <c r="S23" s="93"/>
      <c r="T23" s="85"/>
      <c r="U23" s="85"/>
      <c r="V23" s="84"/>
      <c r="W23" s="83"/>
      <c r="X23" s="87"/>
      <c r="Y23" s="83">
        <v>46.8</v>
      </c>
      <c r="Z23" s="84"/>
      <c r="AA23" s="85"/>
      <c r="AB23" s="84"/>
      <c r="AC23" s="85"/>
      <c r="AD23" s="89">
        <f t="shared" si="3"/>
        <v>46.733260000000001</v>
      </c>
      <c r="AE23" s="89">
        <v>28.249199999999998</v>
      </c>
      <c r="AF23" s="186">
        <v>18.484059999999999</v>
      </c>
      <c r="AG23" s="85"/>
      <c r="AH23" s="85"/>
      <c r="AI23" s="85"/>
      <c r="AJ23" s="84"/>
      <c r="AK23" s="85"/>
      <c r="AL23" s="84"/>
      <c r="AM23" s="88"/>
      <c r="AN23" s="84"/>
      <c r="AO23" s="85"/>
      <c r="AP23" s="84"/>
      <c r="AQ23" s="83"/>
      <c r="AR23" s="83"/>
      <c r="AS23" s="83"/>
      <c r="AT23" s="85"/>
      <c r="AU23" s="85"/>
      <c r="AV23" s="85"/>
      <c r="AW23" s="88"/>
      <c r="AX23" s="84"/>
      <c r="AY23" s="85"/>
      <c r="AZ23" s="84">
        <v>82.511259999999993</v>
      </c>
      <c r="BA23" s="83">
        <v>74.720680000000002</v>
      </c>
      <c r="BB23" s="88"/>
      <c r="BC23" s="85"/>
      <c r="BD23" s="84"/>
      <c r="BE23" s="88"/>
      <c r="BF23" s="85"/>
      <c r="BG23" s="85"/>
      <c r="BH23" s="85"/>
      <c r="BI23" s="85"/>
      <c r="BJ23" s="85"/>
      <c r="BK23" s="85"/>
      <c r="BL23" s="85"/>
      <c r="BM23" s="85"/>
      <c r="BN23" s="85"/>
      <c r="BO23" s="85"/>
      <c r="BP23" s="85"/>
      <c r="BQ23" s="85"/>
      <c r="BR23" s="84"/>
      <c r="BS23" s="85"/>
      <c r="BT23" s="85"/>
      <c r="BU23" s="55"/>
      <c r="BV23" s="90"/>
      <c r="BW23" s="55"/>
      <c r="BX23" s="90"/>
      <c r="BY23" s="55"/>
      <c r="BZ23" s="90"/>
      <c r="CA23" s="91"/>
    </row>
    <row r="24" spans="1:282" ht="50.1" customHeight="1" outlineLevel="2" x14ac:dyDescent="0.3">
      <c r="A24" s="92" t="s">
        <v>36</v>
      </c>
      <c r="B24" s="92" t="s">
        <v>49</v>
      </c>
      <c r="C24" s="79" t="s">
        <v>37</v>
      </c>
      <c r="D24" s="81">
        <f t="shared" si="0"/>
        <v>5458.9824900000003</v>
      </c>
      <c r="E24" s="82">
        <f t="shared" si="1"/>
        <v>233.89738</v>
      </c>
      <c r="F24" s="83">
        <f t="shared" si="2"/>
        <v>5225.08511</v>
      </c>
      <c r="G24" s="84"/>
      <c r="H24" s="94"/>
      <c r="I24" s="94"/>
      <c r="J24" s="84"/>
      <c r="K24" s="85"/>
      <c r="L24" s="85"/>
      <c r="M24" s="85"/>
      <c r="N24" s="85"/>
      <c r="O24" s="82"/>
      <c r="P24" s="83"/>
      <c r="Q24" s="83"/>
      <c r="R24" s="83"/>
      <c r="S24" s="93"/>
      <c r="T24" s="85"/>
      <c r="U24" s="85"/>
      <c r="V24" s="84">
        <v>39.4315</v>
      </c>
      <c r="W24" s="83">
        <v>68.849999999999994</v>
      </c>
      <c r="X24" s="87"/>
      <c r="Y24" s="83">
        <v>267.69600000000003</v>
      </c>
      <c r="Z24" s="84"/>
      <c r="AA24" s="85"/>
      <c r="AB24" s="84"/>
      <c r="AC24" s="85"/>
      <c r="AD24" s="89">
        <f t="shared" si="3"/>
        <v>154.79244</v>
      </c>
      <c r="AE24" s="83">
        <v>84.747600000000006</v>
      </c>
      <c r="AF24" s="123">
        <v>70.044839999999994</v>
      </c>
      <c r="AG24" s="85"/>
      <c r="AH24" s="85"/>
      <c r="AI24" s="85"/>
      <c r="AJ24" s="84"/>
      <c r="AK24" s="85"/>
      <c r="AL24" s="84"/>
      <c r="AM24" s="85"/>
      <c r="AN24" s="84"/>
      <c r="AO24" s="85"/>
      <c r="AP24" s="84"/>
      <c r="AQ24" s="83"/>
      <c r="AR24" s="83"/>
      <c r="AS24" s="83"/>
      <c r="AT24" s="85"/>
      <c r="AU24" s="85"/>
      <c r="AV24" s="85">
        <v>1882.4425000000001</v>
      </c>
      <c r="AW24" s="85"/>
      <c r="AX24" s="84"/>
      <c r="AY24" s="85"/>
      <c r="AZ24" s="84">
        <v>194.46588</v>
      </c>
      <c r="BA24" s="83">
        <v>176.10417000000001</v>
      </c>
      <c r="BB24" s="85"/>
      <c r="BC24" s="85"/>
      <c r="BD24" s="85"/>
      <c r="BE24" s="85"/>
      <c r="BF24" s="85"/>
      <c r="BG24" s="85"/>
      <c r="BH24" s="85"/>
      <c r="BI24" s="85"/>
      <c r="BJ24" s="85"/>
      <c r="BK24" s="85"/>
      <c r="BL24" s="85"/>
      <c r="BM24" s="85"/>
      <c r="BN24" s="85"/>
      <c r="BO24" s="85"/>
      <c r="BP24" s="85"/>
      <c r="BQ24" s="85"/>
      <c r="BR24" s="84"/>
      <c r="BS24" s="85">
        <v>2675.2</v>
      </c>
      <c r="BT24" s="85"/>
      <c r="BU24" s="55"/>
      <c r="BV24" s="90"/>
      <c r="BW24" s="55"/>
      <c r="BX24" s="90"/>
      <c r="BY24" s="55"/>
      <c r="BZ24" s="90"/>
      <c r="CA24" s="91"/>
    </row>
    <row r="25" spans="1:282" ht="50.1" customHeight="1" outlineLevel="2" x14ac:dyDescent="0.3">
      <c r="A25" s="92" t="s">
        <v>36</v>
      </c>
      <c r="B25" s="92" t="s">
        <v>50</v>
      </c>
      <c r="C25" s="79" t="s">
        <v>37</v>
      </c>
      <c r="D25" s="81">
        <f t="shared" si="0"/>
        <v>269.83161000000001</v>
      </c>
      <c r="E25" s="82">
        <f t="shared" si="1"/>
        <v>90.890919999999994</v>
      </c>
      <c r="F25" s="83">
        <f t="shared" si="2"/>
        <v>178.94069000000002</v>
      </c>
      <c r="G25" s="84"/>
      <c r="H25" s="85"/>
      <c r="I25" s="85"/>
      <c r="J25" s="84"/>
      <c r="K25" s="85"/>
      <c r="L25" s="85"/>
      <c r="M25" s="85"/>
      <c r="N25" s="85"/>
      <c r="O25" s="82"/>
      <c r="P25" s="83"/>
      <c r="Q25" s="83"/>
      <c r="R25" s="83"/>
      <c r="S25" s="93"/>
      <c r="T25" s="85"/>
      <c r="U25" s="85"/>
      <c r="V25" s="84"/>
      <c r="W25" s="83"/>
      <c r="X25" s="87"/>
      <c r="Y25" s="83">
        <v>74.256</v>
      </c>
      <c r="Z25" s="84"/>
      <c r="AA25" s="85"/>
      <c r="AB25" s="84"/>
      <c r="AC25" s="85"/>
      <c r="AD25" s="89">
        <f t="shared" si="3"/>
        <v>22.375440000000001</v>
      </c>
      <c r="AE25" s="89"/>
      <c r="AF25" s="186">
        <v>22.375440000000001</v>
      </c>
      <c r="AG25" s="85"/>
      <c r="AH25" s="85"/>
      <c r="AI25" s="85"/>
      <c r="AJ25" s="84"/>
      <c r="AK25" s="85"/>
      <c r="AL25" s="84"/>
      <c r="AM25" s="88"/>
      <c r="AN25" s="84"/>
      <c r="AO25" s="85"/>
      <c r="AP25" s="84"/>
      <c r="AQ25" s="83"/>
      <c r="AR25" s="83"/>
      <c r="AS25" s="83"/>
      <c r="AT25" s="85"/>
      <c r="AU25" s="85"/>
      <c r="AV25" s="85"/>
      <c r="AW25" s="88"/>
      <c r="AX25" s="84"/>
      <c r="AY25" s="85"/>
      <c r="AZ25" s="84">
        <v>90.890919999999994</v>
      </c>
      <c r="BA25" s="83">
        <v>82.309250000000006</v>
      </c>
      <c r="BB25" s="88"/>
      <c r="BC25" s="85"/>
      <c r="BD25" s="84"/>
      <c r="BE25" s="88"/>
      <c r="BF25" s="85"/>
      <c r="BG25" s="85"/>
      <c r="BH25" s="85"/>
      <c r="BI25" s="85"/>
      <c r="BJ25" s="85"/>
      <c r="BK25" s="85"/>
      <c r="BL25" s="85"/>
      <c r="BM25" s="85"/>
      <c r="BN25" s="85"/>
      <c r="BO25" s="85"/>
      <c r="BP25" s="85"/>
      <c r="BQ25" s="85"/>
      <c r="BR25" s="84"/>
      <c r="BS25" s="85"/>
      <c r="BT25" s="85"/>
      <c r="BU25" s="55"/>
      <c r="BV25" s="90"/>
      <c r="BW25" s="55"/>
      <c r="BX25" s="90"/>
      <c r="BY25" s="55"/>
      <c r="BZ25" s="90"/>
      <c r="CA25" s="91"/>
    </row>
    <row r="26" spans="1:282" ht="50.1" customHeight="1" outlineLevel="2" x14ac:dyDescent="0.3">
      <c r="A26" s="92" t="s">
        <v>36</v>
      </c>
      <c r="B26" s="92" t="s">
        <v>51</v>
      </c>
      <c r="C26" s="79" t="s">
        <v>37</v>
      </c>
      <c r="D26" s="81">
        <f t="shared" si="0"/>
        <v>181.27822</v>
      </c>
      <c r="E26" s="82">
        <f t="shared" si="1"/>
        <v>59.364730000000002</v>
      </c>
      <c r="F26" s="83">
        <f t="shared" si="2"/>
        <v>121.91349</v>
      </c>
      <c r="G26" s="84"/>
      <c r="H26" s="85"/>
      <c r="I26" s="85"/>
      <c r="J26" s="84"/>
      <c r="K26" s="85"/>
      <c r="L26" s="85"/>
      <c r="M26" s="85"/>
      <c r="N26" s="85"/>
      <c r="O26" s="82"/>
      <c r="P26" s="83"/>
      <c r="Q26" s="83"/>
      <c r="R26" s="83"/>
      <c r="S26" s="93"/>
      <c r="T26" s="85"/>
      <c r="U26" s="85"/>
      <c r="V26" s="84"/>
      <c r="W26" s="83"/>
      <c r="X26" s="87"/>
      <c r="Y26" s="83">
        <v>34.32</v>
      </c>
      <c r="Z26" s="84"/>
      <c r="AA26" s="85"/>
      <c r="AB26" s="84"/>
      <c r="AC26" s="85"/>
      <c r="AD26" s="89">
        <f t="shared" si="3"/>
        <v>33.833880000000001</v>
      </c>
      <c r="AE26" s="89">
        <v>21.186900000000001</v>
      </c>
      <c r="AF26" s="186">
        <v>12.646979999999999</v>
      </c>
      <c r="AG26" s="85"/>
      <c r="AH26" s="85"/>
      <c r="AI26" s="85"/>
      <c r="AJ26" s="84"/>
      <c r="AK26" s="85"/>
      <c r="AL26" s="84"/>
      <c r="AM26" s="88"/>
      <c r="AN26" s="84"/>
      <c r="AO26" s="85"/>
      <c r="AP26" s="84"/>
      <c r="AQ26" s="83"/>
      <c r="AR26" s="83"/>
      <c r="AS26" s="83"/>
      <c r="AT26" s="85"/>
      <c r="AU26" s="85"/>
      <c r="AV26" s="85"/>
      <c r="AW26" s="88"/>
      <c r="AX26" s="84"/>
      <c r="AY26" s="85"/>
      <c r="AZ26" s="84">
        <v>59.364730000000002</v>
      </c>
      <c r="BA26" s="83">
        <v>53.759610000000002</v>
      </c>
      <c r="BB26" s="88"/>
      <c r="BC26" s="85"/>
      <c r="BD26" s="84"/>
      <c r="BE26" s="88"/>
      <c r="BF26" s="85"/>
      <c r="BG26" s="85"/>
      <c r="BH26" s="85"/>
      <c r="BI26" s="85"/>
      <c r="BJ26" s="85"/>
      <c r="BK26" s="85"/>
      <c r="BL26" s="85"/>
      <c r="BM26" s="85"/>
      <c r="BN26" s="85"/>
      <c r="BO26" s="85"/>
      <c r="BP26" s="85"/>
      <c r="BQ26" s="85"/>
      <c r="BR26" s="84"/>
      <c r="BS26" s="85"/>
      <c r="BT26" s="85"/>
      <c r="BU26" s="55"/>
      <c r="BV26" s="90"/>
      <c r="BW26" s="55"/>
      <c r="BX26" s="90"/>
      <c r="BY26" s="55"/>
      <c r="BZ26" s="90"/>
      <c r="CA26" s="91"/>
    </row>
    <row r="27" spans="1:282" s="52" customFormat="1" ht="50.1" customHeight="1" outlineLevel="2" x14ac:dyDescent="0.3">
      <c r="A27" s="92" t="s">
        <v>36</v>
      </c>
      <c r="B27" s="96" t="s">
        <v>52</v>
      </c>
      <c r="C27" s="79" t="s">
        <v>53</v>
      </c>
      <c r="D27" s="81">
        <f t="shared" si="0"/>
        <v>354.93141999999995</v>
      </c>
      <c r="E27" s="82">
        <f t="shared" si="1"/>
        <v>59.611249999999998</v>
      </c>
      <c r="F27" s="83">
        <f t="shared" si="2"/>
        <v>295.32016999999996</v>
      </c>
      <c r="G27" s="82"/>
      <c r="H27" s="83"/>
      <c r="I27" s="83"/>
      <c r="J27" s="82"/>
      <c r="K27" s="83"/>
      <c r="L27" s="83"/>
      <c r="M27" s="83"/>
      <c r="N27" s="83"/>
      <c r="O27" s="82"/>
      <c r="P27" s="83"/>
      <c r="Q27" s="83"/>
      <c r="R27" s="83"/>
      <c r="S27" s="82"/>
      <c r="T27" s="83"/>
      <c r="U27" s="83"/>
      <c r="V27" s="82">
        <v>11.5975</v>
      </c>
      <c r="W27" s="83">
        <v>20.25</v>
      </c>
      <c r="X27" s="87"/>
      <c r="Y27" s="83">
        <v>39.936</v>
      </c>
      <c r="Z27" s="82"/>
      <c r="AA27" s="83"/>
      <c r="AB27" s="82"/>
      <c r="AC27" s="83"/>
      <c r="AD27" s="89">
        <f t="shared" si="3"/>
        <v>13.053799999999999</v>
      </c>
      <c r="AE27" s="89">
        <v>4.2981999999999996</v>
      </c>
      <c r="AF27" s="188">
        <v>8.7555999999999994</v>
      </c>
      <c r="AG27" s="83"/>
      <c r="AH27" s="83"/>
      <c r="AI27" s="83"/>
      <c r="AJ27" s="82"/>
      <c r="AK27" s="83"/>
      <c r="AL27" s="82"/>
      <c r="AM27" s="89"/>
      <c r="AN27" s="82"/>
      <c r="AO27" s="83"/>
      <c r="AP27" s="82"/>
      <c r="AQ27" s="83"/>
      <c r="AR27" s="83"/>
      <c r="AS27" s="83"/>
      <c r="AT27" s="83"/>
      <c r="AU27" s="83"/>
      <c r="AV27" s="83"/>
      <c r="AW27" s="89"/>
      <c r="AX27" s="82"/>
      <c r="AY27" s="83"/>
      <c r="AZ27" s="82">
        <v>48.013750000000002</v>
      </c>
      <c r="BA27" s="83">
        <v>43.480370000000001</v>
      </c>
      <c r="BB27" s="89"/>
      <c r="BC27" s="83"/>
      <c r="BD27" s="82"/>
      <c r="BE27" s="89"/>
      <c r="BF27" s="97"/>
      <c r="BG27" s="83"/>
      <c r="BH27" s="97"/>
      <c r="BI27" s="97"/>
      <c r="BJ27" s="97"/>
      <c r="BK27" s="97"/>
      <c r="BL27" s="97"/>
      <c r="BM27" s="97"/>
      <c r="BN27" s="97"/>
      <c r="BO27" s="97"/>
      <c r="BP27" s="97"/>
      <c r="BQ27" s="97"/>
      <c r="BR27" s="98"/>
      <c r="BS27" s="83">
        <v>178.6</v>
      </c>
      <c r="BT27" s="97"/>
      <c r="BU27" s="55"/>
      <c r="BV27" s="90"/>
      <c r="BW27" s="55"/>
      <c r="BX27" s="90"/>
      <c r="BY27" s="55"/>
      <c r="BZ27" s="90"/>
      <c r="CA27" s="198"/>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252"/>
      <c r="DW27" s="252"/>
      <c r="DX27" s="252"/>
      <c r="DY27" s="252"/>
      <c r="DZ27" s="252"/>
      <c r="EA27" s="252"/>
      <c r="EB27" s="252"/>
      <c r="EC27" s="252"/>
      <c r="ED27" s="252"/>
      <c r="EE27" s="252"/>
      <c r="EF27" s="252"/>
      <c r="EG27" s="252"/>
      <c r="EH27" s="252"/>
      <c r="EI27" s="252"/>
      <c r="EJ27" s="252"/>
      <c r="EK27" s="252"/>
      <c r="EL27" s="252"/>
      <c r="EM27" s="252"/>
      <c r="EN27" s="252"/>
      <c r="EO27" s="252"/>
      <c r="EP27" s="252"/>
      <c r="EQ27" s="252"/>
      <c r="ER27" s="252"/>
      <c r="ES27" s="252"/>
      <c r="ET27" s="252"/>
      <c r="EU27" s="252"/>
      <c r="EV27" s="252"/>
      <c r="EW27" s="252"/>
      <c r="EX27" s="252"/>
      <c r="EY27" s="252"/>
      <c r="EZ27" s="252"/>
      <c r="FA27" s="252"/>
      <c r="FB27" s="252"/>
      <c r="FC27" s="252"/>
      <c r="FD27" s="252"/>
      <c r="FE27" s="252"/>
      <c r="FF27" s="252"/>
      <c r="FG27" s="252"/>
      <c r="FH27" s="252"/>
      <c r="FI27" s="252"/>
      <c r="FJ27" s="252"/>
      <c r="FK27" s="252"/>
      <c r="FL27" s="252"/>
      <c r="FM27" s="252"/>
      <c r="FN27" s="252"/>
      <c r="FO27" s="252"/>
      <c r="FP27" s="252"/>
      <c r="FQ27" s="252"/>
      <c r="FR27" s="252"/>
      <c r="FS27" s="252"/>
      <c r="FT27" s="252"/>
      <c r="FU27" s="252"/>
      <c r="FV27" s="252"/>
      <c r="FW27" s="252"/>
      <c r="FX27" s="252"/>
      <c r="FY27" s="252"/>
      <c r="FZ27" s="252"/>
      <c r="GA27" s="252"/>
      <c r="GB27" s="252"/>
      <c r="GC27" s="252"/>
      <c r="GD27" s="252"/>
      <c r="GE27" s="252"/>
      <c r="GF27" s="252"/>
      <c r="GG27" s="252"/>
      <c r="GH27" s="252"/>
      <c r="GI27" s="252"/>
      <c r="GJ27" s="252"/>
      <c r="GK27" s="252"/>
      <c r="GL27" s="252"/>
      <c r="GM27" s="252"/>
      <c r="GN27" s="252"/>
      <c r="GO27" s="252"/>
      <c r="GP27" s="252"/>
      <c r="GQ27" s="252"/>
      <c r="GR27" s="252"/>
      <c r="GS27" s="252"/>
      <c r="GT27" s="252"/>
      <c r="GU27" s="252"/>
      <c r="GV27" s="252"/>
      <c r="GW27" s="252"/>
      <c r="GX27" s="252"/>
      <c r="GY27" s="252"/>
      <c r="GZ27" s="252"/>
      <c r="HA27" s="252"/>
      <c r="HB27" s="252"/>
      <c r="HC27" s="252"/>
      <c r="HD27" s="252"/>
      <c r="HE27" s="252"/>
      <c r="HF27" s="252"/>
      <c r="HG27" s="252"/>
      <c r="HH27" s="252"/>
      <c r="HI27" s="252"/>
      <c r="HJ27" s="252"/>
      <c r="HK27" s="252"/>
      <c r="HL27" s="252"/>
      <c r="HM27" s="252"/>
      <c r="HN27" s="252"/>
      <c r="HO27" s="252"/>
      <c r="HP27" s="252"/>
      <c r="HQ27" s="252"/>
      <c r="HR27" s="252"/>
      <c r="HS27" s="252"/>
      <c r="HT27" s="252"/>
      <c r="HU27" s="252"/>
      <c r="HV27" s="252"/>
      <c r="HW27" s="252"/>
      <c r="HX27" s="252"/>
      <c r="HY27" s="252"/>
      <c r="HZ27" s="252"/>
      <c r="IA27" s="252"/>
      <c r="IB27" s="252"/>
      <c r="IC27" s="252"/>
      <c r="ID27" s="252"/>
      <c r="IE27" s="252"/>
      <c r="IF27" s="252"/>
      <c r="IG27" s="252"/>
      <c r="IH27" s="252"/>
      <c r="II27" s="252"/>
      <c r="IJ27" s="252"/>
      <c r="IK27" s="252"/>
      <c r="IL27" s="252"/>
      <c r="IM27" s="252"/>
      <c r="IN27" s="252"/>
      <c r="IO27" s="252"/>
      <c r="IP27" s="252"/>
      <c r="IQ27" s="252"/>
      <c r="IR27" s="252"/>
      <c r="IS27" s="252"/>
      <c r="IT27" s="252"/>
      <c r="IU27" s="252"/>
      <c r="IV27" s="252"/>
      <c r="IW27" s="252"/>
      <c r="IX27" s="252"/>
      <c r="IY27" s="252"/>
      <c r="IZ27" s="252"/>
      <c r="JA27" s="252"/>
      <c r="JB27" s="252"/>
      <c r="JC27" s="252"/>
      <c r="JD27" s="252"/>
      <c r="JE27" s="252"/>
      <c r="JF27" s="252"/>
      <c r="JG27" s="252"/>
      <c r="JH27" s="252"/>
      <c r="JI27" s="252"/>
      <c r="JJ27" s="252"/>
      <c r="JK27" s="252"/>
      <c r="JL27" s="252"/>
      <c r="JM27" s="252"/>
      <c r="JN27" s="252"/>
      <c r="JO27" s="252"/>
      <c r="JP27" s="252"/>
      <c r="JQ27" s="252"/>
      <c r="JR27" s="252"/>
      <c r="JS27" s="252"/>
      <c r="JT27" s="252"/>
      <c r="JU27" s="252"/>
      <c r="JV27" s="252"/>
    </row>
    <row r="28" spans="1:282" s="52" customFormat="1" ht="50.1" customHeight="1" outlineLevel="2" x14ac:dyDescent="0.3">
      <c r="A28" s="92" t="s">
        <v>36</v>
      </c>
      <c r="B28" s="96" t="s">
        <v>54</v>
      </c>
      <c r="C28" s="79" t="s">
        <v>55</v>
      </c>
      <c r="D28" s="81">
        <f t="shared" si="0"/>
        <v>150.57359</v>
      </c>
      <c r="E28" s="82">
        <f t="shared" si="1"/>
        <v>58.550919999999998</v>
      </c>
      <c r="F28" s="83">
        <f t="shared" si="2"/>
        <v>92.022670000000005</v>
      </c>
      <c r="G28" s="82"/>
      <c r="H28" s="83"/>
      <c r="I28" s="83"/>
      <c r="J28" s="82"/>
      <c r="K28" s="83"/>
      <c r="L28" s="83"/>
      <c r="M28" s="83"/>
      <c r="N28" s="83"/>
      <c r="O28" s="82"/>
      <c r="P28" s="83"/>
      <c r="Q28" s="83"/>
      <c r="R28" s="83"/>
      <c r="S28" s="82"/>
      <c r="T28" s="83"/>
      <c r="U28" s="83"/>
      <c r="V28" s="82"/>
      <c r="W28" s="83"/>
      <c r="X28" s="87"/>
      <c r="Y28" s="83">
        <v>39</v>
      </c>
      <c r="Z28" s="82"/>
      <c r="AA28" s="83"/>
      <c r="AB28" s="82"/>
      <c r="AC28" s="83"/>
      <c r="AD28" s="89">
        <f t="shared" si="3"/>
        <v>0</v>
      </c>
      <c r="AE28" s="89"/>
      <c r="AF28" s="188"/>
      <c r="AG28" s="83"/>
      <c r="AH28" s="83"/>
      <c r="AI28" s="83"/>
      <c r="AJ28" s="82"/>
      <c r="AK28" s="83"/>
      <c r="AL28" s="82"/>
      <c r="AM28" s="89"/>
      <c r="AN28" s="82"/>
      <c r="AO28" s="83"/>
      <c r="AP28" s="82"/>
      <c r="AQ28" s="83"/>
      <c r="AR28" s="83"/>
      <c r="AS28" s="83"/>
      <c r="AT28" s="83"/>
      <c r="AU28" s="83"/>
      <c r="AV28" s="83"/>
      <c r="AW28" s="89"/>
      <c r="AX28" s="82"/>
      <c r="AY28" s="83"/>
      <c r="AZ28" s="82">
        <v>58.550919999999998</v>
      </c>
      <c r="BA28" s="83">
        <v>53.022669999999998</v>
      </c>
      <c r="BB28" s="89"/>
      <c r="BC28" s="83"/>
      <c r="BD28" s="82"/>
      <c r="BE28" s="89"/>
      <c r="BF28" s="97"/>
      <c r="BG28" s="83"/>
      <c r="BH28" s="97"/>
      <c r="BI28" s="97"/>
      <c r="BJ28" s="97"/>
      <c r="BK28" s="97"/>
      <c r="BL28" s="97"/>
      <c r="BM28" s="97"/>
      <c r="BN28" s="97"/>
      <c r="BO28" s="97"/>
      <c r="BP28" s="97"/>
      <c r="BQ28" s="97"/>
      <c r="BR28" s="98"/>
      <c r="BS28" s="97"/>
      <c r="BT28" s="97"/>
      <c r="BU28" s="55"/>
      <c r="BV28" s="90"/>
      <c r="BW28" s="55"/>
      <c r="BX28" s="90"/>
      <c r="BY28" s="55"/>
      <c r="BZ28" s="90"/>
      <c r="CA28" s="198"/>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c r="EN28" s="252"/>
      <c r="EO28" s="252"/>
      <c r="EP28" s="252"/>
      <c r="EQ28" s="252"/>
      <c r="ER28" s="252"/>
      <c r="ES28" s="252"/>
      <c r="ET28" s="252"/>
      <c r="EU28" s="252"/>
      <c r="EV28" s="252"/>
      <c r="EW28" s="252"/>
      <c r="EX28" s="252"/>
      <c r="EY28" s="252"/>
      <c r="EZ28" s="252"/>
      <c r="FA28" s="252"/>
      <c r="FB28" s="252"/>
      <c r="FC28" s="252"/>
      <c r="FD28" s="252"/>
      <c r="FE28" s="252"/>
      <c r="FF28" s="252"/>
      <c r="FG28" s="252"/>
      <c r="FH28" s="252"/>
      <c r="FI28" s="252"/>
      <c r="FJ28" s="252"/>
      <c r="FK28" s="252"/>
      <c r="FL28" s="252"/>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c r="GI28" s="252"/>
      <c r="GJ28" s="252"/>
      <c r="GK28" s="252"/>
      <c r="GL28" s="252"/>
      <c r="GM28" s="252"/>
      <c r="GN28" s="252"/>
      <c r="GO28" s="252"/>
      <c r="GP28" s="252"/>
      <c r="GQ28" s="252"/>
      <c r="GR28" s="252"/>
      <c r="GS28" s="252"/>
      <c r="GT28" s="252"/>
      <c r="GU28" s="252"/>
      <c r="GV28" s="252"/>
      <c r="GW28" s="252"/>
      <c r="GX28" s="252"/>
      <c r="GY28" s="252"/>
      <c r="GZ28" s="252"/>
      <c r="HA28" s="252"/>
      <c r="HB28" s="252"/>
      <c r="HC28" s="252"/>
      <c r="HD28" s="252"/>
      <c r="HE28" s="252"/>
      <c r="HF28" s="252"/>
      <c r="HG28" s="252"/>
      <c r="HH28" s="252"/>
      <c r="HI28" s="252"/>
      <c r="HJ28" s="252"/>
      <c r="HK28" s="252"/>
      <c r="HL28" s="252"/>
      <c r="HM28" s="252"/>
      <c r="HN28" s="252"/>
      <c r="HO28" s="252"/>
      <c r="HP28" s="252"/>
      <c r="HQ28" s="252"/>
      <c r="HR28" s="252"/>
      <c r="HS28" s="252"/>
      <c r="HT28" s="252"/>
      <c r="HU28" s="252"/>
      <c r="HV28" s="252"/>
      <c r="HW28" s="252"/>
      <c r="HX28" s="252"/>
      <c r="HY28" s="252"/>
      <c r="HZ28" s="252"/>
      <c r="IA28" s="252"/>
      <c r="IB28" s="252"/>
      <c r="IC28" s="252"/>
      <c r="ID28" s="252"/>
      <c r="IE28" s="252"/>
      <c r="IF28" s="252"/>
      <c r="IG28" s="252"/>
      <c r="IH28" s="252"/>
      <c r="II28" s="252"/>
      <c r="IJ28" s="252"/>
      <c r="IK28" s="252"/>
      <c r="IL28" s="252"/>
      <c r="IM28" s="252"/>
      <c r="IN28" s="252"/>
      <c r="IO28" s="252"/>
      <c r="IP28" s="252"/>
      <c r="IQ28" s="252"/>
      <c r="IR28" s="252"/>
      <c r="IS28" s="252"/>
      <c r="IT28" s="252"/>
      <c r="IU28" s="252"/>
      <c r="IV28" s="252"/>
      <c r="IW28" s="252"/>
      <c r="IX28" s="252"/>
      <c r="IY28" s="252"/>
      <c r="IZ28" s="252"/>
      <c r="JA28" s="252"/>
      <c r="JB28" s="252"/>
      <c r="JC28" s="252"/>
      <c r="JD28" s="252"/>
      <c r="JE28" s="252"/>
      <c r="JF28" s="252"/>
      <c r="JG28" s="252"/>
      <c r="JH28" s="252"/>
      <c r="JI28" s="252"/>
      <c r="JJ28" s="252"/>
      <c r="JK28" s="252"/>
      <c r="JL28" s="252"/>
      <c r="JM28" s="252"/>
      <c r="JN28" s="252"/>
      <c r="JO28" s="252"/>
      <c r="JP28" s="252"/>
      <c r="JQ28" s="252"/>
      <c r="JR28" s="252"/>
      <c r="JS28" s="252"/>
      <c r="JT28" s="252"/>
      <c r="JU28" s="252"/>
      <c r="JV28" s="252"/>
    </row>
    <row r="29" spans="1:282" s="52" customFormat="1" ht="50.1" customHeight="1" outlineLevel="2" x14ac:dyDescent="0.3">
      <c r="A29" s="92" t="s">
        <v>36</v>
      </c>
      <c r="B29" s="96" t="s">
        <v>56</v>
      </c>
      <c r="C29" s="79" t="s">
        <v>55</v>
      </c>
      <c r="D29" s="81">
        <f t="shared" si="0"/>
        <v>216.51795000000001</v>
      </c>
      <c r="E29" s="82">
        <f t="shared" si="1"/>
        <v>86.079509999999999</v>
      </c>
      <c r="F29" s="83">
        <f t="shared" si="2"/>
        <v>130.43844000000001</v>
      </c>
      <c r="G29" s="82"/>
      <c r="H29" s="83"/>
      <c r="I29" s="83"/>
      <c r="J29" s="82"/>
      <c r="K29" s="83"/>
      <c r="L29" s="83"/>
      <c r="M29" s="83"/>
      <c r="N29" s="83"/>
      <c r="O29" s="82"/>
      <c r="P29" s="83"/>
      <c r="Q29" s="83"/>
      <c r="R29" s="83"/>
      <c r="S29" s="82"/>
      <c r="T29" s="83"/>
      <c r="U29" s="83"/>
      <c r="V29" s="82"/>
      <c r="W29" s="83"/>
      <c r="X29" s="87"/>
      <c r="Y29" s="83">
        <v>40.56</v>
      </c>
      <c r="Z29" s="82"/>
      <c r="AA29" s="83"/>
      <c r="AB29" s="82"/>
      <c r="AC29" s="83"/>
      <c r="AD29" s="89">
        <f t="shared" si="3"/>
        <v>11.92652</v>
      </c>
      <c r="AE29" s="89">
        <v>7.0622999999999996</v>
      </c>
      <c r="AF29" s="188">
        <v>4.8642200000000004</v>
      </c>
      <c r="AG29" s="83"/>
      <c r="AH29" s="83"/>
      <c r="AI29" s="83"/>
      <c r="AJ29" s="82"/>
      <c r="AK29" s="83"/>
      <c r="AL29" s="82"/>
      <c r="AM29" s="89"/>
      <c r="AN29" s="82"/>
      <c r="AO29" s="83"/>
      <c r="AP29" s="82"/>
      <c r="AQ29" s="83"/>
      <c r="AR29" s="83"/>
      <c r="AS29" s="83"/>
      <c r="AT29" s="83"/>
      <c r="AU29" s="83"/>
      <c r="AV29" s="83"/>
      <c r="AW29" s="89"/>
      <c r="AX29" s="82"/>
      <c r="AY29" s="83"/>
      <c r="AZ29" s="82">
        <v>86.079509999999999</v>
      </c>
      <c r="BA29" s="83">
        <v>77.951920000000001</v>
      </c>
      <c r="BB29" s="89"/>
      <c r="BC29" s="83"/>
      <c r="BD29" s="82"/>
      <c r="BE29" s="89"/>
      <c r="BF29" s="97"/>
      <c r="BG29" s="83"/>
      <c r="BH29" s="97"/>
      <c r="BI29" s="97"/>
      <c r="BJ29" s="97"/>
      <c r="BK29" s="97"/>
      <c r="BL29" s="97"/>
      <c r="BM29" s="97"/>
      <c r="BN29" s="97"/>
      <c r="BO29" s="97"/>
      <c r="BP29" s="97"/>
      <c r="BQ29" s="97"/>
      <c r="BR29" s="98"/>
      <c r="BS29" s="97"/>
      <c r="BT29" s="97"/>
      <c r="BU29" s="55"/>
      <c r="BV29" s="90"/>
      <c r="BW29" s="55"/>
      <c r="BX29" s="90"/>
      <c r="BY29" s="55"/>
      <c r="BZ29" s="90"/>
      <c r="CA29" s="198"/>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c r="GI29" s="252"/>
      <c r="GJ29" s="252"/>
      <c r="GK29" s="252"/>
      <c r="GL29" s="252"/>
      <c r="GM29" s="252"/>
      <c r="GN29" s="252"/>
      <c r="GO29" s="252"/>
      <c r="GP29" s="252"/>
      <c r="GQ29" s="252"/>
      <c r="GR29" s="252"/>
      <c r="GS29" s="252"/>
      <c r="GT29" s="252"/>
      <c r="GU29" s="252"/>
      <c r="GV29" s="252"/>
      <c r="GW29" s="252"/>
      <c r="GX29" s="252"/>
      <c r="GY29" s="252"/>
      <c r="GZ29" s="252"/>
      <c r="HA29" s="252"/>
      <c r="HB29" s="252"/>
      <c r="HC29" s="252"/>
      <c r="HD29" s="252"/>
      <c r="HE29" s="252"/>
      <c r="HF29" s="252"/>
      <c r="HG29" s="252"/>
      <c r="HH29" s="252"/>
      <c r="HI29" s="252"/>
      <c r="HJ29" s="252"/>
      <c r="HK29" s="252"/>
      <c r="HL29" s="252"/>
      <c r="HM29" s="25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2"/>
      <c r="IX29" s="252"/>
      <c r="IY29" s="252"/>
      <c r="IZ29" s="252"/>
      <c r="JA29" s="252"/>
      <c r="JB29" s="252"/>
      <c r="JC29" s="252"/>
      <c r="JD29" s="252"/>
      <c r="JE29" s="252"/>
      <c r="JF29" s="252"/>
      <c r="JG29" s="252"/>
      <c r="JH29" s="252"/>
      <c r="JI29" s="252"/>
      <c r="JJ29" s="252"/>
      <c r="JK29" s="252"/>
      <c r="JL29" s="252"/>
      <c r="JM29" s="252"/>
      <c r="JN29" s="252"/>
      <c r="JO29" s="252"/>
      <c r="JP29" s="252"/>
      <c r="JQ29" s="252"/>
      <c r="JR29" s="252"/>
      <c r="JS29" s="252"/>
      <c r="JT29" s="252"/>
      <c r="JU29" s="252"/>
      <c r="JV29" s="252"/>
    </row>
    <row r="30" spans="1:282" s="52" customFormat="1" ht="50.1" customHeight="1" outlineLevel="2" x14ac:dyDescent="0.3">
      <c r="A30" s="92" t="s">
        <v>36</v>
      </c>
      <c r="B30" s="96" t="s">
        <v>57</v>
      </c>
      <c r="C30" s="79" t="s">
        <v>55</v>
      </c>
      <c r="D30" s="81">
        <f t="shared" si="0"/>
        <v>180.96965</v>
      </c>
      <c r="E30" s="82">
        <f t="shared" si="1"/>
        <v>70.408799999999999</v>
      </c>
      <c r="F30" s="83">
        <f t="shared" si="2"/>
        <v>110.56084999999999</v>
      </c>
      <c r="G30" s="82"/>
      <c r="H30" s="83"/>
      <c r="I30" s="83"/>
      <c r="J30" s="82"/>
      <c r="K30" s="83"/>
      <c r="L30" s="83"/>
      <c r="M30" s="83"/>
      <c r="N30" s="83"/>
      <c r="O30" s="82"/>
      <c r="P30" s="83"/>
      <c r="Q30" s="83"/>
      <c r="R30" s="83"/>
      <c r="S30" s="82"/>
      <c r="T30" s="83"/>
      <c r="U30" s="83"/>
      <c r="V30" s="82"/>
      <c r="W30" s="83"/>
      <c r="X30" s="87"/>
      <c r="Y30" s="83">
        <v>46.8</v>
      </c>
      <c r="Z30" s="82"/>
      <c r="AA30" s="83"/>
      <c r="AB30" s="82"/>
      <c r="AC30" s="83"/>
      <c r="AD30" s="89">
        <f t="shared" si="3"/>
        <v>0</v>
      </c>
      <c r="AE30" s="89"/>
      <c r="AF30" s="188"/>
      <c r="AG30" s="83"/>
      <c r="AH30" s="83"/>
      <c r="AI30" s="83"/>
      <c r="AJ30" s="82"/>
      <c r="AK30" s="83"/>
      <c r="AL30" s="82"/>
      <c r="AM30" s="89"/>
      <c r="AN30" s="82"/>
      <c r="AO30" s="83"/>
      <c r="AP30" s="82"/>
      <c r="AQ30" s="83"/>
      <c r="AR30" s="83"/>
      <c r="AS30" s="83"/>
      <c r="AT30" s="83"/>
      <c r="AU30" s="83"/>
      <c r="AV30" s="83"/>
      <c r="AW30" s="89"/>
      <c r="AX30" s="82"/>
      <c r="AY30" s="83"/>
      <c r="AZ30" s="82">
        <v>70.408799999999999</v>
      </c>
      <c r="BA30" s="83">
        <v>63.760849999999998</v>
      </c>
      <c r="BB30" s="89"/>
      <c r="BC30" s="83"/>
      <c r="BD30" s="82"/>
      <c r="BE30" s="89"/>
      <c r="BF30" s="97"/>
      <c r="BG30" s="83"/>
      <c r="BH30" s="97"/>
      <c r="BI30" s="97"/>
      <c r="BJ30" s="97"/>
      <c r="BK30" s="97"/>
      <c r="BL30" s="97"/>
      <c r="BM30" s="97"/>
      <c r="BN30" s="97"/>
      <c r="BO30" s="97"/>
      <c r="BP30" s="97"/>
      <c r="BQ30" s="97"/>
      <c r="BR30" s="98"/>
      <c r="BS30" s="97"/>
      <c r="BT30" s="97"/>
      <c r="BU30" s="55"/>
      <c r="BV30" s="90"/>
      <c r="BW30" s="55"/>
      <c r="BX30" s="90"/>
      <c r="BY30" s="55"/>
      <c r="BZ30" s="90"/>
      <c r="CA30" s="198"/>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c r="IX30" s="252"/>
      <c r="IY30" s="252"/>
      <c r="IZ30" s="252"/>
      <c r="JA30" s="252"/>
      <c r="JB30" s="252"/>
      <c r="JC30" s="252"/>
      <c r="JD30" s="252"/>
      <c r="JE30" s="252"/>
      <c r="JF30" s="252"/>
      <c r="JG30" s="252"/>
      <c r="JH30" s="252"/>
      <c r="JI30" s="252"/>
      <c r="JJ30" s="252"/>
      <c r="JK30" s="252"/>
      <c r="JL30" s="252"/>
      <c r="JM30" s="252"/>
      <c r="JN30" s="252"/>
      <c r="JO30" s="252"/>
      <c r="JP30" s="252"/>
      <c r="JQ30" s="252"/>
      <c r="JR30" s="252"/>
      <c r="JS30" s="252"/>
      <c r="JT30" s="252"/>
      <c r="JU30" s="252"/>
      <c r="JV30" s="252"/>
    </row>
    <row r="31" spans="1:282" s="52" customFormat="1" ht="50.1" customHeight="1" outlineLevel="2" x14ac:dyDescent="0.3">
      <c r="A31" s="92" t="s">
        <v>36</v>
      </c>
      <c r="B31" s="80" t="s">
        <v>58</v>
      </c>
      <c r="C31" s="79" t="s">
        <v>55</v>
      </c>
      <c r="D31" s="81">
        <f t="shared" si="0"/>
        <v>493.91034999999999</v>
      </c>
      <c r="E31" s="82">
        <f t="shared" si="1"/>
        <v>246.39402999999999</v>
      </c>
      <c r="F31" s="83">
        <f t="shared" si="2"/>
        <v>247.51632000000001</v>
      </c>
      <c r="G31" s="82"/>
      <c r="H31" s="83"/>
      <c r="I31" s="83"/>
      <c r="J31" s="82">
        <f>96.0616+36.58428</f>
        <v>132.64588000000001</v>
      </c>
      <c r="K31" s="83">
        <f>48.03078+12.63655</f>
        <v>60.66733</v>
      </c>
      <c r="L31" s="83"/>
      <c r="M31" s="83"/>
      <c r="N31" s="83"/>
      <c r="O31" s="82"/>
      <c r="P31" s="83"/>
      <c r="Q31" s="83"/>
      <c r="R31" s="83"/>
      <c r="S31" s="82"/>
      <c r="T31" s="83"/>
      <c r="U31" s="83"/>
      <c r="V31" s="82">
        <v>23.195</v>
      </c>
      <c r="W31" s="83">
        <v>40.5</v>
      </c>
      <c r="X31" s="87"/>
      <c r="Y31" s="83">
        <v>62.4</v>
      </c>
      <c r="Z31" s="82"/>
      <c r="AA31" s="83"/>
      <c r="AB31" s="82"/>
      <c r="AC31" s="83"/>
      <c r="AD31" s="89">
        <f t="shared" si="3"/>
        <v>1.9456899999999999</v>
      </c>
      <c r="AE31" s="89"/>
      <c r="AF31" s="188">
        <v>1.9456899999999999</v>
      </c>
      <c r="AG31" s="83"/>
      <c r="AH31" s="83"/>
      <c r="AI31" s="83"/>
      <c r="AJ31" s="82"/>
      <c r="AK31" s="83"/>
      <c r="AL31" s="82"/>
      <c r="AM31" s="89"/>
      <c r="AN31" s="82"/>
      <c r="AO31" s="83"/>
      <c r="AP31" s="82"/>
      <c r="AQ31" s="83"/>
      <c r="AR31" s="83"/>
      <c r="AS31" s="83"/>
      <c r="AT31" s="83"/>
      <c r="AU31" s="83"/>
      <c r="AV31" s="83"/>
      <c r="AW31" s="89"/>
      <c r="AX31" s="82"/>
      <c r="AY31" s="83"/>
      <c r="AZ31" s="82">
        <v>90.553150000000002</v>
      </c>
      <c r="BA31" s="83">
        <v>82.003299999999996</v>
      </c>
      <c r="BB31" s="89"/>
      <c r="BC31" s="83"/>
      <c r="BD31" s="82"/>
      <c r="BE31" s="89"/>
      <c r="BF31" s="97"/>
      <c r="BG31" s="83"/>
      <c r="BH31" s="97"/>
      <c r="BI31" s="97"/>
      <c r="BJ31" s="97"/>
      <c r="BK31" s="97"/>
      <c r="BL31" s="97"/>
      <c r="BM31" s="97"/>
      <c r="BN31" s="97"/>
      <c r="BO31" s="97"/>
      <c r="BP31" s="97"/>
      <c r="BQ31" s="97"/>
      <c r="BR31" s="98"/>
      <c r="BS31" s="97"/>
      <c r="BT31" s="97"/>
      <c r="BU31" s="55"/>
      <c r="BV31" s="90"/>
      <c r="BW31" s="55"/>
      <c r="BX31" s="90"/>
      <c r="BY31" s="55"/>
      <c r="BZ31" s="90"/>
      <c r="CA31" s="198"/>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c r="EN31" s="252"/>
      <c r="EO31" s="252"/>
      <c r="EP31" s="252"/>
      <c r="EQ31" s="252"/>
      <c r="ER31" s="252"/>
      <c r="ES31" s="252"/>
      <c r="ET31" s="252"/>
      <c r="EU31" s="252"/>
      <c r="EV31" s="252"/>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c r="GI31" s="252"/>
      <c r="GJ31" s="252"/>
      <c r="GK31" s="252"/>
      <c r="GL31" s="252"/>
      <c r="GM31" s="252"/>
      <c r="GN31" s="252"/>
      <c r="GO31" s="252"/>
      <c r="GP31" s="252"/>
      <c r="GQ31" s="252"/>
      <c r="GR31" s="252"/>
      <c r="GS31" s="252"/>
      <c r="GT31" s="252"/>
      <c r="GU31" s="252"/>
      <c r="GV31" s="252"/>
      <c r="GW31" s="252"/>
      <c r="GX31" s="252"/>
      <c r="GY31" s="252"/>
      <c r="GZ31" s="252"/>
      <c r="HA31" s="252"/>
      <c r="HB31" s="252"/>
      <c r="HC31" s="252"/>
      <c r="HD31" s="252"/>
      <c r="HE31" s="252"/>
      <c r="HF31" s="252"/>
      <c r="HG31" s="252"/>
      <c r="HH31" s="252"/>
      <c r="HI31" s="252"/>
      <c r="HJ31" s="252"/>
      <c r="HK31" s="252"/>
      <c r="HL31" s="252"/>
      <c r="HM31" s="252"/>
      <c r="HN31" s="252"/>
      <c r="HO31" s="252"/>
      <c r="HP31" s="252"/>
      <c r="HQ31" s="252"/>
      <c r="HR31" s="252"/>
      <c r="HS31" s="252"/>
      <c r="HT31" s="252"/>
      <c r="HU31" s="252"/>
      <c r="HV31" s="252"/>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c r="IU31" s="252"/>
      <c r="IV31" s="252"/>
      <c r="IW31" s="252"/>
      <c r="IX31" s="252"/>
      <c r="IY31" s="252"/>
      <c r="IZ31" s="252"/>
      <c r="JA31" s="252"/>
      <c r="JB31" s="252"/>
      <c r="JC31" s="252"/>
      <c r="JD31" s="252"/>
      <c r="JE31" s="252"/>
      <c r="JF31" s="252"/>
      <c r="JG31" s="252"/>
      <c r="JH31" s="252"/>
      <c r="JI31" s="252"/>
      <c r="JJ31" s="252"/>
      <c r="JK31" s="252"/>
      <c r="JL31" s="252"/>
      <c r="JM31" s="252"/>
      <c r="JN31" s="252"/>
      <c r="JO31" s="252"/>
      <c r="JP31" s="252"/>
      <c r="JQ31" s="252"/>
      <c r="JR31" s="252"/>
      <c r="JS31" s="252"/>
      <c r="JT31" s="252"/>
      <c r="JU31" s="252"/>
      <c r="JV31" s="252"/>
    </row>
    <row r="32" spans="1:282" s="52" customFormat="1" ht="50.1" customHeight="1" outlineLevel="2" x14ac:dyDescent="0.3">
      <c r="A32" s="92" t="s">
        <v>36</v>
      </c>
      <c r="B32" s="92" t="s">
        <v>59</v>
      </c>
      <c r="C32" s="79" t="s">
        <v>55</v>
      </c>
      <c r="D32" s="81">
        <f t="shared" si="0"/>
        <v>326.80907000000002</v>
      </c>
      <c r="E32" s="82">
        <f t="shared" si="1"/>
        <v>66.185370000000006</v>
      </c>
      <c r="F32" s="83">
        <f t="shared" si="2"/>
        <v>260.62369999999999</v>
      </c>
      <c r="G32" s="82"/>
      <c r="H32" s="83"/>
      <c r="I32" s="83"/>
      <c r="J32" s="82"/>
      <c r="K32" s="83"/>
      <c r="L32" s="83">
        <v>129.87374</v>
      </c>
      <c r="M32" s="83"/>
      <c r="N32" s="83"/>
      <c r="O32" s="82"/>
      <c r="P32" s="83"/>
      <c r="Q32" s="83"/>
      <c r="R32" s="83"/>
      <c r="S32" s="82"/>
      <c r="T32" s="83"/>
      <c r="U32" s="83"/>
      <c r="V32" s="82"/>
      <c r="W32" s="83"/>
      <c r="X32" s="87"/>
      <c r="Y32" s="83">
        <v>18.72</v>
      </c>
      <c r="Z32" s="82"/>
      <c r="AA32" s="83"/>
      <c r="AB32" s="82"/>
      <c r="AC32" s="83"/>
      <c r="AD32" s="89">
        <f t="shared" si="3"/>
        <v>9.7318800000000003</v>
      </c>
      <c r="AE32" s="89"/>
      <c r="AF32" s="188">
        <v>9.7318800000000003</v>
      </c>
      <c r="AG32" s="83"/>
      <c r="AH32" s="83"/>
      <c r="AI32" s="83"/>
      <c r="AJ32" s="82"/>
      <c r="AK32" s="83"/>
      <c r="AL32" s="82"/>
      <c r="AM32" s="89"/>
      <c r="AN32" s="82"/>
      <c r="AO32" s="83"/>
      <c r="AP32" s="82"/>
      <c r="AQ32" s="83"/>
      <c r="AR32" s="83"/>
      <c r="AS32" s="83"/>
      <c r="AT32" s="83"/>
      <c r="AU32" s="83"/>
      <c r="AV32" s="83">
        <v>42.361899999999999</v>
      </c>
      <c r="AW32" s="89"/>
      <c r="AX32" s="82"/>
      <c r="AY32" s="83"/>
      <c r="AZ32" s="82">
        <v>66.185370000000006</v>
      </c>
      <c r="BA32" s="83">
        <v>59.93618</v>
      </c>
      <c r="BB32" s="89"/>
      <c r="BC32" s="83"/>
      <c r="BD32" s="82"/>
      <c r="BE32" s="89"/>
      <c r="BF32" s="97"/>
      <c r="BG32" s="83"/>
      <c r="BH32" s="97"/>
      <c r="BI32" s="97"/>
      <c r="BJ32" s="97"/>
      <c r="BK32" s="97"/>
      <c r="BL32" s="97"/>
      <c r="BM32" s="97"/>
      <c r="BN32" s="97"/>
      <c r="BO32" s="97"/>
      <c r="BP32" s="97"/>
      <c r="BQ32" s="97"/>
      <c r="BR32" s="98"/>
      <c r="BS32" s="97"/>
      <c r="BT32" s="97"/>
      <c r="BU32" s="55"/>
      <c r="BV32" s="90"/>
      <c r="BW32" s="55"/>
      <c r="BX32" s="90"/>
      <c r="BY32" s="55"/>
      <c r="BZ32" s="90"/>
      <c r="CA32" s="198"/>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2"/>
      <c r="EJ32" s="252"/>
      <c r="EK32" s="252"/>
      <c r="EL32" s="252"/>
      <c r="EM32" s="252"/>
      <c r="EN32" s="252"/>
      <c r="EO32" s="252"/>
      <c r="EP32" s="252"/>
      <c r="EQ32" s="252"/>
      <c r="ER32" s="252"/>
      <c r="ES32" s="252"/>
      <c r="ET32" s="252"/>
      <c r="EU32" s="252"/>
      <c r="EV32" s="252"/>
      <c r="EW32" s="252"/>
      <c r="EX32" s="252"/>
      <c r="EY32" s="252"/>
      <c r="EZ32" s="252"/>
      <c r="FA32" s="252"/>
      <c r="FB32" s="252"/>
      <c r="FC32" s="252"/>
      <c r="FD32" s="252"/>
      <c r="FE32" s="252"/>
      <c r="FF32" s="252"/>
      <c r="FG32" s="252"/>
      <c r="FH32" s="252"/>
      <c r="FI32" s="252"/>
      <c r="FJ32" s="252"/>
      <c r="FK32" s="252"/>
      <c r="FL32" s="252"/>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c r="GI32" s="252"/>
      <c r="GJ32" s="252"/>
      <c r="GK32" s="252"/>
      <c r="GL32" s="252"/>
      <c r="GM32" s="252"/>
      <c r="GN32" s="252"/>
      <c r="GO32" s="252"/>
      <c r="GP32" s="252"/>
      <c r="GQ32" s="252"/>
      <c r="GR32" s="252"/>
      <c r="GS32" s="252"/>
      <c r="GT32" s="252"/>
      <c r="GU32" s="252"/>
      <c r="GV32" s="252"/>
      <c r="GW32" s="252"/>
      <c r="GX32" s="252"/>
      <c r="GY32" s="252"/>
      <c r="GZ32" s="252"/>
      <c r="HA32" s="252"/>
      <c r="HB32" s="252"/>
      <c r="HC32" s="252"/>
      <c r="HD32" s="252"/>
      <c r="HE32" s="252"/>
      <c r="HF32" s="252"/>
      <c r="HG32" s="252"/>
      <c r="HH32" s="252"/>
      <c r="HI32" s="252"/>
      <c r="HJ32" s="252"/>
      <c r="HK32" s="252"/>
      <c r="HL32" s="252"/>
      <c r="HM32" s="252"/>
      <c r="HN32" s="252"/>
      <c r="HO32" s="252"/>
      <c r="HP32" s="252"/>
      <c r="HQ32" s="252"/>
      <c r="HR32" s="252"/>
      <c r="HS32" s="252"/>
      <c r="HT32" s="252"/>
      <c r="HU32" s="252"/>
      <c r="HV32" s="252"/>
      <c r="HW32" s="252"/>
      <c r="HX32" s="252"/>
      <c r="HY32" s="252"/>
      <c r="HZ32" s="252"/>
      <c r="IA32" s="252"/>
      <c r="IB32" s="252"/>
      <c r="IC32" s="252"/>
      <c r="ID32" s="252"/>
      <c r="IE32" s="252"/>
      <c r="IF32" s="252"/>
      <c r="IG32" s="252"/>
      <c r="IH32" s="252"/>
      <c r="II32" s="252"/>
      <c r="IJ32" s="252"/>
      <c r="IK32" s="252"/>
      <c r="IL32" s="252"/>
      <c r="IM32" s="252"/>
      <c r="IN32" s="252"/>
      <c r="IO32" s="252"/>
      <c r="IP32" s="252"/>
      <c r="IQ32" s="252"/>
      <c r="IR32" s="252"/>
      <c r="IS32" s="252"/>
      <c r="IT32" s="252"/>
      <c r="IU32" s="252"/>
      <c r="IV32" s="252"/>
      <c r="IW32" s="252"/>
      <c r="IX32" s="252"/>
      <c r="IY32" s="252"/>
      <c r="IZ32" s="252"/>
      <c r="JA32" s="252"/>
      <c r="JB32" s="252"/>
      <c r="JC32" s="252"/>
      <c r="JD32" s="252"/>
      <c r="JE32" s="252"/>
      <c r="JF32" s="252"/>
      <c r="JG32" s="252"/>
      <c r="JH32" s="252"/>
      <c r="JI32" s="252"/>
      <c r="JJ32" s="252"/>
      <c r="JK32" s="252"/>
      <c r="JL32" s="252"/>
      <c r="JM32" s="252"/>
      <c r="JN32" s="252"/>
      <c r="JO32" s="252"/>
      <c r="JP32" s="252"/>
      <c r="JQ32" s="252"/>
      <c r="JR32" s="252"/>
      <c r="JS32" s="252"/>
      <c r="JT32" s="252"/>
      <c r="JU32" s="252"/>
      <c r="JV32" s="252"/>
    </row>
    <row r="33" spans="1:282" s="52" customFormat="1" ht="50.1" customHeight="1" outlineLevel="2" x14ac:dyDescent="0.3">
      <c r="A33" s="92" t="s">
        <v>36</v>
      </c>
      <c r="B33" s="92" t="s">
        <v>60</v>
      </c>
      <c r="C33" s="79" t="s">
        <v>55</v>
      </c>
      <c r="D33" s="81">
        <f t="shared" si="0"/>
        <v>2565.2872900000002</v>
      </c>
      <c r="E33" s="82">
        <f t="shared" si="1"/>
        <v>299.84215</v>
      </c>
      <c r="F33" s="83">
        <f t="shared" si="2"/>
        <v>2265.4451400000003</v>
      </c>
      <c r="G33" s="82"/>
      <c r="H33" s="85"/>
      <c r="I33" s="85"/>
      <c r="J33" s="82"/>
      <c r="K33" s="83"/>
      <c r="L33" s="83">
        <v>21.493580000000001</v>
      </c>
      <c r="M33" s="83"/>
      <c r="N33" s="83"/>
      <c r="O33" s="82"/>
      <c r="P33" s="83"/>
      <c r="Q33" s="83"/>
      <c r="R33" s="83"/>
      <c r="S33" s="82"/>
      <c r="T33" s="83"/>
      <c r="U33" s="83"/>
      <c r="V33" s="82"/>
      <c r="W33" s="83"/>
      <c r="X33" s="87"/>
      <c r="Y33" s="83">
        <v>156</v>
      </c>
      <c r="Z33" s="82"/>
      <c r="AA33" s="83"/>
      <c r="AB33" s="82"/>
      <c r="AC33" s="83"/>
      <c r="AD33" s="89">
        <f t="shared" si="3"/>
        <v>0</v>
      </c>
      <c r="AE33" s="89"/>
      <c r="AF33" s="188"/>
      <c r="AG33" s="83"/>
      <c r="AH33" s="83"/>
      <c r="AI33" s="83"/>
      <c r="AJ33" s="82"/>
      <c r="AK33" s="83"/>
      <c r="AL33" s="82"/>
      <c r="AM33" s="89"/>
      <c r="AN33" s="82"/>
      <c r="AO33" s="83">
        <v>382.72</v>
      </c>
      <c r="AP33" s="82"/>
      <c r="AQ33" s="83"/>
      <c r="AR33" s="83"/>
      <c r="AS33" s="83"/>
      <c r="AT33" s="83"/>
      <c r="AU33" s="83"/>
      <c r="AV33" s="83"/>
      <c r="AW33" s="89"/>
      <c r="AX33" s="82"/>
      <c r="AY33" s="83"/>
      <c r="AZ33" s="82">
        <v>299.84215</v>
      </c>
      <c r="BA33" s="83">
        <v>271.53156000000001</v>
      </c>
      <c r="BB33" s="89"/>
      <c r="BC33" s="83"/>
      <c r="BD33" s="82"/>
      <c r="BE33" s="89"/>
      <c r="BF33" s="97"/>
      <c r="BG33" s="83"/>
      <c r="BH33" s="97"/>
      <c r="BI33" s="97"/>
      <c r="BJ33" s="97"/>
      <c r="BK33" s="97"/>
      <c r="BL33" s="97"/>
      <c r="BM33" s="97"/>
      <c r="BN33" s="97"/>
      <c r="BO33" s="97"/>
      <c r="BP33" s="97"/>
      <c r="BQ33" s="97"/>
      <c r="BR33" s="98"/>
      <c r="BS33" s="83">
        <v>1433.7</v>
      </c>
      <c r="BT33" s="97"/>
      <c r="BU33" s="55"/>
      <c r="BV33" s="90"/>
      <c r="BW33" s="55"/>
      <c r="BX33" s="90"/>
      <c r="BY33" s="55"/>
      <c r="BZ33" s="90"/>
      <c r="CA33" s="198"/>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252"/>
      <c r="GD33" s="252"/>
      <c r="GE33" s="252"/>
      <c r="GF33" s="252"/>
      <c r="GG33" s="252"/>
      <c r="GH33" s="252"/>
      <c r="GI33" s="252"/>
      <c r="GJ33" s="252"/>
      <c r="GK33" s="252"/>
      <c r="GL33" s="252"/>
      <c r="GM33" s="252"/>
      <c r="GN33" s="252"/>
      <c r="GO33" s="252"/>
      <c r="GP33" s="252"/>
      <c r="GQ33" s="252"/>
      <c r="GR33" s="252"/>
      <c r="GS33" s="252"/>
      <c r="GT33" s="252"/>
      <c r="GU33" s="252"/>
      <c r="GV33" s="252"/>
      <c r="GW33" s="252"/>
      <c r="GX33" s="252"/>
      <c r="GY33" s="252"/>
      <c r="GZ33" s="252"/>
      <c r="HA33" s="252"/>
      <c r="HB33" s="252"/>
      <c r="HC33" s="252"/>
      <c r="HD33" s="252"/>
      <c r="HE33" s="252"/>
      <c r="HF33" s="252"/>
      <c r="HG33" s="252"/>
      <c r="HH33" s="252"/>
      <c r="HI33" s="252"/>
      <c r="HJ33" s="252"/>
      <c r="HK33" s="252"/>
      <c r="HL33" s="252"/>
      <c r="HM33" s="252"/>
      <c r="HN33" s="252"/>
      <c r="HO33" s="252"/>
      <c r="HP33" s="252"/>
      <c r="HQ33" s="252"/>
      <c r="HR33" s="252"/>
      <c r="HS33" s="252"/>
      <c r="HT33" s="252"/>
      <c r="HU33" s="252"/>
      <c r="HV33" s="252"/>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c r="IU33" s="252"/>
      <c r="IV33" s="252"/>
      <c r="IW33" s="252"/>
      <c r="IX33" s="252"/>
      <c r="IY33" s="252"/>
      <c r="IZ33" s="252"/>
      <c r="JA33" s="252"/>
      <c r="JB33" s="252"/>
      <c r="JC33" s="252"/>
      <c r="JD33" s="252"/>
      <c r="JE33" s="252"/>
      <c r="JF33" s="252"/>
      <c r="JG33" s="252"/>
      <c r="JH33" s="252"/>
      <c r="JI33" s="252"/>
      <c r="JJ33" s="252"/>
      <c r="JK33" s="252"/>
      <c r="JL33" s="252"/>
      <c r="JM33" s="252"/>
      <c r="JN33" s="252"/>
      <c r="JO33" s="252"/>
      <c r="JP33" s="252"/>
      <c r="JQ33" s="252"/>
      <c r="JR33" s="252"/>
      <c r="JS33" s="252"/>
      <c r="JT33" s="252"/>
      <c r="JU33" s="252"/>
      <c r="JV33" s="252"/>
    </row>
    <row r="34" spans="1:282" s="52" customFormat="1" ht="50.1" customHeight="1" outlineLevel="2" x14ac:dyDescent="0.3">
      <c r="A34" s="92" t="s">
        <v>36</v>
      </c>
      <c r="B34" s="92" t="s">
        <v>61</v>
      </c>
      <c r="C34" s="79" t="s">
        <v>55</v>
      </c>
      <c r="D34" s="81">
        <f t="shared" si="0"/>
        <v>135.05279999999999</v>
      </c>
      <c r="E34" s="82">
        <f t="shared" si="1"/>
        <v>52.370780000000003</v>
      </c>
      <c r="F34" s="83">
        <f t="shared" si="2"/>
        <v>82.682019999999994</v>
      </c>
      <c r="G34" s="84"/>
      <c r="H34" s="85"/>
      <c r="I34" s="85"/>
      <c r="J34" s="84"/>
      <c r="K34" s="85"/>
      <c r="L34" s="85"/>
      <c r="M34" s="85"/>
      <c r="N34" s="85"/>
      <c r="O34" s="82"/>
      <c r="P34" s="83"/>
      <c r="Q34" s="83"/>
      <c r="R34" s="83"/>
      <c r="S34" s="82"/>
      <c r="T34" s="85"/>
      <c r="U34" s="85"/>
      <c r="V34" s="82"/>
      <c r="W34" s="83"/>
      <c r="X34" s="87"/>
      <c r="Y34" s="83">
        <v>35.256</v>
      </c>
      <c r="Z34" s="84"/>
      <c r="AA34" s="85"/>
      <c r="AB34" s="84"/>
      <c r="AC34" s="85"/>
      <c r="AD34" s="89">
        <f t="shared" si="3"/>
        <v>0</v>
      </c>
      <c r="AE34" s="89"/>
      <c r="AF34" s="186"/>
      <c r="AG34" s="85"/>
      <c r="AH34" s="85"/>
      <c r="AI34" s="85"/>
      <c r="AJ34" s="84"/>
      <c r="AK34" s="85"/>
      <c r="AL34" s="84"/>
      <c r="AM34" s="88"/>
      <c r="AN34" s="84"/>
      <c r="AO34" s="85"/>
      <c r="AP34" s="84"/>
      <c r="AQ34" s="83"/>
      <c r="AR34" s="83"/>
      <c r="AS34" s="83"/>
      <c r="AT34" s="85"/>
      <c r="AU34" s="85"/>
      <c r="AV34" s="85"/>
      <c r="AW34" s="88"/>
      <c r="AX34" s="84"/>
      <c r="AY34" s="85"/>
      <c r="AZ34" s="84">
        <v>52.370780000000003</v>
      </c>
      <c r="BA34" s="83">
        <v>47.426020000000001</v>
      </c>
      <c r="BB34" s="88"/>
      <c r="BC34" s="85"/>
      <c r="BD34" s="84"/>
      <c r="BE34" s="88"/>
      <c r="BF34" s="85"/>
      <c r="BG34" s="85"/>
      <c r="BH34" s="85"/>
      <c r="BI34" s="85"/>
      <c r="BJ34" s="85"/>
      <c r="BK34" s="85"/>
      <c r="BL34" s="85"/>
      <c r="BM34" s="85"/>
      <c r="BN34" s="85"/>
      <c r="BO34" s="85"/>
      <c r="BP34" s="85"/>
      <c r="BQ34" s="85"/>
      <c r="BR34" s="84"/>
      <c r="BS34" s="85"/>
      <c r="BT34" s="85"/>
      <c r="BU34" s="55"/>
      <c r="BV34" s="90"/>
      <c r="BW34" s="55"/>
      <c r="BX34" s="90"/>
      <c r="BY34" s="55"/>
      <c r="BZ34" s="90"/>
      <c r="CA34" s="198"/>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252"/>
      <c r="GD34" s="252"/>
      <c r="GE34" s="252"/>
      <c r="GF34" s="252"/>
      <c r="GG34" s="252"/>
      <c r="GH34" s="252"/>
      <c r="GI34" s="252"/>
      <c r="GJ34" s="252"/>
      <c r="GK34" s="252"/>
      <c r="GL34" s="252"/>
      <c r="GM34" s="252"/>
      <c r="GN34" s="252"/>
      <c r="GO34" s="252"/>
      <c r="GP34" s="252"/>
      <c r="GQ34" s="252"/>
      <c r="GR34" s="252"/>
      <c r="GS34" s="252"/>
      <c r="GT34" s="252"/>
      <c r="GU34" s="252"/>
      <c r="GV34" s="252"/>
      <c r="GW34" s="252"/>
      <c r="GX34" s="252"/>
      <c r="GY34" s="252"/>
      <c r="GZ34" s="252"/>
      <c r="HA34" s="252"/>
      <c r="HB34" s="252"/>
      <c r="HC34" s="252"/>
      <c r="HD34" s="252"/>
      <c r="HE34" s="252"/>
      <c r="HF34" s="252"/>
      <c r="HG34" s="252"/>
      <c r="HH34" s="252"/>
      <c r="HI34" s="252"/>
      <c r="HJ34" s="252"/>
      <c r="HK34" s="252"/>
      <c r="HL34" s="252"/>
      <c r="HM34" s="252"/>
      <c r="HN34" s="252"/>
      <c r="HO34" s="252"/>
      <c r="HP34" s="252"/>
      <c r="HQ34" s="252"/>
      <c r="HR34" s="252"/>
      <c r="HS34" s="252"/>
      <c r="HT34" s="252"/>
      <c r="HU34" s="252"/>
      <c r="HV34" s="252"/>
      <c r="HW34" s="252"/>
      <c r="HX34" s="252"/>
      <c r="HY34" s="252"/>
      <c r="HZ34" s="252"/>
      <c r="IA34" s="252"/>
      <c r="IB34" s="252"/>
      <c r="IC34" s="252"/>
      <c r="ID34" s="252"/>
      <c r="IE34" s="252"/>
      <c r="IF34" s="252"/>
      <c r="IG34" s="252"/>
      <c r="IH34" s="252"/>
      <c r="II34" s="252"/>
      <c r="IJ34" s="252"/>
      <c r="IK34" s="252"/>
      <c r="IL34" s="252"/>
      <c r="IM34" s="252"/>
      <c r="IN34" s="252"/>
      <c r="IO34" s="252"/>
      <c r="IP34" s="252"/>
      <c r="IQ34" s="252"/>
      <c r="IR34" s="252"/>
      <c r="IS34" s="252"/>
      <c r="IT34" s="252"/>
      <c r="IU34" s="252"/>
      <c r="IV34" s="252"/>
      <c r="IW34" s="252"/>
      <c r="IX34" s="252"/>
      <c r="IY34" s="252"/>
      <c r="IZ34" s="252"/>
      <c r="JA34" s="252"/>
      <c r="JB34" s="252"/>
      <c r="JC34" s="252"/>
      <c r="JD34" s="252"/>
      <c r="JE34" s="252"/>
      <c r="JF34" s="252"/>
      <c r="JG34" s="252"/>
      <c r="JH34" s="252"/>
      <c r="JI34" s="252"/>
      <c r="JJ34" s="252"/>
      <c r="JK34" s="252"/>
      <c r="JL34" s="252"/>
      <c r="JM34" s="252"/>
      <c r="JN34" s="252"/>
      <c r="JO34" s="252"/>
      <c r="JP34" s="252"/>
      <c r="JQ34" s="252"/>
      <c r="JR34" s="252"/>
      <c r="JS34" s="252"/>
      <c r="JT34" s="252"/>
      <c r="JU34" s="252"/>
      <c r="JV34" s="252"/>
    </row>
    <row r="35" spans="1:282" s="52" customFormat="1" ht="50.1" customHeight="1" outlineLevel="2" x14ac:dyDescent="0.3">
      <c r="A35" s="92" t="s">
        <v>36</v>
      </c>
      <c r="B35" s="92" t="s">
        <v>62</v>
      </c>
      <c r="C35" s="79" t="s">
        <v>55</v>
      </c>
      <c r="D35" s="81">
        <f t="shared" si="0"/>
        <v>229.17703</v>
      </c>
      <c r="E35" s="82">
        <f t="shared" si="1"/>
        <v>15.605219999999999</v>
      </c>
      <c r="F35" s="83">
        <f t="shared" si="2"/>
        <v>213.57181</v>
      </c>
      <c r="G35" s="84"/>
      <c r="H35" s="85"/>
      <c r="I35" s="85"/>
      <c r="J35" s="84"/>
      <c r="K35" s="85"/>
      <c r="L35" s="85"/>
      <c r="M35" s="85"/>
      <c r="N35" s="85"/>
      <c r="O35" s="82"/>
      <c r="P35" s="83"/>
      <c r="Q35" s="83"/>
      <c r="R35" s="83"/>
      <c r="S35" s="82"/>
      <c r="T35" s="85"/>
      <c r="U35" s="85"/>
      <c r="V35" s="82"/>
      <c r="W35" s="83"/>
      <c r="X35" s="87"/>
      <c r="Y35" s="83">
        <v>6.24</v>
      </c>
      <c r="Z35" s="84"/>
      <c r="AA35" s="85"/>
      <c r="AB35" s="84"/>
      <c r="AC35" s="85"/>
      <c r="AD35" s="89">
        <f t="shared" si="3"/>
        <v>0</v>
      </c>
      <c r="AE35" s="89"/>
      <c r="AF35" s="186"/>
      <c r="AG35" s="85"/>
      <c r="AH35" s="85"/>
      <c r="AI35" s="85"/>
      <c r="AJ35" s="84"/>
      <c r="AK35" s="85"/>
      <c r="AL35" s="84"/>
      <c r="AM35" s="88"/>
      <c r="AN35" s="84"/>
      <c r="AO35" s="85"/>
      <c r="AP35" s="84"/>
      <c r="AQ35" s="83"/>
      <c r="AR35" s="83"/>
      <c r="AS35" s="83"/>
      <c r="AT35" s="85"/>
      <c r="AU35" s="85"/>
      <c r="AV35" s="85"/>
      <c r="AW35" s="88"/>
      <c r="AX35" s="84"/>
      <c r="AY35" s="85"/>
      <c r="AZ35" s="84">
        <v>15.605219999999999</v>
      </c>
      <c r="BA35" s="83">
        <v>14.13181</v>
      </c>
      <c r="BB35" s="88"/>
      <c r="BC35" s="85"/>
      <c r="BD35" s="84"/>
      <c r="BE35" s="88"/>
      <c r="BF35" s="85"/>
      <c r="BG35" s="85"/>
      <c r="BH35" s="85"/>
      <c r="BI35" s="85"/>
      <c r="BJ35" s="85"/>
      <c r="BK35" s="85"/>
      <c r="BL35" s="85"/>
      <c r="BM35" s="85"/>
      <c r="BN35" s="85"/>
      <c r="BO35" s="85"/>
      <c r="BP35" s="85"/>
      <c r="BQ35" s="85"/>
      <c r="BR35" s="84"/>
      <c r="BS35" s="85">
        <v>193.2</v>
      </c>
      <c r="BT35" s="85"/>
      <c r="BU35" s="55"/>
      <c r="BV35" s="90"/>
      <c r="BW35" s="55"/>
      <c r="BX35" s="90"/>
      <c r="BY35" s="55"/>
      <c r="BZ35" s="90"/>
      <c r="CA35" s="198"/>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c r="IY35" s="252"/>
      <c r="IZ35" s="252"/>
      <c r="JA35" s="252"/>
      <c r="JB35" s="252"/>
      <c r="JC35" s="252"/>
      <c r="JD35" s="252"/>
      <c r="JE35" s="252"/>
      <c r="JF35" s="252"/>
      <c r="JG35" s="252"/>
      <c r="JH35" s="252"/>
      <c r="JI35" s="252"/>
      <c r="JJ35" s="252"/>
      <c r="JK35" s="252"/>
      <c r="JL35" s="252"/>
      <c r="JM35" s="252"/>
      <c r="JN35" s="252"/>
      <c r="JO35" s="252"/>
      <c r="JP35" s="252"/>
      <c r="JQ35" s="252"/>
      <c r="JR35" s="252"/>
      <c r="JS35" s="252"/>
      <c r="JT35" s="252"/>
      <c r="JU35" s="252"/>
      <c r="JV35" s="252"/>
    </row>
    <row r="36" spans="1:282" s="52" customFormat="1" ht="50.1" customHeight="1" outlineLevel="2" x14ac:dyDescent="0.3">
      <c r="A36" s="92" t="s">
        <v>36</v>
      </c>
      <c r="B36" s="92" t="s">
        <v>63</v>
      </c>
      <c r="C36" s="79" t="s">
        <v>55</v>
      </c>
      <c r="D36" s="81">
        <f t="shared" si="0"/>
        <v>710.52520000000004</v>
      </c>
      <c r="E36" s="82">
        <f t="shared" si="1"/>
        <v>152.74115</v>
      </c>
      <c r="F36" s="83">
        <f t="shared" si="2"/>
        <v>557.78404999999998</v>
      </c>
      <c r="G36" s="82"/>
      <c r="H36" s="83"/>
      <c r="I36" s="83"/>
      <c r="J36" s="82">
        <v>43.696300000000001</v>
      </c>
      <c r="K36" s="83">
        <v>18.792249999999999</v>
      </c>
      <c r="L36" s="83">
        <v>346.64283</v>
      </c>
      <c r="M36" s="83"/>
      <c r="N36" s="83"/>
      <c r="O36" s="82"/>
      <c r="P36" s="83"/>
      <c r="Q36" s="83"/>
      <c r="R36" s="83"/>
      <c r="S36" s="82"/>
      <c r="T36" s="83"/>
      <c r="U36" s="83"/>
      <c r="V36" s="82"/>
      <c r="W36" s="83"/>
      <c r="X36" s="87"/>
      <c r="Y36" s="83">
        <v>93.6</v>
      </c>
      <c r="Z36" s="82"/>
      <c r="AA36" s="83"/>
      <c r="AB36" s="82"/>
      <c r="AC36" s="83"/>
      <c r="AD36" s="89">
        <f t="shared" si="3"/>
        <v>0</v>
      </c>
      <c r="AE36" s="89"/>
      <c r="AF36" s="187"/>
      <c r="AG36" s="83"/>
      <c r="AH36" s="83"/>
      <c r="AI36" s="83"/>
      <c r="AJ36" s="82"/>
      <c r="AK36" s="83"/>
      <c r="AL36" s="82"/>
      <c r="AM36" s="89"/>
      <c r="AN36" s="82"/>
      <c r="AO36" s="83"/>
      <c r="AP36" s="82"/>
      <c r="AQ36" s="83"/>
      <c r="AR36" s="83"/>
      <c r="AS36" s="83"/>
      <c r="AT36" s="83"/>
      <c r="AU36" s="83"/>
      <c r="AV36" s="83"/>
      <c r="AW36" s="89"/>
      <c r="AX36" s="82"/>
      <c r="AY36" s="83"/>
      <c r="AZ36" s="84">
        <v>109.04485</v>
      </c>
      <c r="BA36" s="85">
        <v>98.74897</v>
      </c>
      <c r="BB36" s="89"/>
      <c r="BC36" s="83"/>
      <c r="BD36" s="82"/>
      <c r="BE36" s="89"/>
      <c r="BF36" s="97"/>
      <c r="BG36" s="83"/>
      <c r="BH36" s="97"/>
      <c r="BI36" s="97"/>
      <c r="BJ36" s="97"/>
      <c r="BK36" s="83"/>
      <c r="BL36" s="83"/>
      <c r="BM36" s="83"/>
      <c r="BN36" s="83"/>
      <c r="BO36" s="97"/>
      <c r="BP36" s="97"/>
      <c r="BQ36" s="97"/>
      <c r="BR36" s="98"/>
      <c r="BS36" s="97"/>
      <c r="BT36" s="97"/>
      <c r="BU36" s="55"/>
      <c r="BV36" s="90"/>
      <c r="BW36" s="55"/>
      <c r="BX36" s="90"/>
      <c r="BY36" s="55"/>
      <c r="BZ36" s="90"/>
      <c r="CA36" s="198"/>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52"/>
      <c r="HK36" s="252"/>
      <c r="HL36" s="252"/>
      <c r="HM36" s="25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52"/>
      <c r="IX36" s="252"/>
      <c r="IY36" s="252"/>
      <c r="IZ36" s="252"/>
      <c r="JA36" s="252"/>
      <c r="JB36" s="252"/>
      <c r="JC36" s="252"/>
      <c r="JD36" s="252"/>
      <c r="JE36" s="252"/>
      <c r="JF36" s="252"/>
      <c r="JG36" s="252"/>
      <c r="JH36" s="252"/>
      <c r="JI36" s="252"/>
      <c r="JJ36" s="252"/>
      <c r="JK36" s="252"/>
      <c r="JL36" s="252"/>
      <c r="JM36" s="252"/>
      <c r="JN36" s="252"/>
      <c r="JO36" s="252"/>
      <c r="JP36" s="252"/>
      <c r="JQ36" s="252"/>
      <c r="JR36" s="252"/>
      <c r="JS36" s="252"/>
      <c r="JT36" s="252"/>
      <c r="JU36" s="252"/>
      <c r="JV36" s="252"/>
    </row>
    <row r="37" spans="1:282" s="52" customFormat="1" ht="50.1" customHeight="1" outlineLevel="2" x14ac:dyDescent="0.3">
      <c r="A37" s="92" t="s">
        <v>36</v>
      </c>
      <c r="B37" s="92" t="s">
        <v>64</v>
      </c>
      <c r="C37" s="79" t="s">
        <v>55</v>
      </c>
      <c r="D37" s="81">
        <f t="shared" si="0"/>
        <v>491.78724</v>
      </c>
      <c r="E37" s="82">
        <f t="shared" si="1"/>
        <v>266.93241</v>
      </c>
      <c r="F37" s="83">
        <f t="shared" si="2"/>
        <v>224.85482999999999</v>
      </c>
      <c r="G37" s="82"/>
      <c r="H37" s="83"/>
      <c r="I37" s="83"/>
      <c r="J37" s="82">
        <v>177.23307</v>
      </c>
      <c r="K37" s="83">
        <v>74.186549999999997</v>
      </c>
      <c r="L37" s="83"/>
      <c r="M37" s="83"/>
      <c r="N37" s="83"/>
      <c r="O37" s="82"/>
      <c r="P37" s="83"/>
      <c r="Q37" s="83"/>
      <c r="R37" s="83"/>
      <c r="S37" s="82"/>
      <c r="T37" s="83"/>
      <c r="U37" s="83"/>
      <c r="V37" s="82">
        <v>46.39</v>
      </c>
      <c r="W37" s="83">
        <v>81</v>
      </c>
      <c r="X37" s="82"/>
      <c r="Y37" s="83">
        <v>25.584</v>
      </c>
      <c r="Z37" s="82"/>
      <c r="AA37" s="83"/>
      <c r="AB37" s="82"/>
      <c r="AC37" s="83"/>
      <c r="AD37" s="89">
        <f t="shared" si="3"/>
        <v>4.8642200000000004</v>
      </c>
      <c r="AE37" s="89"/>
      <c r="AF37" s="188">
        <v>4.8642200000000004</v>
      </c>
      <c r="AG37" s="83"/>
      <c r="AH37" s="83"/>
      <c r="AI37" s="83"/>
      <c r="AJ37" s="82"/>
      <c r="AK37" s="83"/>
      <c r="AL37" s="82"/>
      <c r="AM37" s="89"/>
      <c r="AN37" s="82"/>
      <c r="AO37" s="83"/>
      <c r="AP37" s="82"/>
      <c r="AQ37" s="83"/>
      <c r="AR37" s="83"/>
      <c r="AS37" s="83"/>
      <c r="AT37" s="83"/>
      <c r="AU37" s="83"/>
      <c r="AV37" s="83"/>
      <c r="AW37" s="89"/>
      <c r="AX37" s="82"/>
      <c r="AY37" s="83"/>
      <c r="AZ37" s="82">
        <v>43.309339999999999</v>
      </c>
      <c r="BA37" s="83">
        <v>39.220059999999997</v>
      </c>
      <c r="BB37" s="89"/>
      <c r="BC37" s="83"/>
      <c r="BD37" s="82"/>
      <c r="BE37" s="89"/>
      <c r="BF37" s="97"/>
      <c r="BG37" s="83"/>
      <c r="BH37" s="97"/>
      <c r="BI37" s="97"/>
      <c r="BJ37" s="97"/>
      <c r="BK37" s="97"/>
      <c r="BL37" s="97"/>
      <c r="BM37" s="97"/>
      <c r="BN37" s="97"/>
      <c r="BO37" s="97"/>
      <c r="BP37" s="97"/>
      <c r="BQ37" s="97"/>
      <c r="BR37" s="98"/>
      <c r="BS37" s="97"/>
      <c r="BT37" s="97"/>
      <c r="BU37" s="55"/>
      <c r="BV37" s="90"/>
      <c r="BW37" s="55"/>
      <c r="BX37" s="90"/>
      <c r="BY37" s="55"/>
      <c r="BZ37" s="90"/>
      <c r="CA37" s="198"/>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252"/>
      <c r="DW37" s="252"/>
      <c r="DX37" s="252"/>
      <c r="DY37" s="252"/>
      <c r="DZ37" s="252"/>
      <c r="EA37" s="252"/>
      <c r="EB37" s="252"/>
      <c r="EC37" s="252"/>
      <c r="ED37" s="252"/>
      <c r="EE37" s="252"/>
      <c r="EF37" s="252"/>
      <c r="EG37" s="252"/>
      <c r="EH37" s="252"/>
      <c r="EI37" s="252"/>
      <c r="EJ37" s="252"/>
      <c r="EK37" s="252"/>
      <c r="EL37" s="252"/>
      <c r="EM37" s="252"/>
      <c r="EN37" s="252"/>
      <c r="EO37" s="252"/>
      <c r="EP37" s="252"/>
      <c r="EQ37" s="252"/>
      <c r="ER37" s="252"/>
      <c r="ES37" s="252"/>
      <c r="ET37" s="252"/>
      <c r="EU37" s="252"/>
      <c r="EV37" s="252"/>
      <c r="EW37" s="252"/>
      <c r="EX37" s="252"/>
      <c r="EY37" s="252"/>
      <c r="EZ37" s="252"/>
      <c r="FA37" s="252"/>
      <c r="FB37" s="252"/>
      <c r="FC37" s="252"/>
      <c r="FD37" s="252"/>
      <c r="FE37" s="252"/>
      <c r="FF37" s="252"/>
      <c r="FG37" s="252"/>
      <c r="FH37" s="252"/>
      <c r="FI37" s="252"/>
      <c r="FJ37" s="252"/>
      <c r="FK37" s="252"/>
      <c r="FL37" s="252"/>
      <c r="FM37" s="252"/>
      <c r="FN37" s="252"/>
      <c r="FO37" s="252"/>
      <c r="FP37" s="252"/>
      <c r="FQ37" s="252"/>
      <c r="FR37" s="252"/>
      <c r="FS37" s="252"/>
      <c r="FT37" s="252"/>
      <c r="FU37" s="252"/>
      <c r="FV37" s="252"/>
      <c r="FW37" s="252"/>
      <c r="FX37" s="252"/>
      <c r="FY37" s="252"/>
      <c r="FZ37" s="252"/>
      <c r="GA37" s="252"/>
      <c r="GB37" s="252"/>
      <c r="GC37" s="252"/>
      <c r="GD37" s="252"/>
      <c r="GE37" s="252"/>
      <c r="GF37" s="252"/>
      <c r="GG37" s="252"/>
      <c r="GH37" s="252"/>
      <c r="GI37" s="252"/>
      <c r="GJ37" s="252"/>
      <c r="GK37" s="252"/>
      <c r="GL37" s="252"/>
      <c r="GM37" s="252"/>
      <c r="GN37" s="252"/>
      <c r="GO37" s="252"/>
      <c r="GP37" s="252"/>
      <c r="GQ37" s="252"/>
      <c r="GR37" s="252"/>
      <c r="GS37" s="252"/>
      <c r="GT37" s="252"/>
      <c r="GU37" s="252"/>
      <c r="GV37" s="252"/>
      <c r="GW37" s="252"/>
      <c r="GX37" s="252"/>
      <c r="GY37" s="252"/>
      <c r="GZ37" s="252"/>
      <c r="HA37" s="252"/>
      <c r="HB37" s="252"/>
      <c r="HC37" s="252"/>
      <c r="HD37" s="252"/>
      <c r="HE37" s="252"/>
      <c r="HF37" s="252"/>
      <c r="HG37" s="252"/>
      <c r="HH37" s="252"/>
      <c r="HI37" s="252"/>
      <c r="HJ37" s="252"/>
      <c r="HK37" s="252"/>
      <c r="HL37" s="252"/>
      <c r="HM37" s="252"/>
      <c r="HN37" s="252"/>
      <c r="HO37" s="252"/>
      <c r="HP37" s="252"/>
      <c r="HQ37" s="252"/>
      <c r="HR37" s="252"/>
      <c r="HS37" s="252"/>
      <c r="HT37" s="252"/>
      <c r="HU37" s="252"/>
      <c r="HV37" s="252"/>
      <c r="HW37" s="252"/>
      <c r="HX37" s="252"/>
      <c r="HY37" s="252"/>
      <c r="HZ37" s="252"/>
      <c r="IA37" s="252"/>
      <c r="IB37" s="252"/>
      <c r="IC37" s="252"/>
      <c r="ID37" s="252"/>
      <c r="IE37" s="252"/>
      <c r="IF37" s="252"/>
      <c r="IG37" s="252"/>
      <c r="IH37" s="252"/>
      <c r="II37" s="252"/>
      <c r="IJ37" s="252"/>
      <c r="IK37" s="252"/>
      <c r="IL37" s="252"/>
      <c r="IM37" s="252"/>
      <c r="IN37" s="252"/>
      <c r="IO37" s="252"/>
      <c r="IP37" s="252"/>
      <c r="IQ37" s="252"/>
      <c r="IR37" s="252"/>
      <c r="IS37" s="252"/>
      <c r="IT37" s="252"/>
      <c r="IU37" s="252"/>
      <c r="IV37" s="252"/>
      <c r="IW37" s="252"/>
      <c r="IX37" s="252"/>
      <c r="IY37" s="252"/>
      <c r="IZ37" s="252"/>
      <c r="JA37" s="252"/>
      <c r="JB37" s="252"/>
      <c r="JC37" s="252"/>
      <c r="JD37" s="252"/>
      <c r="JE37" s="252"/>
      <c r="JF37" s="252"/>
      <c r="JG37" s="252"/>
      <c r="JH37" s="252"/>
      <c r="JI37" s="252"/>
      <c r="JJ37" s="252"/>
      <c r="JK37" s="252"/>
      <c r="JL37" s="252"/>
      <c r="JM37" s="252"/>
      <c r="JN37" s="252"/>
      <c r="JO37" s="252"/>
      <c r="JP37" s="252"/>
      <c r="JQ37" s="252"/>
      <c r="JR37" s="252"/>
      <c r="JS37" s="252"/>
      <c r="JT37" s="252"/>
      <c r="JU37" s="252"/>
      <c r="JV37" s="252"/>
    </row>
    <row r="38" spans="1:282" ht="50.1" customHeight="1" outlineLevel="2" x14ac:dyDescent="0.3">
      <c r="A38" s="92" t="s">
        <v>36</v>
      </c>
      <c r="B38" s="92" t="s">
        <v>65</v>
      </c>
      <c r="C38" s="79" t="s">
        <v>55</v>
      </c>
      <c r="D38" s="81">
        <f t="shared" si="0"/>
        <v>391.30065000000002</v>
      </c>
      <c r="E38" s="82">
        <f t="shared" si="1"/>
        <v>139.45088999999999</v>
      </c>
      <c r="F38" s="83">
        <f t="shared" si="2"/>
        <v>251.84976</v>
      </c>
      <c r="G38" s="84"/>
      <c r="H38" s="85"/>
      <c r="I38" s="85"/>
      <c r="J38" s="84"/>
      <c r="K38" s="85"/>
      <c r="L38" s="85"/>
      <c r="M38" s="85"/>
      <c r="N38" s="85"/>
      <c r="O38" s="82"/>
      <c r="P38" s="83"/>
      <c r="Q38" s="83"/>
      <c r="R38" s="83"/>
      <c r="S38" s="82"/>
      <c r="T38" s="85"/>
      <c r="U38" s="85"/>
      <c r="V38" s="82">
        <v>6.9584999999999999</v>
      </c>
      <c r="W38" s="83">
        <v>12.15</v>
      </c>
      <c r="X38" s="87"/>
      <c r="Y38" s="83">
        <v>78</v>
      </c>
      <c r="Z38" s="84"/>
      <c r="AA38" s="85"/>
      <c r="AB38" s="84"/>
      <c r="AC38" s="85"/>
      <c r="AD38" s="89">
        <f t="shared" si="3"/>
        <v>41.717330000000004</v>
      </c>
      <c r="AE38" s="89">
        <f>6.4473+12.8946</f>
        <v>19.341900000000003</v>
      </c>
      <c r="AF38" s="186">
        <v>22.375430000000001</v>
      </c>
      <c r="AG38" s="85"/>
      <c r="AH38" s="85"/>
      <c r="AI38" s="85"/>
      <c r="AJ38" s="84"/>
      <c r="AK38" s="85"/>
      <c r="AL38" s="84"/>
      <c r="AM38" s="88"/>
      <c r="AN38" s="84"/>
      <c r="AO38" s="85"/>
      <c r="AP38" s="84"/>
      <c r="AQ38" s="83"/>
      <c r="AR38" s="83"/>
      <c r="AS38" s="83"/>
      <c r="AT38" s="85"/>
      <c r="AU38" s="85"/>
      <c r="AV38" s="85"/>
      <c r="AW38" s="88"/>
      <c r="AX38" s="84"/>
      <c r="AY38" s="85"/>
      <c r="AZ38" s="84">
        <v>132.49239</v>
      </c>
      <c r="BA38" s="83">
        <v>119.98242999999999</v>
      </c>
      <c r="BB38" s="88"/>
      <c r="BC38" s="85"/>
      <c r="BD38" s="84"/>
      <c r="BE38" s="88"/>
      <c r="BF38" s="85"/>
      <c r="BG38" s="85"/>
      <c r="BH38" s="85"/>
      <c r="BI38" s="85"/>
      <c r="BJ38" s="85"/>
      <c r="BK38" s="85"/>
      <c r="BL38" s="85"/>
      <c r="BM38" s="85"/>
      <c r="BN38" s="85"/>
      <c r="BO38" s="85"/>
      <c r="BP38" s="85"/>
      <c r="BQ38" s="85"/>
      <c r="BR38" s="84"/>
      <c r="BS38" s="85"/>
      <c r="BT38" s="85"/>
      <c r="BU38" s="55"/>
      <c r="BV38" s="90"/>
      <c r="BW38" s="55"/>
      <c r="BX38" s="90"/>
      <c r="BY38" s="55"/>
      <c r="BZ38" s="90"/>
      <c r="CA38" s="91"/>
    </row>
    <row r="39" spans="1:282" ht="50.1" customHeight="1" outlineLevel="2" x14ac:dyDescent="0.3">
      <c r="A39" s="66" t="s">
        <v>36</v>
      </c>
      <c r="B39" s="66" t="s">
        <v>66</v>
      </c>
      <c r="C39" s="79" t="s">
        <v>55</v>
      </c>
      <c r="D39" s="81">
        <f t="shared" si="0"/>
        <v>155.97588000000002</v>
      </c>
      <c r="E39" s="82">
        <f t="shared" si="1"/>
        <v>10.95303</v>
      </c>
      <c r="F39" s="83">
        <f t="shared" si="2"/>
        <v>145.02285000000001</v>
      </c>
      <c r="G39" s="84"/>
      <c r="H39" s="85"/>
      <c r="I39" s="85"/>
      <c r="J39" s="84"/>
      <c r="K39" s="85"/>
      <c r="L39" s="85"/>
      <c r="M39" s="85"/>
      <c r="N39" s="85"/>
      <c r="O39" s="82"/>
      <c r="P39" s="83"/>
      <c r="Q39" s="83"/>
      <c r="R39" s="83"/>
      <c r="S39" s="82"/>
      <c r="T39" s="85"/>
      <c r="U39" s="85"/>
      <c r="V39" s="82"/>
      <c r="W39" s="83"/>
      <c r="X39" s="87"/>
      <c r="Y39" s="83">
        <v>13.103999999999999</v>
      </c>
      <c r="Z39" s="84"/>
      <c r="AA39" s="85"/>
      <c r="AB39" s="84"/>
      <c r="AC39" s="85"/>
      <c r="AD39" s="89">
        <f t="shared" si="3"/>
        <v>0</v>
      </c>
      <c r="AE39" s="89"/>
      <c r="AF39" s="189"/>
      <c r="AG39" s="85"/>
      <c r="AH39" s="85"/>
      <c r="AI39" s="85"/>
      <c r="AJ39" s="84"/>
      <c r="AK39" s="85"/>
      <c r="AL39" s="84"/>
      <c r="AM39" s="88"/>
      <c r="AN39" s="84"/>
      <c r="AO39" s="85"/>
      <c r="AP39" s="84"/>
      <c r="AQ39" s="83"/>
      <c r="AR39" s="83"/>
      <c r="AS39" s="83"/>
      <c r="AT39" s="85"/>
      <c r="AU39" s="85"/>
      <c r="AV39" s="85"/>
      <c r="AW39" s="88"/>
      <c r="AX39" s="84"/>
      <c r="AY39" s="85"/>
      <c r="AZ39" s="84">
        <v>10.95303</v>
      </c>
      <c r="BA39" s="83">
        <v>9.9188500000000008</v>
      </c>
      <c r="BB39" s="88"/>
      <c r="BC39" s="85"/>
      <c r="BD39" s="84"/>
      <c r="BE39" s="88"/>
      <c r="BF39" s="85"/>
      <c r="BG39" s="85">
        <v>122</v>
      </c>
      <c r="BH39" s="85"/>
      <c r="BI39" s="85"/>
      <c r="BJ39" s="85"/>
      <c r="BK39" s="85"/>
      <c r="BL39" s="85"/>
      <c r="BM39" s="85"/>
      <c r="BN39" s="85"/>
      <c r="BO39" s="85"/>
      <c r="BP39" s="85"/>
      <c r="BQ39" s="85"/>
      <c r="BR39" s="84"/>
      <c r="BS39" s="85"/>
      <c r="BT39" s="85"/>
      <c r="BU39" s="55"/>
      <c r="BV39" s="90"/>
      <c r="BW39" s="55"/>
      <c r="BX39" s="90"/>
      <c r="BY39" s="55"/>
      <c r="BZ39" s="90"/>
      <c r="CA39" s="91"/>
    </row>
    <row r="40" spans="1:282" ht="50.1" customHeight="1" outlineLevel="2" x14ac:dyDescent="0.3">
      <c r="A40" s="66" t="s">
        <v>36</v>
      </c>
      <c r="B40" s="66" t="s">
        <v>67</v>
      </c>
      <c r="C40" s="79" t="s">
        <v>55</v>
      </c>
      <c r="D40" s="81">
        <f t="shared" si="0"/>
        <v>12435.807870000001</v>
      </c>
      <c r="E40" s="82">
        <f t="shared" si="1"/>
        <v>2581.51001</v>
      </c>
      <c r="F40" s="83">
        <f t="shared" si="2"/>
        <v>9854.2978600000006</v>
      </c>
      <c r="G40" s="84"/>
      <c r="H40" s="85"/>
      <c r="I40" s="85"/>
      <c r="J40" s="84"/>
      <c r="K40" s="85"/>
      <c r="L40" s="85"/>
      <c r="M40" s="85"/>
      <c r="N40" s="85"/>
      <c r="O40" s="82"/>
      <c r="P40" s="83"/>
      <c r="Q40" s="83"/>
      <c r="R40" s="83"/>
      <c r="S40" s="82"/>
      <c r="T40" s="85"/>
      <c r="U40" s="85"/>
      <c r="V40" s="82">
        <v>46.39</v>
      </c>
      <c r="W40" s="83">
        <v>294</v>
      </c>
      <c r="X40" s="87"/>
      <c r="Y40" s="83">
        <v>726.024</v>
      </c>
      <c r="Z40" s="84"/>
      <c r="AA40" s="85"/>
      <c r="AB40" s="84"/>
      <c r="AC40" s="85"/>
      <c r="AD40" s="89">
        <f t="shared" si="3"/>
        <v>479.01186000000001</v>
      </c>
      <c r="AE40" s="89"/>
      <c r="AF40" s="189">
        <f>472.46787+6.54399</f>
        <v>479.01186000000001</v>
      </c>
      <c r="AG40" s="85"/>
      <c r="AH40" s="85"/>
      <c r="AI40" s="85"/>
      <c r="AJ40" s="84"/>
      <c r="AK40" s="85"/>
      <c r="AL40" s="84"/>
      <c r="AM40" s="88"/>
      <c r="AN40" s="84"/>
      <c r="AO40" s="85"/>
      <c r="AP40" s="84">
        <v>2368.0989199999999</v>
      </c>
      <c r="AQ40" s="83">
        <v>6000.17875</v>
      </c>
      <c r="AR40" s="83"/>
      <c r="AS40" s="83"/>
      <c r="AT40" s="85"/>
      <c r="AU40" s="85"/>
      <c r="AV40" s="85">
        <v>229.22018</v>
      </c>
      <c r="AW40" s="88"/>
      <c r="AX40" s="84"/>
      <c r="AY40" s="85"/>
      <c r="AZ40" s="84">
        <v>167.02108999999999</v>
      </c>
      <c r="BA40" s="83">
        <v>151.25073</v>
      </c>
      <c r="BB40" s="88">
        <v>156.62372999999999</v>
      </c>
      <c r="BC40" s="85"/>
      <c r="BD40" s="84"/>
      <c r="BE40" s="88"/>
      <c r="BF40" s="85"/>
      <c r="BG40" s="85">
        <v>83.188609999999997</v>
      </c>
      <c r="BH40" s="85"/>
      <c r="BI40" s="85"/>
      <c r="BJ40" s="85"/>
      <c r="BK40" s="85"/>
      <c r="BL40" s="85"/>
      <c r="BM40" s="85"/>
      <c r="BN40" s="85"/>
      <c r="BO40" s="85"/>
      <c r="BP40" s="85"/>
      <c r="BQ40" s="85"/>
      <c r="BR40" s="84"/>
      <c r="BS40" s="85">
        <v>1734.8</v>
      </c>
      <c r="BT40" s="85"/>
      <c r="BU40" s="55"/>
      <c r="BV40" s="90"/>
      <c r="BW40" s="55"/>
      <c r="BX40" s="90"/>
      <c r="BY40" s="55"/>
      <c r="BZ40" s="90"/>
      <c r="CA40" s="91"/>
    </row>
    <row r="41" spans="1:282" ht="50.1" customHeight="1" outlineLevel="2" x14ac:dyDescent="0.3">
      <c r="A41" s="66" t="s">
        <v>36</v>
      </c>
      <c r="B41" s="66" t="s">
        <v>68</v>
      </c>
      <c r="C41" s="79" t="s">
        <v>55</v>
      </c>
      <c r="D41" s="81">
        <f t="shared" si="0"/>
        <v>155.45875000000001</v>
      </c>
      <c r="E41" s="82">
        <f t="shared" si="1"/>
        <v>57.021299999999997</v>
      </c>
      <c r="F41" s="83">
        <f t="shared" si="2"/>
        <v>98.437449999999998</v>
      </c>
      <c r="G41" s="84"/>
      <c r="H41" s="85"/>
      <c r="I41" s="85"/>
      <c r="J41" s="84"/>
      <c r="K41" s="85"/>
      <c r="L41" s="85"/>
      <c r="M41" s="85"/>
      <c r="N41" s="85"/>
      <c r="O41" s="82"/>
      <c r="P41" s="83"/>
      <c r="Q41" s="83"/>
      <c r="R41" s="83"/>
      <c r="S41" s="82"/>
      <c r="T41" s="85"/>
      <c r="U41" s="85"/>
      <c r="V41" s="82"/>
      <c r="W41" s="83"/>
      <c r="X41" s="87"/>
      <c r="Y41" s="83">
        <v>46.8</v>
      </c>
      <c r="Z41" s="84"/>
      <c r="AA41" s="85"/>
      <c r="AB41" s="84"/>
      <c r="AC41" s="85"/>
      <c r="AD41" s="89">
        <f t="shared" si="3"/>
        <v>0</v>
      </c>
      <c r="AE41" s="89"/>
      <c r="AF41" s="189"/>
      <c r="AG41" s="85"/>
      <c r="AH41" s="85"/>
      <c r="AI41" s="85"/>
      <c r="AJ41" s="84"/>
      <c r="AK41" s="85"/>
      <c r="AL41" s="84"/>
      <c r="AM41" s="88"/>
      <c r="AN41" s="84"/>
      <c r="AO41" s="85"/>
      <c r="AP41" s="84"/>
      <c r="AQ41" s="83"/>
      <c r="AR41" s="83"/>
      <c r="AS41" s="83"/>
      <c r="AT41" s="85"/>
      <c r="AU41" s="85"/>
      <c r="AV41" s="85"/>
      <c r="AW41" s="88"/>
      <c r="AX41" s="84"/>
      <c r="AY41" s="85"/>
      <c r="AZ41" s="84">
        <v>57.021299999999997</v>
      </c>
      <c r="BA41" s="17">
        <v>51.637450000000001</v>
      </c>
      <c r="BB41" s="88"/>
      <c r="BC41" s="85"/>
      <c r="BD41" s="84"/>
      <c r="BE41" s="88"/>
      <c r="BF41" s="85"/>
      <c r="BG41" s="85"/>
      <c r="BH41" s="85"/>
      <c r="BI41" s="85"/>
      <c r="BJ41" s="85"/>
      <c r="BK41" s="85"/>
      <c r="BL41" s="85"/>
      <c r="BM41" s="85"/>
      <c r="BN41" s="85"/>
      <c r="BO41" s="85"/>
      <c r="BP41" s="85"/>
      <c r="BQ41" s="85"/>
      <c r="BR41" s="84"/>
      <c r="BS41" s="85"/>
      <c r="BT41" s="85"/>
      <c r="BU41" s="55"/>
      <c r="BV41" s="90"/>
      <c r="BW41" s="55"/>
      <c r="BX41" s="90"/>
      <c r="BY41" s="55"/>
      <c r="BZ41" s="90"/>
      <c r="CA41" s="91"/>
    </row>
    <row r="42" spans="1:282" ht="50.1" customHeight="1" outlineLevel="2" x14ac:dyDescent="0.3">
      <c r="A42" s="66" t="s">
        <v>36</v>
      </c>
      <c r="B42" s="66" t="s">
        <v>69</v>
      </c>
      <c r="C42" s="79" t="s">
        <v>55</v>
      </c>
      <c r="D42" s="81">
        <f t="shared" si="0"/>
        <v>977.99848000000009</v>
      </c>
      <c r="E42" s="82">
        <f t="shared" si="1"/>
        <v>110.21527</v>
      </c>
      <c r="F42" s="83">
        <f t="shared" si="2"/>
        <v>867.78321000000005</v>
      </c>
      <c r="G42" s="84"/>
      <c r="H42" s="85"/>
      <c r="I42" s="85"/>
      <c r="J42" s="84"/>
      <c r="K42" s="85"/>
      <c r="L42" s="85"/>
      <c r="M42" s="85"/>
      <c r="N42" s="85"/>
      <c r="O42" s="82"/>
      <c r="P42" s="83"/>
      <c r="Q42" s="83"/>
      <c r="R42" s="83"/>
      <c r="S42" s="82"/>
      <c r="T42" s="85"/>
      <c r="U42" s="85"/>
      <c r="V42" s="82"/>
      <c r="W42" s="83"/>
      <c r="X42" s="87"/>
      <c r="Y42" s="83">
        <v>53.975999999999999</v>
      </c>
      <c r="Z42" s="84"/>
      <c r="AA42" s="85"/>
      <c r="AB42" s="84"/>
      <c r="AC42" s="85"/>
      <c r="AD42" s="89">
        <f t="shared" si="3"/>
        <v>13.61983</v>
      </c>
      <c r="AE42" s="89"/>
      <c r="AF42" s="186">
        <v>13.61983</v>
      </c>
      <c r="AG42" s="85"/>
      <c r="AH42" s="85"/>
      <c r="AI42" s="85"/>
      <c r="AJ42" s="84"/>
      <c r="AK42" s="85"/>
      <c r="AL42" s="84"/>
      <c r="AM42" s="88"/>
      <c r="AN42" s="84"/>
      <c r="AO42" s="85"/>
      <c r="AP42" s="84"/>
      <c r="AQ42" s="83"/>
      <c r="AR42" s="83"/>
      <c r="AS42" s="83"/>
      <c r="AT42" s="85"/>
      <c r="AU42" s="85"/>
      <c r="AV42" s="85">
        <v>700.37867000000006</v>
      </c>
      <c r="AW42" s="88"/>
      <c r="AX42" s="84"/>
      <c r="AY42" s="85"/>
      <c r="AZ42" s="84">
        <v>110.21527</v>
      </c>
      <c r="BA42" s="83">
        <v>99.808710000000005</v>
      </c>
      <c r="BB42" s="88"/>
      <c r="BC42" s="85"/>
      <c r="BD42" s="84"/>
      <c r="BE42" s="88"/>
      <c r="BF42" s="85"/>
      <c r="BG42" s="85"/>
      <c r="BH42" s="85"/>
      <c r="BI42" s="85"/>
      <c r="BJ42" s="85"/>
      <c r="BK42" s="85"/>
      <c r="BL42" s="85"/>
      <c r="BM42" s="85"/>
      <c r="BN42" s="85"/>
      <c r="BO42" s="85"/>
      <c r="BP42" s="85"/>
      <c r="BQ42" s="85"/>
      <c r="BR42" s="84"/>
      <c r="BS42" s="85"/>
      <c r="BT42" s="85"/>
      <c r="BU42" s="55"/>
      <c r="BV42" s="90"/>
      <c r="BW42" s="55"/>
      <c r="BX42" s="90"/>
      <c r="BY42" s="55"/>
      <c r="BZ42" s="90"/>
      <c r="CA42" s="91"/>
    </row>
    <row r="43" spans="1:282" ht="50.1" customHeight="1" outlineLevel="2" x14ac:dyDescent="0.3">
      <c r="A43" s="66" t="s">
        <v>36</v>
      </c>
      <c r="B43" s="96" t="s">
        <v>70</v>
      </c>
      <c r="C43" s="79" t="s">
        <v>55</v>
      </c>
      <c r="D43" s="81">
        <f t="shared" si="0"/>
        <v>561.69810000000007</v>
      </c>
      <c r="E43" s="82">
        <f t="shared" si="1"/>
        <v>59.376420000000003</v>
      </c>
      <c r="F43" s="83">
        <f t="shared" si="2"/>
        <v>502.32168000000001</v>
      </c>
      <c r="G43" s="84"/>
      <c r="H43" s="85"/>
      <c r="I43" s="85"/>
      <c r="J43" s="84"/>
      <c r="K43" s="85"/>
      <c r="L43" s="85"/>
      <c r="M43" s="85"/>
      <c r="N43" s="85"/>
      <c r="O43" s="82"/>
      <c r="P43" s="83"/>
      <c r="Q43" s="83"/>
      <c r="R43" s="83"/>
      <c r="S43" s="82"/>
      <c r="T43" s="85"/>
      <c r="U43" s="85"/>
      <c r="V43" s="82"/>
      <c r="W43" s="83"/>
      <c r="X43" s="87"/>
      <c r="Y43" s="83">
        <v>43.055999999999997</v>
      </c>
      <c r="Z43" s="84"/>
      <c r="AA43" s="85"/>
      <c r="AB43" s="84"/>
      <c r="AC43" s="85"/>
      <c r="AD43" s="89">
        <f t="shared" si="3"/>
        <v>0</v>
      </c>
      <c r="AE43" s="89"/>
      <c r="AF43" s="186"/>
      <c r="AG43" s="85"/>
      <c r="AH43" s="85"/>
      <c r="AI43" s="85"/>
      <c r="AJ43" s="84"/>
      <c r="AK43" s="85"/>
      <c r="AL43" s="84"/>
      <c r="AM43" s="88"/>
      <c r="AN43" s="84"/>
      <c r="AO43" s="85"/>
      <c r="AP43" s="84"/>
      <c r="AQ43" s="83"/>
      <c r="AR43" s="83"/>
      <c r="AS43" s="83"/>
      <c r="AT43" s="85"/>
      <c r="AU43" s="85"/>
      <c r="AV43" s="85">
        <f>80.962</f>
        <v>80.962000000000003</v>
      </c>
      <c r="AW43" s="88"/>
      <c r="AX43" s="84"/>
      <c r="AY43" s="85"/>
      <c r="AZ43" s="84">
        <v>59.376420000000003</v>
      </c>
      <c r="BA43" s="83">
        <v>53.770209999999999</v>
      </c>
      <c r="BB43" s="88"/>
      <c r="BC43" s="85"/>
      <c r="BD43" s="84"/>
      <c r="BE43" s="88"/>
      <c r="BF43" s="85"/>
      <c r="BG43" s="85"/>
      <c r="BH43" s="85"/>
      <c r="BI43" s="85"/>
      <c r="BJ43" s="85"/>
      <c r="BK43" s="85">
        <v>324.53347000000002</v>
      </c>
      <c r="BL43" s="85"/>
      <c r="BM43" s="85"/>
      <c r="BN43" s="85"/>
      <c r="BO43" s="85"/>
      <c r="BP43" s="85"/>
      <c r="BQ43" s="85"/>
      <c r="BR43" s="84"/>
      <c r="BS43" s="85"/>
      <c r="BT43" s="85"/>
      <c r="BU43" s="55"/>
      <c r="BV43" s="90"/>
      <c r="BW43" s="55"/>
      <c r="BX43" s="90"/>
      <c r="BY43" s="55"/>
      <c r="BZ43" s="90"/>
      <c r="CA43" s="91"/>
    </row>
    <row r="44" spans="1:282" ht="50.1" customHeight="1" outlineLevel="2" x14ac:dyDescent="0.3">
      <c r="A44" s="66" t="s">
        <v>36</v>
      </c>
      <c r="B44" s="96" t="s">
        <v>57</v>
      </c>
      <c r="C44" s="79" t="s">
        <v>55</v>
      </c>
      <c r="D44" s="81">
        <f t="shared" si="0"/>
        <v>464.68055000000004</v>
      </c>
      <c r="E44" s="82">
        <f t="shared" si="1"/>
        <v>63.382440000000003</v>
      </c>
      <c r="F44" s="83">
        <f t="shared" si="2"/>
        <v>401.29811000000001</v>
      </c>
      <c r="G44" s="84"/>
      <c r="H44" s="85"/>
      <c r="I44" s="85"/>
      <c r="J44" s="84"/>
      <c r="K44" s="85"/>
      <c r="L44" s="85"/>
      <c r="M44" s="85"/>
      <c r="N44" s="85"/>
      <c r="O44" s="82">
        <v>63.382440000000003</v>
      </c>
      <c r="P44" s="83">
        <v>4.0981100000000001</v>
      </c>
      <c r="Q44" s="83"/>
      <c r="R44" s="83"/>
      <c r="S44" s="82"/>
      <c r="T44" s="85"/>
      <c r="U44" s="85"/>
      <c r="V44" s="82"/>
      <c r="W44" s="83"/>
      <c r="X44" s="87"/>
      <c r="Y44" s="83"/>
      <c r="Z44" s="84"/>
      <c r="AA44" s="85"/>
      <c r="AB44" s="84"/>
      <c r="AC44" s="85"/>
      <c r="AD44" s="89">
        <f t="shared" si="3"/>
        <v>0</v>
      </c>
      <c r="AE44" s="89"/>
      <c r="AF44" s="186"/>
      <c r="AG44" s="85"/>
      <c r="AH44" s="85"/>
      <c r="AI44" s="85"/>
      <c r="AJ44" s="84"/>
      <c r="AK44" s="85"/>
      <c r="AL44" s="84"/>
      <c r="AM44" s="88"/>
      <c r="AN44" s="84"/>
      <c r="AO44" s="85"/>
      <c r="AP44" s="84"/>
      <c r="AQ44" s="83"/>
      <c r="AR44" s="83"/>
      <c r="AS44" s="83"/>
      <c r="AT44" s="85"/>
      <c r="AU44" s="85"/>
      <c r="AV44" s="85"/>
      <c r="AW44" s="88"/>
      <c r="AX44" s="84"/>
      <c r="AY44" s="85"/>
      <c r="AZ44" s="84"/>
      <c r="BA44" s="83"/>
      <c r="BB44" s="88"/>
      <c r="BC44" s="85"/>
      <c r="BD44" s="84"/>
      <c r="BE44" s="88"/>
      <c r="BF44" s="85"/>
      <c r="BG44" s="85"/>
      <c r="BH44" s="85"/>
      <c r="BI44" s="85"/>
      <c r="BJ44" s="85"/>
      <c r="BK44" s="85"/>
      <c r="BL44" s="85"/>
      <c r="BM44" s="85"/>
      <c r="BN44" s="85"/>
      <c r="BO44" s="85"/>
      <c r="BP44" s="85"/>
      <c r="BQ44" s="85"/>
      <c r="BR44" s="84"/>
      <c r="BS44" s="85">
        <v>397.2</v>
      </c>
      <c r="BT44" s="85"/>
      <c r="BU44" s="55"/>
      <c r="BV44" s="90"/>
      <c r="BW44" s="55"/>
      <c r="BX44" s="90"/>
      <c r="BY44" s="55"/>
      <c r="BZ44" s="90"/>
      <c r="CA44" s="91"/>
    </row>
    <row r="45" spans="1:282" ht="50.1" customHeight="1" outlineLevel="2" x14ac:dyDescent="0.3">
      <c r="A45" s="66" t="s">
        <v>36</v>
      </c>
      <c r="B45" s="96" t="s">
        <v>71</v>
      </c>
      <c r="C45" s="79" t="s">
        <v>55</v>
      </c>
      <c r="D45" s="81">
        <f t="shared" si="0"/>
        <v>477.69443000000001</v>
      </c>
      <c r="E45" s="82">
        <f t="shared" si="1"/>
        <v>24.751650000000001</v>
      </c>
      <c r="F45" s="83">
        <f t="shared" si="2"/>
        <v>452.94278000000003</v>
      </c>
      <c r="G45" s="84"/>
      <c r="H45" s="85"/>
      <c r="I45" s="85"/>
      <c r="J45" s="84"/>
      <c r="K45" s="85"/>
      <c r="L45" s="85"/>
      <c r="M45" s="85"/>
      <c r="N45" s="85"/>
      <c r="O45" s="82"/>
      <c r="P45" s="83"/>
      <c r="Q45" s="83"/>
      <c r="R45" s="83"/>
      <c r="S45" s="82"/>
      <c r="T45" s="85"/>
      <c r="U45" s="85"/>
      <c r="V45" s="82"/>
      <c r="W45" s="83"/>
      <c r="X45" s="87"/>
      <c r="Y45" s="83">
        <v>14.976000000000001</v>
      </c>
      <c r="Z45" s="84"/>
      <c r="AA45" s="85"/>
      <c r="AB45" s="84"/>
      <c r="AC45" s="85"/>
      <c r="AD45" s="89">
        <f t="shared" si="3"/>
        <v>0</v>
      </c>
      <c r="AE45" s="89"/>
      <c r="AF45" s="186"/>
      <c r="AG45" s="85"/>
      <c r="AH45" s="85"/>
      <c r="AI45" s="85"/>
      <c r="AJ45" s="84"/>
      <c r="AK45" s="85"/>
      <c r="AL45" s="84"/>
      <c r="AM45" s="88"/>
      <c r="AN45" s="84"/>
      <c r="AO45" s="85"/>
      <c r="AP45" s="84"/>
      <c r="AQ45" s="83"/>
      <c r="AR45" s="83"/>
      <c r="AS45" s="83"/>
      <c r="AT45" s="85"/>
      <c r="AU45" s="85"/>
      <c r="AV45" s="85"/>
      <c r="AW45" s="88"/>
      <c r="AX45" s="84"/>
      <c r="AY45" s="85"/>
      <c r="AZ45" s="84">
        <v>24.751650000000001</v>
      </c>
      <c r="BA45" s="83">
        <v>22.414639999999999</v>
      </c>
      <c r="BB45" s="88"/>
      <c r="BC45" s="85"/>
      <c r="BD45" s="84"/>
      <c r="BE45" s="88"/>
      <c r="BF45" s="85"/>
      <c r="BG45" s="85"/>
      <c r="BH45" s="85"/>
      <c r="BI45" s="85"/>
      <c r="BJ45" s="85"/>
      <c r="BK45" s="85">
        <v>415.55214000000001</v>
      </c>
      <c r="BL45" s="85"/>
      <c r="BM45" s="85"/>
      <c r="BN45" s="85"/>
      <c r="BO45" s="85"/>
      <c r="BP45" s="85"/>
      <c r="BQ45" s="85"/>
      <c r="BR45" s="84"/>
      <c r="BS45" s="85"/>
      <c r="BT45" s="85"/>
      <c r="BU45" s="55"/>
      <c r="BV45" s="90"/>
      <c r="BW45" s="55"/>
      <c r="BX45" s="90"/>
      <c r="BY45" s="55"/>
      <c r="BZ45" s="90"/>
      <c r="CA45" s="91"/>
    </row>
    <row r="46" spans="1:282" ht="50.1" customHeight="1" outlineLevel="2" x14ac:dyDescent="0.3">
      <c r="A46" s="66" t="s">
        <v>36</v>
      </c>
      <c r="B46" s="66" t="s">
        <v>72</v>
      </c>
      <c r="C46" s="79" t="s">
        <v>55</v>
      </c>
      <c r="D46" s="81">
        <f t="shared" si="0"/>
        <v>66.56</v>
      </c>
      <c r="E46" s="82">
        <f t="shared" si="1"/>
        <v>0</v>
      </c>
      <c r="F46" s="83">
        <f t="shared" si="2"/>
        <v>66.56</v>
      </c>
      <c r="G46" s="84"/>
      <c r="H46" s="85"/>
      <c r="I46" s="85"/>
      <c r="J46" s="84"/>
      <c r="K46" s="85"/>
      <c r="L46" s="85"/>
      <c r="M46" s="85"/>
      <c r="N46" s="85"/>
      <c r="O46" s="82"/>
      <c r="P46" s="83"/>
      <c r="Q46" s="83"/>
      <c r="R46" s="83"/>
      <c r="S46" s="82"/>
      <c r="T46" s="85"/>
      <c r="U46" s="85"/>
      <c r="V46" s="82"/>
      <c r="W46" s="83"/>
      <c r="X46" s="87"/>
      <c r="Y46" s="83"/>
      <c r="Z46" s="84"/>
      <c r="AA46" s="85"/>
      <c r="AB46" s="84"/>
      <c r="AC46" s="85"/>
      <c r="AD46" s="89">
        <f t="shared" si="3"/>
        <v>0</v>
      </c>
      <c r="AE46" s="89"/>
      <c r="AF46" s="186"/>
      <c r="AG46" s="85"/>
      <c r="AH46" s="85"/>
      <c r="AI46" s="85"/>
      <c r="AJ46" s="84"/>
      <c r="AK46" s="85"/>
      <c r="AL46" s="84"/>
      <c r="AM46" s="88"/>
      <c r="AN46" s="84"/>
      <c r="AO46" s="85">
        <v>66.56</v>
      </c>
      <c r="AP46" s="84"/>
      <c r="AQ46" s="83"/>
      <c r="AR46" s="83"/>
      <c r="AS46" s="83"/>
      <c r="AT46" s="85"/>
      <c r="AU46" s="85"/>
      <c r="AV46" s="85"/>
      <c r="AW46" s="88"/>
      <c r="AX46" s="84"/>
      <c r="AY46" s="85"/>
      <c r="AZ46" s="84"/>
      <c r="BA46" s="83"/>
      <c r="BB46" s="88"/>
      <c r="BC46" s="85"/>
      <c r="BD46" s="84"/>
      <c r="BE46" s="88"/>
      <c r="BF46" s="85"/>
      <c r="BG46" s="85"/>
      <c r="BH46" s="85"/>
      <c r="BI46" s="85"/>
      <c r="BJ46" s="85"/>
      <c r="BK46" s="85"/>
      <c r="BL46" s="85"/>
      <c r="BM46" s="85"/>
      <c r="BN46" s="85"/>
      <c r="BO46" s="85"/>
      <c r="BP46" s="85"/>
      <c r="BQ46" s="85"/>
      <c r="BR46" s="84"/>
      <c r="BS46" s="85"/>
      <c r="BT46" s="85"/>
      <c r="BU46" s="55"/>
      <c r="BV46" s="90"/>
      <c r="BW46" s="55"/>
      <c r="BX46" s="90"/>
      <c r="BY46" s="55"/>
      <c r="BZ46" s="90"/>
      <c r="CA46" s="91"/>
    </row>
    <row r="47" spans="1:282" ht="50.1" customHeight="1" outlineLevel="2" x14ac:dyDescent="0.3">
      <c r="A47" s="66" t="s">
        <v>36</v>
      </c>
      <c r="B47" s="66" t="s">
        <v>73</v>
      </c>
      <c r="C47" s="79" t="s">
        <v>55</v>
      </c>
      <c r="D47" s="81">
        <f t="shared" si="0"/>
        <v>2197.0540800000003</v>
      </c>
      <c r="E47" s="82">
        <f t="shared" si="1"/>
        <v>176.36960999999999</v>
      </c>
      <c r="F47" s="83">
        <f t="shared" si="2"/>
        <v>2020.6844700000001</v>
      </c>
      <c r="G47" s="84"/>
      <c r="H47" s="85"/>
      <c r="I47" s="85"/>
      <c r="J47" s="84"/>
      <c r="K47" s="85"/>
      <c r="L47" s="85"/>
      <c r="M47" s="85"/>
      <c r="N47" s="85"/>
      <c r="O47" s="82"/>
      <c r="P47" s="83"/>
      <c r="Q47" s="83"/>
      <c r="R47" s="83"/>
      <c r="S47" s="82"/>
      <c r="T47" s="85"/>
      <c r="U47" s="85"/>
      <c r="V47" s="82"/>
      <c r="W47" s="83"/>
      <c r="X47" s="87"/>
      <c r="Y47" s="83">
        <v>126.36</v>
      </c>
      <c r="Z47" s="84"/>
      <c r="AA47" s="85"/>
      <c r="AB47" s="84"/>
      <c r="AC47" s="85"/>
      <c r="AD47" s="89">
        <f t="shared" si="3"/>
        <v>39.670960000000001</v>
      </c>
      <c r="AE47" s="89">
        <v>21.186900000000001</v>
      </c>
      <c r="AF47" s="188">
        <v>18.484059999999999</v>
      </c>
      <c r="AG47" s="85"/>
      <c r="AH47" s="85"/>
      <c r="AI47" s="85"/>
      <c r="AJ47" s="84"/>
      <c r="AK47" s="85"/>
      <c r="AL47" s="84"/>
      <c r="AM47" s="88"/>
      <c r="AN47" s="84"/>
      <c r="AO47" s="85"/>
      <c r="AP47" s="84"/>
      <c r="AQ47" s="83"/>
      <c r="AR47" s="83"/>
      <c r="AS47" s="83"/>
      <c r="AT47" s="85"/>
      <c r="AU47" s="85"/>
      <c r="AV47" s="85">
        <f>99.93655</f>
        <v>99.936549999999997</v>
      </c>
      <c r="AW47" s="88"/>
      <c r="AX47" s="84"/>
      <c r="AY47" s="85"/>
      <c r="AZ47" s="84">
        <v>176.36960999999999</v>
      </c>
      <c r="BA47" s="83">
        <v>159.71696</v>
      </c>
      <c r="BB47" s="88"/>
      <c r="BC47" s="85"/>
      <c r="BD47" s="84"/>
      <c r="BE47" s="88"/>
      <c r="BF47" s="85"/>
      <c r="BG47" s="85"/>
      <c r="BH47" s="85"/>
      <c r="BI47" s="85"/>
      <c r="BJ47" s="85"/>
      <c r="BK47" s="85"/>
      <c r="BL47" s="85"/>
      <c r="BM47" s="85"/>
      <c r="BN47" s="85"/>
      <c r="BO47" s="85"/>
      <c r="BP47" s="85"/>
      <c r="BQ47" s="85"/>
      <c r="BR47" s="84"/>
      <c r="BS47" s="85">
        <v>1595</v>
      </c>
      <c r="BT47" s="85"/>
      <c r="BU47" s="55"/>
      <c r="BV47" s="90"/>
      <c r="BW47" s="55"/>
      <c r="BX47" s="90"/>
      <c r="BY47" s="55"/>
      <c r="BZ47" s="90"/>
      <c r="CA47" s="91"/>
    </row>
    <row r="48" spans="1:282" ht="50.1" customHeight="1" outlineLevel="2" x14ac:dyDescent="0.3">
      <c r="A48" s="66" t="s">
        <v>36</v>
      </c>
      <c r="B48" s="66" t="s">
        <v>74</v>
      </c>
      <c r="C48" s="79" t="s">
        <v>55</v>
      </c>
      <c r="D48" s="81">
        <f t="shared" si="0"/>
        <v>95.435239999999993</v>
      </c>
      <c r="E48" s="82">
        <f t="shared" si="1"/>
        <v>22.459379999999999</v>
      </c>
      <c r="F48" s="83">
        <f t="shared" si="2"/>
        <v>72.975859999999997</v>
      </c>
      <c r="G48" s="84"/>
      <c r="H48" s="85"/>
      <c r="I48" s="85"/>
      <c r="J48" s="84"/>
      <c r="K48" s="85"/>
      <c r="L48" s="85"/>
      <c r="M48" s="85"/>
      <c r="N48" s="85"/>
      <c r="O48" s="82"/>
      <c r="P48" s="83"/>
      <c r="Q48" s="83"/>
      <c r="R48" s="83"/>
      <c r="S48" s="82"/>
      <c r="T48" s="85"/>
      <c r="U48" s="85"/>
      <c r="V48" s="82"/>
      <c r="W48" s="83"/>
      <c r="X48" s="87"/>
      <c r="Y48" s="83">
        <v>46.8</v>
      </c>
      <c r="Z48" s="84"/>
      <c r="AA48" s="85"/>
      <c r="AB48" s="84"/>
      <c r="AC48" s="85"/>
      <c r="AD48" s="89">
        <f t="shared" si="3"/>
        <v>5.8370699999999998</v>
      </c>
      <c r="AE48" s="89"/>
      <c r="AF48" s="186">
        <v>5.8370699999999998</v>
      </c>
      <c r="AG48" s="85"/>
      <c r="AH48" s="85"/>
      <c r="AI48" s="85"/>
      <c r="AJ48" s="84"/>
      <c r="AK48" s="85"/>
      <c r="AL48" s="84"/>
      <c r="AM48" s="88"/>
      <c r="AN48" s="84"/>
      <c r="AO48" s="85"/>
      <c r="AP48" s="84"/>
      <c r="AQ48" s="83"/>
      <c r="AR48" s="83"/>
      <c r="AS48" s="83"/>
      <c r="AT48" s="85"/>
      <c r="AU48" s="85"/>
      <c r="AV48" s="85"/>
      <c r="AW48" s="88"/>
      <c r="AX48" s="84"/>
      <c r="AY48" s="85"/>
      <c r="AZ48" s="84">
        <v>22.459379999999999</v>
      </c>
      <c r="BA48" s="83">
        <v>20.338789999999999</v>
      </c>
      <c r="BB48" s="88"/>
      <c r="BC48" s="85"/>
      <c r="BD48" s="84"/>
      <c r="BE48" s="88"/>
      <c r="BF48" s="85"/>
      <c r="BG48" s="85"/>
      <c r="BH48" s="85"/>
      <c r="BI48" s="85"/>
      <c r="BJ48" s="85"/>
      <c r="BK48" s="85"/>
      <c r="BL48" s="85"/>
      <c r="BM48" s="85"/>
      <c r="BN48" s="85"/>
      <c r="BO48" s="85"/>
      <c r="BP48" s="85"/>
      <c r="BQ48" s="85"/>
      <c r="BR48" s="84"/>
      <c r="BS48" s="85"/>
      <c r="BT48" s="85"/>
      <c r="BU48" s="55"/>
      <c r="BV48" s="90"/>
      <c r="BW48" s="55"/>
      <c r="BX48" s="90"/>
      <c r="BY48" s="55"/>
      <c r="BZ48" s="90"/>
      <c r="CA48" s="91"/>
    </row>
    <row r="49" spans="1:79" ht="50.1" customHeight="1" outlineLevel="2" x14ac:dyDescent="0.3">
      <c r="A49" s="66" t="s">
        <v>36</v>
      </c>
      <c r="B49" s="66" t="s">
        <v>75</v>
      </c>
      <c r="C49" s="79" t="s">
        <v>55</v>
      </c>
      <c r="D49" s="81">
        <f t="shared" si="0"/>
        <v>224.67478999999997</v>
      </c>
      <c r="E49" s="82">
        <f t="shared" si="1"/>
        <v>85.157629999999997</v>
      </c>
      <c r="F49" s="83">
        <f t="shared" si="2"/>
        <v>139.51715999999999</v>
      </c>
      <c r="G49" s="84"/>
      <c r="H49" s="85"/>
      <c r="I49" s="85"/>
      <c r="J49" s="84"/>
      <c r="K49" s="85"/>
      <c r="L49" s="85"/>
      <c r="M49" s="85"/>
      <c r="N49" s="85"/>
      <c r="O49" s="82"/>
      <c r="P49" s="83"/>
      <c r="Q49" s="83"/>
      <c r="R49" s="83"/>
      <c r="S49" s="82"/>
      <c r="T49" s="85"/>
      <c r="U49" s="85"/>
      <c r="V49" s="82"/>
      <c r="W49" s="83"/>
      <c r="X49" s="87"/>
      <c r="Y49" s="83">
        <v>62.4</v>
      </c>
      <c r="Z49" s="84"/>
      <c r="AA49" s="85"/>
      <c r="AB49" s="84"/>
      <c r="AC49" s="85"/>
      <c r="AD49" s="89">
        <f t="shared" si="3"/>
        <v>0</v>
      </c>
      <c r="AE49" s="89"/>
      <c r="AF49" s="186"/>
      <c r="AG49" s="85"/>
      <c r="AH49" s="85"/>
      <c r="AI49" s="85"/>
      <c r="AJ49" s="84"/>
      <c r="AK49" s="85"/>
      <c r="AL49" s="84"/>
      <c r="AM49" s="88"/>
      <c r="AN49" s="84"/>
      <c r="AO49" s="85"/>
      <c r="AP49" s="84"/>
      <c r="AQ49" s="83"/>
      <c r="AR49" s="83"/>
      <c r="AS49" s="83"/>
      <c r="AT49" s="85"/>
      <c r="AU49" s="85"/>
      <c r="AV49" s="85"/>
      <c r="AW49" s="88"/>
      <c r="AX49" s="84"/>
      <c r="AY49" s="85"/>
      <c r="AZ49" s="84">
        <v>85.157629999999997</v>
      </c>
      <c r="BA49" s="83">
        <v>77.117159999999998</v>
      </c>
      <c r="BB49" s="88"/>
      <c r="BC49" s="85"/>
      <c r="BD49" s="84"/>
      <c r="BE49" s="88"/>
      <c r="BF49" s="85"/>
      <c r="BG49" s="85"/>
      <c r="BH49" s="85"/>
      <c r="BI49" s="85"/>
      <c r="BJ49" s="85"/>
      <c r="BK49" s="85"/>
      <c r="BL49" s="85"/>
      <c r="BM49" s="85"/>
      <c r="BN49" s="85"/>
      <c r="BO49" s="85"/>
      <c r="BP49" s="85"/>
      <c r="BQ49" s="85"/>
      <c r="BR49" s="84"/>
      <c r="BS49" s="85"/>
      <c r="BT49" s="85"/>
      <c r="BU49" s="55"/>
      <c r="BV49" s="90"/>
      <c r="BW49" s="55"/>
      <c r="BX49" s="90"/>
      <c r="BY49" s="55"/>
      <c r="BZ49" s="90"/>
      <c r="CA49" s="91"/>
    </row>
    <row r="50" spans="1:79" ht="50.1" customHeight="1" outlineLevel="2" x14ac:dyDescent="0.3">
      <c r="A50" s="92" t="s">
        <v>36</v>
      </c>
      <c r="B50" s="92" t="s">
        <v>76</v>
      </c>
      <c r="C50" s="79" t="s">
        <v>55</v>
      </c>
      <c r="D50" s="81">
        <f t="shared" si="0"/>
        <v>52.567279999999997</v>
      </c>
      <c r="E50" s="82">
        <f t="shared" si="1"/>
        <v>21.855419999999999</v>
      </c>
      <c r="F50" s="83">
        <f t="shared" si="2"/>
        <v>30.711860000000001</v>
      </c>
      <c r="G50" s="84"/>
      <c r="H50" s="85"/>
      <c r="I50" s="85"/>
      <c r="J50" s="84"/>
      <c r="K50" s="85"/>
      <c r="L50" s="85"/>
      <c r="M50" s="85"/>
      <c r="N50" s="85"/>
      <c r="O50" s="82"/>
      <c r="P50" s="83"/>
      <c r="Q50" s="83"/>
      <c r="R50" s="83"/>
      <c r="S50" s="82"/>
      <c r="T50" s="85"/>
      <c r="U50" s="85"/>
      <c r="V50" s="84"/>
      <c r="W50" s="83"/>
      <c r="X50" s="87"/>
      <c r="Y50" s="83">
        <v>10.92</v>
      </c>
      <c r="Z50" s="84"/>
      <c r="AA50" s="85"/>
      <c r="AB50" s="84"/>
      <c r="AC50" s="85"/>
      <c r="AD50" s="89">
        <f t="shared" si="3"/>
        <v>0</v>
      </c>
      <c r="AE50" s="89"/>
      <c r="AF50" s="186"/>
      <c r="AG50" s="85"/>
      <c r="AH50" s="85"/>
      <c r="AI50" s="85"/>
      <c r="AJ50" s="84"/>
      <c r="AK50" s="85"/>
      <c r="AL50" s="84"/>
      <c r="AM50" s="88"/>
      <c r="AN50" s="84"/>
      <c r="AO50" s="85"/>
      <c r="AP50" s="84"/>
      <c r="AQ50" s="83"/>
      <c r="AR50" s="83"/>
      <c r="AS50" s="83"/>
      <c r="AT50" s="85"/>
      <c r="AU50" s="85"/>
      <c r="AV50" s="85"/>
      <c r="AW50" s="88"/>
      <c r="AX50" s="84"/>
      <c r="AY50" s="85"/>
      <c r="AZ50" s="84">
        <v>21.855419999999999</v>
      </c>
      <c r="BA50" s="83">
        <v>19.79186</v>
      </c>
      <c r="BB50" s="88"/>
      <c r="BC50" s="85"/>
      <c r="BD50" s="84"/>
      <c r="BE50" s="88"/>
      <c r="BF50" s="85"/>
      <c r="BG50" s="85"/>
      <c r="BH50" s="85"/>
      <c r="BI50" s="85"/>
      <c r="BJ50" s="85"/>
      <c r="BK50" s="85"/>
      <c r="BL50" s="85"/>
      <c r="BM50" s="85"/>
      <c r="BN50" s="85"/>
      <c r="BO50" s="85"/>
      <c r="BP50" s="85"/>
      <c r="BQ50" s="85"/>
      <c r="BR50" s="84"/>
      <c r="BS50" s="85"/>
      <c r="BT50" s="85"/>
      <c r="BU50" s="55"/>
      <c r="BV50" s="90"/>
      <c r="BW50" s="55"/>
      <c r="BX50" s="90"/>
      <c r="BY50" s="55"/>
      <c r="BZ50" s="90"/>
      <c r="CA50" s="91"/>
    </row>
    <row r="51" spans="1:79" ht="50.1" customHeight="1" outlineLevel="2" x14ac:dyDescent="0.3">
      <c r="A51" s="92" t="s">
        <v>36</v>
      </c>
      <c r="B51" s="66" t="s">
        <v>77</v>
      </c>
      <c r="C51" s="79" t="s">
        <v>55</v>
      </c>
      <c r="D51" s="81">
        <f t="shared" si="0"/>
        <v>173.20660000000001</v>
      </c>
      <c r="E51" s="82">
        <f t="shared" si="1"/>
        <v>32.450310000000002</v>
      </c>
      <c r="F51" s="83">
        <f t="shared" si="2"/>
        <v>140.75629000000001</v>
      </c>
      <c r="G51" s="84"/>
      <c r="H51" s="85"/>
      <c r="I51" s="85"/>
      <c r="J51" s="84"/>
      <c r="K51" s="85"/>
      <c r="L51" s="85"/>
      <c r="M51" s="85"/>
      <c r="N51" s="85"/>
      <c r="O51" s="82"/>
      <c r="P51" s="83"/>
      <c r="Q51" s="83"/>
      <c r="R51" s="83"/>
      <c r="S51" s="82"/>
      <c r="T51" s="85"/>
      <c r="U51" s="85"/>
      <c r="V51" s="84"/>
      <c r="W51" s="83"/>
      <c r="X51" s="87"/>
      <c r="Y51" s="83">
        <v>23.088000000000001</v>
      </c>
      <c r="Z51" s="84"/>
      <c r="AA51" s="85"/>
      <c r="AB51" s="84"/>
      <c r="AC51" s="85"/>
      <c r="AD51" s="89">
        <f t="shared" si="3"/>
        <v>0</v>
      </c>
      <c r="AE51" s="89"/>
      <c r="AF51" s="186"/>
      <c r="AG51" s="85"/>
      <c r="AH51" s="85"/>
      <c r="AI51" s="85"/>
      <c r="AJ51" s="84"/>
      <c r="AK51" s="85"/>
      <c r="AL51" s="84"/>
      <c r="AM51" s="88"/>
      <c r="AN51" s="84"/>
      <c r="AO51" s="85"/>
      <c r="AP51" s="84"/>
      <c r="AQ51" s="83"/>
      <c r="AR51" s="83"/>
      <c r="AS51" s="83"/>
      <c r="AT51" s="85"/>
      <c r="AU51" s="85"/>
      <c r="AV51" s="85">
        <v>88.281899999999993</v>
      </c>
      <c r="AW51" s="88"/>
      <c r="AX51" s="84"/>
      <c r="AY51" s="85"/>
      <c r="AZ51" s="84">
        <v>32.450310000000002</v>
      </c>
      <c r="BA51" s="83">
        <v>29.386389999999999</v>
      </c>
      <c r="BB51" s="88"/>
      <c r="BC51" s="85"/>
      <c r="BD51" s="84"/>
      <c r="BE51" s="88"/>
      <c r="BF51" s="85"/>
      <c r="BG51" s="85"/>
      <c r="BH51" s="85"/>
      <c r="BI51" s="85"/>
      <c r="BJ51" s="85"/>
      <c r="BK51" s="85"/>
      <c r="BL51" s="85"/>
      <c r="BM51" s="85"/>
      <c r="BN51" s="85"/>
      <c r="BO51" s="85"/>
      <c r="BP51" s="85"/>
      <c r="BQ51" s="85"/>
      <c r="BR51" s="84"/>
      <c r="BS51" s="85"/>
      <c r="BT51" s="85"/>
      <c r="BU51" s="55"/>
      <c r="BV51" s="90"/>
      <c r="BW51" s="55"/>
      <c r="BX51" s="90"/>
      <c r="BY51" s="55"/>
      <c r="BZ51" s="90"/>
      <c r="CA51" s="91"/>
    </row>
    <row r="52" spans="1:79" ht="50.1" customHeight="1" outlineLevel="2" x14ac:dyDescent="0.3">
      <c r="A52" s="92" t="s">
        <v>36</v>
      </c>
      <c r="B52" s="66" t="s">
        <v>78</v>
      </c>
      <c r="C52" s="79" t="s">
        <v>55</v>
      </c>
      <c r="D52" s="81">
        <f t="shared" si="0"/>
        <v>290.47496999999998</v>
      </c>
      <c r="E52" s="82">
        <f t="shared" si="1"/>
        <v>0</v>
      </c>
      <c r="F52" s="83">
        <f t="shared" si="2"/>
        <v>290.47496999999998</v>
      </c>
      <c r="G52" s="84"/>
      <c r="H52" s="85"/>
      <c r="I52" s="85"/>
      <c r="J52" s="84"/>
      <c r="K52" s="85"/>
      <c r="L52" s="85"/>
      <c r="M52" s="85"/>
      <c r="N52" s="85"/>
      <c r="O52" s="82"/>
      <c r="P52" s="83"/>
      <c r="Q52" s="83"/>
      <c r="R52" s="83"/>
      <c r="S52" s="82"/>
      <c r="T52" s="85"/>
      <c r="U52" s="85"/>
      <c r="V52" s="84"/>
      <c r="W52" s="83"/>
      <c r="X52" s="87"/>
      <c r="Y52" s="83">
        <v>15.6</v>
      </c>
      <c r="Z52" s="84"/>
      <c r="AA52" s="85"/>
      <c r="AB52" s="84"/>
      <c r="AC52" s="85"/>
      <c r="AD52" s="89">
        <f t="shared" si="3"/>
        <v>8.974969999999999</v>
      </c>
      <c r="AE52" s="89">
        <v>2.1650499999999999</v>
      </c>
      <c r="AF52" s="188">
        <v>6.80992</v>
      </c>
      <c r="AG52" s="85"/>
      <c r="AH52" s="85"/>
      <c r="AI52" s="85"/>
      <c r="AJ52" s="84"/>
      <c r="AK52" s="85"/>
      <c r="AL52" s="84"/>
      <c r="AM52" s="88"/>
      <c r="AN52" s="84"/>
      <c r="AO52" s="85"/>
      <c r="AP52" s="84"/>
      <c r="AQ52" s="83"/>
      <c r="AR52" s="83"/>
      <c r="AS52" s="83"/>
      <c r="AT52" s="85"/>
      <c r="AU52" s="85"/>
      <c r="AV52" s="85"/>
      <c r="AW52" s="88"/>
      <c r="AX52" s="84"/>
      <c r="AY52" s="85"/>
      <c r="AZ52" s="84"/>
      <c r="BA52" s="83"/>
      <c r="BB52" s="88"/>
      <c r="BC52" s="85"/>
      <c r="BD52" s="84"/>
      <c r="BE52" s="88"/>
      <c r="BF52" s="85"/>
      <c r="BG52" s="85"/>
      <c r="BH52" s="85"/>
      <c r="BI52" s="85"/>
      <c r="BJ52" s="85"/>
      <c r="BK52" s="85"/>
      <c r="BL52" s="85"/>
      <c r="BM52" s="85"/>
      <c r="BN52" s="85"/>
      <c r="BO52" s="85"/>
      <c r="BP52" s="85"/>
      <c r="BQ52" s="85"/>
      <c r="BR52" s="84"/>
      <c r="BS52" s="85">
        <v>265.89999999999998</v>
      </c>
      <c r="BT52" s="85"/>
      <c r="BU52" s="55"/>
      <c r="BV52" s="90"/>
      <c r="BW52" s="55"/>
      <c r="BX52" s="90"/>
      <c r="BY52" s="55"/>
      <c r="BZ52" s="90"/>
      <c r="CA52" s="91"/>
    </row>
    <row r="53" spans="1:79" ht="50.1" customHeight="1" outlineLevel="2" x14ac:dyDescent="0.3">
      <c r="A53" s="66" t="s">
        <v>36</v>
      </c>
      <c r="B53" s="96" t="s">
        <v>79</v>
      </c>
      <c r="C53" s="79" t="s">
        <v>55</v>
      </c>
      <c r="D53" s="81">
        <f t="shared" si="0"/>
        <v>345.55515000000003</v>
      </c>
      <c r="E53" s="82">
        <f t="shared" si="1"/>
        <v>121.93965</v>
      </c>
      <c r="F53" s="83">
        <f t="shared" si="2"/>
        <v>223.6155</v>
      </c>
      <c r="G53" s="84"/>
      <c r="H53" s="85"/>
      <c r="I53" s="85"/>
      <c r="J53" s="84"/>
      <c r="K53" s="85"/>
      <c r="L53" s="85"/>
      <c r="M53" s="85"/>
      <c r="N53" s="85"/>
      <c r="O53" s="82"/>
      <c r="P53" s="83"/>
      <c r="Q53" s="83"/>
      <c r="R53" s="83"/>
      <c r="S53" s="82"/>
      <c r="T53" s="85"/>
      <c r="U53" s="85"/>
      <c r="V53" s="82"/>
      <c r="W53" s="83"/>
      <c r="X53" s="87"/>
      <c r="Y53" s="83">
        <v>66.456000000000003</v>
      </c>
      <c r="Z53" s="84"/>
      <c r="AA53" s="85"/>
      <c r="AB53" s="84"/>
      <c r="AC53" s="85"/>
      <c r="AD53" s="89">
        <f t="shared" si="3"/>
        <v>46.733260000000001</v>
      </c>
      <c r="AE53" s="89">
        <v>28.249199999999998</v>
      </c>
      <c r="AF53" s="188">
        <v>18.484059999999999</v>
      </c>
      <c r="AG53" s="85"/>
      <c r="AH53" s="85"/>
      <c r="AI53" s="85"/>
      <c r="AJ53" s="84"/>
      <c r="AK53" s="85"/>
      <c r="AL53" s="84"/>
      <c r="AM53" s="88"/>
      <c r="AN53" s="84"/>
      <c r="AO53" s="85"/>
      <c r="AP53" s="84"/>
      <c r="AQ53" s="83"/>
      <c r="AR53" s="83"/>
      <c r="AS53" s="83"/>
      <c r="AT53" s="85"/>
      <c r="AU53" s="85"/>
      <c r="AV53" s="85"/>
      <c r="AW53" s="88"/>
      <c r="AX53" s="84"/>
      <c r="AY53" s="85"/>
      <c r="AZ53" s="84">
        <v>121.93965</v>
      </c>
      <c r="BA53" s="83">
        <v>110.42624000000001</v>
      </c>
      <c r="BB53" s="88"/>
      <c r="BC53" s="85"/>
      <c r="BD53" s="84"/>
      <c r="BE53" s="88"/>
      <c r="BF53" s="85"/>
      <c r="BG53" s="85"/>
      <c r="BH53" s="85"/>
      <c r="BI53" s="85"/>
      <c r="BJ53" s="85"/>
      <c r="BK53" s="85"/>
      <c r="BL53" s="85"/>
      <c r="BM53" s="85"/>
      <c r="BN53" s="85"/>
      <c r="BO53" s="85"/>
      <c r="BP53" s="85"/>
      <c r="BQ53" s="85"/>
      <c r="BR53" s="84"/>
      <c r="BS53" s="85"/>
      <c r="BT53" s="85"/>
      <c r="BU53" s="55"/>
      <c r="BV53" s="90"/>
      <c r="BW53" s="55"/>
      <c r="BX53" s="90"/>
      <c r="BY53" s="55"/>
      <c r="BZ53" s="90"/>
      <c r="CA53" s="91"/>
    </row>
    <row r="54" spans="1:79" ht="50.1" customHeight="1" outlineLevel="2" x14ac:dyDescent="0.3">
      <c r="A54" s="66" t="s">
        <v>36</v>
      </c>
      <c r="B54" s="96" t="s">
        <v>80</v>
      </c>
      <c r="C54" s="79" t="s">
        <v>55</v>
      </c>
      <c r="D54" s="81">
        <f t="shared" si="0"/>
        <v>90.724370000000008</v>
      </c>
      <c r="E54" s="82">
        <f t="shared" si="1"/>
        <v>39.423340000000003</v>
      </c>
      <c r="F54" s="83">
        <f t="shared" si="2"/>
        <v>51.301030000000004</v>
      </c>
      <c r="G54" s="84"/>
      <c r="H54" s="85"/>
      <c r="I54" s="85"/>
      <c r="J54" s="84"/>
      <c r="K54" s="85"/>
      <c r="L54" s="85"/>
      <c r="M54" s="85"/>
      <c r="N54" s="85"/>
      <c r="O54" s="82"/>
      <c r="P54" s="83"/>
      <c r="Q54" s="83"/>
      <c r="R54" s="83"/>
      <c r="S54" s="82"/>
      <c r="T54" s="85"/>
      <c r="U54" s="85"/>
      <c r="V54" s="82"/>
      <c r="W54" s="83"/>
      <c r="X54" s="87"/>
      <c r="Y54" s="83">
        <v>15.6</v>
      </c>
      <c r="Z54" s="84"/>
      <c r="AA54" s="85"/>
      <c r="AB54" s="84"/>
      <c r="AC54" s="85"/>
      <c r="AD54" s="89">
        <f t="shared" si="3"/>
        <v>0</v>
      </c>
      <c r="AE54" s="89"/>
      <c r="AF54" s="186"/>
      <c r="AG54" s="85"/>
      <c r="AH54" s="85"/>
      <c r="AI54" s="85"/>
      <c r="AJ54" s="84"/>
      <c r="AK54" s="85"/>
      <c r="AL54" s="84"/>
      <c r="AM54" s="88"/>
      <c r="AN54" s="84"/>
      <c r="AO54" s="85"/>
      <c r="AP54" s="84"/>
      <c r="AQ54" s="83"/>
      <c r="AR54" s="83"/>
      <c r="AS54" s="83"/>
      <c r="AT54" s="85"/>
      <c r="AU54" s="85"/>
      <c r="AV54" s="85"/>
      <c r="AW54" s="88"/>
      <c r="AX54" s="84"/>
      <c r="AY54" s="85"/>
      <c r="AZ54" s="84">
        <v>39.423340000000003</v>
      </c>
      <c r="BA54" s="83">
        <v>35.701030000000003</v>
      </c>
      <c r="BB54" s="88"/>
      <c r="BC54" s="85"/>
      <c r="BD54" s="84"/>
      <c r="BE54" s="88"/>
      <c r="BF54" s="85"/>
      <c r="BG54" s="85"/>
      <c r="BH54" s="85"/>
      <c r="BI54" s="85"/>
      <c r="BJ54" s="85"/>
      <c r="BK54" s="85"/>
      <c r="BL54" s="85"/>
      <c r="BM54" s="85"/>
      <c r="BN54" s="85"/>
      <c r="BO54" s="85"/>
      <c r="BP54" s="85"/>
      <c r="BQ54" s="85"/>
      <c r="BR54" s="84"/>
      <c r="BS54" s="85"/>
      <c r="BT54" s="85"/>
      <c r="BU54" s="85"/>
      <c r="BV54" s="90"/>
      <c r="BW54" s="85"/>
      <c r="BX54" s="84"/>
      <c r="BY54" s="85"/>
      <c r="BZ54" s="90"/>
      <c r="CA54" s="91"/>
    </row>
    <row r="55" spans="1:79" ht="50.1" customHeight="1" outlineLevel="2" x14ac:dyDescent="0.3">
      <c r="A55" s="66" t="s">
        <v>36</v>
      </c>
      <c r="B55" s="96" t="s">
        <v>1050</v>
      </c>
      <c r="C55" s="79" t="s">
        <v>55</v>
      </c>
      <c r="D55" s="81">
        <f t="shared" si="0"/>
        <v>581.73004000000003</v>
      </c>
      <c r="E55" s="82">
        <f t="shared" si="1"/>
        <v>0</v>
      </c>
      <c r="F55" s="83">
        <f t="shared" si="2"/>
        <v>581.73004000000003</v>
      </c>
      <c r="G55" s="84"/>
      <c r="H55" s="85"/>
      <c r="I55" s="85"/>
      <c r="J55" s="84"/>
      <c r="K55" s="85"/>
      <c r="L55" s="85"/>
      <c r="M55" s="85"/>
      <c r="N55" s="85"/>
      <c r="O55" s="82"/>
      <c r="P55" s="83"/>
      <c r="Q55" s="83"/>
      <c r="R55" s="83"/>
      <c r="S55" s="82"/>
      <c r="T55" s="85"/>
      <c r="U55" s="85"/>
      <c r="V55" s="82"/>
      <c r="W55" s="83"/>
      <c r="X55" s="87"/>
      <c r="Y55" s="83">
        <v>63.96</v>
      </c>
      <c r="Z55" s="84"/>
      <c r="AA55" s="85"/>
      <c r="AB55" s="84"/>
      <c r="AC55" s="85"/>
      <c r="AD55" s="89">
        <f t="shared" si="3"/>
        <v>35.270040000000002</v>
      </c>
      <c r="AE55" s="89">
        <v>12.894600000000001</v>
      </c>
      <c r="AF55" s="186">
        <v>22.375440000000001</v>
      </c>
      <c r="AG55" s="85"/>
      <c r="AH55" s="85"/>
      <c r="AI55" s="85"/>
      <c r="AJ55" s="84"/>
      <c r="AK55" s="85"/>
      <c r="AL55" s="84"/>
      <c r="AM55" s="88"/>
      <c r="AN55" s="84"/>
      <c r="AO55" s="85"/>
      <c r="AP55" s="84"/>
      <c r="AQ55" s="83"/>
      <c r="AR55" s="83"/>
      <c r="AS55" s="83"/>
      <c r="AT55" s="85"/>
      <c r="AU55" s="85"/>
      <c r="AV55" s="85"/>
      <c r="AW55" s="88"/>
      <c r="AX55" s="84"/>
      <c r="AY55" s="85"/>
      <c r="AZ55" s="84"/>
      <c r="BA55" s="83"/>
      <c r="BB55" s="88"/>
      <c r="BC55" s="85"/>
      <c r="BD55" s="84"/>
      <c r="BE55" s="88"/>
      <c r="BF55" s="85"/>
      <c r="BG55" s="85"/>
      <c r="BH55" s="85"/>
      <c r="BI55" s="85"/>
      <c r="BJ55" s="85"/>
      <c r="BK55" s="85"/>
      <c r="BL55" s="85"/>
      <c r="BM55" s="85"/>
      <c r="BN55" s="85"/>
      <c r="BO55" s="85"/>
      <c r="BP55" s="85"/>
      <c r="BQ55" s="85"/>
      <c r="BR55" s="84"/>
      <c r="BS55" s="85">
        <v>482.5</v>
      </c>
      <c r="BT55" s="85"/>
      <c r="BU55" s="85"/>
      <c r="BV55" s="90"/>
      <c r="BW55" s="85"/>
      <c r="BX55" s="84"/>
      <c r="BY55" s="85"/>
      <c r="BZ55" s="90"/>
      <c r="CA55" s="91"/>
    </row>
    <row r="56" spans="1:79" ht="50.1" customHeight="1" outlineLevel="2" x14ac:dyDescent="0.3">
      <c r="A56" s="66" t="s">
        <v>36</v>
      </c>
      <c r="B56" s="96" t="s">
        <v>989</v>
      </c>
      <c r="C56" s="79" t="s">
        <v>55</v>
      </c>
      <c r="D56" s="81">
        <f t="shared" si="0"/>
        <v>48.79898</v>
      </c>
      <c r="E56" s="82">
        <f t="shared" si="1"/>
        <v>16.216840000000001</v>
      </c>
      <c r="F56" s="83">
        <f t="shared" si="2"/>
        <v>32.582140000000003</v>
      </c>
      <c r="G56" s="84"/>
      <c r="H56" s="85"/>
      <c r="I56" s="85"/>
      <c r="J56" s="84"/>
      <c r="K56" s="85"/>
      <c r="L56" s="85"/>
      <c r="M56" s="85"/>
      <c r="N56" s="85"/>
      <c r="O56" s="82"/>
      <c r="P56" s="83"/>
      <c r="Q56" s="83"/>
      <c r="R56" s="83"/>
      <c r="S56" s="82"/>
      <c r="T56" s="85"/>
      <c r="U56" s="85"/>
      <c r="V56" s="82"/>
      <c r="W56" s="83"/>
      <c r="X56" s="87"/>
      <c r="Y56" s="83">
        <v>11.856</v>
      </c>
      <c r="Z56" s="84"/>
      <c r="AA56" s="85"/>
      <c r="AB56" s="84"/>
      <c r="AC56" s="85"/>
      <c r="AD56" s="89">
        <f t="shared" si="3"/>
        <v>6.0404799999999996</v>
      </c>
      <c r="AE56" s="89">
        <v>2.1490999999999998</v>
      </c>
      <c r="AF56" s="186">
        <v>3.8913799999999998</v>
      </c>
      <c r="AG56" s="85"/>
      <c r="AH56" s="85"/>
      <c r="AI56" s="85"/>
      <c r="AJ56" s="84"/>
      <c r="AK56" s="85"/>
      <c r="AL56" s="84"/>
      <c r="AM56" s="88"/>
      <c r="AN56" s="84"/>
      <c r="AO56" s="85"/>
      <c r="AP56" s="84"/>
      <c r="AQ56" s="83"/>
      <c r="AR56" s="83"/>
      <c r="AS56" s="83"/>
      <c r="AT56" s="85"/>
      <c r="AU56" s="85"/>
      <c r="AV56" s="85"/>
      <c r="AW56" s="88"/>
      <c r="AX56" s="84"/>
      <c r="AY56" s="85"/>
      <c r="AZ56" s="84">
        <v>16.216840000000001</v>
      </c>
      <c r="BA56" s="83">
        <v>14.68566</v>
      </c>
      <c r="BB56" s="88"/>
      <c r="BC56" s="85"/>
      <c r="BD56" s="84"/>
      <c r="BE56" s="88"/>
      <c r="BF56" s="85"/>
      <c r="BG56" s="85"/>
      <c r="BH56" s="85"/>
      <c r="BI56" s="85"/>
      <c r="BJ56" s="85"/>
      <c r="BK56" s="85"/>
      <c r="BL56" s="85"/>
      <c r="BM56" s="85"/>
      <c r="BN56" s="85"/>
      <c r="BO56" s="85"/>
      <c r="BP56" s="85"/>
      <c r="BQ56" s="85"/>
      <c r="BR56" s="84"/>
      <c r="BS56" s="85"/>
      <c r="BT56" s="85"/>
      <c r="BU56" s="85"/>
      <c r="BV56" s="90"/>
      <c r="BW56" s="85"/>
      <c r="BX56" s="84"/>
      <c r="BY56" s="85"/>
      <c r="BZ56" s="90"/>
      <c r="CA56" s="91"/>
    </row>
    <row r="57" spans="1:79" ht="50.1" customHeight="1" outlineLevel="2" x14ac:dyDescent="0.3">
      <c r="A57" s="92" t="s">
        <v>36</v>
      </c>
      <c r="B57" s="92" t="s">
        <v>81</v>
      </c>
      <c r="C57" s="79" t="s">
        <v>53</v>
      </c>
      <c r="D57" s="81">
        <f t="shared" si="0"/>
        <v>428.47664000000003</v>
      </c>
      <c r="E57" s="82">
        <f t="shared" si="1"/>
        <v>74.910839999999993</v>
      </c>
      <c r="F57" s="83">
        <f t="shared" si="2"/>
        <v>353.56580000000002</v>
      </c>
      <c r="G57" s="84"/>
      <c r="H57" s="85"/>
      <c r="I57" s="85"/>
      <c r="J57" s="84"/>
      <c r="K57" s="85"/>
      <c r="L57" s="85"/>
      <c r="M57" s="85"/>
      <c r="N57" s="85"/>
      <c r="O57" s="82"/>
      <c r="P57" s="83"/>
      <c r="Q57" s="83"/>
      <c r="R57" s="83"/>
      <c r="S57" s="82"/>
      <c r="T57" s="85"/>
      <c r="U57" s="85"/>
      <c r="V57" s="82"/>
      <c r="W57" s="83"/>
      <c r="X57" s="87"/>
      <c r="Y57" s="83">
        <v>44.927999999999997</v>
      </c>
      <c r="Z57" s="84"/>
      <c r="AA57" s="85"/>
      <c r="AB57" s="84"/>
      <c r="AC57" s="85"/>
      <c r="AD57" s="89">
        <f t="shared" si="3"/>
        <v>0</v>
      </c>
      <c r="AE57" s="89"/>
      <c r="AF57" s="186"/>
      <c r="AG57" s="85"/>
      <c r="AH57" s="85"/>
      <c r="AI57" s="85"/>
      <c r="AJ57" s="84"/>
      <c r="AK57" s="85"/>
      <c r="AL57" s="84"/>
      <c r="AM57" s="88"/>
      <c r="AN57" s="84"/>
      <c r="AO57" s="85"/>
      <c r="AP57" s="84"/>
      <c r="AQ57" s="83"/>
      <c r="AR57" s="83"/>
      <c r="AS57" s="83"/>
      <c r="AT57" s="85"/>
      <c r="AU57" s="85"/>
      <c r="AV57" s="85"/>
      <c r="AW57" s="88"/>
      <c r="AX57" s="84"/>
      <c r="AY57" s="85"/>
      <c r="AZ57" s="84">
        <v>74.910839999999993</v>
      </c>
      <c r="BA57" s="83">
        <v>67.837800000000001</v>
      </c>
      <c r="BB57" s="88"/>
      <c r="BC57" s="85"/>
      <c r="BD57" s="84"/>
      <c r="BE57" s="88"/>
      <c r="BF57" s="85"/>
      <c r="BG57" s="85"/>
      <c r="BH57" s="85"/>
      <c r="BI57" s="85"/>
      <c r="BJ57" s="85"/>
      <c r="BK57" s="85"/>
      <c r="BL57" s="85"/>
      <c r="BM57" s="85"/>
      <c r="BN57" s="85"/>
      <c r="BO57" s="85"/>
      <c r="BP57" s="85"/>
      <c r="BQ57" s="85"/>
      <c r="BR57" s="84"/>
      <c r="BS57" s="85">
        <v>240.8</v>
      </c>
      <c r="BT57" s="85"/>
      <c r="BU57" s="55"/>
      <c r="BV57" s="90"/>
      <c r="BW57" s="55"/>
      <c r="BX57" s="90"/>
      <c r="BY57" s="55"/>
      <c r="BZ57" s="90"/>
      <c r="CA57" s="91"/>
    </row>
    <row r="58" spans="1:79" ht="50.1" customHeight="1" outlineLevel="2" x14ac:dyDescent="0.3">
      <c r="A58" s="66" t="s">
        <v>36</v>
      </c>
      <c r="B58" s="96" t="s">
        <v>82</v>
      </c>
      <c r="C58" s="79" t="s">
        <v>53</v>
      </c>
      <c r="D58" s="81">
        <f t="shared" si="0"/>
        <v>170.65827999999999</v>
      </c>
      <c r="E58" s="82">
        <f t="shared" si="1"/>
        <v>0</v>
      </c>
      <c r="F58" s="83">
        <f t="shared" si="2"/>
        <v>170.65827999999999</v>
      </c>
      <c r="G58" s="84"/>
      <c r="H58" s="85"/>
      <c r="I58" s="85"/>
      <c r="J58" s="84"/>
      <c r="K58" s="85"/>
      <c r="L58" s="85"/>
      <c r="M58" s="85"/>
      <c r="N58" s="85"/>
      <c r="O58" s="82"/>
      <c r="P58" s="83"/>
      <c r="Q58" s="83"/>
      <c r="R58" s="83"/>
      <c r="S58" s="82"/>
      <c r="T58" s="85"/>
      <c r="U58" s="85"/>
      <c r="V58" s="82"/>
      <c r="W58" s="83"/>
      <c r="X58" s="87"/>
      <c r="Y58" s="83">
        <v>82.055999999999997</v>
      </c>
      <c r="Z58" s="84"/>
      <c r="AA58" s="85"/>
      <c r="AB58" s="84"/>
      <c r="AC58" s="85"/>
      <c r="AD58" s="89">
        <f t="shared" si="3"/>
        <v>88.602279999999993</v>
      </c>
      <c r="AE58" s="89">
        <v>56.498399999999997</v>
      </c>
      <c r="AF58" s="188">
        <v>32.103879999999997</v>
      </c>
      <c r="AG58" s="85"/>
      <c r="AH58" s="85"/>
      <c r="AI58" s="85"/>
      <c r="AJ58" s="84"/>
      <c r="AK58" s="85"/>
      <c r="AL58" s="84"/>
      <c r="AM58" s="88"/>
      <c r="AN58" s="84"/>
      <c r="AO58" s="85"/>
      <c r="AP58" s="84"/>
      <c r="AQ58" s="83"/>
      <c r="AR58" s="83"/>
      <c r="AS58" s="83"/>
      <c r="AT58" s="85"/>
      <c r="AU58" s="85"/>
      <c r="AV58" s="85"/>
      <c r="AW58" s="88"/>
      <c r="AX58" s="84"/>
      <c r="AY58" s="85"/>
      <c r="AZ58" s="84"/>
      <c r="BA58" s="83"/>
      <c r="BB58" s="88"/>
      <c r="BC58" s="85"/>
      <c r="BD58" s="84"/>
      <c r="BE58" s="88"/>
      <c r="BF58" s="85"/>
      <c r="BG58" s="85"/>
      <c r="BH58" s="85"/>
      <c r="BI58" s="85"/>
      <c r="BJ58" s="85"/>
      <c r="BK58" s="85"/>
      <c r="BL58" s="85"/>
      <c r="BM58" s="85"/>
      <c r="BN58" s="85"/>
      <c r="BO58" s="85"/>
      <c r="BP58" s="85"/>
      <c r="BQ58" s="85"/>
      <c r="BR58" s="84"/>
      <c r="BS58" s="85"/>
      <c r="BT58" s="85"/>
      <c r="BU58" s="55"/>
      <c r="BV58" s="90"/>
      <c r="BW58" s="55"/>
      <c r="BX58" s="90"/>
      <c r="BY58" s="55"/>
      <c r="BZ58" s="90"/>
      <c r="CA58" s="91"/>
    </row>
    <row r="59" spans="1:79" ht="50.1" customHeight="1" outlineLevel="2" x14ac:dyDescent="0.3">
      <c r="A59" s="92" t="s">
        <v>36</v>
      </c>
      <c r="B59" s="96" t="s">
        <v>83</v>
      </c>
      <c r="C59" s="99" t="s">
        <v>53</v>
      </c>
      <c r="D59" s="81">
        <f t="shared" si="0"/>
        <v>22.272840000000002</v>
      </c>
      <c r="E59" s="82">
        <f t="shared" si="1"/>
        <v>8.2498900000000006</v>
      </c>
      <c r="F59" s="83">
        <f t="shared" si="2"/>
        <v>14.02295</v>
      </c>
      <c r="G59" s="82"/>
      <c r="H59" s="83"/>
      <c r="I59" s="83"/>
      <c r="J59" s="82"/>
      <c r="K59" s="83"/>
      <c r="L59" s="83"/>
      <c r="M59" s="83"/>
      <c r="N59" s="83"/>
      <c r="O59" s="82"/>
      <c r="P59" s="83"/>
      <c r="Q59" s="83"/>
      <c r="R59" s="83"/>
      <c r="S59" s="82"/>
      <c r="T59" s="83"/>
      <c r="U59" s="83"/>
      <c r="V59" s="82"/>
      <c r="W59" s="83"/>
      <c r="X59" s="87"/>
      <c r="Y59" s="83">
        <v>6.5519999999999996</v>
      </c>
      <c r="Z59" s="82"/>
      <c r="AA59" s="83"/>
      <c r="AB59" s="82"/>
      <c r="AC59" s="83"/>
      <c r="AD59" s="89">
        <f t="shared" si="3"/>
        <v>0</v>
      </c>
      <c r="AE59" s="89"/>
      <c r="AF59" s="188"/>
      <c r="AG59" s="83"/>
      <c r="AH59" s="83"/>
      <c r="AI59" s="83"/>
      <c r="AJ59" s="82"/>
      <c r="AK59" s="83"/>
      <c r="AL59" s="82"/>
      <c r="AM59" s="89"/>
      <c r="AN59" s="82"/>
      <c r="AO59" s="83"/>
      <c r="AP59" s="82"/>
      <c r="AQ59" s="83"/>
      <c r="AR59" s="83"/>
      <c r="AS59" s="83"/>
      <c r="AT59" s="83"/>
      <c r="AU59" s="83"/>
      <c r="AV59" s="83"/>
      <c r="AW59" s="89"/>
      <c r="AX59" s="82"/>
      <c r="AY59" s="83"/>
      <c r="AZ59" s="82">
        <v>8.2498900000000006</v>
      </c>
      <c r="BA59" s="83">
        <v>7.4709500000000002</v>
      </c>
      <c r="BB59" s="89"/>
      <c r="BC59" s="83"/>
      <c r="BD59" s="82"/>
      <c r="BE59" s="89"/>
      <c r="BF59" s="97"/>
      <c r="BG59" s="83"/>
      <c r="BH59" s="97"/>
      <c r="BI59" s="97"/>
      <c r="BJ59" s="97"/>
      <c r="BK59" s="97"/>
      <c r="BL59" s="97"/>
      <c r="BM59" s="97"/>
      <c r="BN59" s="97"/>
      <c r="BO59" s="97"/>
      <c r="BP59" s="97"/>
      <c r="BQ59" s="97"/>
      <c r="BR59" s="98"/>
      <c r="BS59" s="97"/>
      <c r="BT59" s="97"/>
      <c r="BU59" s="55"/>
      <c r="BV59" s="90"/>
      <c r="BW59" s="55"/>
      <c r="BX59" s="90"/>
      <c r="BY59" s="55"/>
      <c r="BZ59" s="90"/>
      <c r="CA59" s="91"/>
    </row>
    <row r="60" spans="1:79" ht="50.1" customHeight="1" outlineLevel="2" x14ac:dyDescent="0.3">
      <c r="A60" s="92" t="s">
        <v>36</v>
      </c>
      <c r="B60" s="96" t="s">
        <v>84</v>
      </c>
      <c r="C60" s="79" t="s">
        <v>53</v>
      </c>
      <c r="D60" s="81">
        <f t="shared" si="0"/>
        <v>169.40555000000001</v>
      </c>
      <c r="E60" s="82">
        <f t="shared" si="1"/>
        <v>0</v>
      </c>
      <c r="F60" s="83">
        <f t="shared" si="2"/>
        <v>169.40555000000001</v>
      </c>
      <c r="G60" s="82"/>
      <c r="H60" s="83"/>
      <c r="I60" s="83"/>
      <c r="J60" s="82"/>
      <c r="K60" s="83"/>
      <c r="L60" s="83"/>
      <c r="M60" s="83"/>
      <c r="N60" s="83"/>
      <c r="O60" s="82"/>
      <c r="P60" s="83"/>
      <c r="Q60" s="83"/>
      <c r="R60" s="83"/>
      <c r="S60" s="82"/>
      <c r="T60" s="83"/>
      <c r="U60" s="83"/>
      <c r="V60" s="82"/>
      <c r="W60" s="83"/>
      <c r="X60" s="87"/>
      <c r="Y60" s="83">
        <v>50.856000000000002</v>
      </c>
      <c r="Z60" s="82"/>
      <c r="AA60" s="83"/>
      <c r="AB60" s="82"/>
      <c r="AC60" s="83"/>
      <c r="AD60" s="89">
        <f t="shared" si="3"/>
        <v>0</v>
      </c>
      <c r="AE60" s="89"/>
      <c r="AF60" s="188"/>
      <c r="AG60" s="83"/>
      <c r="AH60" s="83"/>
      <c r="AI60" s="83"/>
      <c r="AJ60" s="82"/>
      <c r="AK60" s="83"/>
      <c r="AL60" s="82"/>
      <c r="AM60" s="89"/>
      <c r="AN60" s="82"/>
      <c r="AO60" s="83"/>
      <c r="AP60" s="82"/>
      <c r="AQ60" s="83"/>
      <c r="AR60" s="83"/>
      <c r="AS60" s="83"/>
      <c r="AT60" s="83"/>
      <c r="AU60" s="83"/>
      <c r="AV60" s="83">
        <v>118.54955</v>
      </c>
      <c r="AW60" s="89"/>
      <c r="AX60" s="82"/>
      <c r="AY60" s="83"/>
      <c r="AZ60" s="82"/>
      <c r="BA60" s="83"/>
      <c r="BB60" s="89"/>
      <c r="BC60" s="83"/>
      <c r="BD60" s="82"/>
      <c r="BE60" s="89"/>
      <c r="BF60" s="97"/>
      <c r="BG60" s="83"/>
      <c r="BH60" s="97"/>
      <c r="BI60" s="97"/>
      <c r="BJ60" s="97"/>
      <c r="BK60" s="97"/>
      <c r="BL60" s="97"/>
      <c r="BM60" s="97"/>
      <c r="BN60" s="97"/>
      <c r="BO60" s="97"/>
      <c r="BP60" s="97"/>
      <c r="BQ60" s="97"/>
      <c r="BR60" s="98"/>
      <c r="BS60" s="97"/>
      <c r="BT60" s="97"/>
      <c r="BU60" s="55"/>
      <c r="BV60" s="90"/>
      <c r="BW60" s="55"/>
      <c r="BX60" s="90"/>
      <c r="BY60" s="55"/>
      <c r="BZ60" s="90"/>
      <c r="CA60" s="91"/>
    </row>
    <row r="61" spans="1:79" ht="50.1" customHeight="1" outlineLevel="2" x14ac:dyDescent="0.3">
      <c r="A61" s="92" t="s">
        <v>36</v>
      </c>
      <c r="B61" s="92" t="s">
        <v>85</v>
      </c>
      <c r="C61" s="79" t="s">
        <v>55</v>
      </c>
      <c r="D61" s="81">
        <f t="shared" si="0"/>
        <v>2675.7509399999999</v>
      </c>
      <c r="E61" s="82">
        <f t="shared" si="1"/>
        <v>188.57124999999999</v>
      </c>
      <c r="F61" s="83">
        <f t="shared" si="2"/>
        <v>2487.1796899999999</v>
      </c>
      <c r="G61" s="84"/>
      <c r="H61" s="85"/>
      <c r="I61" s="85"/>
      <c r="J61" s="84"/>
      <c r="K61" s="85"/>
      <c r="L61" s="85"/>
      <c r="M61" s="85"/>
      <c r="N61" s="85"/>
      <c r="O61" s="82"/>
      <c r="P61" s="83"/>
      <c r="Q61" s="83"/>
      <c r="R61" s="83"/>
      <c r="S61" s="82"/>
      <c r="T61" s="85"/>
      <c r="U61" s="85"/>
      <c r="V61" s="82"/>
      <c r="W61" s="83"/>
      <c r="X61" s="87"/>
      <c r="Y61" s="83">
        <v>147.88800000000001</v>
      </c>
      <c r="Z61" s="84"/>
      <c r="AA61" s="85"/>
      <c r="AB61" s="84"/>
      <c r="AC61" s="85"/>
      <c r="AD61" s="89">
        <f t="shared" si="3"/>
        <v>89.575130000000001</v>
      </c>
      <c r="AE61" s="89">
        <v>56.498399999999997</v>
      </c>
      <c r="AF61" s="186">
        <v>33.076729999999998</v>
      </c>
      <c r="AG61" s="85"/>
      <c r="AH61" s="85"/>
      <c r="AI61" s="85"/>
      <c r="AJ61" s="84"/>
      <c r="AK61" s="85"/>
      <c r="AL61" s="84"/>
      <c r="AM61" s="88"/>
      <c r="AN61" s="84"/>
      <c r="AO61" s="85"/>
      <c r="AP61" s="84"/>
      <c r="AQ61" s="83"/>
      <c r="AR61" s="83"/>
      <c r="AS61" s="83"/>
      <c r="AT61" s="85"/>
      <c r="AU61" s="85"/>
      <c r="AV61" s="85">
        <v>379.9803</v>
      </c>
      <c r="AW61" s="88"/>
      <c r="AX61" s="84"/>
      <c r="AY61" s="85"/>
      <c r="AZ61" s="84">
        <v>188.57124999999999</v>
      </c>
      <c r="BA61" s="83">
        <v>170.76669999999999</v>
      </c>
      <c r="BB61" s="88"/>
      <c r="BC61" s="85"/>
      <c r="BD61" s="84"/>
      <c r="BE61" s="88"/>
      <c r="BF61" s="85"/>
      <c r="BG61" s="85">
        <v>10.3</v>
      </c>
      <c r="BH61" s="85"/>
      <c r="BI61" s="85"/>
      <c r="BJ61" s="85"/>
      <c r="BK61" s="85">
        <v>39.269559999999998</v>
      </c>
      <c r="BL61" s="85"/>
      <c r="BM61" s="85"/>
      <c r="BN61" s="85"/>
      <c r="BO61" s="85"/>
      <c r="BP61" s="85"/>
      <c r="BQ61" s="85"/>
      <c r="BR61" s="84"/>
      <c r="BS61" s="85">
        <v>1649.4</v>
      </c>
      <c r="BT61" s="85"/>
      <c r="BU61" s="55"/>
      <c r="BV61" s="90"/>
      <c r="BW61" s="55"/>
      <c r="BX61" s="90"/>
      <c r="BY61" s="55"/>
      <c r="BZ61" s="90"/>
      <c r="CA61" s="91"/>
    </row>
    <row r="62" spans="1:79" ht="50.1" customHeight="1" outlineLevel="2" x14ac:dyDescent="0.3">
      <c r="A62" s="92" t="s">
        <v>36</v>
      </c>
      <c r="B62" s="92" t="s">
        <v>86</v>
      </c>
      <c r="C62" s="79" t="s">
        <v>55</v>
      </c>
      <c r="D62" s="81">
        <f t="shared" si="0"/>
        <v>1491.17707</v>
      </c>
      <c r="E62" s="82">
        <f t="shared" si="1"/>
        <v>157.35682</v>
      </c>
      <c r="F62" s="83">
        <f t="shared" si="2"/>
        <v>1333.82025</v>
      </c>
      <c r="G62" s="84"/>
      <c r="H62" s="85"/>
      <c r="I62" s="85"/>
      <c r="J62" s="84"/>
      <c r="K62" s="85"/>
      <c r="L62" s="85"/>
      <c r="M62" s="85"/>
      <c r="N62" s="85"/>
      <c r="O62" s="82"/>
      <c r="P62" s="83"/>
      <c r="Q62" s="83"/>
      <c r="R62" s="83"/>
      <c r="S62" s="82"/>
      <c r="T62" s="85"/>
      <c r="U62" s="85"/>
      <c r="V62" s="82"/>
      <c r="W62" s="83"/>
      <c r="X62" s="87"/>
      <c r="Y62" s="83">
        <v>82.055999999999997</v>
      </c>
      <c r="Z62" s="84"/>
      <c r="AA62" s="85"/>
      <c r="AB62" s="84"/>
      <c r="AC62" s="85"/>
      <c r="AD62" s="89">
        <f t="shared" si="3"/>
        <v>46.733260000000001</v>
      </c>
      <c r="AE62" s="89">
        <v>28.249199999999998</v>
      </c>
      <c r="AF62" s="186">
        <v>18.484059999999999</v>
      </c>
      <c r="AG62" s="85"/>
      <c r="AH62" s="85"/>
      <c r="AI62" s="85"/>
      <c r="AJ62" s="84"/>
      <c r="AK62" s="85"/>
      <c r="AL62" s="84"/>
      <c r="AM62" s="88"/>
      <c r="AN62" s="84"/>
      <c r="AO62" s="85"/>
      <c r="AP62" s="84"/>
      <c r="AQ62" s="83"/>
      <c r="AR62" s="83"/>
      <c r="AS62" s="83"/>
      <c r="AT62" s="85"/>
      <c r="AU62" s="85"/>
      <c r="AV62" s="85">
        <v>1062.5316499999999</v>
      </c>
      <c r="AW62" s="88"/>
      <c r="AX62" s="84"/>
      <c r="AY62" s="85"/>
      <c r="AZ62" s="84">
        <v>157.35682</v>
      </c>
      <c r="BA62" s="83">
        <v>142.49933999999999</v>
      </c>
      <c r="BB62" s="88"/>
      <c r="BC62" s="85"/>
      <c r="BD62" s="84"/>
      <c r="BE62" s="88"/>
      <c r="BF62" s="85"/>
      <c r="BG62" s="85"/>
      <c r="BH62" s="85"/>
      <c r="BI62" s="85"/>
      <c r="BJ62" s="85"/>
      <c r="BK62" s="85"/>
      <c r="BL62" s="85"/>
      <c r="BM62" s="85"/>
      <c r="BN62" s="85"/>
      <c r="BO62" s="85"/>
      <c r="BP62" s="85"/>
      <c r="BQ62" s="85"/>
      <c r="BR62" s="84"/>
      <c r="BS62" s="85"/>
      <c r="BT62" s="85"/>
      <c r="BU62" s="55"/>
      <c r="BV62" s="90"/>
      <c r="BW62" s="55"/>
      <c r="BX62" s="90"/>
      <c r="BY62" s="55"/>
      <c r="BZ62" s="90"/>
      <c r="CA62" s="91"/>
    </row>
    <row r="63" spans="1:79" ht="50.1" customHeight="1" outlineLevel="2" x14ac:dyDescent="0.3">
      <c r="A63" s="92" t="s">
        <v>36</v>
      </c>
      <c r="B63" s="92" t="s">
        <v>87</v>
      </c>
      <c r="C63" s="79" t="s">
        <v>55</v>
      </c>
      <c r="D63" s="81">
        <f t="shared" si="0"/>
        <v>1133.49251</v>
      </c>
      <c r="E63" s="82">
        <f t="shared" si="1"/>
        <v>58.215119999999999</v>
      </c>
      <c r="F63" s="83">
        <f t="shared" si="2"/>
        <v>1075.27739</v>
      </c>
      <c r="G63" s="84"/>
      <c r="H63" s="85"/>
      <c r="I63" s="85"/>
      <c r="J63" s="84"/>
      <c r="K63" s="85"/>
      <c r="L63" s="85">
        <v>170.39206999999999</v>
      </c>
      <c r="M63" s="85"/>
      <c r="N63" s="85"/>
      <c r="O63" s="82"/>
      <c r="P63" s="83"/>
      <c r="Q63" s="83"/>
      <c r="R63" s="83"/>
      <c r="S63" s="82"/>
      <c r="T63" s="85"/>
      <c r="U63" s="85"/>
      <c r="V63" s="82"/>
      <c r="W63" s="83"/>
      <c r="X63" s="87"/>
      <c r="Y63" s="83">
        <v>48.36</v>
      </c>
      <c r="Z63" s="84"/>
      <c r="AA63" s="85"/>
      <c r="AB63" s="84"/>
      <c r="AC63" s="85"/>
      <c r="AD63" s="89">
        <f t="shared" si="3"/>
        <v>34.806730000000002</v>
      </c>
      <c r="AE63" s="89">
        <v>21.186900000000001</v>
      </c>
      <c r="AF63" s="188">
        <v>13.61983</v>
      </c>
      <c r="AG63" s="85"/>
      <c r="AH63" s="85"/>
      <c r="AI63" s="85"/>
      <c r="AJ63" s="84"/>
      <c r="AK63" s="85"/>
      <c r="AL63" s="84"/>
      <c r="AM63" s="88"/>
      <c r="AN63" s="84"/>
      <c r="AO63" s="85"/>
      <c r="AP63" s="84"/>
      <c r="AQ63" s="83"/>
      <c r="AR63" s="83"/>
      <c r="AS63" s="83"/>
      <c r="AT63" s="85"/>
      <c r="AU63" s="85"/>
      <c r="AV63" s="85"/>
      <c r="AW63" s="88"/>
      <c r="AX63" s="84"/>
      <c r="AY63" s="85"/>
      <c r="AZ63" s="84">
        <v>58.215119999999999</v>
      </c>
      <c r="BA63" s="83">
        <v>52.718589999999999</v>
      </c>
      <c r="BB63" s="88"/>
      <c r="BC63" s="85"/>
      <c r="BD63" s="84"/>
      <c r="BE63" s="88"/>
      <c r="BF63" s="85"/>
      <c r="BG63" s="85"/>
      <c r="BH63" s="85"/>
      <c r="BI63" s="85"/>
      <c r="BJ63" s="85"/>
      <c r="BK63" s="85"/>
      <c r="BL63" s="85"/>
      <c r="BM63" s="85"/>
      <c r="BN63" s="85"/>
      <c r="BO63" s="85"/>
      <c r="BP63" s="85"/>
      <c r="BQ63" s="85"/>
      <c r="BR63" s="84"/>
      <c r="BS63" s="85">
        <v>769</v>
      </c>
      <c r="BT63" s="85"/>
      <c r="BU63" s="55"/>
      <c r="BV63" s="90"/>
      <c r="BW63" s="55"/>
      <c r="BX63" s="90"/>
      <c r="BY63" s="55"/>
      <c r="BZ63" s="90"/>
      <c r="CA63" s="91"/>
    </row>
    <row r="64" spans="1:79" ht="50.1" customHeight="1" outlineLevel="2" x14ac:dyDescent="0.3">
      <c r="A64" s="66" t="s">
        <v>36</v>
      </c>
      <c r="B64" s="66" t="s">
        <v>88</v>
      </c>
      <c r="C64" s="79" t="s">
        <v>89</v>
      </c>
      <c r="D64" s="81">
        <f t="shared" ref="D64:D68" si="4">E64+F64</f>
        <v>173.23694</v>
      </c>
      <c r="E64" s="82">
        <f t="shared" ref="E64:E110" si="5">G64+J64+O64+S64+V64+X64+Z64+AB64+AJ64+AL64+AN64+AP64+AX64+AZ64+BD64+BV64+BX64+BZ64+BR64</f>
        <v>0</v>
      </c>
      <c r="F64" s="83">
        <f t="shared" ref="F64:F68" si="6">H64+I64+K64+L64+M64+N64+P64+Q64+R64+T64+U64+W64+Y64+AA64+AC64+AD64+AG64+AH64+AI64+AK64+AM64+AO64+AQ64+AR64+AS64+AT64+AU64+AV64+AW64+AY64+BA64+BB64+BC64+BE64+BF64+BG64+BH64+BI64+BJ64+BK64+BL64+BO64+BP64+BQ64+BS64+BT64+BU64+BW64+BY64+CA64+BM64+BN64</f>
        <v>173.23694</v>
      </c>
      <c r="G64" s="84"/>
      <c r="H64" s="85"/>
      <c r="I64" s="85"/>
      <c r="J64" s="84"/>
      <c r="K64" s="85"/>
      <c r="L64" s="85"/>
      <c r="M64" s="85"/>
      <c r="N64" s="85"/>
      <c r="O64" s="82"/>
      <c r="P64" s="83"/>
      <c r="Q64" s="83"/>
      <c r="R64" s="83"/>
      <c r="S64" s="93"/>
      <c r="T64" s="85"/>
      <c r="U64" s="85"/>
      <c r="V64" s="84"/>
      <c r="W64" s="83"/>
      <c r="X64" s="82"/>
      <c r="Y64" s="83"/>
      <c r="Z64" s="84"/>
      <c r="AA64" s="85"/>
      <c r="AB64" s="84"/>
      <c r="AC64" s="85"/>
      <c r="AD64" s="89">
        <f t="shared" si="3"/>
        <v>0</v>
      </c>
      <c r="AE64" s="89"/>
      <c r="AF64" s="186"/>
      <c r="AG64" s="85"/>
      <c r="AH64" s="85"/>
      <c r="AI64" s="85"/>
      <c r="AJ64" s="84"/>
      <c r="AK64" s="85"/>
      <c r="AL64" s="84"/>
      <c r="AM64" s="88"/>
      <c r="AN64" s="84"/>
      <c r="AO64" s="85"/>
      <c r="AP64" s="84"/>
      <c r="AQ64" s="83"/>
      <c r="AR64" s="83"/>
      <c r="AS64" s="83"/>
      <c r="AT64" s="85"/>
      <c r="AU64" s="85"/>
      <c r="AV64" s="85"/>
      <c r="AW64" s="88"/>
      <c r="AX64" s="84"/>
      <c r="AY64" s="85"/>
      <c r="AZ64" s="84"/>
      <c r="BA64" s="83"/>
      <c r="BB64" s="88"/>
      <c r="BC64" s="85"/>
      <c r="BD64" s="84"/>
      <c r="BE64" s="88"/>
      <c r="BF64" s="85"/>
      <c r="BG64" s="85"/>
      <c r="BH64" s="85"/>
      <c r="BI64" s="85"/>
      <c r="BJ64" s="85"/>
      <c r="BK64" s="85"/>
      <c r="BL64" s="85"/>
      <c r="BM64" s="85"/>
      <c r="BN64" s="85"/>
      <c r="BO64" s="85"/>
      <c r="BP64" s="85">
        <v>173.23694</v>
      </c>
      <c r="BQ64" s="85"/>
      <c r="BR64" s="84"/>
      <c r="BS64" s="85"/>
      <c r="BT64" s="85"/>
      <c r="BU64" s="55"/>
      <c r="BV64" s="90"/>
      <c r="BW64" s="55"/>
      <c r="BX64" s="90"/>
      <c r="BY64" s="55"/>
      <c r="BZ64" s="90"/>
      <c r="CA64" s="91"/>
    </row>
    <row r="65" spans="1:1199" ht="50.1" customHeight="1" outlineLevel="2" x14ac:dyDescent="0.3">
      <c r="A65" s="66" t="s">
        <v>36</v>
      </c>
      <c r="B65" s="66" t="s">
        <v>90</v>
      </c>
      <c r="C65" s="79" t="s">
        <v>89</v>
      </c>
      <c r="D65" s="81">
        <f t="shared" si="4"/>
        <v>1846.0160100000001</v>
      </c>
      <c r="E65" s="82">
        <f t="shared" si="5"/>
        <v>147.35854</v>
      </c>
      <c r="F65" s="83">
        <f t="shared" si="6"/>
        <v>1698.6574700000001</v>
      </c>
      <c r="G65" s="84"/>
      <c r="H65" s="85"/>
      <c r="I65" s="85"/>
      <c r="J65" s="84">
        <v>68.358620000000002</v>
      </c>
      <c r="K65" s="85">
        <v>21.6431</v>
      </c>
      <c r="L65" s="85">
        <v>34.125019999999999</v>
      </c>
      <c r="M65" s="85"/>
      <c r="N65" s="85"/>
      <c r="O65" s="82">
        <v>78.999920000000003</v>
      </c>
      <c r="P65" s="83">
        <v>5.1893700000000003</v>
      </c>
      <c r="Q65" s="83"/>
      <c r="R65" s="83"/>
      <c r="S65" s="93"/>
      <c r="T65" s="85"/>
      <c r="U65" s="85"/>
      <c r="V65" s="84"/>
      <c r="W65" s="83"/>
      <c r="X65" s="82"/>
      <c r="Y65" s="83"/>
      <c r="Z65" s="84"/>
      <c r="AA65" s="85"/>
      <c r="AB65" s="84"/>
      <c r="AC65" s="85"/>
      <c r="AD65" s="89">
        <f t="shared" ref="AD65:AD68" si="7">AE65+AF65</f>
        <v>0</v>
      </c>
      <c r="AE65" s="89"/>
      <c r="AF65" s="186"/>
      <c r="AG65" s="85"/>
      <c r="AH65" s="85"/>
      <c r="AI65" s="85"/>
      <c r="AJ65" s="84"/>
      <c r="AK65" s="85"/>
      <c r="AL65" s="84"/>
      <c r="AM65" s="88"/>
      <c r="AN65" s="84"/>
      <c r="AO65" s="85"/>
      <c r="AP65" s="84"/>
      <c r="AQ65" s="83"/>
      <c r="AR65" s="83"/>
      <c r="AS65" s="83"/>
      <c r="AT65" s="85"/>
      <c r="AU65" s="85"/>
      <c r="AV65" s="85"/>
      <c r="AW65" s="88"/>
      <c r="AX65" s="84"/>
      <c r="AY65" s="85"/>
      <c r="AZ65" s="84"/>
      <c r="BA65" s="83"/>
      <c r="BB65" s="88"/>
      <c r="BC65" s="85"/>
      <c r="BD65" s="84"/>
      <c r="BE65" s="88"/>
      <c r="BF65" s="85"/>
      <c r="BG65" s="85"/>
      <c r="BH65" s="85"/>
      <c r="BI65" s="85"/>
      <c r="BJ65" s="85"/>
      <c r="BK65" s="85"/>
      <c r="BL65" s="85"/>
      <c r="BM65" s="85"/>
      <c r="BN65" s="85"/>
      <c r="BO65" s="85"/>
      <c r="BP65" s="83">
        <v>1637.6999800000001</v>
      </c>
      <c r="BQ65" s="85"/>
      <c r="BR65" s="84"/>
      <c r="BS65" s="85"/>
      <c r="BT65" s="85"/>
      <c r="BU65" s="55"/>
      <c r="BV65" s="90"/>
      <c r="BW65" s="55"/>
      <c r="BX65" s="90"/>
      <c r="BY65" s="55"/>
      <c r="BZ65" s="90"/>
      <c r="CA65" s="91"/>
    </row>
    <row r="66" spans="1:1199" ht="50.1" customHeight="1" outlineLevel="2" x14ac:dyDescent="0.3">
      <c r="A66" s="66" t="s">
        <v>36</v>
      </c>
      <c r="B66" s="66" t="s">
        <v>91</v>
      </c>
      <c r="C66" s="79" t="s">
        <v>89</v>
      </c>
      <c r="D66" s="81">
        <f t="shared" si="4"/>
        <v>1870.672</v>
      </c>
      <c r="E66" s="82">
        <f t="shared" si="5"/>
        <v>0</v>
      </c>
      <c r="F66" s="83">
        <f t="shared" si="6"/>
        <v>1870.672</v>
      </c>
      <c r="G66" s="84"/>
      <c r="H66" s="85"/>
      <c r="I66" s="85"/>
      <c r="J66" s="84"/>
      <c r="K66" s="85"/>
      <c r="L66" s="85"/>
      <c r="M66" s="85"/>
      <c r="N66" s="85"/>
      <c r="O66" s="82"/>
      <c r="P66" s="83"/>
      <c r="Q66" s="83"/>
      <c r="R66" s="83"/>
      <c r="S66" s="93"/>
      <c r="T66" s="85"/>
      <c r="U66" s="85"/>
      <c r="V66" s="84"/>
      <c r="W66" s="83"/>
      <c r="X66" s="82"/>
      <c r="Y66" s="83"/>
      <c r="Z66" s="84"/>
      <c r="AA66" s="85"/>
      <c r="AB66" s="84"/>
      <c r="AC66" s="85"/>
      <c r="AD66" s="89">
        <f t="shared" si="7"/>
        <v>0</v>
      </c>
      <c r="AE66" s="89"/>
      <c r="AF66" s="186"/>
      <c r="AG66" s="85"/>
      <c r="AH66" s="85"/>
      <c r="AI66" s="85"/>
      <c r="AJ66" s="84"/>
      <c r="AK66" s="85"/>
      <c r="AL66" s="84"/>
      <c r="AM66" s="88"/>
      <c r="AN66" s="84"/>
      <c r="AO66" s="85"/>
      <c r="AP66" s="84"/>
      <c r="AQ66" s="83"/>
      <c r="AR66" s="83"/>
      <c r="AS66" s="83"/>
      <c r="AT66" s="85"/>
      <c r="AU66" s="85"/>
      <c r="AV66" s="85"/>
      <c r="AW66" s="88"/>
      <c r="AX66" s="84"/>
      <c r="AY66" s="85"/>
      <c r="AZ66" s="84"/>
      <c r="BA66" s="83"/>
      <c r="BB66" s="88"/>
      <c r="BC66" s="85"/>
      <c r="BD66" s="84"/>
      <c r="BE66" s="88"/>
      <c r="BF66" s="85"/>
      <c r="BG66" s="85"/>
      <c r="BH66" s="85"/>
      <c r="BI66" s="85"/>
      <c r="BJ66" s="85"/>
      <c r="BK66" s="85"/>
      <c r="BL66" s="85"/>
      <c r="BM66" s="85"/>
      <c r="BN66" s="85"/>
      <c r="BO66" s="85"/>
      <c r="BP66" s="83">
        <v>1870.672</v>
      </c>
      <c r="BQ66" s="85"/>
      <c r="BR66" s="84"/>
      <c r="BS66" s="85"/>
      <c r="BT66" s="85"/>
      <c r="BU66" s="55"/>
      <c r="BV66" s="90"/>
      <c r="BW66" s="55"/>
      <c r="BX66" s="90"/>
      <c r="BY66" s="55"/>
      <c r="BZ66" s="90"/>
      <c r="CA66" s="91"/>
    </row>
    <row r="67" spans="1:1199" ht="50.1" customHeight="1" outlineLevel="2" x14ac:dyDescent="0.3">
      <c r="A67" s="66" t="s">
        <v>36</v>
      </c>
      <c r="B67" s="66" t="s">
        <v>92</v>
      </c>
      <c r="C67" s="79" t="s">
        <v>89</v>
      </c>
      <c r="D67" s="81">
        <f t="shared" si="4"/>
        <v>997.71573999999998</v>
      </c>
      <c r="E67" s="82">
        <f t="shared" si="5"/>
        <v>0</v>
      </c>
      <c r="F67" s="83">
        <f t="shared" si="6"/>
        <v>997.71573999999998</v>
      </c>
      <c r="G67" s="84"/>
      <c r="H67" s="85"/>
      <c r="I67" s="85"/>
      <c r="J67" s="84"/>
      <c r="K67" s="85"/>
      <c r="L67" s="85"/>
      <c r="M67" s="85"/>
      <c r="N67" s="85"/>
      <c r="O67" s="82"/>
      <c r="P67" s="83"/>
      <c r="Q67" s="83"/>
      <c r="R67" s="83"/>
      <c r="S67" s="93"/>
      <c r="T67" s="85"/>
      <c r="U67" s="85"/>
      <c r="V67" s="84"/>
      <c r="W67" s="83"/>
      <c r="X67" s="82"/>
      <c r="Y67" s="83"/>
      <c r="Z67" s="84"/>
      <c r="AA67" s="85"/>
      <c r="AB67" s="84"/>
      <c r="AC67" s="85"/>
      <c r="AD67" s="89">
        <f t="shared" si="7"/>
        <v>0</v>
      </c>
      <c r="AE67" s="89"/>
      <c r="AF67" s="186"/>
      <c r="AG67" s="85"/>
      <c r="AH67" s="85"/>
      <c r="AI67" s="85"/>
      <c r="AJ67" s="84"/>
      <c r="AK67" s="85"/>
      <c r="AL67" s="84"/>
      <c r="AM67" s="88"/>
      <c r="AN67" s="84"/>
      <c r="AO67" s="85"/>
      <c r="AP67" s="84"/>
      <c r="AQ67" s="83"/>
      <c r="AR67" s="83"/>
      <c r="AS67" s="83"/>
      <c r="AT67" s="85"/>
      <c r="AU67" s="85"/>
      <c r="AV67" s="85"/>
      <c r="AW67" s="88"/>
      <c r="AX67" s="84"/>
      <c r="AY67" s="85"/>
      <c r="AZ67" s="84"/>
      <c r="BA67" s="83"/>
      <c r="BB67" s="88"/>
      <c r="BC67" s="85"/>
      <c r="BD67" s="84"/>
      <c r="BE67" s="88"/>
      <c r="BF67" s="85"/>
      <c r="BG67" s="85"/>
      <c r="BH67" s="85"/>
      <c r="BI67" s="85"/>
      <c r="BJ67" s="85"/>
      <c r="BK67" s="85"/>
      <c r="BL67" s="85"/>
      <c r="BM67" s="85"/>
      <c r="BN67" s="85"/>
      <c r="BO67" s="85"/>
      <c r="BP67" s="85">
        <v>997.71573999999998</v>
      </c>
      <c r="BQ67" s="85"/>
      <c r="BR67" s="84"/>
      <c r="BS67" s="85"/>
      <c r="BT67" s="85"/>
      <c r="BU67" s="55"/>
      <c r="BV67" s="90"/>
      <c r="BW67" s="55"/>
      <c r="BX67" s="90"/>
      <c r="BY67" s="55"/>
      <c r="BZ67" s="90"/>
      <c r="CA67" s="91"/>
    </row>
    <row r="68" spans="1:1199" ht="50.1" customHeight="1" outlineLevel="2" x14ac:dyDescent="0.3">
      <c r="A68" s="66" t="s">
        <v>36</v>
      </c>
      <c r="B68" s="100" t="s">
        <v>1024</v>
      </c>
      <c r="C68" s="79"/>
      <c r="D68" s="81">
        <f t="shared" si="4"/>
        <v>300</v>
      </c>
      <c r="E68" s="82">
        <f t="shared" si="5"/>
        <v>0</v>
      </c>
      <c r="F68" s="83">
        <f t="shared" si="6"/>
        <v>300</v>
      </c>
      <c r="G68" s="84"/>
      <c r="H68" s="85"/>
      <c r="I68" s="85"/>
      <c r="J68" s="84"/>
      <c r="K68" s="85"/>
      <c r="L68" s="85"/>
      <c r="M68" s="85"/>
      <c r="N68" s="85"/>
      <c r="O68" s="82"/>
      <c r="P68" s="83"/>
      <c r="Q68" s="83"/>
      <c r="R68" s="83"/>
      <c r="S68" s="93"/>
      <c r="T68" s="85"/>
      <c r="U68" s="85"/>
      <c r="V68" s="84"/>
      <c r="W68" s="83"/>
      <c r="X68" s="82"/>
      <c r="Y68" s="83"/>
      <c r="Z68" s="84"/>
      <c r="AA68" s="85"/>
      <c r="AB68" s="84"/>
      <c r="AC68" s="85"/>
      <c r="AD68" s="89">
        <f t="shared" si="7"/>
        <v>0</v>
      </c>
      <c r="AE68" s="89"/>
      <c r="AF68" s="186"/>
      <c r="AG68" s="85"/>
      <c r="AH68" s="85"/>
      <c r="AI68" s="85"/>
      <c r="AJ68" s="84"/>
      <c r="AK68" s="85"/>
      <c r="AL68" s="84"/>
      <c r="AM68" s="88"/>
      <c r="AN68" s="84"/>
      <c r="AO68" s="85"/>
      <c r="AP68" s="84"/>
      <c r="AQ68" s="83"/>
      <c r="AR68" s="83"/>
      <c r="AS68" s="83"/>
      <c r="AT68" s="85"/>
      <c r="AU68" s="85"/>
      <c r="AV68" s="85"/>
      <c r="AW68" s="88"/>
      <c r="AX68" s="84"/>
      <c r="AY68" s="85"/>
      <c r="AZ68" s="84"/>
      <c r="BA68" s="83"/>
      <c r="BB68" s="88"/>
      <c r="BC68" s="85"/>
      <c r="BD68" s="84"/>
      <c r="BE68" s="88"/>
      <c r="BF68" s="85"/>
      <c r="BG68" s="85"/>
      <c r="BH68" s="85">
        <v>300</v>
      </c>
      <c r="BI68" s="85"/>
      <c r="BJ68" s="85"/>
      <c r="BK68" s="85"/>
      <c r="BL68" s="85"/>
      <c r="BM68" s="85"/>
      <c r="BN68" s="85"/>
      <c r="BO68" s="85"/>
      <c r="BP68" s="85"/>
      <c r="BQ68" s="85"/>
      <c r="BR68" s="84"/>
      <c r="BS68" s="85"/>
      <c r="BT68" s="85"/>
      <c r="BU68" s="55"/>
      <c r="BV68" s="90"/>
      <c r="BW68" s="55"/>
      <c r="BX68" s="90"/>
      <c r="BY68" s="55"/>
      <c r="BZ68" s="90"/>
      <c r="CA68" s="91"/>
    </row>
    <row r="69" spans="1:1199" s="101" customFormat="1" ht="50.1" customHeight="1" outlineLevel="1" x14ac:dyDescent="0.3">
      <c r="A69" s="226" t="s">
        <v>93</v>
      </c>
      <c r="B69" s="227"/>
      <c r="C69" s="134" t="s">
        <v>94</v>
      </c>
      <c r="D69" s="114">
        <f t="shared" ref="D69:AI69" si="8">SUBTOTAL(9,D13:D68)</f>
        <v>89855.704750000034</v>
      </c>
      <c r="E69" s="114">
        <f t="shared" si="8"/>
        <v>15454.158839999995</v>
      </c>
      <c r="F69" s="114">
        <f t="shared" si="8"/>
        <v>74401.54591000003</v>
      </c>
      <c r="G69" s="114">
        <f t="shared" si="8"/>
        <v>3125.8382099999999</v>
      </c>
      <c r="H69" s="114">
        <f t="shared" si="8"/>
        <v>1523.96462</v>
      </c>
      <c r="I69" s="114">
        <f t="shared" si="8"/>
        <v>0</v>
      </c>
      <c r="J69" s="114">
        <f t="shared" si="8"/>
        <v>436.17166999999995</v>
      </c>
      <c r="K69" s="114">
        <f t="shared" si="8"/>
        <v>179.70917</v>
      </c>
      <c r="L69" s="114">
        <f t="shared" si="8"/>
        <v>2093.5960099999998</v>
      </c>
      <c r="M69" s="114">
        <f t="shared" si="8"/>
        <v>4015.2750000000001</v>
      </c>
      <c r="N69" s="114">
        <f t="shared" si="8"/>
        <v>0</v>
      </c>
      <c r="O69" s="114">
        <f t="shared" si="8"/>
        <v>142.38236000000001</v>
      </c>
      <c r="P69" s="114">
        <f t="shared" si="8"/>
        <v>9.2874800000000004</v>
      </c>
      <c r="Q69" s="114">
        <f t="shared" si="8"/>
        <v>0</v>
      </c>
      <c r="R69" s="114">
        <f t="shared" si="8"/>
        <v>0</v>
      </c>
      <c r="S69" s="114">
        <f t="shared" si="8"/>
        <v>0</v>
      </c>
      <c r="T69" s="114">
        <f t="shared" si="8"/>
        <v>341.26591000000002</v>
      </c>
      <c r="U69" s="114">
        <f t="shared" si="8"/>
        <v>0</v>
      </c>
      <c r="V69" s="114">
        <f t="shared" si="8"/>
        <v>479.42531000000002</v>
      </c>
      <c r="W69" s="114">
        <f t="shared" si="8"/>
        <v>1270.9395</v>
      </c>
      <c r="X69" s="114">
        <f t="shared" si="8"/>
        <v>0</v>
      </c>
      <c r="Y69" s="114">
        <f t="shared" si="8"/>
        <v>6148.2719999999981</v>
      </c>
      <c r="Z69" s="114">
        <f t="shared" si="8"/>
        <v>0</v>
      </c>
      <c r="AA69" s="114">
        <f t="shared" si="8"/>
        <v>0</v>
      </c>
      <c r="AB69" s="114">
        <f t="shared" si="8"/>
        <v>0</v>
      </c>
      <c r="AC69" s="114">
        <f t="shared" si="8"/>
        <v>0</v>
      </c>
      <c r="AD69" s="114">
        <f t="shared" si="8"/>
        <v>4164.0527700000011</v>
      </c>
      <c r="AE69" s="114">
        <f t="shared" si="8"/>
        <v>1369.35475</v>
      </c>
      <c r="AF69" s="191">
        <f t="shared" si="8"/>
        <v>2794.6980200000003</v>
      </c>
      <c r="AG69" s="114">
        <f t="shared" si="8"/>
        <v>0</v>
      </c>
      <c r="AH69" s="114">
        <f t="shared" si="8"/>
        <v>0</v>
      </c>
      <c r="AI69" s="114">
        <f t="shared" si="8"/>
        <v>0</v>
      </c>
      <c r="AJ69" s="114">
        <f t="shared" ref="AJ69:BO69" si="9">SUBTOTAL(9,AJ13:AJ68)</f>
        <v>0</v>
      </c>
      <c r="AK69" s="114">
        <f t="shared" si="9"/>
        <v>0</v>
      </c>
      <c r="AL69" s="114">
        <f t="shared" si="9"/>
        <v>0</v>
      </c>
      <c r="AM69" s="114">
        <f t="shared" si="9"/>
        <v>0</v>
      </c>
      <c r="AN69" s="114">
        <f t="shared" si="9"/>
        <v>0</v>
      </c>
      <c r="AO69" s="114">
        <f t="shared" si="9"/>
        <v>1447.6799999999998</v>
      </c>
      <c r="AP69" s="114">
        <f t="shared" si="9"/>
        <v>4360.64498</v>
      </c>
      <c r="AQ69" s="114">
        <f t="shared" si="9"/>
        <v>9848.8789199999992</v>
      </c>
      <c r="AR69" s="114">
        <f t="shared" si="9"/>
        <v>0</v>
      </c>
      <c r="AS69" s="114">
        <f t="shared" si="9"/>
        <v>0</v>
      </c>
      <c r="AT69" s="114">
        <f t="shared" si="9"/>
        <v>0</v>
      </c>
      <c r="AU69" s="114">
        <f t="shared" si="9"/>
        <v>0</v>
      </c>
      <c r="AV69" s="114">
        <f t="shared" si="9"/>
        <v>6248.8357000000005</v>
      </c>
      <c r="AW69" s="114">
        <f t="shared" si="9"/>
        <v>0</v>
      </c>
      <c r="AX69" s="114">
        <f t="shared" si="9"/>
        <v>0</v>
      </c>
      <c r="AY69" s="114">
        <f t="shared" si="9"/>
        <v>0</v>
      </c>
      <c r="AZ69" s="114">
        <f t="shared" si="9"/>
        <v>6909.6963099999994</v>
      </c>
      <c r="BA69" s="114">
        <f t="shared" si="9"/>
        <v>6257.2892399999992</v>
      </c>
      <c r="BB69" s="114">
        <f t="shared" si="9"/>
        <v>1285.1643200000001</v>
      </c>
      <c r="BC69" s="114">
        <f t="shared" si="9"/>
        <v>0</v>
      </c>
      <c r="BD69" s="114">
        <f t="shared" si="9"/>
        <v>0</v>
      </c>
      <c r="BE69" s="114">
        <f t="shared" si="9"/>
        <v>0</v>
      </c>
      <c r="BF69" s="114">
        <f t="shared" si="9"/>
        <v>0</v>
      </c>
      <c r="BG69" s="114">
        <f t="shared" si="9"/>
        <v>2130.5837600000004</v>
      </c>
      <c r="BH69" s="114">
        <f t="shared" si="9"/>
        <v>300</v>
      </c>
      <c r="BI69" s="114">
        <f t="shared" si="9"/>
        <v>0</v>
      </c>
      <c r="BJ69" s="114">
        <f t="shared" si="9"/>
        <v>0</v>
      </c>
      <c r="BK69" s="114">
        <f t="shared" si="9"/>
        <v>2375.7813200000005</v>
      </c>
      <c r="BL69" s="114">
        <f t="shared" si="9"/>
        <v>0</v>
      </c>
      <c r="BM69" s="114">
        <f t="shared" si="9"/>
        <v>0</v>
      </c>
      <c r="BN69" s="114">
        <f t="shared" si="9"/>
        <v>0</v>
      </c>
      <c r="BO69" s="114">
        <f t="shared" si="9"/>
        <v>0</v>
      </c>
      <c r="BP69" s="114">
        <f t="shared" ref="BP69:CU69" si="10">SUBTOTAL(9,BP13:BP68)</f>
        <v>4679.3246600000002</v>
      </c>
      <c r="BQ69" s="114">
        <f t="shared" si="10"/>
        <v>0</v>
      </c>
      <c r="BR69" s="114">
        <f t="shared" si="10"/>
        <v>0</v>
      </c>
      <c r="BS69" s="114">
        <f t="shared" si="10"/>
        <v>19831.100000000002</v>
      </c>
      <c r="BT69" s="114">
        <f t="shared" si="10"/>
        <v>250.54552999999999</v>
      </c>
      <c r="BU69" s="114">
        <f t="shared" si="10"/>
        <v>0</v>
      </c>
      <c r="BV69" s="114">
        <f t="shared" si="10"/>
        <v>0</v>
      </c>
      <c r="BW69" s="114">
        <f t="shared" si="10"/>
        <v>0</v>
      </c>
      <c r="BX69" s="114">
        <f t="shared" si="10"/>
        <v>0</v>
      </c>
      <c r="BY69" s="114">
        <f t="shared" si="10"/>
        <v>0</v>
      </c>
      <c r="BZ69" s="114">
        <f t="shared" si="10"/>
        <v>0</v>
      </c>
      <c r="CA69" s="114">
        <f t="shared" si="10"/>
        <v>0</v>
      </c>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c r="EN69" s="176"/>
      <c r="EO69" s="176"/>
      <c r="EP69" s="176"/>
      <c r="EQ69" s="176"/>
      <c r="ER69" s="176"/>
      <c r="ES69" s="176"/>
      <c r="ET69" s="176"/>
      <c r="EU69" s="176"/>
      <c r="EV69" s="176"/>
      <c r="EW69" s="176"/>
      <c r="EX69" s="176"/>
      <c r="EY69" s="176"/>
      <c r="EZ69" s="176"/>
      <c r="FA69" s="176"/>
      <c r="FB69" s="176"/>
      <c r="FC69" s="176"/>
      <c r="FD69" s="176"/>
      <c r="FE69" s="176"/>
      <c r="FF69" s="176"/>
      <c r="FG69" s="176"/>
      <c r="FH69" s="176"/>
      <c r="FI69" s="176"/>
      <c r="FJ69" s="176"/>
      <c r="FK69" s="176"/>
      <c r="FL69" s="176"/>
      <c r="FM69" s="176"/>
      <c r="FN69" s="176"/>
      <c r="FO69" s="176"/>
      <c r="FP69" s="176"/>
      <c r="FQ69" s="176"/>
      <c r="FR69" s="176"/>
      <c r="FS69" s="176"/>
      <c r="FT69" s="176"/>
      <c r="FU69" s="176"/>
      <c r="FV69" s="176"/>
      <c r="FW69" s="176"/>
      <c r="FX69" s="176"/>
      <c r="FY69" s="176"/>
      <c r="FZ69" s="176"/>
      <c r="GA69" s="176"/>
      <c r="GB69" s="176"/>
      <c r="GC69" s="176"/>
      <c r="GD69" s="176"/>
      <c r="GE69" s="176"/>
      <c r="GF69" s="176"/>
      <c r="GG69" s="176"/>
      <c r="GH69" s="176"/>
      <c r="GI69" s="176"/>
      <c r="GJ69" s="176"/>
      <c r="GK69" s="176"/>
      <c r="GL69" s="176"/>
      <c r="GM69" s="176"/>
      <c r="GN69" s="176"/>
      <c r="GO69" s="176"/>
      <c r="GP69" s="176"/>
      <c r="GQ69" s="176"/>
      <c r="GR69" s="176"/>
      <c r="GS69" s="176"/>
      <c r="GT69" s="176"/>
      <c r="GU69" s="176"/>
      <c r="GV69" s="176"/>
      <c r="GW69" s="176"/>
      <c r="GX69" s="176"/>
      <c r="GY69" s="176"/>
      <c r="GZ69" s="176"/>
      <c r="HA69" s="176"/>
      <c r="HB69" s="176"/>
      <c r="HC69" s="176"/>
      <c r="HD69" s="176"/>
      <c r="HE69" s="176"/>
      <c r="HF69" s="176"/>
      <c r="HG69" s="176"/>
      <c r="HH69" s="176"/>
      <c r="HI69" s="176"/>
      <c r="HJ69" s="176"/>
      <c r="HK69" s="176"/>
      <c r="HL69" s="176"/>
      <c r="HM69" s="176"/>
      <c r="HN69" s="176"/>
      <c r="HO69" s="176"/>
      <c r="HP69" s="176"/>
      <c r="HQ69" s="176"/>
      <c r="HR69" s="176"/>
      <c r="HS69" s="176"/>
      <c r="HT69" s="176"/>
      <c r="HU69" s="176"/>
      <c r="HV69" s="176"/>
      <c r="HW69" s="176"/>
      <c r="HX69" s="176"/>
      <c r="HY69" s="176"/>
      <c r="HZ69" s="176"/>
      <c r="IA69" s="176"/>
      <c r="IB69" s="176"/>
      <c r="IC69" s="176"/>
      <c r="ID69" s="176"/>
      <c r="IE69" s="176"/>
      <c r="IF69" s="176"/>
      <c r="IG69" s="176"/>
      <c r="IH69" s="176"/>
      <c r="II69" s="176"/>
      <c r="IJ69" s="176"/>
      <c r="IK69" s="176"/>
      <c r="IL69" s="176"/>
      <c r="IM69" s="176"/>
      <c r="IN69" s="176"/>
      <c r="IO69" s="176"/>
      <c r="IP69" s="176"/>
      <c r="IQ69" s="176"/>
      <c r="IR69" s="176"/>
      <c r="IS69" s="176"/>
      <c r="IT69" s="176"/>
      <c r="IU69" s="176"/>
      <c r="IV69" s="176"/>
      <c r="IW69" s="176"/>
      <c r="IX69" s="176"/>
      <c r="IY69" s="176"/>
      <c r="IZ69" s="176"/>
      <c r="JA69" s="176"/>
      <c r="JB69" s="176"/>
      <c r="JC69" s="176"/>
      <c r="JD69" s="176"/>
      <c r="JE69" s="176"/>
      <c r="JF69" s="176"/>
      <c r="JG69" s="176"/>
      <c r="JH69" s="176"/>
      <c r="JI69" s="176"/>
      <c r="JJ69" s="176"/>
      <c r="JK69" s="176"/>
      <c r="JL69" s="176"/>
      <c r="JM69" s="176"/>
      <c r="JN69" s="176"/>
      <c r="JO69" s="176"/>
      <c r="JP69" s="176"/>
      <c r="JQ69" s="176"/>
      <c r="JR69" s="176"/>
      <c r="JS69" s="176"/>
      <c r="JT69" s="176"/>
      <c r="JU69" s="176"/>
      <c r="JV69" s="176"/>
      <c r="JW69" s="131"/>
      <c r="JX69" s="131"/>
      <c r="JY69" s="131"/>
      <c r="JZ69" s="131"/>
      <c r="KA69" s="131"/>
      <c r="KB69" s="131"/>
      <c r="KC69" s="131"/>
      <c r="KD69" s="131"/>
      <c r="KE69" s="131"/>
      <c r="KF69" s="131"/>
      <c r="KG69" s="131"/>
      <c r="KH69" s="131"/>
      <c r="KI69" s="131"/>
      <c r="KJ69" s="131"/>
      <c r="KK69" s="131"/>
      <c r="KL69" s="131"/>
      <c r="KM69" s="131"/>
      <c r="KN69" s="131"/>
      <c r="KO69" s="131"/>
      <c r="KP69" s="131"/>
      <c r="KQ69" s="131"/>
      <c r="KR69" s="131"/>
      <c r="KS69" s="131"/>
      <c r="KT69" s="131"/>
      <c r="KU69" s="131"/>
      <c r="KV69" s="131"/>
      <c r="KW69" s="131"/>
      <c r="KX69" s="131"/>
      <c r="KY69" s="131"/>
      <c r="KZ69" s="131"/>
      <c r="LA69" s="131"/>
      <c r="LB69" s="131"/>
      <c r="LC69" s="131"/>
      <c r="LD69" s="131"/>
      <c r="LE69" s="131"/>
      <c r="LF69" s="131"/>
      <c r="LG69" s="131"/>
      <c r="LH69" s="131"/>
      <c r="LI69" s="131"/>
      <c r="LJ69" s="131"/>
      <c r="LK69" s="131"/>
      <c r="LL69" s="131"/>
      <c r="LM69" s="131"/>
      <c r="LN69" s="131"/>
      <c r="LO69" s="131"/>
      <c r="LP69" s="131"/>
      <c r="LQ69" s="131"/>
      <c r="LR69" s="131"/>
      <c r="LS69" s="131"/>
      <c r="LT69" s="131"/>
      <c r="LU69" s="131"/>
      <c r="LV69" s="131"/>
      <c r="LW69" s="131"/>
      <c r="LX69" s="131"/>
      <c r="LY69" s="131"/>
      <c r="LZ69" s="131"/>
      <c r="MA69" s="131"/>
      <c r="MB69" s="131"/>
      <c r="MC69" s="131"/>
      <c r="MD69" s="131"/>
      <c r="ME69" s="131"/>
      <c r="MF69" s="131"/>
      <c r="MG69" s="131"/>
      <c r="MH69" s="131"/>
      <c r="MI69" s="131"/>
      <c r="MJ69" s="131"/>
      <c r="MK69" s="131"/>
      <c r="ML69" s="131"/>
      <c r="MM69" s="131"/>
      <c r="MN69" s="131"/>
      <c r="MO69" s="131"/>
      <c r="MP69" s="131"/>
      <c r="MQ69" s="131"/>
      <c r="MR69" s="131"/>
      <c r="MS69" s="131"/>
      <c r="MT69" s="131"/>
      <c r="MU69" s="131"/>
      <c r="MV69" s="131"/>
      <c r="MW69" s="131"/>
      <c r="MX69" s="131"/>
      <c r="MY69" s="131"/>
      <c r="MZ69" s="131"/>
      <c r="NA69" s="131"/>
      <c r="NB69" s="131"/>
      <c r="NC69" s="131"/>
      <c r="ND69" s="131"/>
      <c r="NE69" s="131"/>
      <c r="NF69" s="131"/>
      <c r="NG69" s="131"/>
      <c r="NH69" s="131"/>
      <c r="NI69" s="131"/>
      <c r="NJ69" s="131"/>
      <c r="NK69" s="131"/>
      <c r="NL69" s="131"/>
      <c r="NM69" s="131"/>
      <c r="NN69" s="131"/>
      <c r="NO69" s="131"/>
      <c r="NP69" s="131"/>
      <c r="NQ69" s="131"/>
      <c r="NR69" s="131"/>
      <c r="NS69" s="131"/>
      <c r="NT69" s="131"/>
      <c r="NU69" s="131"/>
      <c r="NV69" s="131"/>
      <c r="NW69" s="131"/>
      <c r="NX69" s="131"/>
      <c r="NY69" s="131"/>
      <c r="NZ69" s="131"/>
      <c r="OA69" s="131"/>
      <c r="OB69" s="131"/>
      <c r="OC69" s="131"/>
      <c r="OD69" s="131"/>
      <c r="OE69" s="131"/>
      <c r="OF69" s="131"/>
      <c r="OG69" s="131"/>
      <c r="OH69" s="131"/>
      <c r="OI69" s="131"/>
      <c r="OJ69" s="131"/>
      <c r="OK69" s="131"/>
      <c r="OL69" s="131"/>
      <c r="OM69" s="131"/>
      <c r="ON69" s="131"/>
      <c r="OO69" s="131"/>
      <c r="OP69" s="131"/>
      <c r="OQ69" s="131"/>
      <c r="OR69" s="131"/>
      <c r="OS69" s="131"/>
      <c r="OT69" s="131"/>
      <c r="OU69" s="131"/>
      <c r="OV69" s="131"/>
      <c r="OW69" s="131"/>
      <c r="OX69" s="131"/>
      <c r="OY69" s="131"/>
      <c r="OZ69" s="131"/>
      <c r="PA69" s="131"/>
      <c r="PB69" s="131"/>
      <c r="PC69" s="131"/>
      <c r="PD69" s="131"/>
      <c r="PE69" s="131"/>
      <c r="PF69" s="131"/>
      <c r="PG69" s="131"/>
      <c r="PH69" s="131"/>
      <c r="PI69" s="131"/>
      <c r="PJ69" s="131"/>
      <c r="PK69" s="131"/>
      <c r="PL69" s="131"/>
      <c r="PM69" s="131"/>
      <c r="PN69" s="131"/>
      <c r="PO69" s="131"/>
      <c r="PP69" s="131"/>
      <c r="PQ69" s="131"/>
      <c r="PR69" s="131"/>
      <c r="PS69" s="131"/>
      <c r="PT69" s="131"/>
      <c r="PU69" s="131"/>
      <c r="PV69" s="131"/>
      <c r="PW69" s="131"/>
      <c r="PX69" s="131"/>
      <c r="PY69" s="131"/>
      <c r="PZ69" s="131"/>
      <c r="QA69" s="131"/>
      <c r="QB69" s="131"/>
      <c r="QC69" s="131"/>
      <c r="QD69" s="131"/>
      <c r="QE69" s="131"/>
      <c r="QF69" s="131"/>
      <c r="QG69" s="131"/>
      <c r="QH69" s="131"/>
      <c r="QI69" s="131"/>
      <c r="QJ69" s="131"/>
      <c r="QK69" s="131"/>
      <c r="QL69" s="131"/>
      <c r="QM69" s="131"/>
      <c r="QN69" s="131"/>
      <c r="QO69" s="131"/>
      <c r="QP69" s="131"/>
      <c r="QQ69" s="131"/>
      <c r="QR69" s="131"/>
      <c r="QS69" s="131"/>
      <c r="QT69" s="131"/>
      <c r="QU69" s="131"/>
      <c r="QV69" s="131"/>
      <c r="QW69" s="131"/>
      <c r="QX69" s="131"/>
      <c r="QY69" s="131"/>
      <c r="QZ69" s="131"/>
      <c r="RA69" s="131"/>
      <c r="RB69" s="131"/>
      <c r="RC69" s="131"/>
      <c r="RD69" s="131"/>
      <c r="RE69" s="131"/>
      <c r="RF69" s="131"/>
      <c r="RG69" s="131"/>
      <c r="RH69" s="131"/>
      <c r="RI69" s="131"/>
      <c r="RJ69" s="131"/>
      <c r="RK69" s="131"/>
      <c r="RL69" s="131"/>
      <c r="RM69" s="131"/>
      <c r="RN69" s="131"/>
      <c r="RO69" s="131"/>
      <c r="RP69" s="131"/>
      <c r="RQ69" s="131"/>
      <c r="RR69" s="131"/>
      <c r="RS69" s="131"/>
      <c r="RT69" s="131"/>
      <c r="RU69" s="131"/>
      <c r="RV69" s="131"/>
      <c r="RW69" s="131"/>
      <c r="RX69" s="131"/>
      <c r="RY69" s="131"/>
      <c r="RZ69" s="131"/>
      <c r="SA69" s="131"/>
      <c r="SB69" s="131"/>
      <c r="SC69" s="131"/>
      <c r="SD69" s="131"/>
      <c r="SE69" s="131"/>
      <c r="SF69" s="131"/>
      <c r="SG69" s="131"/>
      <c r="SH69" s="131"/>
      <c r="SI69" s="131"/>
      <c r="SJ69" s="131"/>
      <c r="SK69" s="131"/>
      <c r="SL69" s="131"/>
      <c r="SM69" s="131"/>
      <c r="SN69" s="131"/>
      <c r="SO69" s="131"/>
      <c r="SP69" s="131"/>
      <c r="SQ69" s="131"/>
      <c r="SR69" s="131"/>
      <c r="SS69" s="131"/>
      <c r="ST69" s="131"/>
      <c r="SU69" s="131"/>
      <c r="SV69" s="131"/>
      <c r="SW69" s="131"/>
      <c r="SX69" s="131"/>
      <c r="SY69" s="131"/>
      <c r="SZ69" s="131"/>
      <c r="TA69" s="131"/>
      <c r="TB69" s="131"/>
      <c r="TC69" s="131"/>
      <c r="TD69" s="131"/>
      <c r="TE69" s="131"/>
      <c r="TF69" s="131"/>
      <c r="TG69" s="131"/>
      <c r="TH69" s="131"/>
      <c r="TI69" s="131"/>
      <c r="TJ69" s="131"/>
      <c r="TK69" s="131"/>
      <c r="TL69" s="131"/>
      <c r="TM69" s="131"/>
      <c r="TN69" s="131"/>
      <c r="TO69" s="131"/>
      <c r="TP69" s="131"/>
      <c r="TQ69" s="131"/>
      <c r="TR69" s="131"/>
      <c r="TS69" s="131"/>
      <c r="TT69" s="131"/>
      <c r="TU69" s="131"/>
      <c r="TV69" s="131"/>
      <c r="TW69" s="131"/>
      <c r="TX69" s="131"/>
      <c r="TY69" s="131"/>
      <c r="TZ69" s="131"/>
      <c r="UA69" s="131"/>
      <c r="UB69" s="131"/>
      <c r="UC69" s="131"/>
      <c r="UD69" s="131"/>
      <c r="UE69" s="131"/>
      <c r="UF69" s="131"/>
      <c r="UG69" s="131"/>
      <c r="UH69" s="131"/>
      <c r="UI69" s="131"/>
      <c r="UJ69" s="131"/>
      <c r="UK69" s="131"/>
      <c r="UL69" s="131"/>
      <c r="UM69" s="131"/>
      <c r="UN69" s="131"/>
      <c r="UO69" s="131"/>
      <c r="UP69" s="131"/>
      <c r="UQ69" s="131"/>
      <c r="UR69" s="131"/>
      <c r="US69" s="131"/>
      <c r="UT69" s="131"/>
      <c r="UU69" s="131"/>
      <c r="UV69" s="131"/>
      <c r="UW69" s="131"/>
      <c r="UX69" s="131"/>
      <c r="UY69" s="131"/>
      <c r="UZ69" s="131"/>
      <c r="VA69" s="131"/>
      <c r="VB69" s="131"/>
      <c r="VC69" s="131"/>
      <c r="VD69" s="131"/>
      <c r="VE69" s="131"/>
      <c r="VF69" s="131"/>
      <c r="VG69" s="131"/>
      <c r="VH69" s="131"/>
      <c r="VI69" s="131"/>
      <c r="VJ69" s="131"/>
      <c r="VK69" s="131"/>
      <c r="VL69" s="131"/>
      <c r="VM69" s="131"/>
      <c r="VN69" s="131"/>
      <c r="VO69" s="131"/>
      <c r="VP69" s="131"/>
      <c r="VQ69" s="131"/>
      <c r="VR69" s="131"/>
      <c r="VS69" s="131"/>
      <c r="VT69" s="131"/>
      <c r="VU69" s="131"/>
      <c r="VV69" s="131"/>
      <c r="VW69" s="131"/>
      <c r="VX69" s="131"/>
      <c r="VY69" s="131"/>
      <c r="VZ69" s="131"/>
      <c r="WA69" s="131"/>
      <c r="WB69" s="131"/>
      <c r="WC69" s="131"/>
      <c r="WD69" s="131"/>
      <c r="WE69" s="131"/>
      <c r="WF69" s="131"/>
      <c r="WG69" s="131"/>
      <c r="WH69" s="131"/>
      <c r="WI69" s="131"/>
      <c r="WJ69" s="131"/>
      <c r="WK69" s="131"/>
      <c r="WL69" s="131"/>
      <c r="WM69" s="131"/>
      <c r="WN69" s="131"/>
      <c r="WO69" s="131"/>
      <c r="WP69" s="131"/>
      <c r="WQ69" s="131"/>
      <c r="WR69" s="131"/>
      <c r="WS69" s="131"/>
      <c r="WT69" s="131"/>
      <c r="WU69" s="131"/>
      <c r="WV69" s="131"/>
      <c r="WW69" s="131"/>
      <c r="WX69" s="131"/>
      <c r="WY69" s="131"/>
      <c r="WZ69" s="131"/>
      <c r="XA69" s="131"/>
      <c r="XB69" s="131"/>
      <c r="XC69" s="131"/>
      <c r="XD69" s="131"/>
      <c r="XE69" s="131"/>
      <c r="XF69" s="131"/>
      <c r="XG69" s="131"/>
      <c r="XH69" s="131"/>
      <c r="XI69" s="131"/>
      <c r="XJ69" s="131"/>
      <c r="XK69" s="131"/>
      <c r="XL69" s="131"/>
      <c r="XM69" s="131"/>
      <c r="XN69" s="131"/>
      <c r="XO69" s="131"/>
      <c r="XP69" s="131"/>
      <c r="XQ69" s="131"/>
      <c r="XR69" s="131"/>
      <c r="XS69" s="131"/>
      <c r="XT69" s="131"/>
      <c r="XU69" s="131"/>
      <c r="XV69" s="131"/>
      <c r="XW69" s="131"/>
      <c r="XX69" s="131"/>
      <c r="XY69" s="131"/>
      <c r="XZ69" s="131"/>
      <c r="YA69" s="131"/>
      <c r="YB69" s="131"/>
      <c r="YC69" s="131"/>
      <c r="YD69" s="131"/>
      <c r="YE69" s="131"/>
      <c r="YF69" s="131"/>
      <c r="YG69" s="131"/>
      <c r="YH69" s="131"/>
      <c r="YI69" s="131"/>
      <c r="YJ69" s="131"/>
      <c r="YK69" s="131"/>
      <c r="YL69" s="131"/>
      <c r="YM69" s="131"/>
      <c r="YN69" s="131"/>
      <c r="YO69" s="131"/>
      <c r="YP69" s="131"/>
      <c r="YQ69" s="131"/>
      <c r="YR69" s="131"/>
      <c r="YS69" s="131"/>
      <c r="YT69" s="131"/>
      <c r="YU69" s="131"/>
      <c r="YV69" s="131"/>
      <c r="YW69" s="131"/>
      <c r="YX69" s="131"/>
      <c r="YY69" s="131"/>
      <c r="YZ69" s="131"/>
      <c r="ZA69" s="131"/>
      <c r="ZB69" s="131"/>
      <c r="ZC69" s="131"/>
      <c r="ZD69" s="131"/>
      <c r="ZE69" s="131"/>
      <c r="ZF69" s="131"/>
      <c r="ZG69" s="131"/>
      <c r="ZH69" s="131"/>
      <c r="ZI69" s="131"/>
      <c r="ZJ69" s="131"/>
      <c r="ZK69" s="131"/>
      <c r="ZL69" s="131"/>
      <c r="ZM69" s="131"/>
      <c r="ZN69" s="131"/>
      <c r="ZO69" s="131"/>
      <c r="ZP69" s="131"/>
      <c r="ZQ69" s="131"/>
      <c r="ZR69" s="131"/>
      <c r="ZS69" s="131"/>
      <c r="ZT69" s="131"/>
      <c r="ZU69" s="131"/>
      <c r="ZV69" s="131"/>
      <c r="ZW69" s="131"/>
      <c r="ZX69" s="131"/>
      <c r="ZY69" s="131"/>
      <c r="ZZ69" s="131"/>
      <c r="AAA69" s="131"/>
      <c r="AAB69" s="131"/>
      <c r="AAC69" s="131"/>
      <c r="AAD69" s="131"/>
      <c r="AAE69" s="131"/>
      <c r="AAF69" s="131"/>
      <c r="AAG69" s="131"/>
      <c r="AAH69" s="131"/>
      <c r="AAI69" s="131"/>
      <c r="AAJ69" s="131"/>
      <c r="AAK69" s="131"/>
      <c r="AAL69" s="131"/>
      <c r="AAM69" s="131"/>
      <c r="AAN69" s="131"/>
      <c r="AAO69" s="131"/>
      <c r="AAP69" s="131"/>
      <c r="AAQ69" s="131"/>
      <c r="AAR69" s="131"/>
      <c r="AAS69" s="131"/>
      <c r="AAT69" s="131"/>
      <c r="AAU69" s="131"/>
      <c r="AAV69" s="131"/>
      <c r="AAW69" s="131"/>
      <c r="AAX69" s="131"/>
      <c r="AAY69" s="131"/>
      <c r="AAZ69" s="131"/>
      <c r="ABA69" s="131"/>
      <c r="ABB69" s="131"/>
      <c r="ABC69" s="131"/>
      <c r="ABD69" s="131"/>
      <c r="ABE69" s="131"/>
      <c r="ABF69" s="131"/>
      <c r="ABG69" s="131"/>
      <c r="ABH69" s="131"/>
      <c r="ABI69" s="131"/>
      <c r="ABJ69" s="131"/>
      <c r="ABK69" s="131"/>
      <c r="ABL69" s="131"/>
      <c r="ABM69" s="131"/>
      <c r="ABN69" s="131"/>
      <c r="ABO69" s="131"/>
      <c r="ABP69" s="131"/>
      <c r="ABQ69" s="131"/>
      <c r="ABR69" s="131"/>
      <c r="ABS69" s="131"/>
      <c r="ABT69" s="131"/>
      <c r="ABU69" s="131"/>
      <c r="ABV69" s="131"/>
      <c r="ABW69" s="131"/>
      <c r="ABX69" s="131"/>
      <c r="ABY69" s="131"/>
      <c r="ABZ69" s="131"/>
      <c r="ACA69" s="131"/>
      <c r="ACB69" s="131"/>
      <c r="ACC69" s="131"/>
      <c r="ACD69" s="131"/>
      <c r="ACE69" s="131"/>
      <c r="ACF69" s="131"/>
      <c r="ACG69" s="131"/>
      <c r="ACH69" s="131"/>
      <c r="ACI69" s="131"/>
      <c r="ACJ69" s="131"/>
      <c r="ACK69" s="131"/>
      <c r="ACL69" s="131"/>
      <c r="ACM69" s="131"/>
      <c r="ACN69" s="131"/>
      <c r="ACO69" s="131"/>
      <c r="ACP69" s="131"/>
      <c r="ACQ69" s="131"/>
      <c r="ACR69" s="131"/>
      <c r="ACS69" s="131"/>
      <c r="ACT69" s="131"/>
      <c r="ACU69" s="131"/>
      <c r="ACV69" s="131"/>
      <c r="ACW69" s="131"/>
      <c r="ACX69" s="131"/>
      <c r="ACY69" s="131"/>
      <c r="ACZ69" s="131"/>
      <c r="ADA69" s="131"/>
      <c r="ADB69" s="131"/>
      <c r="ADC69" s="131"/>
      <c r="ADD69" s="131"/>
      <c r="ADE69" s="131"/>
      <c r="ADF69" s="131"/>
      <c r="ADG69" s="131"/>
      <c r="ADH69" s="131"/>
      <c r="ADI69" s="131"/>
      <c r="ADJ69" s="131"/>
      <c r="ADK69" s="131"/>
      <c r="ADL69" s="131"/>
      <c r="ADM69" s="131"/>
      <c r="ADN69" s="131"/>
      <c r="ADO69" s="131"/>
      <c r="ADP69" s="131"/>
      <c r="ADQ69" s="131"/>
      <c r="ADR69" s="131"/>
      <c r="ADS69" s="131"/>
      <c r="ADT69" s="131"/>
      <c r="ADU69" s="131"/>
      <c r="ADV69" s="131"/>
      <c r="ADW69" s="131"/>
      <c r="ADX69" s="131"/>
      <c r="ADY69" s="131"/>
      <c r="ADZ69" s="131"/>
      <c r="AEA69" s="131"/>
      <c r="AEB69" s="131"/>
      <c r="AEC69" s="131"/>
      <c r="AED69" s="131"/>
      <c r="AEE69" s="131"/>
      <c r="AEF69" s="131"/>
      <c r="AEG69" s="131"/>
      <c r="AEH69" s="131"/>
      <c r="AEI69" s="131"/>
      <c r="AEJ69" s="131"/>
      <c r="AEK69" s="131"/>
      <c r="AEL69" s="131"/>
      <c r="AEM69" s="131"/>
      <c r="AEN69" s="131"/>
      <c r="AEO69" s="131"/>
      <c r="AEP69" s="131"/>
      <c r="AEQ69" s="131"/>
      <c r="AER69" s="131"/>
      <c r="AES69" s="131"/>
      <c r="AET69" s="131"/>
      <c r="AEU69" s="131"/>
      <c r="AEV69" s="131"/>
      <c r="AEW69" s="131"/>
      <c r="AEX69" s="131"/>
      <c r="AEY69" s="131"/>
      <c r="AEZ69" s="131"/>
      <c r="AFA69" s="131"/>
      <c r="AFB69" s="131"/>
      <c r="AFC69" s="131"/>
      <c r="AFD69" s="131"/>
      <c r="AFE69" s="131"/>
      <c r="AFF69" s="131"/>
      <c r="AFG69" s="131"/>
      <c r="AFH69" s="131"/>
      <c r="AFI69" s="131"/>
      <c r="AFJ69" s="131"/>
      <c r="AFK69" s="131"/>
      <c r="AFL69" s="131"/>
      <c r="AFM69" s="131"/>
      <c r="AFN69" s="131"/>
      <c r="AFO69" s="131"/>
      <c r="AFP69" s="131"/>
      <c r="AFQ69" s="131"/>
      <c r="AFR69" s="131"/>
      <c r="AFS69" s="131"/>
      <c r="AFT69" s="131"/>
      <c r="AFU69" s="131"/>
      <c r="AFV69" s="131"/>
      <c r="AFW69" s="131"/>
      <c r="AFX69" s="131"/>
      <c r="AFY69" s="131"/>
      <c r="AFZ69" s="131"/>
      <c r="AGA69" s="131"/>
      <c r="AGB69" s="131"/>
      <c r="AGC69" s="131"/>
      <c r="AGD69" s="131"/>
      <c r="AGE69" s="131"/>
      <c r="AGF69" s="131"/>
      <c r="AGG69" s="131"/>
      <c r="AGH69" s="131"/>
      <c r="AGI69" s="131"/>
      <c r="AGJ69" s="131"/>
      <c r="AGK69" s="131"/>
      <c r="AGL69" s="131"/>
      <c r="AGM69" s="131"/>
      <c r="AGN69" s="131"/>
      <c r="AGO69" s="131"/>
      <c r="AGP69" s="131"/>
      <c r="AGQ69" s="131"/>
      <c r="AGR69" s="131"/>
      <c r="AGS69" s="131"/>
      <c r="AGT69" s="131"/>
      <c r="AGU69" s="131"/>
      <c r="AGV69" s="131"/>
      <c r="AGW69" s="131"/>
      <c r="AGX69" s="131"/>
      <c r="AGY69" s="131"/>
      <c r="AGZ69" s="131"/>
      <c r="AHA69" s="131"/>
      <c r="AHB69" s="131"/>
      <c r="AHC69" s="131"/>
      <c r="AHD69" s="131"/>
      <c r="AHE69" s="131"/>
      <c r="AHF69" s="131"/>
      <c r="AHG69" s="131"/>
      <c r="AHH69" s="131"/>
      <c r="AHI69" s="131"/>
      <c r="AHJ69" s="131"/>
      <c r="AHK69" s="131"/>
      <c r="AHL69" s="131"/>
      <c r="AHM69" s="131"/>
      <c r="AHN69" s="131"/>
      <c r="AHO69" s="131"/>
      <c r="AHP69" s="131"/>
      <c r="AHQ69" s="131"/>
      <c r="AHR69" s="131"/>
      <c r="AHS69" s="131"/>
      <c r="AHT69" s="131"/>
      <c r="AHU69" s="131"/>
      <c r="AHV69" s="131"/>
      <c r="AHW69" s="131"/>
      <c r="AHX69" s="131"/>
      <c r="AHY69" s="131"/>
      <c r="AHZ69" s="131"/>
      <c r="AIA69" s="131"/>
      <c r="AIB69" s="131"/>
      <c r="AIC69" s="131"/>
      <c r="AID69" s="131"/>
      <c r="AIE69" s="131"/>
      <c r="AIF69" s="131"/>
      <c r="AIG69" s="131"/>
      <c r="AIH69" s="131"/>
      <c r="AII69" s="131"/>
      <c r="AIJ69" s="131"/>
      <c r="AIK69" s="131"/>
      <c r="AIL69" s="131"/>
      <c r="AIM69" s="131"/>
      <c r="AIN69" s="131"/>
      <c r="AIO69" s="131"/>
      <c r="AIP69" s="131"/>
      <c r="AIQ69" s="131"/>
      <c r="AIR69" s="131"/>
      <c r="AIS69" s="131"/>
      <c r="AIT69" s="131"/>
      <c r="AIU69" s="131"/>
      <c r="AIV69" s="131"/>
      <c r="AIW69" s="131"/>
      <c r="AIX69" s="131"/>
      <c r="AIY69" s="131"/>
      <c r="AIZ69" s="131"/>
      <c r="AJA69" s="131"/>
      <c r="AJB69" s="131"/>
      <c r="AJC69" s="131"/>
      <c r="AJD69" s="131"/>
      <c r="AJE69" s="131"/>
      <c r="AJF69" s="131"/>
      <c r="AJG69" s="131"/>
      <c r="AJH69" s="131"/>
      <c r="AJI69" s="131"/>
      <c r="AJJ69" s="131"/>
      <c r="AJK69" s="131"/>
      <c r="AJL69" s="131"/>
      <c r="AJM69" s="131"/>
      <c r="AJN69" s="131"/>
      <c r="AJO69" s="131"/>
      <c r="AJP69" s="131"/>
      <c r="AJQ69" s="131"/>
      <c r="AJR69" s="131"/>
      <c r="AJS69" s="131"/>
      <c r="AJT69" s="131"/>
      <c r="AJU69" s="131"/>
      <c r="AJV69" s="131"/>
      <c r="AJW69" s="131"/>
      <c r="AJX69" s="131"/>
      <c r="AJY69" s="131"/>
      <c r="AJZ69" s="131"/>
      <c r="AKA69" s="131"/>
      <c r="AKB69" s="131"/>
      <c r="AKC69" s="131"/>
      <c r="AKD69" s="131"/>
      <c r="AKE69" s="131"/>
      <c r="AKF69" s="131"/>
      <c r="AKG69" s="131"/>
      <c r="AKH69" s="131"/>
      <c r="AKI69" s="131"/>
      <c r="AKJ69" s="131"/>
      <c r="AKK69" s="131"/>
      <c r="AKL69" s="131"/>
      <c r="AKM69" s="131"/>
      <c r="AKN69" s="131"/>
      <c r="AKO69" s="131"/>
      <c r="AKP69" s="131"/>
      <c r="AKQ69" s="131"/>
      <c r="AKR69" s="131"/>
      <c r="AKS69" s="131"/>
      <c r="AKT69" s="131"/>
      <c r="AKU69" s="131"/>
      <c r="AKV69" s="131"/>
      <c r="AKW69" s="131"/>
      <c r="AKX69" s="131"/>
      <c r="AKY69" s="131"/>
      <c r="AKZ69" s="131"/>
      <c r="ALA69" s="131"/>
      <c r="ALB69" s="131"/>
      <c r="ALC69" s="131"/>
      <c r="ALD69" s="131"/>
      <c r="ALE69" s="131"/>
      <c r="ALF69" s="131"/>
      <c r="ALG69" s="131"/>
      <c r="ALH69" s="131"/>
      <c r="ALI69" s="131"/>
      <c r="ALJ69" s="131"/>
      <c r="ALK69" s="131"/>
      <c r="ALL69" s="131"/>
      <c r="ALM69" s="131"/>
      <c r="ALN69" s="131"/>
      <c r="ALO69" s="131"/>
      <c r="ALP69" s="131"/>
      <c r="ALQ69" s="131"/>
      <c r="ALR69" s="131"/>
      <c r="ALS69" s="131"/>
      <c r="ALT69" s="131"/>
      <c r="ALU69" s="131"/>
      <c r="ALV69" s="131"/>
      <c r="ALW69" s="131"/>
      <c r="ALX69" s="131"/>
      <c r="ALY69" s="131"/>
      <c r="ALZ69" s="131"/>
      <c r="AMA69" s="131"/>
      <c r="AMB69" s="131"/>
      <c r="AMC69" s="131"/>
      <c r="AMD69" s="131"/>
      <c r="AME69" s="131"/>
      <c r="AMF69" s="131"/>
      <c r="AMG69" s="131"/>
      <c r="AMH69" s="131"/>
      <c r="AMI69" s="131"/>
      <c r="AMJ69" s="131"/>
      <c r="AMK69" s="131"/>
      <c r="AML69" s="131"/>
      <c r="AMM69" s="131"/>
      <c r="AMN69" s="131"/>
      <c r="AMO69" s="131"/>
      <c r="AMP69" s="131"/>
      <c r="AMQ69" s="131"/>
      <c r="AMR69" s="131"/>
      <c r="AMS69" s="131"/>
      <c r="AMT69" s="131"/>
      <c r="AMU69" s="131"/>
      <c r="AMV69" s="131"/>
      <c r="AMW69" s="131"/>
      <c r="AMX69" s="131"/>
      <c r="AMY69" s="131"/>
      <c r="AMZ69" s="131"/>
      <c r="ANA69" s="131"/>
      <c r="ANB69" s="131"/>
      <c r="ANC69" s="131"/>
      <c r="AND69" s="131"/>
      <c r="ANE69" s="131"/>
      <c r="ANF69" s="131"/>
      <c r="ANG69" s="131"/>
      <c r="ANH69" s="131"/>
      <c r="ANI69" s="131"/>
      <c r="ANJ69" s="131"/>
      <c r="ANK69" s="131"/>
      <c r="ANL69" s="131"/>
      <c r="ANM69" s="131"/>
      <c r="ANN69" s="131"/>
      <c r="ANO69" s="131"/>
      <c r="ANP69" s="131"/>
      <c r="ANQ69" s="131"/>
      <c r="ANR69" s="131"/>
      <c r="ANS69" s="131"/>
      <c r="ANT69" s="131"/>
      <c r="ANU69" s="131"/>
      <c r="ANV69" s="131"/>
      <c r="ANW69" s="131"/>
      <c r="ANX69" s="131"/>
      <c r="ANY69" s="131"/>
      <c r="ANZ69" s="131"/>
      <c r="AOA69" s="131"/>
      <c r="AOB69" s="131"/>
      <c r="AOC69" s="131"/>
      <c r="AOD69" s="131"/>
      <c r="AOE69" s="131"/>
      <c r="AOF69" s="131"/>
      <c r="AOG69" s="131"/>
      <c r="AOH69" s="131"/>
      <c r="AOI69" s="131"/>
      <c r="AOJ69" s="131"/>
      <c r="AOK69" s="131"/>
      <c r="AOL69" s="131"/>
      <c r="AOM69" s="131"/>
      <c r="AON69" s="131"/>
      <c r="AOO69" s="131"/>
      <c r="AOP69" s="131"/>
      <c r="AOQ69" s="131"/>
      <c r="AOR69" s="131"/>
      <c r="AOS69" s="131"/>
      <c r="AOT69" s="131"/>
      <c r="AOU69" s="131"/>
      <c r="AOV69" s="131"/>
      <c r="AOW69" s="131"/>
      <c r="AOX69" s="131"/>
      <c r="AOY69" s="131"/>
      <c r="AOZ69" s="131"/>
      <c r="APA69" s="131"/>
      <c r="APB69" s="131"/>
      <c r="APC69" s="131"/>
      <c r="APD69" s="131"/>
      <c r="APE69" s="131"/>
      <c r="APF69" s="131"/>
      <c r="APG69" s="131"/>
      <c r="APH69" s="131"/>
      <c r="API69" s="131"/>
      <c r="APJ69" s="131"/>
      <c r="APK69" s="131"/>
      <c r="APL69" s="131"/>
      <c r="APM69" s="131"/>
      <c r="APN69" s="131"/>
      <c r="APO69" s="131"/>
      <c r="APP69" s="131"/>
      <c r="APQ69" s="131"/>
      <c r="APR69" s="131"/>
      <c r="APS69" s="131"/>
      <c r="APT69" s="131"/>
      <c r="APU69" s="131"/>
      <c r="APV69" s="131"/>
      <c r="APW69" s="131"/>
      <c r="APX69" s="131"/>
      <c r="APY69" s="131"/>
      <c r="APZ69" s="131"/>
      <c r="AQA69" s="131"/>
      <c r="AQB69" s="131"/>
      <c r="AQC69" s="131"/>
      <c r="AQD69" s="131"/>
      <c r="AQE69" s="131"/>
      <c r="AQF69" s="131"/>
      <c r="AQG69" s="131"/>
      <c r="AQH69" s="131"/>
      <c r="AQI69" s="131"/>
      <c r="AQJ69" s="131"/>
      <c r="AQK69" s="131"/>
      <c r="AQL69" s="131"/>
      <c r="AQM69" s="131"/>
      <c r="AQN69" s="131"/>
      <c r="AQO69" s="131"/>
      <c r="AQP69" s="131"/>
      <c r="AQQ69" s="131"/>
      <c r="AQR69" s="131"/>
      <c r="AQS69" s="131"/>
      <c r="AQT69" s="131"/>
      <c r="AQU69" s="131"/>
      <c r="AQV69" s="131"/>
      <c r="AQW69" s="131"/>
      <c r="AQX69" s="131"/>
      <c r="AQY69" s="131"/>
      <c r="AQZ69" s="131"/>
      <c r="ARA69" s="131"/>
      <c r="ARB69" s="131"/>
      <c r="ARC69" s="131"/>
      <c r="ARD69" s="131"/>
      <c r="ARE69" s="131"/>
      <c r="ARF69" s="131"/>
      <c r="ARG69" s="131"/>
      <c r="ARH69" s="131"/>
      <c r="ARI69" s="131"/>
      <c r="ARJ69" s="131"/>
      <c r="ARK69" s="131"/>
      <c r="ARL69" s="131"/>
      <c r="ARM69" s="131"/>
      <c r="ARN69" s="131"/>
      <c r="ARO69" s="131"/>
      <c r="ARP69" s="131"/>
      <c r="ARQ69" s="131"/>
      <c r="ARR69" s="131"/>
      <c r="ARS69" s="131"/>
      <c r="ART69" s="131"/>
      <c r="ARU69" s="131"/>
      <c r="ARV69" s="131"/>
      <c r="ARW69" s="131"/>
      <c r="ARX69" s="131"/>
      <c r="ARY69" s="131"/>
      <c r="ARZ69" s="131"/>
      <c r="ASA69" s="131"/>
      <c r="ASB69" s="131"/>
      <c r="ASC69" s="131"/>
      <c r="ASD69" s="131"/>
      <c r="ASE69" s="131"/>
      <c r="ASF69" s="131"/>
      <c r="ASG69" s="131"/>
      <c r="ASH69" s="131"/>
      <c r="ASI69" s="131"/>
      <c r="ASJ69" s="131"/>
      <c r="ASK69" s="131"/>
      <c r="ASL69" s="131"/>
      <c r="ASM69" s="131"/>
      <c r="ASN69" s="131"/>
      <c r="ASO69" s="131"/>
      <c r="ASP69" s="131"/>
      <c r="ASQ69" s="131"/>
      <c r="ASR69" s="131"/>
      <c r="ASS69" s="131"/>
      <c r="AST69" s="131"/>
      <c r="ASU69" s="131"/>
      <c r="ASV69" s="131"/>
      <c r="ASW69" s="131"/>
      <c r="ASX69" s="131"/>
      <c r="ASY69" s="131"/>
      <c r="ASZ69" s="131"/>
      <c r="ATA69" s="131"/>
      <c r="ATB69" s="131"/>
      <c r="ATC69" s="131"/>
    </row>
    <row r="70" spans="1:1199" ht="50.1" customHeight="1" outlineLevel="2" x14ac:dyDescent="0.3">
      <c r="A70" s="103" t="s">
        <v>95</v>
      </c>
      <c r="B70" s="102" t="s">
        <v>96</v>
      </c>
      <c r="C70" s="79" t="s">
        <v>37</v>
      </c>
      <c r="D70" s="81">
        <f t="shared" ref="D70:D84" si="11">E70+F70</f>
        <v>20017.41791</v>
      </c>
      <c r="E70" s="82">
        <f t="shared" si="5"/>
        <v>4047.8118399999998</v>
      </c>
      <c r="F70" s="83">
        <f>H70+I70+K70+L70+M70+N70+P70+Q70+R70+T70+U70+W70+Y70+AA70+AC70+AD70+AG70+AH70+AI70+AK70+AM70+AO70+AQ70+AR70+AS70+AT70+AU70+AV70+AW70+AY70+BA70+BB70+BC70+BE70+BF70+BG70+BH70+BI70+BJ70+BK70+BL70+BO70+BP70+BQ70+BS70+BT70+BU70+BW70+BY70+CA70+BM70+BN70</f>
        <v>15969.60607</v>
      </c>
      <c r="G70" s="84"/>
      <c r="H70" s="85"/>
      <c r="I70" s="85"/>
      <c r="J70" s="84">
        <f>254.57083+399.54646+41.77038+78.97702</f>
        <v>774.86469000000011</v>
      </c>
      <c r="K70" s="85">
        <f>85.57776+99.88662+10.44254+19.74426</f>
        <v>215.65118000000001</v>
      </c>
      <c r="L70" s="85"/>
      <c r="M70" s="85"/>
      <c r="N70" s="85"/>
      <c r="O70" s="82"/>
      <c r="P70" s="83"/>
      <c r="Q70" s="83"/>
      <c r="R70" s="83"/>
      <c r="S70" s="82"/>
      <c r="T70" s="85"/>
      <c r="U70" s="85"/>
      <c r="V70" s="84">
        <v>463.9</v>
      </c>
      <c r="W70" s="83">
        <v>810</v>
      </c>
      <c r="X70" s="87"/>
      <c r="Y70" s="83">
        <v>1591.2</v>
      </c>
      <c r="Z70" s="84"/>
      <c r="AA70" s="85"/>
      <c r="AB70" s="84"/>
      <c r="AC70" s="85"/>
      <c r="AD70" s="89">
        <f>AE70+AF70</f>
        <v>1872.8589099999999</v>
      </c>
      <c r="AE70" s="89">
        <f>183.9915+798.0399+8.5964</f>
        <v>990.62779999999998</v>
      </c>
      <c r="AF70" s="186">
        <f>78.45199+609.00097+194.77815</f>
        <v>882.23111000000006</v>
      </c>
      <c r="AG70" s="85"/>
      <c r="AH70" s="85"/>
      <c r="AI70" s="85"/>
      <c r="AJ70" s="84"/>
      <c r="AK70" s="85"/>
      <c r="AL70" s="84"/>
      <c r="AM70" s="88"/>
      <c r="AN70" s="84"/>
      <c r="AO70" s="85"/>
      <c r="AP70" s="84"/>
      <c r="AQ70" s="83"/>
      <c r="AR70" s="83"/>
      <c r="AS70" s="83"/>
      <c r="AT70" s="85"/>
      <c r="AU70" s="85"/>
      <c r="AV70" s="85">
        <f>8238.13221</f>
        <v>8238.1322099999998</v>
      </c>
      <c r="AW70" s="88"/>
      <c r="AX70" s="84"/>
      <c r="AY70" s="85"/>
      <c r="AZ70" s="84">
        <v>2809.0471499999999</v>
      </c>
      <c r="BA70" s="85">
        <v>2543.81864</v>
      </c>
      <c r="BB70" s="88">
        <v>94.539860000000004</v>
      </c>
      <c r="BC70" s="85"/>
      <c r="BD70" s="84"/>
      <c r="BE70" s="88"/>
      <c r="BF70" s="85"/>
      <c r="BG70" s="85">
        <v>603.40526999999997</v>
      </c>
      <c r="BH70" s="85"/>
      <c r="BI70" s="85"/>
      <c r="BJ70" s="85"/>
      <c r="BK70" s="85"/>
      <c r="BL70" s="85"/>
      <c r="BM70" s="85"/>
      <c r="BN70" s="85"/>
      <c r="BO70" s="85"/>
      <c r="BP70" s="85"/>
      <c r="BQ70" s="85"/>
      <c r="BR70" s="84"/>
      <c r="BS70" s="85"/>
      <c r="BT70" s="85"/>
      <c r="BU70" s="198"/>
      <c r="BV70" s="90"/>
      <c r="BW70" s="198"/>
      <c r="BX70" s="90"/>
      <c r="BY70" s="198"/>
      <c r="BZ70" s="90"/>
      <c r="CA70" s="91"/>
    </row>
    <row r="71" spans="1:1199" ht="50.1" customHeight="1" outlineLevel="2" x14ac:dyDescent="0.3">
      <c r="A71" s="103" t="s">
        <v>95</v>
      </c>
      <c r="B71" s="102" t="s">
        <v>1093</v>
      </c>
      <c r="C71" s="79" t="s">
        <v>37</v>
      </c>
      <c r="D71" s="81">
        <f t="shared" si="11"/>
        <v>351.26715000000002</v>
      </c>
      <c r="E71" s="82">
        <f t="shared" si="5"/>
        <v>190.53149999999999</v>
      </c>
      <c r="F71" s="83">
        <f t="shared" ref="F71:F118" si="12">H71+I71+K71+L71+M71+N71+P71+Q71+R71+T71+U71+W71+Y71+AA71+AC71+AD71+AG71+AH71+AI71+AK71+AM71+AO71+AQ71+AR71+AS71+AT71+AU71+AV71+AW71+AY71+BA71+BB71+BC71+BE71+BF71+BG71+BH71+BI71+BJ71+BK71+BL71+BO71+BP71+BQ71+BS71+BT71+BU71+BW71+BY71+CA71+BM71+BN71</f>
        <v>160.73564999999999</v>
      </c>
      <c r="G71" s="84"/>
      <c r="H71" s="85"/>
      <c r="I71" s="85"/>
      <c r="J71" s="84"/>
      <c r="K71" s="85"/>
      <c r="L71" s="85"/>
      <c r="M71" s="85"/>
      <c r="N71" s="85"/>
      <c r="O71" s="82"/>
      <c r="P71" s="83"/>
      <c r="Q71" s="83"/>
      <c r="R71" s="83"/>
      <c r="S71" s="82"/>
      <c r="T71" s="85"/>
      <c r="U71" s="85"/>
      <c r="V71" s="84"/>
      <c r="W71" s="83"/>
      <c r="X71" s="87"/>
      <c r="Y71" s="83"/>
      <c r="Z71" s="84"/>
      <c r="AA71" s="85"/>
      <c r="AB71" s="84">
        <v>190.53149999999999</v>
      </c>
      <c r="AC71" s="85">
        <v>160.73564999999999</v>
      </c>
      <c r="AD71" s="89"/>
      <c r="AE71" s="89"/>
      <c r="AF71" s="186"/>
      <c r="AG71" s="85"/>
      <c r="AH71" s="85"/>
      <c r="AI71" s="85"/>
      <c r="AJ71" s="84"/>
      <c r="AK71" s="85"/>
      <c r="AL71" s="84"/>
      <c r="AM71" s="88"/>
      <c r="AN71" s="84"/>
      <c r="AO71" s="85"/>
      <c r="AP71" s="84"/>
      <c r="AQ71" s="83"/>
      <c r="AR71" s="83"/>
      <c r="AS71" s="83"/>
      <c r="AT71" s="85"/>
      <c r="AU71" s="85"/>
      <c r="AV71" s="85"/>
      <c r="AW71" s="88"/>
      <c r="AX71" s="84"/>
      <c r="AY71" s="85"/>
      <c r="AZ71" s="84"/>
      <c r="BA71" s="85"/>
      <c r="BB71" s="88"/>
      <c r="BC71" s="85"/>
      <c r="BD71" s="84"/>
      <c r="BE71" s="88"/>
      <c r="BF71" s="85"/>
      <c r="BG71" s="85"/>
      <c r="BH71" s="85"/>
      <c r="BI71" s="85"/>
      <c r="BJ71" s="85"/>
      <c r="BK71" s="85"/>
      <c r="BL71" s="85"/>
      <c r="BM71" s="85"/>
      <c r="BN71" s="85"/>
      <c r="BO71" s="85"/>
      <c r="BP71" s="85"/>
      <c r="BQ71" s="85"/>
      <c r="BR71" s="84"/>
      <c r="BS71" s="85"/>
      <c r="BT71" s="85"/>
      <c r="BU71" s="198"/>
      <c r="BV71" s="90"/>
      <c r="BW71" s="198"/>
      <c r="BX71" s="90"/>
      <c r="BY71" s="198"/>
      <c r="BZ71" s="90"/>
      <c r="CA71" s="91"/>
    </row>
    <row r="72" spans="1:1199" ht="50.1" customHeight="1" outlineLevel="2" x14ac:dyDescent="0.3">
      <c r="A72" s="92" t="s">
        <v>1250</v>
      </c>
      <c r="B72" s="102" t="s">
        <v>97</v>
      </c>
      <c r="C72" s="79" t="s">
        <v>37</v>
      </c>
      <c r="D72" s="81">
        <f t="shared" si="11"/>
        <v>1394.4426900000001</v>
      </c>
      <c r="E72" s="82">
        <f t="shared" si="5"/>
        <v>1259.07114</v>
      </c>
      <c r="F72" s="83">
        <f t="shared" si="12"/>
        <v>135.37155000000001</v>
      </c>
      <c r="G72" s="84"/>
      <c r="H72" s="85"/>
      <c r="I72" s="85"/>
      <c r="J72" s="84"/>
      <c r="K72" s="85"/>
      <c r="L72" s="85"/>
      <c r="M72" s="85"/>
      <c r="N72" s="85"/>
      <c r="O72" s="82"/>
      <c r="P72" s="83"/>
      <c r="Q72" s="83"/>
      <c r="R72" s="83"/>
      <c r="S72" s="82"/>
      <c r="T72" s="83"/>
      <c r="U72" s="83"/>
      <c r="V72" s="84"/>
      <c r="W72" s="85"/>
      <c r="X72" s="87"/>
      <c r="Y72" s="83">
        <v>46.8</v>
      </c>
      <c r="Z72" s="84"/>
      <c r="AA72" s="85"/>
      <c r="AB72" s="84"/>
      <c r="AC72" s="85"/>
      <c r="AD72" s="89">
        <f t="shared" ref="AD72:AD122" si="13">AE72+AF72</f>
        <v>31.175239999999999</v>
      </c>
      <c r="AE72" s="83">
        <v>10.7455</v>
      </c>
      <c r="AF72" s="123">
        <v>20.429739999999999</v>
      </c>
      <c r="AG72" s="85"/>
      <c r="AH72" s="85"/>
      <c r="AI72" s="85"/>
      <c r="AJ72" s="84"/>
      <c r="AK72" s="85"/>
      <c r="AL72" s="84"/>
      <c r="AM72" s="88"/>
      <c r="AN72" s="84"/>
      <c r="AO72" s="85"/>
      <c r="AP72" s="84"/>
      <c r="AQ72" s="83"/>
      <c r="AR72" s="83"/>
      <c r="AS72" s="83"/>
      <c r="AT72" s="85"/>
      <c r="AU72" s="85"/>
      <c r="AV72" s="85"/>
      <c r="AW72" s="88"/>
      <c r="AX72" s="84"/>
      <c r="AY72" s="85"/>
      <c r="AZ72" s="84">
        <v>63.38062</v>
      </c>
      <c r="BA72" s="85">
        <v>57.39631</v>
      </c>
      <c r="BB72" s="88"/>
      <c r="BC72" s="85"/>
      <c r="BD72" s="84"/>
      <c r="BE72" s="88"/>
      <c r="BF72" s="85"/>
      <c r="BG72" s="85"/>
      <c r="BH72" s="85"/>
      <c r="BI72" s="85"/>
      <c r="BJ72" s="85"/>
      <c r="BK72" s="85"/>
      <c r="BL72" s="85"/>
      <c r="BM72" s="85"/>
      <c r="BN72" s="85"/>
      <c r="BO72" s="85"/>
      <c r="BP72" s="85"/>
      <c r="BQ72" s="85"/>
      <c r="BR72" s="84">
        <v>1195.6905200000001</v>
      </c>
      <c r="BS72" s="85"/>
      <c r="BT72" s="85"/>
      <c r="BU72" s="198"/>
      <c r="BV72" s="90"/>
      <c r="BW72" s="198"/>
      <c r="BX72" s="90"/>
      <c r="BY72" s="198"/>
      <c r="BZ72" s="90"/>
      <c r="CA72" s="91"/>
    </row>
    <row r="73" spans="1:1199" ht="50.1" customHeight="1" outlineLevel="2" x14ac:dyDescent="0.3">
      <c r="A73" s="103" t="s">
        <v>95</v>
      </c>
      <c r="B73" s="102" t="s">
        <v>98</v>
      </c>
      <c r="C73" s="79" t="s">
        <v>99</v>
      </c>
      <c r="D73" s="81">
        <f t="shared" si="11"/>
        <v>1166.2153599999999</v>
      </c>
      <c r="E73" s="82">
        <f t="shared" si="5"/>
        <v>561.59502999999995</v>
      </c>
      <c r="F73" s="83">
        <f t="shared" si="12"/>
        <v>604.62032999999997</v>
      </c>
      <c r="G73" s="84"/>
      <c r="H73" s="85"/>
      <c r="I73" s="85"/>
      <c r="J73" s="84"/>
      <c r="K73" s="85"/>
      <c r="L73" s="85"/>
      <c r="M73" s="85"/>
      <c r="N73" s="85"/>
      <c r="O73" s="82"/>
      <c r="P73" s="83"/>
      <c r="Q73" s="83"/>
      <c r="R73" s="83"/>
      <c r="S73" s="82">
        <v>561.59502999999995</v>
      </c>
      <c r="T73" s="85">
        <v>604.62032999999997</v>
      </c>
      <c r="U73" s="85"/>
      <c r="V73" s="84"/>
      <c r="W73" s="83"/>
      <c r="X73" s="87"/>
      <c r="Y73" s="83"/>
      <c r="Z73" s="84"/>
      <c r="AA73" s="85"/>
      <c r="AB73" s="84"/>
      <c r="AC73" s="85"/>
      <c r="AD73" s="89">
        <f t="shared" si="13"/>
        <v>0</v>
      </c>
      <c r="AE73" s="89"/>
      <c r="AF73" s="186"/>
      <c r="AG73" s="85"/>
      <c r="AH73" s="85"/>
      <c r="AI73" s="85"/>
      <c r="AJ73" s="84"/>
      <c r="AK73" s="85"/>
      <c r="AL73" s="84"/>
      <c r="AM73" s="88"/>
      <c r="AN73" s="84"/>
      <c r="AO73" s="85"/>
      <c r="AP73" s="84"/>
      <c r="AQ73" s="83"/>
      <c r="AR73" s="83"/>
      <c r="AS73" s="83"/>
      <c r="AT73" s="85"/>
      <c r="AU73" s="85"/>
      <c r="AV73" s="85"/>
      <c r="AW73" s="88"/>
      <c r="AX73" s="84"/>
      <c r="AY73" s="85"/>
      <c r="AZ73" s="84"/>
      <c r="BA73" s="85"/>
      <c r="BB73" s="88"/>
      <c r="BC73" s="85"/>
      <c r="BD73" s="84"/>
      <c r="BE73" s="88"/>
      <c r="BF73" s="85"/>
      <c r="BG73" s="85"/>
      <c r="BH73" s="85"/>
      <c r="BI73" s="85"/>
      <c r="BJ73" s="85"/>
      <c r="BK73" s="85"/>
      <c r="BL73" s="85"/>
      <c r="BM73" s="85"/>
      <c r="BN73" s="85"/>
      <c r="BO73" s="85"/>
      <c r="BP73" s="85"/>
      <c r="BQ73" s="85"/>
      <c r="BR73" s="84"/>
      <c r="BS73" s="85"/>
      <c r="BT73" s="85"/>
      <c r="BU73" s="198"/>
      <c r="BV73" s="90"/>
      <c r="BW73" s="198"/>
      <c r="BX73" s="90"/>
      <c r="BY73" s="198"/>
      <c r="BZ73" s="90"/>
      <c r="CA73" s="91"/>
    </row>
    <row r="74" spans="1:1199" ht="50.1" customHeight="1" outlineLevel="2" x14ac:dyDescent="0.3">
      <c r="A74" s="103" t="s">
        <v>95</v>
      </c>
      <c r="B74" s="104" t="s">
        <v>100</v>
      </c>
      <c r="C74" s="79" t="s">
        <v>55</v>
      </c>
      <c r="D74" s="81">
        <f t="shared" si="11"/>
        <v>233.28068999999999</v>
      </c>
      <c r="E74" s="82">
        <f t="shared" si="5"/>
        <v>29.312139999999999</v>
      </c>
      <c r="F74" s="83">
        <f t="shared" si="12"/>
        <v>203.96854999999999</v>
      </c>
      <c r="G74" s="84"/>
      <c r="H74" s="85"/>
      <c r="I74" s="85"/>
      <c r="J74" s="84"/>
      <c r="K74" s="85"/>
      <c r="L74" s="85"/>
      <c r="M74" s="85"/>
      <c r="N74" s="85"/>
      <c r="O74" s="82"/>
      <c r="P74" s="83"/>
      <c r="Q74" s="83"/>
      <c r="R74" s="83"/>
      <c r="S74" s="82"/>
      <c r="T74" s="85"/>
      <c r="U74" s="85"/>
      <c r="V74" s="84"/>
      <c r="W74" s="83"/>
      <c r="X74" s="87"/>
      <c r="Y74" s="83">
        <v>19.344000000000001</v>
      </c>
      <c r="Z74" s="84"/>
      <c r="AA74" s="85"/>
      <c r="AB74" s="84"/>
      <c r="AC74" s="85"/>
      <c r="AD74" s="89">
        <f t="shared" si="13"/>
        <v>0</v>
      </c>
      <c r="AE74" s="89"/>
      <c r="AF74" s="186"/>
      <c r="AG74" s="85"/>
      <c r="AH74" s="85"/>
      <c r="AI74" s="85"/>
      <c r="AJ74" s="84"/>
      <c r="AK74" s="85"/>
      <c r="AL74" s="84"/>
      <c r="AM74" s="88"/>
      <c r="AN74" s="84"/>
      <c r="AO74" s="85">
        <v>158.08000000000001</v>
      </c>
      <c r="AP74" s="84"/>
      <c r="AQ74" s="83"/>
      <c r="AR74" s="83"/>
      <c r="AS74" s="83"/>
      <c r="AT74" s="85"/>
      <c r="AU74" s="85"/>
      <c r="AV74" s="85"/>
      <c r="AW74" s="88"/>
      <c r="AX74" s="84"/>
      <c r="AY74" s="85"/>
      <c r="AZ74" s="84">
        <v>29.312139999999999</v>
      </c>
      <c r="BA74" s="85">
        <v>26.544550000000001</v>
      </c>
      <c r="BB74" s="88"/>
      <c r="BC74" s="85"/>
      <c r="BD74" s="84"/>
      <c r="BE74" s="88"/>
      <c r="BF74" s="85"/>
      <c r="BG74" s="85"/>
      <c r="BH74" s="85"/>
      <c r="BI74" s="85"/>
      <c r="BJ74" s="85"/>
      <c r="BK74" s="85"/>
      <c r="BL74" s="85"/>
      <c r="BM74" s="85"/>
      <c r="BN74" s="85"/>
      <c r="BO74" s="85"/>
      <c r="BP74" s="85"/>
      <c r="BQ74" s="85"/>
      <c r="BR74" s="84"/>
      <c r="BS74" s="85"/>
      <c r="BT74" s="85"/>
      <c r="BU74" s="198"/>
      <c r="BV74" s="90"/>
      <c r="BW74" s="198"/>
      <c r="BX74" s="90"/>
      <c r="BY74" s="198"/>
      <c r="BZ74" s="90"/>
      <c r="CA74" s="91"/>
    </row>
    <row r="75" spans="1:1199" ht="50.1" customHeight="1" outlineLevel="2" x14ac:dyDescent="0.3">
      <c r="A75" s="103" t="s">
        <v>95</v>
      </c>
      <c r="B75" s="104" t="s">
        <v>101</v>
      </c>
      <c r="C75" s="79" t="s">
        <v>55</v>
      </c>
      <c r="D75" s="81">
        <f t="shared" si="11"/>
        <v>90.444000000000003</v>
      </c>
      <c r="E75" s="82">
        <f t="shared" si="5"/>
        <v>40.727710000000002</v>
      </c>
      <c r="F75" s="83">
        <f t="shared" si="12"/>
        <v>49.716290000000001</v>
      </c>
      <c r="G75" s="84"/>
      <c r="H75" s="85"/>
      <c r="I75" s="85"/>
      <c r="J75" s="84"/>
      <c r="K75" s="85"/>
      <c r="L75" s="85"/>
      <c r="M75" s="85"/>
      <c r="N75" s="85"/>
      <c r="O75" s="82"/>
      <c r="P75" s="83"/>
      <c r="Q75" s="83"/>
      <c r="R75" s="83"/>
      <c r="S75" s="82"/>
      <c r="T75" s="85"/>
      <c r="U75" s="85"/>
      <c r="V75" s="84"/>
      <c r="W75" s="83"/>
      <c r="X75" s="87"/>
      <c r="Y75" s="83"/>
      <c r="Z75" s="84"/>
      <c r="AA75" s="85"/>
      <c r="AB75" s="84"/>
      <c r="AC75" s="85"/>
      <c r="AD75" s="89">
        <f t="shared" si="13"/>
        <v>0</v>
      </c>
      <c r="AE75" s="89"/>
      <c r="AF75" s="186"/>
      <c r="AG75" s="85"/>
      <c r="AH75" s="85"/>
      <c r="AI75" s="85"/>
      <c r="AJ75" s="84"/>
      <c r="AK75" s="85"/>
      <c r="AL75" s="84"/>
      <c r="AM75" s="88"/>
      <c r="AN75" s="84"/>
      <c r="AO75" s="85"/>
      <c r="AP75" s="84">
        <v>9.7190700000000003</v>
      </c>
      <c r="AQ75" s="83">
        <v>21.635400000000001</v>
      </c>
      <c r="AR75" s="83"/>
      <c r="AS75" s="83"/>
      <c r="AT75" s="85"/>
      <c r="AU75" s="85"/>
      <c r="AV75" s="85"/>
      <c r="AW75" s="88"/>
      <c r="AX75" s="84"/>
      <c r="AY75" s="85"/>
      <c r="AZ75" s="84">
        <v>31.00864</v>
      </c>
      <c r="BA75" s="85">
        <v>28.08089</v>
      </c>
      <c r="BB75" s="88"/>
      <c r="BC75" s="85"/>
      <c r="BD75" s="84"/>
      <c r="BE75" s="88"/>
      <c r="BF75" s="85"/>
      <c r="BG75" s="85"/>
      <c r="BH75" s="85"/>
      <c r="BI75" s="85"/>
      <c r="BJ75" s="85"/>
      <c r="BK75" s="85"/>
      <c r="BL75" s="85"/>
      <c r="BM75" s="85"/>
      <c r="BN75" s="85"/>
      <c r="BO75" s="85"/>
      <c r="BP75" s="85"/>
      <c r="BQ75" s="85"/>
      <c r="BR75" s="84"/>
      <c r="BS75" s="85"/>
      <c r="BT75" s="85"/>
      <c r="BU75" s="198"/>
      <c r="BV75" s="90"/>
      <c r="BW75" s="198"/>
      <c r="BX75" s="90"/>
      <c r="BY75" s="198"/>
      <c r="BZ75" s="90"/>
      <c r="CA75" s="91"/>
    </row>
    <row r="76" spans="1:1199" ht="50.1" customHeight="1" outlineLevel="2" x14ac:dyDescent="0.3">
      <c r="A76" s="103" t="s">
        <v>95</v>
      </c>
      <c r="B76" s="104" t="s">
        <v>102</v>
      </c>
      <c r="C76" s="79" t="s">
        <v>55</v>
      </c>
      <c r="D76" s="81">
        <f t="shared" si="11"/>
        <v>635.75033000000008</v>
      </c>
      <c r="E76" s="82">
        <f t="shared" si="5"/>
        <v>186.99856</v>
      </c>
      <c r="F76" s="83">
        <f t="shared" si="12"/>
        <v>448.75177000000002</v>
      </c>
      <c r="G76" s="84"/>
      <c r="H76" s="85"/>
      <c r="I76" s="85"/>
      <c r="J76" s="84"/>
      <c r="K76" s="85"/>
      <c r="L76" s="85"/>
      <c r="M76" s="85"/>
      <c r="N76" s="85"/>
      <c r="O76" s="82"/>
      <c r="P76" s="83"/>
      <c r="Q76" s="83"/>
      <c r="R76" s="83"/>
      <c r="S76" s="82"/>
      <c r="T76" s="85"/>
      <c r="U76" s="85"/>
      <c r="V76" s="84"/>
      <c r="W76" s="83"/>
      <c r="X76" s="82"/>
      <c r="Y76" s="83"/>
      <c r="Z76" s="84"/>
      <c r="AA76" s="85"/>
      <c r="AB76" s="84"/>
      <c r="AC76" s="85"/>
      <c r="AD76" s="89">
        <f t="shared" si="13"/>
        <v>0</v>
      </c>
      <c r="AE76" s="89"/>
      <c r="AF76" s="186"/>
      <c r="AG76" s="85"/>
      <c r="AH76" s="85"/>
      <c r="AI76" s="85"/>
      <c r="AJ76" s="84"/>
      <c r="AK76" s="85"/>
      <c r="AL76" s="84"/>
      <c r="AM76" s="88"/>
      <c r="AN76" s="84"/>
      <c r="AO76" s="85"/>
      <c r="AP76" s="84">
        <v>186.99856</v>
      </c>
      <c r="AQ76" s="83">
        <v>309.62677000000002</v>
      </c>
      <c r="AR76" s="83"/>
      <c r="AS76" s="83"/>
      <c r="AT76" s="85"/>
      <c r="AU76" s="85"/>
      <c r="AV76" s="85"/>
      <c r="AW76" s="88"/>
      <c r="AX76" s="84"/>
      <c r="AY76" s="85"/>
      <c r="AZ76" s="84"/>
      <c r="BA76" s="85"/>
      <c r="BB76" s="88"/>
      <c r="BC76" s="85"/>
      <c r="BD76" s="84"/>
      <c r="BE76" s="88"/>
      <c r="BF76" s="85"/>
      <c r="BG76" s="85"/>
      <c r="BH76" s="85"/>
      <c r="BI76" s="85"/>
      <c r="BJ76" s="85"/>
      <c r="BK76" s="85">
        <v>139.125</v>
      </c>
      <c r="BL76" s="85"/>
      <c r="BM76" s="85"/>
      <c r="BN76" s="85"/>
      <c r="BO76" s="85"/>
      <c r="BP76" s="85"/>
      <c r="BQ76" s="85"/>
      <c r="BR76" s="84"/>
      <c r="BS76" s="85"/>
      <c r="BT76" s="85"/>
      <c r="BU76" s="198"/>
      <c r="BV76" s="90"/>
      <c r="BW76" s="198"/>
      <c r="BX76" s="90"/>
      <c r="BY76" s="198"/>
      <c r="BZ76" s="90"/>
      <c r="CA76" s="91"/>
    </row>
    <row r="77" spans="1:1199" ht="50.1" customHeight="1" outlineLevel="2" x14ac:dyDescent="0.3">
      <c r="A77" s="103" t="s">
        <v>95</v>
      </c>
      <c r="B77" s="104" t="s">
        <v>103</v>
      </c>
      <c r="C77" s="79" t="s">
        <v>55</v>
      </c>
      <c r="D77" s="81">
        <f t="shared" si="11"/>
        <v>501.28773999999999</v>
      </c>
      <c r="E77" s="82">
        <f t="shared" si="5"/>
        <v>87.620180000000005</v>
      </c>
      <c r="F77" s="83">
        <f t="shared" si="12"/>
        <v>413.66755999999998</v>
      </c>
      <c r="G77" s="84"/>
      <c r="H77" s="85"/>
      <c r="I77" s="85"/>
      <c r="J77" s="84"/>
      <c r="K77" s="85"/>
      <c r="L77" s="85">
        <v>141.51596000000001</v>
      </c>
      <c r="M77" s="85"/>
      <c r="N77" s="85"/>
      <c r="O77" s="82"/>
      <c r="P77" s="83"/>
      <c r="Q77" s="83"/>
      <c r="R77" s="83"/>
      <c r="S77" s="82"/>
      <c r="T77" s="85"/>
      <c r="U77" s="85"/>
      <c r="V77" s="84"/>
      <c r="W77" s="83"/>
      <c r="X77" s="82"/>
      <c r="Y77" s="83">
        <v>62.4</v>
      </c>
      <c r="Z77" s="84"/>
      <c r="AA77" s="85"/>
      <c r="AB77" s="84"/>
      <c r="AC77" s="85"/>
      <c r="AD77" s="89">
        <f t="shared" si="13"/>
        <v>0</v>
      </c>
      <c r="AE77" s="89"/>
      <c r="AF77" s="186"/>
      <c r="AG77" s="85"/>
      <c r="AH77" s="85"/>
      <c r="AI77" s="85"/>
      <c r="AJ77" s="84"/>
      <c r="AK77" s="85"/>
      <c r="AL77" s="84"/>
      <c r="AM77" s="88"/>
      <c r="AN77" s="84"/>
      <c r="AO77" s="85"/>
      <c r="AP77" s="84"/>
      <c r="AQ77" s="83"/>
      <c r="AR77" s="83"/>
      <c r="AS77" s="83"/>
      <c r="AT77" s="85"/>
      <c r="AU77" s="85"/>
      <c r="AV77" s="85"/>
      <c r="AW77" s="88"/>
      <c r="AX77" s="84"/>
      <c r="AY77" s="85"/>
      <c r="AZ77" s="84">
        <v>87.620180000000005</v>
      </c>
      <c r="BA77" s="85">
        <v>79.347189999999998</v>
      </c>
      <c r="BB77" s="88"/>
      <c r="BC77" s="85"/>
      <c r="BD77" s="84"/>
      <c r="BE77" s="88"/>
      <c r="BF77" s="85"/>
      <c r="BG77" s="85"/>
      <c r="BH77" s="85"/>
      <c r="BI77" s="85"/>
      <c r="BJ77" s="85"/>
      <c r="BK77" s="85">
        <v>130.40441000000001</v>
      </c>
      <c r="BL77" s="85"/>
      <c r="BM77" s="85"/>
      <c r="BN77" s="85"/>
      <c r="BO77" s="85"/>
      <c r="BP77" s="85"/>
      <c r="BQ77" s="85"/>
      <c r="BR77" s="84"/>
      <c r="BS77" s="85"/>
      <c r="BT77" s="85"/>
      <c r="BU77" s="198"/>
      <c r="BV77" s="90"/>
      <c r="BW77" s="198"/>
      <c r="BX77" s="90"/>
      <c r="BY77" s="198"/>
      <c r="BZ77" s="90"/>
      <c r="CA77" s="91"/>
    </row>
    <row r="78" spans="1:1199" ht="50.1" customHeight="1" outlineLevel="2" x14ac:dyDescent="0.3">
      <c r="A78" s="103" t="s">
        <v>95</v>
      </c>
      <c r="B78" s="104" t="s">
        <v>104</v>
      </c>
      <c r="C78" s="79" t="s">
        <v>55</v>
      </c>
      <c r="D78" s="81">
        <f t="shared" si="11"/>
        <v>1091.6520599999999</v>
      </c>
      <c r="E78" s="82">
        <f t="shared" si="5"/>
        <v>472.64517999999998</v>
      </c>
      <c r="F78" s="83">
        <f t="shared" si="12"/>
        <v>619.00688000000002</v>
      </c>
      <c r="G78" s="84"/>
      <c r="H78" s="85"/>
      <c r="I78" s="85"/>
      <c r="J78" s="84"/>
      <c r="K78" s="85"/>
      <c r="L78" s="85"/>
      <c r="M78" s="85"/>
      <c r="N78" s="85"/>
      <c r="O78" s="82"/>
      <c r="P78" s="83"/>
      <c r="Q78" s="83"/>
      <c r="R78" s="83"/>
      <c r="S78" s="82"/>
      <c r="T78" s="85"/>
      <c r="U78" s="85"/>
      <c r="V78" s="84"/>
      <c r="W78" s="83"/>
      <c r="X78" s="87"/>
      <c r="Y78" s="83"/>
      <c r="Z78" s="84"/>
      <c r="AA78" s="85"/>
      <c r="AB78" s="84"/>
      <c r="AC78" s="85"/>
      <c r="AD78" s="89">
        <f t="shared" si="13"/>
        <v>0</v>
      </c>
      <c r="AE78" s="89"/>
      <c r="AF78" s="186"/>
      <c r="AG78" s="85"/>
      <c r="AH78" s="85"/>
      <c r="AI78" s="85"/>
      <c r="AJ78" s="84"/>
      <c r="AK78" s="85"/>
      <c r="AL78" s="84"/>
      <c r="AM78" s="88"/>
      <c r="AN78" s="84"/>
      <c r="AO78" s="85"/>
      <c r="AP78" s="84">
        <v>305.02080000000001</v>
      </c>
      <c r="AQ78" s="83">
        <v>439.87392</v>
      </c>
      <c r="AR78" s="83"/>
      <c r="AS78" s="83"/>
      <c r="AT78" s="85"/>
      <c r="AU78" s="85"/>
      <c r="AV78" s="85"/>
      <c r="AW78" s="88"/>
      <c r="AX78" s="84"/>
      <c r="AY78" s="85"/>
      <c r="AZ78" s="84">
        <v>167.62438</v>
      </c>
      <c r="BA78" s="85">
        <v>151.79747</v>
      </c>
      <c r="BB78" s="88"/>
      <c r="BC78" s="85"/>
      <c r="BD78" s="84"/>
      <c r="BE78" s="88"/>
      <c r="BF78" s="85"/>
      <c r="BG78" s="85"/>
      <c r="BH78" s="85"/>
      <c r="BI78" s="85"/>
      <c r="BJ78" s="85"/>
      <c r="BK78" s="85"/>
      <c r="BL78" s="85"/>
      <c r="BM78" s="85"/>
      <c r="BN78" s="85"/>
      <c r="BO78" s="85"/>
      <c r="BP78" s="85"/>
      <c r="BQ78" s="85"/>
      <c r="BR78" s="84"/>
      <c r="BS78" s="85"/>
      <c r="BT78" s="85"/>
      <c r="BU78" s="97">
        <v>27.33549</v>
      </c>
      <c r="BV78" s="90"/>
      <c r="BW78" s="198"/>
      <c r="BX78" s="90"/>
      <c r="BY78" s="198"/>
      <c r="BZ78" s="90"/>
      <c r="CA78" s="91"/>
    </row>
    <row r="79" spans="1:1199" ht="50.1" customHeight="1" outlineLevel="2" x14ac:dyDescent="0.3">
      <c r="A79" s="103" t="s">
        <v>95</v>
      </c>
      <c r="B79" s="104" t="s">
        <v>105</v>
      </c>
      <c r="C79" s="79" t="s">
        <v>55</v>
      </c>
      <c r="D79" s="81">
        <f t="shared" si="11"/>
        <v>789.04879000000005</v>
      </c>
      <c r="E79" s="82">
        <f t="shared" si="5"/>
        <v>245.05203</v>
      </c>
      <c r="F79" s="83">
        <f t="shared" si="12"/>
        <v>543.99676000000011</v>
      </c>
      <c r="G79" s="84"/>
      <c r="H79" s="85"/>
      <c r="I79" s="85"/>
      <c r="J79" s="84">
        <f>97.5468</f>
        <v>97.546800000000005</v>
      </c>
      <c r="K79" s="85">
        <v>48.773400000000002</v>
      </c>
      <c r="L79" s="85"/>
      <c r="M79" s="85"/>
      <c r="N79" s="85"/>
      <c r="O79" s="82">
        <v>2.4251</v>
      </c>
      <c r="P79" s="83">
        <v>0.12764</v>
      </c>
      <c r="Q79" s="83"/>
      <c r="R79" s="83"/>
      <c r="S79" s="82"/>
      <c r="T79" s="85"/>
      <c r="U79" s="85"/>
      <c r="V79" s="84"/>
      <c r="W79" s="83">
        <v>124.16146999999999</v>
      </c>
      <c r="X79" s="87"/>
      <c r="Y79" s="83">
        <v>202.8</v>
      </c>
      <c r="Z79" s="84"/>
      <c r="AA79" s="85"/>
      <c r="AB79" s="84"/>
      <c r="AC79" s="85"/>
      <c r="AD79" s="89">
        <f t="shared" si="13"/>
        <v>36.752420000000001</v>
      </c>
      <c r="AE79" s="89">
        <v>21.186900000000001</v>
      </c>
      <c r="AF79" s="187">
        <v>15.565519999999999</v>
      </c>
      <c r="AG79" s="85"/>
      <c r="AH79" s="85"/>
      <c r="AI79" s="85"/>
      <c r="AJ79" s="84"/>
      <c r="AK79" s="85"/>
      <c r="AL79" s="84"/>
      <c r="AM79" s="88"/>
      <c r="AN79" s="84"/>
      <c r="AO79" s="85"/>
      <c r="AP79" s="84"/>
      <c r="AQ79" s="83"/>
      <c r="AR79" s="83"/>
      <c r="AS79" s="83"/>
      <c r="AT79" s="85"/>
      <c r="AU79" s="85"/>
      <c r="AV79" s="85"/>
      <c r="AW79" s="88"/>
      <c r="AX79" s="84"/>
      <c r="AY79" s="85"/>
      <c r="AZ79" s="84">
        <v>145.08013</v>
      </c>
      <c r="BA79" s="85">
        <v>131.38183000000001</v>
      </c>
      <c r="BB79" s="88"/>
      <c r="BC79" s="85"/>
      <c r="BD79" s="84"/>
      <c r="BE79" s="88"/>
      <c r="BF79" s="85"/>
      <c r="BG79" s="85"/>
      <c r="BH79" s="85"/>
      <c r="BI79" s="85"/>
      <c r="BJ79" s="85"/>
      <c r="BK79" s="85"/>
      <c r="BL79" s="85"/>
      <c r="BM79" s="85"/>
      <c r="BN79" s="85"/>
      <c r="BO79" s="85"/>
      <c r="BP79" s="85"/>
      <c r="BQ79" s="85"/>
      <c r="BR79" s="84"/>
      <c r="BS79" s="85"/>
      <c r="BT79" s="85"/>
      <c r="BU79" s="198"/>
      <c r="BV79" s="90"/>
      <c r="BW79" s="198"/>
      <c r="BX79" s="90"/>
      <c r="BY79" s="198"/>
      <c r="BZ79" s="90"/>
      <c r="CA79" s="91"/>
    </row>
    <row r="80" spans="1:1199" ht="50.1" customHeight="1" outlineLevel="2" x14ac:dyDescent="0.3">
      <c r="A80" s="103" t="s">
        <v>95</v>
      </c>
      <c r="B80" s="80" t="s">
        <v>106</v>
      </c>
      <c r="C80" s="79" t="s">
        <v>55</v>
      </c>
      <c r="D80" s="81">
        <f t="shared" si="11"/>
        <v>86.810779999999994</v>
      </c>
      <c r="E80" s="82">
        <f t="shared" si="5"/>
        <v>45.556060000000002</v>
      </c>
      <c r="F80" s="83">
        <f t="shared" si="12"/>
        <v>41.254719999999999</v>
      </c>
      <c r="G80" s="84"/>
      <c r="H80" s="85"/>
      <c r="I80" s="85"/>
      <c r="J80" s="84"/>
      <c r="K80" s="85"/>
      <c r="L80" s="85"/>
      <c r="M80" s="85"/>
      <c r="N80" s="85"/>
      <c r="O80" s="82"/>
      <c r="P80" s="83"/>
      <c r="Q80" s="83"/>
      <c r="R80" s="83"/>
      <c r="S80" s="82"/>
      <c r="T80" s="85"/>
      <c r="U80" s="85"/>
      <c r="V80" s="84"/>
      <c r="W80" s="83"/>
      <c r="X80" s="87"/>
      <c r="Y80" s="83"/>
      <c r="Z80" s="84"/>
      <c r="AA80" s="85"/>
      <c r="AB80" s="84"/>
      <c r="AC80" s="85"/>
      <c r="AD80" s="89">
        <f t="shared" si="13"/>
        <v>0</v>
      </c>
      <c r="AE80" s="89"/>
      <c r="AF80" s="186"/>
      <c r="AG80" s="85"/>
      <c r="AH80" s="85"/>
      <c r="AI80" s="85"/>
      <c r="AJ80" s="84"/>
      <c r="AK80" s="85"/>
      <c r="AL80" s="84"/>
      <c r="AM80" s="88"/>
      <c r="AN80" s="84"/>
      <c r="AO80" s="85"/>
      <c r="AP80" s="84"/>
      <c r="AQ80" s="83"/>
      <c r="AR80" s="83"/>
      <c r="AS80" s="83"/>
      <c r="AT80" s="85"/>
      <c r="AU80" s="85"/>
      <c r="AV80" s="85"/>
      <c r="AW80" s="88"/>
      <c r="AX80" s="84"/>
      <c r="AY80" s="85"/>
      <c r="AZ80" s="84">
        <v>45.556060000000002</v>
      </c>
      <c r="BA80" s="85">
        <v>41.254719999999999</v>
      </c>
      <c r="BB80" s="88"/>
      <c r="BC80" s="85"/>
      <c r="BD80" s="84"/>
      <c r="BE80" s="88"/>
      <c r="BF80" s="85"/>
      <c r="BG80" s="85"/>
      <c r="BH80" s="85"/>
      <c r="BI80" s="85"/>
      <c r="BJ80" s="85"/>
      <c r="BK80" s="85"/>
      <c r="BL80" s="85"/>
      <c r="BM80" s="85"/>
      <c r="BN80" s="85"/>
      <c r="BO80" s="85"/>
      <c r="BP80" s="85"/>
      <c r="BQ80" s="85"/>
      <c r="BR80" s="84"/>
      <c r="BS80" s="85"/>
      <c r="BT80" s="85"/>
      <c r="BU80" s="198"/>
      <c r="BV80" s="90"/>
      <c r="BW80" s="198"/>
      <c r="BX80" s="90"/>
      <c r="BY80" s="198"/>
      <c r="BZ80" s="90"/>
      <c r="CA80" s="91"/>
    </row>
    <row r="81" spans="1:1199" ht="50.1" customHeight="1" outlineLevel="2" x14ac:dyDescent="0.3">
      <c r="A81" s="103" t="s">
        <v>95</v>
      </c>
      <c r="B81" s="80" t="s">
        <v>107</v>
      </c>
      <c r="C81" s="79" t="s">
        <v>55</v>
      </c>
      <c r="D81" s="81">
        <f t="shared" si="11"/>
        <v>1673.3925899999999</v>
      </c>
      <c r="E81" s="82">
        <f t="shared" si="5"/>
        <v>572.09235000000001</v>
      </c>
      <c r="F81" s="83">
        <f t="shared" si="12"/>
        <v>1101.30024</v>
      </c>
      <c r="G81" s="84"/>
      <c r="H81" s="85"/>
      <c r="I81" s="85"/>
      <c r="J81" s="84"/>
      <c r="K81" s="85"/>
      <c r="L81" s="85"/>
      <c r="M81" s="85"/>
      <c r="N81" s="85"/>
      <c r="O81" s="82"/>
      <c r="P81" s="83"/>
      <c r="Q81" s="83"/>
      <c r="R81" s="83"/>
      <c r="S81" s="82"/>
      <c r="T81" s="85"/>
      <c r="U81" s="85"/>
      <c r="V81" s="84"/>
      <c r="W81" s="83"/>
      <c r="X81" s="87"/>
      <c r="Y81" s="83">
        <v>156</v>
      </c>
      <c r="Z81" s="84"/>
      <c r="AA81" s="85"/>
      <c r="AB81" s="84"/>
      <c r="AC81" s="85"/>
      <c r="AD81" s="89">
        <f t="shared" si="13"/>
        <v>0</v>
      </c>
      <c r="AE81" s="89"/>
      <c r="AF81" s="186"/>
      <c r="AG81" s="85"/>
      <c r="AH81" s="85"/>
      <c r="AI81" s="85"/>
      <c r="AJ81" s="84"/>
      <c r="AK81" s="85"/>
      <c r="AL81" s="84"/>
      <c r="AM81" s="88"/>
      <c r="AN81" s="84"/>
      <c r="AO81" s="85"/>
      <c r="AP81" s="84">
        <v>410.82328999999999</v>
      </c>
      <c r="AQ81" s="83">
        <v>799.25792000000001</v>
      </c>
      <c r="AR81" s="83"/>
      <c r="AS81" s="83"/>
      <c r="AT81" s="85"/>
      <c r="AU81" s="85"/>
      <c r="AV81" s="85"/>
      <c r="AW81" s="88"/>
      <c r="AX81" s="84"/>
      <c r="AY81" s="85"/>
      <c r="AZ81" s="84">
        <v>161.26906</v>
      </c>
      <c r="BA81" s="85">
        <v>146.04231999999999</v>
      </c>
      <c r="BB81" s="88"/>
      <c r="BC81" s="85"/>
      <c r="BD81" s="84"/>
      <c r="BE81" s="88"/>
      <c r="BF81" s="85"/>
      <c r="BG81" s="85"/>
      <c r="BH81" s="85"/>
      <c r="BI81" s="85"/>
      <c r="BJ81" s="85"/>
      <c r="BK81" s="85"/>
      <c r="BL81" s="85"/>
      <c r="BM81" s="85"/>
      <c r="BN81" s="85"/>
      <c r="BO81" s="85"/>
      <c r="BP81" s="85"/>
      <c r="BQ81" s="85"/>
      <c r="BR81" s="84"/>
      <c r="BS81" s="85"/>
      <c r="BT81" s="85"/>
      <c r="BU81" s="198"/>
      <c r="BV81" s="90"/>
      <c r="BW81" s="198"/>
      <c r="BX81" s="90"/>
      <c r="BY81" s="198"/>
      <c r="BZ81" s="90"/>
      <c r="CA81" s="91"/>
    </row>
    <row r="82" spans="1:1199" ht="50.1" customHeight="1" outlineLevel="2" x14ac:dyDescent="0.3">
      <c r="A82" s="103" t="s">
        <v>95</v>
      </c>
      <c r="B82" s="96" t="s">
        <v>1150</v>
      </c>
      <c r="C82" s="79" t="s">
        <v>55</v>
      </c>
      <c r="D82" s="81">
        <f t="shared" si="11"/>
        <v>27.989240000000002</v>
      </c>
      <c r="E82" s="82">
        <f t="shared" si="5"/>
        <v>8.9690899999999996</v>
      </c>
      <c r="F82" s="83">
        <f t="shared" si="12"/>
        <v>19.020150000000001</v>
      </c>
      <c r="G82" s="84"/>
      <c r="H82" s="85"/>
      <c r="I82" s="85"/>
      <c r="J82" s="84"/>
      <c r="K82" s="85"/>
      <c r="L82" s="85"/>
      <c r="M82" s="85"/>
      <c r="N82" s="85"/>
      <c r="O82" s="82"/>
      <c r="P82" s="83"/>
      <c r="Q82" s="83"/>
      <c r="R82" s="83"/>
      <c r="S82" s="82"/>
      <c r="T82" s="85"/>
      <c r="U82" s="85"/>
      <c r="V82" s="84"/>
      <c r="W82" s="83"/>
      <c r="X82" s="82"/>
      <c r="Y82" s="83"/>
      <c r="Z82" s="84"/>
      <c r="AA82" s="85"/>
      <c r="AB82" s="84"/>
      <c r="AC82" s="85"/>
      <c r="AD82" s="89"/>
      <c r="AE82" s="89"/>
      <c r="AF82" s="186"/>
      <c r="AG82" s="85"/>
      <c r="AH82" s="85"/>
      <c r="AI82" s="85"/>
      <c r="AJ82" s="84"/>
      <c r="AK82" s="85"/>
      <c r="AL82" s="84"/>
      <c r="AM82" s="88"/>
      <c r="AN82" s="84"/>
      <c r="AO82" s="85"/>
      <c r="AP82" s="84">
        <v>8.9690899999999996</v>
      </c>
      <c r="AQ82" s="83">
        <v>19.020150000000001</v>
      </c>
      <c r="AR82" s="83"/>
      <c r="AS82" s="83"/>
      <c r="AT82" s="85"/>
      <c r="AU82" s="85"/>
      <c r="AV82" s="85"/>
      <c r="AW82" s="88"/>
      <c r="AX82" s="84"/>
      <c r="AY82" s="85"/>
      <c r="AZ82" s="84"/>
      <c r="BA82" s="85"/>
      <c r="BB82" s="88"/>
      <c r="BC82" s="85"/>
      <c r="BD82" s="84"/>
      <c r="BE82" s="88"/>
      <c r="BF82" s="85"/>
      <c r="BG82" s="85"/>
      <c r="BH82" s="85"/>
      <c r="BI82" s="85"/>
      <c r="BJ82" s="85"/>
      <c r="BK82" s="85"/>
      <c r="BL82" s="85"/>
      <c r="BM82" s="85"/>
      <c r="BN82" s="85"/>
      <c r="BO82" s="85"/>
      <c r="BP82" s="85"/>
      <c r="BQ82" s="85"/>
      <c r="BR82" s="84"/>
      <c r="BS82" s="85"/>
      <c r="BT82" s="85"/>
      <c r="BU82" s="198"/>
      <c r="BV82" s="90"/>
      <c r="BW82" s="198"/>
      <c r="BX82" s="90"/>
      <c r="BY82" s="198"/>
      <c r="BZ82" s="90"/>
      <c r="CA82" s="91"/>
    </row>
    <row r="83" spans="1:1199" ht="50.1" customHeight="1" outlineLevel="2" x14ac:dyDescent="0.3">
      <c r="A83" s="103" t="s">
        <v>95</v>
      </c>
      <c r="B83" s="102" t="s">
        <v>108</v>
      </c>
      <c r="C83" s="79" t="s">
        <v>89</v>
      </c>
      <c r="D83" s="81">
        <f t="shared" si="11"/>
        <v>1348.9530999999999</v>
      </c>
      <c r="E83" s="82">
        <f t="shared" si="5"/>
        <v>1257.3543199999999</v>
      </c>
      <c r="F83" s="83">
        <f t="shared" si="12"/>
        <v>91.598780000000005</v>
      </c>
      <c r="G83" s="84"/>
      <c r="H83" s="85"/>
      <c r="I83" s="85"/>
      <c r="J83" s="84"/>
      <c r="K83" s="85"/>
      <c r="L83" s="85"/>
      <c r="M83" s="85"/>
      <c r="N83" s="85"/>
      <c r="O83" s="82">
        <f>465.8873+791.46702</f>
        <v>1257.3543199999999</v>
      </c>
      <c r="P83" s="83">
        <f>34.16557+57.43321</f>
        <v>91.598780000000005</v>
      </c>
      <c r="Q83" s="83"/>
      <c r="R83" s="83"/>
      <c r="S83" s="82"/>
      <c r="T83" s="85"/>
      <c r="U83" s="85"/>
      <c r="V83" s="84"/>
      <c r="W83" s="83"/>
      <c r="X83" s="82"/>
      <c r="Y83" s="83"/>
      <c r="Z83" s="84"/>
      <c r="AA83" s="85"/>
      <c r="AB83" s="84"/>
      <c r="AC83" s="85"/>
      <c r="AD83" s="89">
        <f t="shared" si="13"/>
        <v>0</v>
      </c>
      <c r="AE83" s="89"/>
      <c r="AF83" s="186"/>
      <c r="AG83" s="85"/>
      <c r="AH83" s="85"/>
      <c r="AI83" s="85"/>
      <c r="AJ83" s="84"/>
      <c r="AK83" s="85"/>
      <c r="AL83" s="84"/>
      <c r="AM83" s="88"/>
      <c r="AN83" s="84"/>
      <c r="AO83" s="85"/>
      <c r="AP83" s="84"/>
      <c r="AQ83" s="83"/>
      <c r="AR83" s="83"/>
      <c r="AS83" s="83"/>
      <c r="AT83" s="85"/>
      <c r="AU83" s="85"/>
      <c r="AV83" s="85"/>
      <c r="AW83" s="88"/>
      <c r="AX83" s="84"/>
      <c r="AY83" s="85"/>
      <c r="AZ83" s="84"/>
      <c r="BA83" s="85"/>
      <c r="BB83" s="88"/>
      <c r="BC83" s="85"/>
      <c r="BD83" s="84"/>
      <c r="BE83" s="88"/>
      <c r="BF83" s="85"/>
      <c r="BG83" s="85"/>
      <c r="BH83" s="85"/>
      <c r="BI83" s="85"/>
      <c r="BJ83" s="85"/>
      <c r="BK83" s="85"/>
      <c r="BL83" s="85"/>
      <c r="BM83" s="85"/>
      <c r="BN83" s="85"/>
      <c r="BO83" s="85"/>
      <c r="BP83" s="85"/>
      <c r="BQ83" s="85"/>
      <c r="BR83" s="84"/>
      <c r="BS83" s="85"/>
      <c r="BT83" s="85"/>
      <c r="BU83" s="198"/>
      <c r="BV83" s="90"/>
      <c r="BW83" s="198"/>
      <c r="BX83" s="90"/>
      <c r="BY83" s="198"/>
      <c r="BZ83" s="90"/>
      <c r="CA83" s="91"/>
    </row>
    <row r="84" spans="1:1199" ht="50.1" customHeight="1" outlineLevel="2" x14ac:dyDescent="0.3">
      <c r="A84" s="103" t="s">
        <v>95</v>
      </c>
      <c r="B84" s="108" t="s">
        <v>1041</v>
      </c>
      <c r="C84" s="79"/>
      <c r="D84" s="81">
        <f t="shared" si="11"/>
        <v>300</v>
      </c>
      <c r="E84" s="82">
        <f t="shared" si="5"/>
        <v>0</v>
      </c>
      <c r="F84" s="83">
        <f t="shared" si="12"/>
        <v>300</v>
      </c>
      <c r="G84" s="84"/>
      <c r="H84" s="85"/>
      <c r="I84" s="85"/>
      <c r="J84" s="84"/>
      <c r="K84" s="85"/>
      <c r="L84" s="85"/>
      <c r="M84" s="85"/>
      <c r="N84" s="85"/>
      <c r="O84" s="82"/>
      <c r="P84" s="83"/>
      <c r="Q84" s="83"/>
      <c r="R84" s="83"/>
      <c r="S84" s="82"/>
      <c r="T84" s="85"/>
      <c r="U84" s="85"/>
      <c r="V84" s="84"/>
      <c r="W84" s="83"/>
      <c r="X84" s="82"/>
      <c r="Y84" s="83"/>
      <c r="Z84" s="84"/>
      <c r="AA84" s="85"/>
      <c r="AB84" s="84"/>
      <c r="AC84" s="85"/>
      <c r="AD84" s="89">
        <f t="shared" si="13"/>
        <v>0</v>
      </c>
      <c r="AE84" s="89"/>
      <c r="AF84" s="186"/>
      <c r="AG84" s="85"/>
      <c r="AH84" s="85"/>
      <c r="AI84" s="85"/>
      <c r="AJ84" s="84"/>
      <c r="AK84" s="85"/>
      <c r="AL84" s="84"/>
      <c r="AM84" s="88"/>
      <c r="AN84" s="84"/>
      <c r="AO84" s="85"/>
      <c r="AP84" s="84"/>
      <c r="AQ84" s="83"/>
      <c r="AR84" s="83"/>
      <c r="AS84" s="83"/>
      <c r="AT84" s="85"/>
      <c r="AU84" s="85"/>
      <c r="AV84" s="85"/>
      <c r="AW84" s="88"/>
      <c r="AX84" s="84"/>
      <c r="AY84" s="85"/>
      <c r="AZ84" s="84"/>
      <c r="BA84" s="85"/>
      <c r="BB84" s="88"/>
      <c r="BC84" s="85"/>
      <c r="BD84" s="84"/>
      <c r="BE84" s="88"/>
      <c r="BF84" s="85"/>
      <c r="BG84" s="85"/>
      <c r="BH84" s="85">
        <v>300</v>
      </c>
      <c r="BI84" s="85"/>
      <c r="BJ84" s="85"/>
      <c r="BK84" s="85"/>
      <c r="BL84" s="85"/>
      <c r="BM84" s="85"/>
      <c r="BN84" s="85"/>
      <c r="BO84" s="85"/>
      <c r="BP84" s="85"/>
      <c r="BQ84" s="85"/>
      <c r="BR84" s="84"/>
      <c r="BS84" s="85"/>
      <c r="BT84" s="85"/>
      <c r="BU84" s="198"/>
      <c r="BV84" s="90"/>
      <c r="BW84" s="198"/>
      <c r="BX84" s="90"/>
      <c r="BY84" s="198"/>
      <c r="BZ84" s="90"/>
      <c r="CA84" s="91"/>
    </row>
    <row r="85" spans="1:1199" s="101" customFormat="1" ht="50.1" customHeight="1" outlineLevel="1" x14ac:dyDescent="0.3">
      <c r="A85" s="132" t="s">
        <v>109</v>
      </c>
      <c r="B85" s="133"/>
      <c r="C85" s="134" t="s">
        <v>94</v>
      </c>
      <c r="D85" s="81">
        <f t="shared" ref="D85:AI85" si="14">SUBTOTAL(9,D70:D84)</f>
        <v>29707.952429999994</v>
      </c>
      <c r="E85" s="81">
        <f t="shared" si="14"/>
        <v>9005.3371299999999</v>
      </c>
      <c r="F85" s="81">
        <f t="shared" si="14"/>
        <v>20702.615300000009</v>
      </c>
      <c r="G85" s="81">
        <f t="shared" si="14"/>
        <v>0</v>
      </c>
      <c r="H85" s="81">
        <f t="shared" si="14"/>
        <v>0</v>
      </c>
      <c r="I85" s="81">
        <f t="shared" si="14"/>
        <v>0</v>
      </c>
      <c r="J85" s="81">
        <f t="shared" si="14"/>
        <v>872.41149000000007</v>
      </c>
      <c r="K85" s="81">
        <f t="shared" si="14"/>
        <v>264.42457999999999</v>
      </c>
      <c r="L85" s="81">
        <f t="shared" si="14"/>
        <v>141.51596000000001</v>
      </c>
      <c r="M85" s="81">
        <f t="shared" si="14"/>
        <v>0</v>
      </c>
      <c r="N85" s="81">
        <f t="shared" si="14"/>
        <v>0</v>
      </c>
      <c r="O85" s="81">
        <f t="shared" si="14"/>
        <v>1259.7794199999998</v>
      </c>
      <c r="P85" s="81">
        <f t="shared" si="14"/>
        <v>91.726420000000005</v>
      </c>
      <c r="Q85" s="81">
        <f t="shared" si="14"/>
        <v>0</v>
      </c>
      <c r="R85" s="81">
        <f t="shared" si="14"/>
        <v>0</v>
      </c>
      <c r="S85" s="81">
        <f t="shared" si="14"/>
        <v>561.59502999999995</v>
      </c>
      <c r="T85" s="81">
        <f t="shared" si="14"/>
        <v>604.62032999999997</v>
      </c>
      <c r="U85" s="81">
        <f t="shared" si="14"/>
        <v>0</v>
      </c>
      <c r="V85" s="81">
        <f t="shared" si="14"/>
        <v>463.9</v>
      </c>
      <c r="W85" s="81">
        <f t="shared" si="14"/>
        <v>934.16147000000001</v>
      </c>
      <c r="X85" s="81">
        <f t="shared" si="14"/>
        <v>0</v>
      </c>
      <c r="Y85" s="81">
        <f t="shared" si="14"/>
        <v>2078.5439999999999</v>
      </c>
      <c r="Z85" s="81">
        <f t="shared" si="14"/>
        <v>0</v>
      </c>
      <c r="AA85" s="81">
        <f t="shared" si="14"/>
        <v>0</v>
      </c>
      <c r="AB85" s="81">
        <f t="shared" si="14"/>
        <v>190.53149999999999</v>
      </c>
      <c r="AC85" s="81">
        <f t="shared" si="14"/>
        <v>160.73564999999999</v>
      </c>
      <c r="AD85" s="81">
        <f t="shared" si="14"/>
        <v>1940.78657</v>
      </c>
      <c r="AE85" s="81">
        <f t="shared" si="14"/>
        <v>1022.5602</v>
      </c>
      <c r="AF85" s="192">
        <f t="shared" si="14"/>
        <v>918.22637000000009</v>
      </c>
      <c r="AG85" s="81">
        <f t="shared" si="14"/>
        <v>0</v>
      </c>
      <c r="AH85" s="81">
        <f t="shared" si="14"/>
        <v>0</v>
      </c>
      <c r="AI85" s="81">
        <f t="shared" si="14"/>
        <v>0</v>
      </c>
      <c r="AJ85" s="81">
        <f t="shared" ref="AJ85:BO85" si="15">SUBTOTAL(9,AJ70:AJ84)</f>
        <v>0</v>
      </c>
      <c r="AK85" s="81">
        <f t="shared" si="15"/>
        <v>0</v>
      </c>
      <c r="AL85" s="81">
        <f t="shared" si="15"/>
        <v>0</v>
      </c>
      <c r="AM85" s="81">
        <f t="shared" si="15"/>
        <v>0</v>
      </c>
      <c r="AN85" s="81">
        <f t="shared" si="15"/>
        <v>0</v>
      </c>
      <c r="AO85" s="81">
        <f t="shared" si="15"/>
        <v>158.08000000000001</v>
      </c>
      <c r="AP85" s="81">
        <f t="shared" si="15"/>
        <v>921.53080999999997</v>
      </c>
      <c r="AQ85" s="81">
        <f t="shared" si="15"/>
        <v>1589.41416</v>
      </c>
      <c r="AR85" s="81">
        <f t="shared" si="15"/>
        <v>0</v>
      </c>
      <c r="AS85" s="81">
        <f t="shared" si="15"/>
        <v>0</v>
      </c>
      <c r="AT85" s="81">
        <f t="shared" si="15"/>
        <v>0</v>
      </c>
      <c r="AU85" s="81">
        <f t="shared" si="15"/>
        <v>0</v>
      </c>
      <c r="AV85" s="81">
        <f t="shared" si="15"/>
        <v>8238.1322099999998</v>
      </c>
      <c r="AW85" s="81">
        <f t="shared" si="15"/>
        <v>0</v>
      </c>
      <c r="AX85" s="81">
        <f t="shared" si="15"/>
        <v>0</v>
      </c>
      <c r="AY85" s="81">
        <f t="shared" si="15"/>
        <v>0</v>
      </c>
      <c r="AZ85" s="81">
        <f t="shared" si="15"/>
        <v>3539.8983599999997</v>
      </c>
      <c r="BA85" s="81">
        <f t="shared" si="15"/>
        <v>3205.66392</v>
      </c>
      <c r="BB85" s="81">
        <f t="shared" si="15"/>
        <v>94.539860000000004</v>
      </c>
      <c r="BC85" s="81">
        <f t="shared" si="15"/>
        <v>0</v>
      </c>
      <c r="BD85" s="81">
        <f t="shared" si="15"/>
        <v>0</v>
      </c>
      <c r="BE85" s="81">
        <f t="shared" si="15"/>
        <v>0</v>
      </c>
      <c r="BF85" s="81">
        <f t="shared" si="15"/>
        <v>0</v>
      </c>
      <c r="BG85" s="81">
        <f t="shared" si="15"/>
        <v>603.40526999999997</v>
      </c>
      <c r="BH85" s="81">
        <f t="shared" si="15"/>
        <v>300</v>
      </c>
      <c r="BI85" s="81">
        <f t="shared" si="15"/>
        <v>0</v>
      </c>
      <c r="BJ85" s="81">
        <f t="shared" si="15"/>
        <v>0</v>
      </c>
      <c r="BK85" s="81">
        <f t="shared" si="15"/>
        <v>269.52940999999998</v>
      </c>
      <c r="BL85" s="81">
        <f t="shared" si="15"/>
        <v>0</v>
      </c>
      <c r="BM85" s="81">
        <f t="shared" si="15"/>
        <v>0</v>
      </c>
      <c r="BN85" s="81">
        <f t="shared" si="15"/>
        <v>0</v>
      </c>
      <c r="BO85" s="81">
        <f t="shared" si="15"/>
        <v>0</v>
      </c>
      <c r="BP85" s="81">
        <f t="shared" ref="BP85:CU85" si="16">SUBTOTAL(9,BP70:BP84)</f>
        <v>0</v>
      </c>
      <c r="BQ85" s="81">
        <f t="shared" si="16"/>
        <v>0</v>
      </c>
      <c r="BR85" s="81">
        <f t="shared" si="16"/>
        <v>1195.6905200000001</v>
      </c>
      <c r="BS85" s="81">
        <f t="shared" si="16"/>
        <v>0</v>
      </c>
      <c r="BT85" s="81">
        <f t="shared" si="16"/>
        <v>0</v>
      </c>
      <c r="BU85" s="81">
        <f t="shared" si="16"/>
        <v>27.33549</v>
      </c>
      <c r="BV85" s="81">
        <f t="shared" si="16"/>
        <v>0</v>
      </c>
      <c r="BW85" s="81">
        <f t="shared" si="16"/>
        <v>0</v>
      </c>
      <c r="BX85" s="81">
        <f t="shared" si="16"/>
        <v>0</v>
      </c>
      <c r="BY85" s="81">
        <f t="shared" si="16"/>
        <v>0</v>
      </c>
      <c r="BZ85" s="81">
        <f t="shared" si="16"/>
        <v>0</v>
      </c>
      <c r="CA85" s="81">
        <f t="shared" si="16"/>
        <v>0</v>
      </c>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c r="HQ85" s="176"/>
      <c r="HR85" s="176"/>
      <c r="HS85" s="176"/>
      <c r="HT85" s="176"/>
      <c r="HU85" s="176"/>
      <c r="HV85" s="176"/>
      <c r="HW85" s="176"/>
      <c r="HX85" s="176"/>
      <c r="HY85" s="176"/>
      <c r="HZ85" s="176"/>
      <c r="IA85" s="176"/>
      <c r="IB85" s="176"/>
      <c r="IC85" s="176"/>
      <c r="ID85" s="176"/>
      <c r="IE85" s="176"/>
      <c r="IF85" s="176"/>
      <c r="IG85" s="176"/>
      <c r="IH85" s="176"/>
      <c r="II85" s="176"/>
      <c r="IJ85" s="176"/>
      <c r="IK85" s="176"/>
      <c r="IL85" s="176"/>
      <c r="IM85" s="176"/>
      <c r="IN85" s="176"/>
      <c r="IO85" s="176"/>
      <c r="IP85" s="176"/>
      <c r="IQ85" s="176"/>
      <c r="IR85" s="176"/>
      <c r="IS85" s="176"/>
      <c r="IT85" s="176"/>
      <c r="IU85" s="176"/>
      <c r="IV85" s="176"/>
      <c r="IW85" s="176"/>
      <c r="IX85" s="176"/>
      <c r="IY85" s="176"/>
      <c r="IZ85" s="176"/>
      <c r="JA85" s="176"/>
      <c r="JB85" s="176"/>
      <c r="JC85" s="176"/>
      <c r="JD85" s="176"/>
      <c r="JE85" s="176"/>
      <c r="JF85" s="176"/>
      <c r="JG85" s="176"/>
      <c r="JH85" s="176"/>
      <c r="JI85" s="176"/>
      <c r="JJ85" s="176"/>
      <c r="JK85" s="176"/>
      <c r="JL85" s="176"/>
      <c r="JM85" s="176"/>
      <c r="JN85" s="176"/>
      <c r="JO85" s="176"/>
      <c r="JP85" s="176"/>
      <c r="JQ85" s="176"/>
      <c r="JR85" s="176"/>
      <c r="JS85" s="176"/>
      <c r="JT85" s="176"/>
      <c r="JU85" s="176"/>
      <c r="JV85" s="176"/>
      <c r="JW85" s="131"/>
      <c r="JX85" s="131"/>
      <c r="JY85" s="131"/>
      <c r="JZ85" s="131"/>
      <c r="KA85" s="131"/>
      <c r="KB85" s="131"/>
      <c r="KC85" s="131"/>
      <c r="KD85" s="131"/>
      <c r="KE85" s="131"/>
      <c r="KF85" s="131"/>
      <c r="KG85" s="131"/>
      <c r="KH85" s="131"/>
      <c r="KI85" s="131"/>
      <c r="KJ85" s="131"/>
      <c r="KK85" s="131"/>
      <c r="KL85" s="131"/>
      <c r="KM85" s="131"/>
      <c r="KN85" s="131"/>
      <c r="KO85" s="131"/>
      <c r="KP85" s="131"/>
      <c r="KQ85" s="131"/>
      <c r="KR85" s="131"/>
      <c r="KS85" s="131"/>
      <c r="KT85" s="131"/>
      <c r="KU85" s="131"/>
      <c r="KV85" s="131"/>
      <c r="KW85" s="131"/>
      <c r="KX85" s="131"/>
      <c r="KY85" s="131"/>
      <c r="KZ85" s="131"/>
      <c r="LA85" s="131"/>
      <c r="LB85" s="131"/>
      <c r="LC85" s="131"/>
      <c r="LD85" s="131"/>
      <c r="LE85" s="131"/>
      <c r="LF85" s="131"/>
      <c r="LG85" s="131"/>
      <c r="LH85" s="131"/>
      <c r="LI85" s="131"/>
      <c r="LJ85" s="131"/>
      <c r="LK85" s="131"/>
      <c r="LL85" s="131"/>
      <c r="LM85" s="131"/>
      <c r="LN85" s="131"/>
      <c r="LO85" s="131"/>
      <c r="LP85" s="131"/>
      <c r="LQ85" s="131"/>
      <c r="LR85" s="131"/>
      <c r="LS85" s="131"/>
      <c r="LT85" s="131"/>
      <c r="LU85" s="131"/>
      <c r="LV85" s="131"/>
      <c r="LW85" s="131"/>
      <c r="LX85" s="131"/>
      <c r="LY85" s="131"/>
      <c r="LZ85" s="131"/>
      <c r="MA85" s="131"/>
      <c r="MB85" s="131"/>
      <c r="MC85" s="131"/>
      <c r="MD85" s="131"/>
      <c r="ME85" s="131"/>
      <c r="MF85" s="131"/>
      <c r="MG85" s="131"/>
      <c r="MH85" s="131"/>
      <c r="MI85" s="131"/>
      <c r="MJ85" s="131"/>
      <c r="MK85" s="131"/>
      <c r="ML85" s="131"/>
      <c r="MM85" s="131"/>
      <c r="MN85" s="131"/>
      <c r="MO85" s="131"/>
      <c r="MP85" s="131"/>
      <c r="MQ85" s="131"/>
      <c r="MR85" s="131"/>
      <c r="MS85" s="131"/>
      <c r="MT85" s="131"/>
      <c r="MU85" s="131"/>
      <c r="MV85" s="131"/>
      <c r="MW85" s="131"/>
      <c r="MX85" s="131"/>
      <c r="MY85" s="131"/>
      <c r="MZ85" s="131"/>
      <c r="NA85" s="131"/>
      <c r="NB85" s="131"/>
      <c r="NC85" s="131"/>
      <c r="ND85" s="131"/>
      <c r="NE85" s="131"/>
      <c r="NF85" s="131"/>
      <c r="NG85" s="131"/>
      <c r="NH85" s="131"/>
      <c r="NI85" s="131"/>
      <c r="NJ85" s="131"/>
      <c r="NK85" s="131"/>
      <c r="NL85" s="131"/>
      <c r="NM85" s="131"/>
      <c r="NN85" s="131"/>
      <c r="NO85" s="131"/>
      <c r="NP85" s="131"/>
      <c r="NQ85" s="131"/>
      <c r="NR85" s="131"/>
      <c r="NS85" s="131"/>
      <c r="NT85" s="131"/>
      <c r="NU85" s="131"/>
      <c r="NV85" s="131"/>
      <c r="NW85" s="131"/>
      <c r="NX85" s="131"/>
      <c r="NY85" s="131"/>
      <c r="NZ85" s="131"/>
      <c r="OA85" s="131"/>
      <c r="OB85" s="131"/>
      <c r="OC85" s="131"/>
      <c r="OD85" s="131"/>
      <c r="OE85" s="131"/>
      <c r="OF85" s="131"/>
      <c r="OG85" s="131"/>
      <c r="OH85" s="131"/>
      <c r="OI85" s="131"/>
      <c r="OJ85" s="131"/>
      <c r="OK85" s="131"/>
      <c r="OL85" s="131"/>
      <c r="OM85" s="131"/>
      <c r="ON85" s="131"/>
      <c r="OO85" s="131"/>
      <c r="OP85" s="131"/>
      <c r="OQ85" s="131"/>
      <c r="OR85" s="131"/>
      <c r="OS85" s="131"/>
      <c r="OT85" s="131"/>
      <c r="OU85" s="131"/>
      <c r="OV85" s="131"/>
      <c r="OW85" s="131"/>
      <c r="OX85" s="131"/>
      <c r="OY85" s="131"/>
      <c r="OZ85" s="131"/>
      <c r="PA85" s="131"/>
      <c r="PB85" s="131"/>
      <c r="PC85" s="131"/>
      <c r="PD85" s="131"/>
      <c r="PE85" s="131"/>
      <c r="PF85" s="131"/>
      <c r="PG85" s="131"/>
      <c r="PH85" s="131"/>
      <c r="PI85" s="131"/>
      <c r="PJ85" s="131"/>
      <c r="PK85" s="131"/>
      <c r="PL85" s="131"/>
      <c r="PM85" s="131"/>
      <c r="PN85" s="131"/>
      <c r="PO85" s="131"/>
      <c r="PP85" s="131"/>
      <c r="PQ85" s="131"/>
      <c r="PR85" s="131"/>
      <c r="PS85" s="131"/>
      <c r="PT85" s="131"/>
      <c r="PU85" s="131"/>
      <c r="PV85" s="131"/>
      <c r="PW85" s="131"/>
      <c r="PX85" s="131"/>
      <c r="PY85" s="131"/>
      <c r="PZ85" s="131"/>
      <c r="QA85" s="131"/>
      <c r="QB85" s="131"/>
      <c r="QC85" s="131"/>
      <c r="QD85" s="131"/>
      <c r="QE85" s="131"/>
      <c r="QF85" s="131"/>
      <c r="QG85" s="131"/>
      <c r="QH85" s="131"/>
      <c r="QI85" s="131"/>
      <c r="QJ85" s="131"/>
      <c r="QK85" s="131"/>
      <c r="QL85" s="131"/>
      <c r="QM85" s="131"/>
      <c r="QN85" s="131"/>
      <c r="QO85" s="131"/>
      <c r="QP85" s="131"/>
      <c r="QQ85" s="131"/>
      <c r="QR85" s="131"/>
      <c r="QS85" s="131"/>
      <c r="QT85" s="131"/>
      <c r="QU85" s="131"/>
      <c r="QV85" s="131"/>
      <c r="QW85" s="131"/>
      <c r="QX85" s="131"/>
      <c r="QY85" s="131"/>
      <c r="QZ85" s="131"/>
      <c r="RA85" s="131"/>
      <c r="RB85" s="131"/>
      <c r="RC85" s="131"/>
      <c r="RD85" s="131"/>
      <c r="RE85" s="131"/>
      <c r="RF85" s="131"/>
      <c r="RG85" s="131"/>
      <c r="RH85" s="131"/>
      <c r="RI85" s="131"/>
      <c r="RJ85" s="131"/>
      <c r="RK85" s="131"/>
      <c r="RL85" s="131"/>
      <c r="RM85" s="131"/>
      <c r="RN85" s="131"/>
      <c r="RO85" s="131"/>
      <c r="RP85" s="131"/>
      <c r="RQ85" s="131"/>
      <c r="RR85" s="131"/>
      <c r="RS85" s="131"/>
      <c r="RT85" s="131"/>
      <c r="RU85" s="131"/>
      <c r="RV85" s="131"/>
      <c r="RW85" s="131"/>
      <c r="RX85" s="131"/>
      <c r="RY85" s="131"/>
      <c r="RZ85" s="131"/>
      <c r="SA85" s="131"/>
      <c r="SB85" s="131"/>
      <c r="SC85" s="131"/>
      <c r="SD85" s="131"/>
      <c r="SE85" s="131"/>
      <c r="SF85" s="131"/>
      <c r="SG85" s="131"/>
      <c r="SH85" s="131"/>
      <c r="SI85" s="131"/>
      <c r="SJ85" s="131"/>
      <c r="SK85" s="131"/>
      <c r="SL85" s="131"/>
      <c r="SM85" s="131"/>
      <c r="SN85" s="131"/>
      <c r="SO85" s="131"/>
      <c r="SP85" s="131"/>
      <c r="SQ85" s="131"/>
      <c r="SR85" s="131"/>
      <c r="SS85" s="131"/>
      <c r="ST85" s="131"/>
      <c r="SU85" s="131"/>
      <c r="SV85" s="131"/>
      <c r="SW85" s="131"/>
      <c r="SX85" s="131"/>
      <c r="SY85" s="131"/>
      <c r="SZ85" s="131"/>
      <c r="TA85" s="131"/>
      <c r="TB85" s="131"/>
      <c r="TC85" s="131"/>
      <c r="TD85" s="131"/>
      <c r="TE85" s="131"/>
      <c r="TF85" s="131"/>
      <c r="TG85" s="131"/>
      <c r="TH85" s="131"/>
      <c r="TI85" s="131"/>
      <c r="TJ85" s="131"/>
      <c r="TK85" s="131"/>
      <c r="TL85" s="131"/>
      <c r="TM85" s="131"/>
      <c r="TN85" s="131"/>
      <c r="TO85" s="131"/>
      <c r="TP85" s="131"/>
      <c r="TQ85" s="131"/>
      <c r="TR85" s="131"/>
      <c r="TS85" s="131"/>
      <c r="TT85" s="131"/>
      <c r="TU85" s="131"/>
      <c r="TV85" s="131"/>
      <c r="TW85" s="131"/>
      <c r="TX85" s="131"/>
      <c r="TY85" s="131"/>
      <c r="TZ85" s="131"/>
      <c r="UA85" s="131"/>
      <c r="UB85" s="131"/>
      <c r="UC85" s="131"/>
      <c r="UD85" s="131"/>
      <c r="UE85" s="131"/>
      <c r="UF85" s="131"/>
      <c r="UG85" s="131"/>
      <c r="UH85" s="131"/>
      <c r="UI85" s="131"/>
      <c r="UJ85" s="131"/>
      <c r="UK85" s="131"/>
      <c r="UL85" s="131"/>
      <c r="UM85" s="131"/>
      <c r="UN85" s="131"/>
      <c r="UO85" s="131"/>
      <c r="UP85" s="131"/>
      <c r="UQ85" s="131"/>
      <c r="UR85" s="131"/>
      <c r="US85" s="131"/>
      <c r="UT85" s="131"/>
      <c r="UU85" s="131"/>
      <c r="UV85" s="131"/>
      <c r="UW85" s="131"/>
      <c r="UX85" s="131"/>
      <c r="UY85" s="131"/>
      <c r="UZ85" s="131"/>
      <c r="VA85" s="131"/>
      <c r="VB85" s="131"/>
      <c r="VC85" s="131"/>
      <c r="VD85" s="131"/>
      <c r="VE85" s="131"/>
      <c r="VF85" s="131"/>
      <c r="VG85" s="131"/>
      <c r="VH85" s="131"/>
      <c r="VI85" s="131"/>
      <c r="VJ85" s="131"/>
      <c r="VK85" s="131"/>
      <c r="VL85" s="131"/>
      <c r="VM85" s="131"/>
      <c r="VN85" s="131"/>
      <c r="VO85" s="131"/>
      <c r="VP85" s="131"/>
      <c r="VQ85" s="131"/>
      <c r="VR85" s="131"/>
      <c r="VS85" s="131"/>
      <c r="VT85" s="131"/>
      <c r="VU85" s="131"/>
      <c r="VV85" s="131"/>
      <c r="VW85" s="131"/>
      <c r="VX85" s="131"/>
      <c r="VY85" s="131"/>
      <c r="VZ85" s="131"/>
      <c r="WA85" s="131"/>
      <c r="WB85" s="131"/>
      <c r="WC85" s="131"/>
      <c r="WD85" s="131"/>
      <c r="WE85" s="131"/>
      <c r="WF85" s="131"/>
      <c r="WG85" s="131"/>
      <c r="WH85" s="131"/>
      <c r="WI85" s="131"/>
      <c r="WJ85" s="131"/>
      <c r="WK85" s="131"/>
      <c r="WL85" s="131"/>
      <c r="WM85" s="131"/>
      <c r="WN85" s="131"/>
      <c r="WO85" s="131"/>
      <c r="WP85" s="131"/>
      <c r="WQ85" s="131"/>
      <c r="WR85" s="131"/>
      <c r="WS85" s="131"/>
      <c r="WT85" s="131"/>
      <c r="WU85" s="131"/>
      <c r="WV85" s="131"/>
      <c r="WW85" s="131"/>
      <c r="WX85" s="131"/>
      <c r="WY85" s="131"/>
      <c r="WZ85" s="131"/>
      <c r="XA85" s="131"/>
      <c r="XB85" s="131"/>
      <c r="XC85" s="131"/>
      <c r="XD85" s="131"/>
      <c r="XE85" s="131"/>
      <c r="XF85" s="131"/>
      <c r="XG85" s="131"/>
      <c r="XH85" s="131"/>
      <c r="XI85" s="131"/>
      <c r="XJ85" s="131"/>
      <c r="XK85" s="131"/>
      <c r="XL85" s="131"/>
      <c r="XM85" s="131"/>
      <c r="XN85" s="131"/>
      <c r="XO85" s="131"/>
      <c r="XP85" s="131"/>
      <c r="XQ85" s="131"/>
      <c r="XR85" s="131"/>
      <c r="XS85" s="131"/>
      <c r="XT85" s="131"/>
      <c r="XU85" s="131"/>
      <c r="XV85" s="131"/>
      <c r="XW85" s="131"/>
      <c r="XX85" s="131"/>
      <c r="XY85" s="131"/>
      <c r="XZ85" s="131"/>
      <c r="YA85" s="131"/>
      <c r="YB85" s="131"/>
      <c r="YC85" s="131"/>
      <c r="YD85" s="131"/>
      <c r="YE85" s="131"/>
      <c r="YF85" s="131"/>
      <c r="YG85" s="131"/>
      <c r="YH85" s="131"/>
      <c r="YI85" s="131"/>
      <c r="YJ85" s="131"/>
      <c r="YK85" s="131"/>
      <c r="YL85" s="131"/>
      <c r="YM85" s="131"/>
      <c r="YN85" s="131"/>
      <c r="YO85" s="131"/>
      <c r="YP85" s="131"/>
      <c r="YQ85" s="131"/>
      <c r="YR85" s="131"/>
      <c r="YS85" s="131"/>
      <c r="YT85" s="131"/>
      <c r="YU85" s="131"/>
      <c r="YV85" s="131"/>
      <c r="YW85" s="131"/>
      <c r="YX85" s="131"/>
      <c r="YY85" s="131"/>
      <c r="YZ85" s="131"/>
      <c r="ZA85" s="131"/>
      <c r="ZB85" s="131"/>
      <c r="ZC85" s="131"/>
      <c r="ZD85" s="131"/>
      <c r="ZE85" s="131"/>
      <c r="ZF85" s="131"/>
      <c r="ZG85" s="131"/>
      <c r="ZH85" s="131"/>
      <c r="ZI85" s="131"/>
      <c r="ZJ85" s="131"/>
      <c r="ZK85" s="131"/>
      <c r="ZL85" s="131"/>
      <c r="ZM85" s="131"/>
      <c r="ZN85" s="131"/>
      <c r="ZO85" s="131"/>
      <c r="ZP85" s="131"/>
      <c r="ZQ85" s="131"/>
      <c r="ZR85" s="131"/>
      <c r="ZS85" s="131"/>
      <c r="ZT85" s="131"/>
      <c r="ZU85" s="131"/>
      <c r="ZV85" s="131"/>
      <c r="ZW85" s="131"/>
      <c r="ZX85" s="131"/>
      <c r="ZY85" s="131"/>
      <c r="ZZ85" s="131"/>
      <c r="AAA85" s="131"/>
      <c r="AAB85" s="131"/>
      <c r="AAC85" s="131"/>
      <c r="AAD85" s="131"/>
      <c r="AAE85" s="131"/>
      <c r="AAF85" s="131"/>
      <c r="AAG85" s="131"/>
      <c r="AAH85" s="131"/>
      <c r="AAI85" s="131"/>
      <c r="AAJ85" s="131"/>
      <c r="AAK85" s="131"/>
      <c r="AAL85" s="131"/>
      <c r="AAM85" s="131"/>
      <c r="AAN85" s="131"/>
      <c r="AAO85" s="131"/>
      <c r="AAP85" s="131"/>
      <c r="AAQ85" s="131"/>
      <c r="AAR85" s="131"/>
      <c r="AAS85" s="131"/>
      <c r="AAT85" s="131"/>
      <c r="AAU85" s="131"/>
      <c r="AAV85" s="131"/>
      <c r="AAW85" s="131"/>
      <c r="AAX85" s="131"/>
      <c r="AAY85" s="131"/>
      <c r="AAZ85" s="131"/>
      <c r="ABA85" s="131"/>
      <c r="ABB85" s="131"/>
      <c r="ABC85" s="131"/>
      <c r="ABD85" s="131"/>
      <c r="ABE85" s="131"/>
      <c r="ABF85" s="131"/>
      <c r="ABG85" s="131"/>
      <c r="ABH85" s="131"/>
      <c r="ABI85" s="131"/>
      <c r="ABJ85" s="131"/>
      <c r="ABK85" s="131"/>
      <c r="ABL85" s="131"/>
      <c r="ABM85" s="131"/>
      <c r="ABN85" s="131"/>
      <c r="ABO85" s="131"/>
      <c r="ABP85" s="131"/>
      <c r="ABQ85" s="131"/>
      <c r="ABR85" s="131"/>
      <c r="ABS85" s="131"/>
      <c r="ABT85" s="131"/>
      <c r="ABU85" s="131"/>
      <c r="ABV85" s="131"/>
      <c r="ABW85" s="131"/>
      <c r="ABX85" s="131"/>
      <c r="ABY85" s="131"/>
      <c r="ABZ85" s="131"/>
      <c r="ACA85" s="131"/>
      <c r="ACB85" s="131"/>
      <c r="ACC85" s="131"/>
      <c r="ACD85" s="131"/>
      <c r="ACE85" s="131"/>
      <c r="ACF85" s="131"/>
      <c r="ACG85" s="131"/>
      <c r="ACH85" s="131"/>
      <c r="ACI85" s="131"/>
      <c r="ACJ85" s="131"/>
      <c r="ACK85" s="131"/>
      <c r="ACL85" s="131"/>
      <c r="ACM85" s="131"/>
      <c r="ACN85" s="131"/>
      <c r="ACO85" s="131"/>
      <c r="ACP85" s="131"/>
      <c r="ACQ85" s="131"/>
      <c r="ACR85" s="131"/>
      <c r="ACS85" s="131"/>
      <c r="ACT85" s="131"/>
      <c r="ACU85" s="131"/>
      <c r="ACV85" s="131"/>
      <c r="ACW85" s="131"/>
      <c r="ACX85" s="131"/>
      <c r="ACY85" s="131"/>
      <c r="ACZ85" s="131"/>
      <c r="ADA85" s="131"/>
      <c r="ADB85" s="131"/>
      <c r="ADC85" s="131"/>
      <c r="ADD85" s="131"/>
      <c r="ADE85" s="131"/>
      <c r="ADF85" s="131"/>
      <c r="ADG85" s="131"/>
      <c r="ADH85" s="131"/>
      <c r="ADI85" s="131"/>
      <c r="ADJ85" s="131"/>
      <c r="ADK85" s="131"/>
      <c r="ADL85" s="131"/>
      <c r="ADM85" s="131"/>
      <c r="ADN85" s="131"/>
      <c r="ADO85" s="131"/>
      <c r="ADP85" s="131"/>
      <c r="ADQ85" s="131"/>
      <c r="ADR85" s="131"/>
      <c r="ADS85" s="131"/>
      <c r="ADT85" s="131"/>
      <c r="ADU85" s="131"/>
      <c r="ADV85" s="131"/>
      <c r="ADW85" s="131"/>
      <c r="ADX85" s="131"/>
      <c r="ADY85" s="131"/>
      <c r="ADZ85" s="131"/>
      <c r="AEA85" s="131"/>
      <c r="AEB85" s="131"/>
      <c r="AEC85" s="131"/>
      <c r="AED85" s="131"/>
      <c r="AEE85" s="131"/>
      <c r="AEF85" s="131"/>
      <c r="AEG85" s="131"/>
      <c r="AEH85" s="131"/>
      <c r="AEI85" s="131"/>
      <c r="AEJ85" s="131"/>
      <c r="AEK85" s="131"/>
      <c r="AEL85" s="131"/>
      <c r="AEM85" s="131"/>
      <c r="AEN85" s="131"/>
      <c r="AEO85" s="131"/>
      <c r="AEP85" s="131"/>
      <c r="AEQ85" s="131"/>
      <c r="AER85" s="131"/>
      <c r="AES85" s="131"/>
      <c r="AET85" s="131"/>
      <c r="AEU85" s="131"/>
      <c r="AEV85" s="131"/>
      <c r="AEW85" s="131"/>
      <c r="AEX85" s="131"/>
      <c r="AEY85" s="131"/>
      <c r="AEZ85" s="131"/>
      <c r="AFA85" s="131"/>
      <c r="AFB85" s="131"/>
      <c r="AFC85" s="131"/>
      <c r="AFD85" s="131"/>
      <c r="AFE85" s="131"/>
      <c r="AFF85" s="131"/>
      <c r="AFG85" s="131"/>
      <c r="AFH85" s="131"/>
      <c r="AFI85" s="131"/>
      <c r="AFJ85" s="131"/>
      <c r="AFK85" s="131"/>
      <c r="AFL85" s="131"/>
      <c r="AFM85" s="131"/>
      <c r="AFN85" s="131"/>
      <c r="AFO85" s="131"/>
      <c r="AFP85" s="131"/>
      <c r="AFQ85" s="131"/>
      <c r="AFR85" s="131"/>
      <c r="AFS85" s="131"/>
      <c r="AFT85" s="131"/>
      <c r="AFU85" s="131"/>
      <c r="AFV85" s="131"/>
      <c r="AFW85" s="131"/>
      <c r="AFX85" s="131"/>
      <c r="AFY85" s="131"/>
      <c r="AFZ85" s="131"/>
      <c r="AGA85" s="131"/>
      <c r="AGB85" s="131"/>
      <c r="AGC85" s="131"/>
      <c r="AGD85" s="131"/>
      <c r="AGE85" s="131"/>
      <c r="AGF85" s="131"/>
      <c r="AGG85" s="131"/>
      <c r="AGH85" s="131"/>
      <c r="AGI85" s="131"/>
      <c r="AGJ85" s="131"/>
      <c r="AGK85" s="131"/>
      <c r="AGL85" s="131"/>
      <c r="AGM85" s="131"/>
      <c r="AGN85" s="131"/>
      <c r="AGO85" s="131"/>
      <c r="AGP85" s="131"/>
      <c r="AGQ85" s="131"/>
      <c r="AGR85" s="131"/>
      <c r="AGS85" s="131"/>
      <c r="AGT85" s="131"/>
      <c r="AGU85" s="131"/>
      <c r="AGV85" s="131"/>
      <c r="AGW85" s="131"/>
      <c r="AGX85" s="131"/>
      <c r="AGY85" s="131"/>
      <c r="AGZ85" s="131"/>
      <c r="AHA85" s="131"/>
      <c r="AHB85" s="131"/>
      <c r="AHC85" s="131"/>
      <c r="AHD85" s="131"/>
      <c r="AHE85" s="131"/>
      <c r="AHF85" s="131"/>
      <c r="AHG85" s="131"/>
      <c r="AHH85" s="131"/>
      <c r="AHI85" s="131"/>
      <c r="AHJ85" s="131"/>
      <c r="AHK85" s="131"/>
      <c r="AHL85" s="131"/>
      <c r="AHM85" s="131"/>
      <c r="AHN85" s="131"/>
      <c r="AHO85" s="131"/>
      <c r="AHP85" s="131"/>
      <c r="AHQ85" s="131"/>
      <c r="AHR85" s="131"/>
      <c r="AHS85" s="131"/>
      <c r="AHT85" s="131"/>
      <c r="AHU85" s="131"/>
      <c r="AHV85" s="131"/>
      <c r="AHW85" s="131"/>
      <c r="AHX85" s="131"/>
      <c r="AHY85" s="131"/>
      <c r="AHZ85" s="131"/>
      <c r="AIA85" s="131"/>
      <c r="AIB85" s="131"/>
      <c r="AIC85" s="131"/>
      <c r="AID85" s="131"/>
      <c r="AIE85" s="131"/>
      <c r="AIF85" s="131"/>
      <c r="AIG85" s="131"/>
      <c r="AIH85" s="131"/>
      <c r="AII85" s="131"/>
      <c r="AIJ85" s="131"/>
      <c r="AIK85" s="131"/>
      <c r="AIL85" s="131"/>
      <c r="AIM85" s="131"/>
      <c r="AIN85" s="131"/>
      <c r="AIO85" s="131"/>
      <c r="AIP85" s="131"/>
      <c r="AIQ85" s="131"/>
      <c r="AIR85" s="131"/>
      <c r="AIS85" s="131"/>
      <c r="AIT85" s="131"/>
      <c r="AIU85" s="131"/>
      <c r="AIV85" s="131"/>
      <c r="AIW85" s="131"/>
      <c r="AIX85" s="131"/>
      <c r="AIY85" s="131"/>
      <c r="AIZ85" s="131"/>
      <c r="AJA85" s="131"/>
      <c r="AJB85" s="131"/>
      <c r="AJC85" s="131"/>
      <c r="AJD85" s="131"/>
      <c r="AJE85" s="131"/>
      <c r="AJF85" s="131"/>
      <c r="AJG85" s="131"/>
      <c r="AJH85" s="131"/>
      <c r="AJI85" s="131"/>
      <c r="AJJ85" s="131"/>
      <c r="AJK85" s="131"/>
      <c r="AJL85" s="131"/>
      <c r="AJM85" s="131"/>
      <c r="AJN85" s="131"/>
      <c r="AJO85" s="131"/>
      <c r="AJP85" s="131"/>
      <c r="AJQ85" s="131"/>
      <c r="AJR85" s="131"/>
      <c r="AJS85" s="131"/>
      <c r="AJT85" s="131"/>
      <c r="AJU85" s="131"/>
      <c r="AJV85" s="131"/>
      <c r="AJW85" s="131"/>
      <c r="AJX85" s="131"/>
      <c r="AJY85" s="131"/>
      <c r="AJZ85" s="131"/>
      <c r="AKA85" s="131"/>
      <c r="AKB85" s="131"/>
      <c r="AKC85" s="131"/>
      <c r="AKD85" s="131"/>
      <c r="AKE85" s="131"/>
      <c r="AKF85" s="131"/>
      <c r="AKG85" s="131"/>
      <c r="AKH85" s="131"/>
      <c r="AKI85" s="131"/>
      <c r="AKJ85" s="131"/>
      <c r="AKK85" s="131"/>
      <c r="AKL85" s="131"/>
      <c r="AKM85" s="131"/>
      <c r="AKN85" s="131"/>
      <c r="AKO85" s="131"/>
      <c r="AKP85" s="131"/>
      <c r="AKQ85" s="131"/>
      <c r="AKR85" s="131"/>
      <c r="AKS85" s="131"/>
      <c r="AKT85" s="131"/>
      <c r="AKU85" s="131"/>
      <c r="AKV85" s="131"/>
      <c r="AKW85" s="131"/>
      <c r="AKX85" s="131"/>
      <c r="AKY85" s="131"/>
      <c r="AKZ85" s="131"/>
      <c r="ALA85" s="131"/>
      <c r="ALB85" s="131"/>
      <c r="ALC85" s="131"/>
      <c r="ALD85" s="131"/>
      <c r="ALE85" s="131"/>
      <c r="ALF85" s="131"/>
      <c r="ALG85" s="131"/>
      <c r="ALH85" s="131"/>
      <c r="ALI85" s="131"/>
      <c r="ALJ85" s="131"/>
      <c r="ALK85" s="131"/>
      <c r="ALL85" s="131"/>
      <c r="ALM85" s="131"/>
      <c r="ALN85" s="131"/>
      <c r="ALO85" s="131"/>
      <c r="ALP85" s="131"/>
      <c r="ALQ85" s="131"/>
      <c r="ALR85" s="131"/>
      <c r="ALS85" s="131"/>
      <c r="ALT85" s="131"/>
      <c r="ALU85" s="131"/>
      <c r="ALV85" s="131"/>
      <c r="ALW85" s="131"/>
      <c r="ALX85" s="131"/>
      <c r="ALY85" s="131"/>
      <c r="ALZ85" s="131"/>
      <c r="AMA85" s="131"/>
      <c r="AMB85" s="131"/>
      <c r="AMC85" s="131"/>
      <c r="AMD85" s="131"/>
      <c r="AME85" s="131"/>
      <c r="AMF85" s="131"/>
      <c r="AMG85" s="131"/>
      <c r="AMH85" s="131"/>
      <c r="AMI85" s="131"/>
      <c r="AMJ85" s="131"/>
      <c r="AMK85" s="131"/>
      <c r="AML85" s="131"/>
      <c r="AMM85" s="131"/>
      <c r="AMN85" s="131"/>
      <c r="AMO85" s="131"/>
      <c r="AMP85" s="131"/>
      <c r="AMQ85" s="131"/>
      <c r="AMR85" s="131"/>
      <c r="AMS85" s="131"/>
      <c r="AMT85" s="131"/>
      <c r="AMU85" s="131"/>
      <c r="AMV85" s="131"/>
      <c r="AMW85" s="131"/>
      <c r="AMX85" s="131"/>
      <c r="AMY85" s="131"/>
      <c r="AMZ85" s="131"/>
      <c r="ANA85" s="131"/>
      <c r="ANB85" s="131"/>
      <c r="ANC85" s="131"/>
      <c r="AND85" s="131"/>
      <c r="ANE85" s="131"/>
      <c r="ANF85" s="131"/>
      <c r="ANG85" s="131"/>
      <c r="ANH85" s="131"/>
      <c r="ANI85" s="131"/>
      <c r="ANJ85" s="131"/>
      <c r="ANK85" s="131"/>
      <c r="ANL85" s="131"/>
      <c r="ANM85" s="131"/>
      <c r="ANN85" s="131"/>
      <c r="ANO85" s="131"/>
      <c r="ANP85" s="131"/>
      <c r="ANQ85" s="131"/>
      <c r="ANR85" s="131"/>
      <c r="ANS85" s="131"/>
      <c r="ANT85" s="131"/>
      <c r="ANU85" s="131"/>
      <c r="ANV85" s="131"/>
      <c r="ANW85" s="131"/>
      <c r="ANX85" s="131"/>
      <c r="ANY85" s="131"/>
      <c r="ANZ85" s="131"/>
      <c r="AOA85" s="131"/>
      <c r="AOB85" s="131"/>
      <c r="AOC85" s="131"/>
      <c r="AOD85" s="131"/>
      <c r="AOE85" s="131"/>
      <c r="AOF85" s="131"/>
      <c r="AOG85" s="131"/>
      <c r="AOH85" s="131"/>
      <c r="AOI85" s="131"/>
      <c r="AOJ85" s="131"/>
      <c r="AOK85" s="131"/>
      <c r="AOL85" s="131"/>
      <c r="AOM85" s="131"/>
      <c r="AON85" s="131"/>
      <c r="AOO85" s="131"/>
      <c r="AOP85" s="131"/>
      <c r="AOQ85" s="131"/>
      <c r="AOR85" s="131"/>
      <c r="AOS85" s="131"/>
      <c r="AOT85" s="131"/>
      <c r="AOU85" s="131"/>
      <c r="AOV85" s="131"/>
      <c r="AOW85" s="131"/>
      <c r="AOX85" s="131"/>
      <c r="AOY85" s="131"/>
      <c r="AOZ85" s="131"/>
      <c r="APA85" s="131"/>
      <c r="APB85" s="131"/>
      <c r="APC85" s="131"/>
      <c r="APD85" s="131"/>
      <c r="APE85" s="131"/>
      <c r="APF85" s="131"/>
      <c r="APG85" s="131"/>
      <c r="APH85" s="131"/>
      <c r="API85" s="131"/>
      <c r="APJ85" s="131"/>
      <c r="APK85" s="131"/>
      <c r="APL85" s="131"/>
      <c r="APM85" s="131"/>
      <c r="APN85" s="131"/>
      <c r="APO85" s="131"/>
      <c r="APP85" s="131"/>
      <c r="APQ85" s="131"/>
      <c r="APR85" s="131"/>
      <c r="APS85" s="131"/>
      <c r="APT85" s="131"/>
      <c r="APU85" s="131"/>
      <c r="APV85" s="131"/>
      <c r="APW85" s="131"/>
      <c r="APX85" s="131"/>
      <c r="APY85" s="131"/>
      <c r="APZ85" s="131"/>
      <c r="AQA85" s="131"/>
      <c r="AQB85" s="131"/>
      <c r="AQC85" s="131"/>
      <c r="AQD85" s="131"/>
      <c r="AQE85" s="131"/>
      <c r="AQF85" s="131"/>
      <c r="AQG85" s="131"/>
      <c r="AQH85" s="131"/>
      <c r="AQI85" s="131"/>
      <c r="AQJ85" s="131"/>
      <c r="AQK85" s="131"/>
      <c r="AQL85" s="131"/>
      <c r="AQM85" s="131"/>
      <c r="AQN85" s="131"/>
      <c r="AQO85" s="131"/>
      <c r="AQP85" s="131"/>
      <c r="AQQ85" s="131"/>
      <c r="AQR85" s="131"/>
      <c r="AQS85" s="131"/>
      <c r="AQT85" s="131"/>
      <c r="AQU85" s="131"/>
      <c r="AQV85" s="131"/>
      <c r="AQW85" s="131"/>
      <c r="AQX85" s="131"/>
      <c r="AQY85" s="131"/>
      <c r="AQZ85" s="131"/>
      <c r="ARA85" s="131"/>
      <c r="ARB85" s="131"/>
      <c r="ARC85" s="131"/>
      <c r="ARD85" s="131"/>
      <c r="ARE85" s="131"/>
      <c r="ARF85" s="131"/>
      <c r="ARG85" s="131"/>
      <c r="ARH85" s="131"/>
      <c r="ARI85" s="131"/>
      <c r="ARJ85" s="131"/>
      <c r="ARK85" s="131"/>
      <c r="ARL85" s="131"/>
      <c r="ARM85" s="131"/>
      <c r="ARN85" s="131"/>
      <c r="ARO85" s="131"/>
      <c r="ARP85" s="131"/>
      <c r="ARQ85" s="131"/>
      <c r="ARR85" s="131"/>
      <c r="ARS85" s="131"/>
      <c r="ART85" s="131"/>
      <c r="ARU85" s="131"/>
      <c r="ARV85" s="131"/>
      <c r="ARW85" s="131"/>
      <c r="ARX85" s="131"/>
      <c r="ARY85" s="131"/>
      <c r="ARZ85" s="131"/>
      <c r="ASA85" s="131"/>
      <c r="ASB85" s="131"/>
      <c r="ASC85" s="131"/>
      <c r="ASD85" s="131"/>
      <c r="ASE85" s="131"/>
      <c r="ASF85" s="131"/>
      <c r="ASG85" s="131"/>
      <c r="ASH85" s="131"/>
      <c r="ASI85" s="131"/>
      <c r="ASJ85" s="131"/>
      <c r="ASK85" s="131"/>
      <c r="ASL85" s="131"/>
      <c r="ASM85" s="131"/>
      <c r="ASN85" s="131"/>
      <c r="ASO85" s="131"/>
      <c r="ASP85" s="131"/>
      <c r="ASQ85" s="131"/>
      <c r="ASR85" s="131"/>
      <c r="ASS85" s="131"/>
      <c r="AST85" s="131"/>
      <c r="ASU85" s="131"/>
      <c r="ASV85" s="131"/>
      <c r="ASW85" s="131"/>
      <c r="ASX85" s="131"/>
      <c r="ASY85" s="131"/>
      <c r="ASZ85" s="131"/>
      <c r="ATA85" s="131"/>
      <c r="ATB85" s="131"/>
      <c r="ATC85" s="131"/>
    </row>
    <row r="86" spans="1:1199" ht="50.1" customHeight="1" outlineLevel="2" x14ac:dyDescent="0.3">
      <c r="A86" s="106" t="s">
        <v>110</v>
      </c>
      <c r="B86" s="96" t="s">
        <v>111</v>
      </c>
      <c r="C86" s="79" t="s">
        <v>37</v>
      </c>
      <c r="D86" s="81">
        <f t="shared" ref="D86:D126" si="17">E86+F86</f>
        <v>1230.8253</v>
      </c>
      <c r="E86" s="82">
        <f t="shared" si="5"/>
        <v>365.57767000000001</v>
      </c>
      <c r="F86" s="83">
        <f t="shared" si="12"/>
        <v>865.24763000000007</v>
      </c>
      <c r="G86" s="84"/>
      <c r="H86" s="85"/>
      <c r="I86" s="83"/>
      <c r="J86" s="84"/>
      <c r="K86" s="85"/>
      <c r="L86" s="85">
        <v>227.00147000000001</v>
      </c>
      <c r="M86" s="85"/>
      <c r="N86" s="85"/>
      <c r="O86" s="82"/>
      <c r="P86" s="83"/>
      <c r="Q86" s="83"/>
      <c r="R86" s="83"/>
      <c r="S86" s="82"/>
      <c r="T86" s="83"/>
      <c r="U86" s="83"/>
      <c r="V86" s="84">
        <v>34.792499999999997</v>
      </c>
      <c r="W86" s="83">
        <v>60.75</v>
      </c>
      <c r="X86" s="87"/>
      <c r="Y86" s="83">
        <v>166.29599999999999</v>
      </c>
      <c r="Z86" s="84"/>
      <c r="AA86" s="85"/>
      <c r="AB86" s="84"/>
      <c r="AC86" s="85"/>
      <c r="AD86" s="89">
        <f t="shared" si="13"/>
        <v>111.64717999999999</v>
      </c>
      <c r="AE86" s="89">
        <v>38.683799999999998</v>
      </c>
      <c r="AF86" s="186">
        <v>72.963380000000001</v>
      </c>
      <c r="AG86" s="85"/>
      <c r="AH86" s="85"/>
      <c r="AI86" s="85"/>
      <c r="AJ86" s="84"/>
      <c r="AK86" s="85"/>
      <c r="AL86" s="84"/>
      <c r="AM86" s="88"/>
      <c r="AN86" s="84"/>
      <c r="AO86" s="85"/>
      <c r="AP86" s="84"/>
      <c r="AQ86" s="83"/>
      <c r="AR86" s="83"/>
      <c r="AS86" s="83"/>
      <c r="AT86" s="85"/>
      <c r="AU86" s="85"/>
      <c r="AV86" s="85"/>
      <c r="AW86" s="88"/>
      <c r="AX86" s="84"/>
      <c r="AY86" s="85"/>
      <c r="AZ86" s="84">
        <v>330.78516999999999</v>
      </c>
      <c r="BA86" s="85">
        <v>299.55297999999999</v>
      </c>
      <c r="BB86" s="88"/>
      <c r="BC86" s="85"/>
      <c r="BD86" s="84"/>
      <c r="BE86" s="88"/>
      <c r="BF86" s="85"/>
      <c r="BG86" s="85"/>
      <c r="BH86" s="85"/>
      <c r="BI86" s="85"/>
      <c r="BJ86" s="85"/>
      <c r="BK86" s="85"/>
      <c r="BL86" s="85"/>
      <c r="BM86" s="85"/>
      <c r="BN86" s="85"/>
      <c r="BO86" s="85"/>
      <c r="BP86" s="85"/>
      <c r="BQ86" s="85"/>
      <c r="BR86" s="84"/>
      <c r="BS86" s="85"/>
      <c r="BT86" s="85"/>
      <c r="BU86" s="198"/>
      <c r="BV86" s="90"/>
      <c r="BW86" s="198"/>
      <c r="BX86" s="90"/>
      <c r="BY86" s="198"/>
      <c r="BZ86" s="90"/>
      <c r="CA86" s="91"/>
    </row>
    <row r="87" spans="1:1199" ht="50.1" customHeight="1" outlineLevel="2" x14ac:dyDescent="0.3">
      <c r="A87" s="103" t="s">
        <v>110</v>
      </c>
      <c r="B87" s="102" t="s">
        <v>112</v>
      </c>
      <c r="C87" s="79" t="s">
        <v>37</v>
      </c>
      <c r="D87" s="81">
        <f t="shared" si="17"/>
        <v>11749.644680000001</v>
      </c>
      <c r="E87" s="82">
        <f t="shared" si="5"/>
        <v>4941.6260400000001</v>
      </c>
      <c r="F87" s="83">
        <f t="shared" si="12"/>
        <v>6808.0186400000002</v>
      </c>
      <c r="G87" s="84"/>
      <c r="H87" s="85"/>
      <c r="I87" s="83"/>
      <c r="J87" s="84">
        <f>667.55613+9.97625+33.97902+160.87298</f>
        <v>872.38438000000008</v>
      </c>
      <c r="K87" s="85">
        <f>194.38459+1.46504+7.98695+50.63492</f>
        <v>254.47149999999999</v>
      </c>
      <c r="L87" s="85">
        <v>198.87932000000001</v>
      </c>
      <c r="M87" s="85"/>
      <c r="N87" s="85"/>
      <c r="O87" s="82"/>
      <c r="P87" s="83"/>
      <c r="Q87" s="83"/>
      <c r="R87" s="83"/>
      <c r="S87" s="82"/>
      <c r="T87" s="83"/>
      <c r="U87" s="83"/>
      <c r="V87" s="84"/>
      <c r="W87" s="83"/>
      <c r="X87" s="87"/>
      <c r="Y87" s="83">
        <v>486.72</v>
      </c>
      <c r="Z87" s="84"/>
      <c r="AA87" s="85"/>
      <c r="AB87" s="84"/>
      <c r="AC87" s="85"/>
      <c r="AD87" s="89">
        <f t="shared" si="13"/>
        <v>311.95586000000003</v>
      </c>
      <c r="AE87" s="89">
        <v>109.6041</v>
      </c>
      <c r="AF87" s="186">
        <v>202.35176000000001</v>
      </c>
      <c r="AG87" s="85"/>
      <c r="AH87" s="85"/>
      <c r="AI87" s="85"/>
      <c r="AJ87" s="84"/>
      <c r="AK87" s="85"/>
      <c r="AL87" s="84"/>
      <c r="AM87" s="88"/>
      <c r="AN87" s="84"/>
      <c r="AO87" s="85"/>
      <c r="AP87" s="84">
        <v>2429.96819</v>
      </c>
      <c r="AQ87" s="83">
        <v>3363.36895</v>
      </c>
      <c r="AR87" s="83"/>
      <c r="AS87" s="83"/>
      <c r="AT87" s="85"/>
      <c r="AU87" s="85"/>
      <c r="AV87" s="85"/>
      <c r="AW87" s="88"/>
      <c r="AX87" s="84"/>
      <c r="AY87" s="85"/>
      <c r="AZ87" s="84">
        <v>1639.2734700000001</v>
      </c>
      <c r="BA87" s="85">
        <v>1484.4941200000001</v>
      </c>
      <c r="BB87" s="88"/>
      <c r="BC87" s="85"/>
      <c r="BD87" s="84"/>
      <c r="BE87" s="88"/>
      <c r="BF87" s="85"/>
      <c r="BG87" s="85">
        <v>708.12888999999996</v>
      </c>
      <c r="BH87" s="85"/>
      <c r="BI87" s="85"/>
      <c r="BJ87" s="85"/>
      <c r="BK87" s="85"/>
      <c r="BL87" s="85"/>
      <c r="BM87" s="85"/>
      <c r="BN87" s="85"/>
      <c r="BO87" s="85"/>
      <c r="BP87" s="85"/>
      <c r="BQ87" s="85"/>
      <c r="BR87" s="84"/>
      <c r="BS87" s="85"/>
      <c r="BT87" s="85"/>
      <c r="BU87" s="198"/>
      <c r="BV87" s="90"/>
      <c r="BW87" s="198"/>
      <c r="BX87" s="90"/>
      <c r="BY87" s="198"/>
      <c r="BZ87" s="90"/>
      <c r="CA87" s="91"/>
    </row>
    <row r="88" spans="1:1199" ht="50.1" customHeight="1" outlineLevel="2" x14ac:dyDescent="0.3">
      <c r="A88" s="106" t="s">
        <v>110</v>
      </c>
      <c r="B88" s="96" t="s">
        <v>113</v>
      </c>
      <c r="C88" s="79" t="s">
        <v>37</v>
      </c>
      <c r="D88" s="81">
        <f t="shared" si="17"/>
        <v>14991.3403</v>
      </c>
      <c r="E88" s="82">
        <f t="shared" si="5"/>
        <v>4867.7135899999994</v>
      </c>
      <c r="F88" s="83">
        <f t="shared" si="12"/>
        <v>10123.62671</v>
      </c>
      <c r="G88" s="84"/>
      <c r="H88" s="85"/>
      <c r="I88" s="83">
        <v>198.05840000000001</v>
      </c>
      <c r="J88" s="84">
        <v>94.044740000000004</v>
      </c>
      <c r="K88" s="85">
        <v>12.35708</v>
      </c>
      <c r="L88" s="85"/>
      <c r="M88" s="85"/>
      <c r="N88" s="85"/>
      <c r="O88" s="82"/>
      <c r="P88" s="83"/>
      <c r="Q88" s="83"/>
      <c r="R88" s="83"/>
      <c r="S88" s="82"/>
      <c r="T88" s="83"/>
      <c r="U88" s="83"/>
      <c r="V88" s="84">
        <v>99.738500000000002</v>
      </c>
      <c r="W88" s="83">
        <v>206.1</v>
      </c>
      <c r="X88" s="87"/>
      <c r="Y88" s="83">
        <v>531.64800000000002</v>
      </c>
      <c r="Z88" s="84"/>
      <c r="AA88" s="85"/>
      <c r="AB88" s="84"/>
      <c r="AC88" s="85"/>
      <c r="AD88" s="89">
        <f t="shared" si="13"/>
        <v>506.78780999999998</v>
      </c>
      <c r="AE88" s="89">
        <v>324.86579999999998</v>
      </c>
      <c r="AF88" s="186">
        <v>181.92201</v>
      </c>
      <c r="AG88" s="85"/>
      <c r="AH88" s="85"/>
      <c r="AI88" s="85"/>
      <c r="AJ88" s="84"/>
      <c r="AK88" s="85"/>
      <c r="AL88" s="84"/>
      <c r="AM88" s="88"/>
      <c r="AN88" s="84"/>
      <c r="AO88" s="85"/>
      <c r="AP88" s="84">
        <v>1006.56565</v>
      </c>
      <c r="AQ88" s="83">
        <v>2058.23929</v>
      </c>
      <c r="AR88" s="83"/>
      <c r="AS88" s="83"/>
      <c r="AT88" s="85"/>
      <c r="AU88" s="85"/>
      <c r="AV88" s="88">
        <v>3949.9846400000001</v>
      </c>
      <c r="AW88" s="88"/>
      <c r="AX88" s="84"/>
      <c r="AY88" s="85"/>
      <c r="AZ88" s="84">
        <v>1069.02666</v>
      </c>
      <c r="BA88" s="85">
        <v>968.09031000000004</v>
      </c>
      <c r="BB88" s="88"/>
      <c r="BC88" s="85"/>
      <c r="BD88" s="84"/>
      <c r="BE88" s="88"/>
      <c r="BF88" s="85"/>
      <c r="BG88" s="85">
        <v>951.45811000000003</v>
      </c>
      <c r="BH88" s="85"/>
      <c r="BI88" s="85"/>
      <c r="BJ88" s="85"/>
      <c r="BK88" s="85">
        <v>671.90306999999996</v>
      </c>
      <c r="BL88" s="85"/>
      <c r="BM88" s="85"/>
      <c r="BN88" s="85"/>
      <c r="BO88" s="85"/>
      <c r="BP88" s="85"/>
      <c r="BQ88" s="85"/>
      <c r="BR88" s="84">
        <v>2598.3380400000001</v>
      </c>
      <c r="BS88" s="85"/>
      <c r="BT88" s="85">
        <v>69</v>
      </c>
      <c r="BU88" s="198"/>
      <c r="BV88" s="90"/>
      <c r="BW88" s="198"/>
      <c r="BX88" s="90"/>
      <c r="BY88" s="198"/>
      <c r="BZ88" s="90"/>
      <c r="CA88" s="91"/>
    </row>
    <row r="89" spans="1:1199" ht="50.1" customHeight="1" outlineLevel="2" x14ac:dyDescent="0.3">
      <c r="A89" s="103" t="s">
        <v>110</v>
      </c>
      <c r="B89" s="102" t="s">
        <v>114</v>
      </c>
      <c r="C89" s="79" t="s">
        <v>37</v>
      </c>
      <c r="D89" s="81">
        <f t="shared" si="17"/>
        <v>12304.87746</v>
      </c>
      <c r="E89" s="82">
        <f t="shared" si="5"/>
        <v>5220.0631099999991</v>
      </c>
      <c r="F89" s="83">
        <f t="shared" si="12"/>
        <v>7084.8143500000006</v>
      </c>
      <c r="G89" s="84"/>
      <c r="H89" s="85"/>
      <c r="I89" s="83">
        <v>182.69468000000001</v>
      </c>
      <c r="J89" s="84">
        <f>1011.46105+39.89694</f>
        <v>1051.35799</v>
      </c>
      <c r="K89" s="85">
        <f>228.215+5.44804</f>
        <v>233.66304</v>
      </c>
      <c r="L89" s="85">
        <v>11.2104</v>
      </c>
      <c r="M89" s="85"/>
      <c r="N89" s="85"/>
      <c r="O89" s="82"/>
      <c r="P89" s="83"/>
      <c r="Q89" s="83"/>
      <c r="R89" s="83"/>
      <c r="S89" s="82">
        <v>377.93247000000002</v>
      </c>
      <c r="T89" s="83">
        <v>350.93727000000001</v>
      </c>
      <c r="U89" s="83">
        <v>379.77866999999998</v>
      </c>
      <c r="V89" s="84">
        <v>104.3775</v>
      </c>
      <c r="W89" s="83">
        <v>182.25</v>
      </c>
      <c r="X89" s="87"/>
      <c r="Y89" s="83">
        <v>869.54399999999998</v>
      </c>
      <c r="Z89" s="84"/>
      <c r="AA89" s="85"/>
      <c r="AB89" s="84"/>
      <c r="AC89" s="85"/>
      <c r="AD89" s="89">
        <f t="shared" si="13"/>
        <v>553.68576000000007</v>
      </c>
      <c r="AE89" s="89">
        <f>282.492+38.6838</f>
        <v>321.17580000000004</v>
      </c>
      <c r="AF89" s="186">
        <v>232.50996000000001</v>
      </c>
      <c r="AG89" s="85"/>
      <c r="AH89" s="85"/>
      <c r="AI89" s="85"/>
      <c r="AJ89" s="84"/>
      <c r="AK89" s="85"/>
      <c r="AL89" s="84"/>
      <c r="AM89" s="88"/>
      <c r="AN89" s="84"/>
      <c r="AO89" s="85"/>
      <c r="AP89" s="84">
        <v>1634.7245499999999</v>
      </c>
      <c r="AQ89" s="83">
        <v>2356.6145299999998</v>
      </c>
      <c r="AR89" s="83"/>
      <c r="AS89" s="83"/>
      <c r="AT89" s="85"/>
      <c r="AU89" s="85"/>
      <c r="AV89" s="85"/>
      <c r="AW89" s="88"/>
      <c r="AX89" s="84"/>
      <c r="AY89" s="85"/>
      <c r="AZ89" s="84">
        <v>2051.6705999999999</v>
      </c>
      <c r="BA89" s="85">
        <v>1857.95362</v>
      </c>
      <c r="BB89" s="88"/>
      <c r="BC89" s="85"/>
      <c r="BD89" s="84"/>
      <c r="BE89" s="88"/>
      <c r="BF89" s="85"/>
      <c r="BG89" s="85"/>
      <c r="BH89" s="85"/>
      <c r="BI89" s="85"/>
      <c r="BJ89" s="85"/>
      <c r="BK89" s="85"/>
      <c r="BL89" s="85"/>
      <c r="BM89" s="85"/>
      <c r="BN89" s="85"/>
      <c r="BO89" s="85"/>
      <c r="BP89" s="85"/>
      <c r="BQ89" s="85"/>
      <c r="BR89" s="84"/>
      <c r="BS89" s="85"/>
      <c r="BT89" s="85">
        <v>85</v>
      </c>
      <c r="BU89" s="170">
        <v>21.482379999999999</v>
      </c>
      <c r="BV89" s="90"/>
      <c r="BW89" s="198"/>
      <c r="BX89" s="90"/>
      <c r="BY89" s="198"/>
      <c r="BZ89" s="90"/>
      <c r="CA89" s="91"/>
    </row>
    <row r="90" spans="1:1199" ht="50.1" customHeight="1" outlineLevel="2" x14ac:dyDescent="0.3">
      <c r="A90" s="103" t="s">
        <v>110</v>
      </c>
      <c r="B90" s="102" t="s">
        <v>115</v>
      </c>
      <c r="C90" s="107" t="s">
        <v>37</v>
      </c>
      <c r="D90" s="81">
        <f t="shared" si="17"/>
        <v>8301.8483300000007</v>
      </c>
      <c r="E90" s="82">
        <f t="shared" si="5"/>
        <v>3606.7913800000001</v>
      </c>
      <c r="F90" s="83">
        <f t="shared" si="12"/>
        <v>4695.0569500000001</v>
      </c>
      <c r="G90" s="84"/>
      <c r="H90" s="85"/>
      <c r="I90" s="83"/>
      <c r="J90" s="84"/>
      <c r="K90" s="85"/>
      <c r="L90" s="85"/>
      <c r="M90" s="85"/>
      <c r="N90" s="85"/>
      <c r="O90" s="82"/>
      <c r="P90" s="83"/>
      <c r="Q90" s="83"/>
      <c r="R90" s="83"/>
      <c r="S90" s="82"/>
      <c r="T90" s="83"/>
      <c r="U90" s="83"/>
      <c r="V90" s="84">
        <v>643.66125</v>
      </c>
      <c r="W90" s="83">
        <v>1123.875</v>
      </c>
      <c r="X90" s="87"/>
      <c r="Y90" s="83">
        <v>475.488</v>
      </c>
      <c r="Z90" s="84"/>
      <c r="AA90" s="85"/>
      <c r="AB90" s="84"/>
      <c r="AC90" s="85"/>
      <c r="AD90" s="89">
        <f t="shared" si="13"/>
        <v>660.26530000000002</v>
      </c>
      <c r="AE90" s="89">
        <f>282.492+75.2185</f>
        <v>357.71050000000002</v>
      </c>
      <c r="AF90" s="186">
        <v>302.5548</v>
      </c>
      <c r="AG90" s="85"/>
      <c r="AH90" s="85"/>
      <c r="AI90" s="85"/>
      <c r="AJ90" s="84"/>
      <c r="AK90" s="85"/>
      <c r="AL90" s="84"/>
      <c r="AM90" s="88"/>
      <c r="AN90" s="84"/>
      <c r="AO90" s="85"/>
      <c r="AP90" s="84"/>
      <c r="AQ90" s="83"/>
      <c r="AR90" s="83"/>
      <c r="AS90" s="83"/>
      <c r="AT90" s="85"/>
      <c r="AU90" s="85"/>
      <c r="AV90" s="85">
        <v>1075.75866</v>
      </c>
      <c r="AW90" s="88"/>
      <c r="AX90" s="84"/>
      <c r="AY90" s="85"/>
      <c r="AZ90" s="84">
        <v>1180.1343999999999</v>
      </c>
      <c r="BA90" s="85">
        <v>1068.70686</v>
      </c>
      <c r="BB90" s="88"/>
      <c r="BC90" s="85"/>
      <c r="BD90" s="84"/>
      <c r="BE90" s="88"/>
      <c r="BF90" s="85"/>
      <c r="BG90" s="85">
        <v>290.96312999999998</v>
      </c>
      <c r="BH90" s="85"/>
      <c r="BI90" s="85"/>
      <c r="BJ90" s="85"/>
      <c r="BK90" s="85"/>
      <c r="BL90" s="85"/>
      <c r="BM90" s="85"/>
      <c r="BN90" s="85"/>
      <c r="BO90" s="85"/>
      <c r="BP90" s="85"/>
      <c r="BQ90" s="85"/>
      <c r="BR90" s="84">
        <v>1782.9957300000001</v>
      </c>
      <c r="BS90" s="85"/>
      <c r="BT90" s="85"/>
      <c r="BU90" s="198"/>
      <c r="BV90" s="90"/>
      <c r="BW90" s="198"/>
      <c r="BX90" s="90"/>
      <c r="BY90" s="198"/>
      <c r="BZ90" s="90"/>
      <c r="CA90" s="91"/>
    </row>
    <row r="91" spans="1:1199" ht="50.1" customHeight="1" outlineLevel="2" x14ac:dyDescent="0.3">
      <c r="A91" s="103" t="s">
        <v>110</v>
      </c>
      <c r="B91" s="102" t="s">
        <v>116</v>
      </c>
      <c r="C91" s="79" t="s">
        <v>37</v>
      </c>
      <c r="D91" s="81">
        <f t="shared" si="17"/>
        <v>835.28979000000004</v>
      </c>
      <c r="E91" s="82">
        <f t="shared" si="5"/>
        <v>206.11559</v>
      </c>
      <c r="F91" s="83">
        <f t="shared" si="12"/>
        <v>629.17420000000004</v>
      </c>
      <c r="G91" s="84"/>
      <c r="H91" s="85"/>
      <c r="I91" s="83"/>
      <c r="J91" s="84"/>
      <c r="K91" s="85"/>
      <c r="L91" s="85">
        <v>322.02931000000001</v>
      </c>
      <c r="M91" s="85"/>
      <c r="N91" s="85"/>
      <c r="O91" s="82"/>
      <c r="P91" s="83"/>
      <c r="Q91" s="83"/>
      <c r="R91" s="83"/>
      <c r="S91" s="82"/>
      <c r="T91" s="83"/>
      <c r="U91" s="83"/>
      <c r="V91" s="84"/>
      <c r="W91" s="83"/>
      <c r="X91" s="82"/>
      <c r="Y91" s="83"/>
      <c r="Z91" s="84"/>
      <c r="AA91" s="85"/>
      <c r="AB91" s="84"/>
      <c r="AC91" s="85"/>
      <c r="AD91" s="89">
        <f t="shared" si="13"/>
        <v>120.49047999999999</v>
      </c>
      <c r="AE91" s="89">
        <v>77.685299999999998</v>
      </c>
      <c r="AF91" s="186">
        <v>42.80518</v>
      </c>
      <c r="AG91" s="85"/>
      <c r="AH91" s="85"/>
      <c r="AI91" s="85"/>
      <c r="AJ91" s="84"/>
      <c r="AK91" s="85"/>
      <c r="AL91" s="84"/>
      <c r="AM91" s="88"/>
      <c r="AN91" s="84"/>
      <c r="AO91" s="85"/>
      <c r="AP91" s="84"/>
      <c r="AQ91" s="83"/>
      <c r="AR91" s="83"/>
      <c r="AS91" s="83"/>
      <c r="AT91" s="85"/>
      <c r="AU91" s="85"/>
      <c r="AV91" s="85"/>
      <c r="AW91" s="88"/>
      <c r="AX91" s="84"/>
      <c r="AY91" s="85"/>
      <c r="AZ91" s="84">
        <v>206.11559</v>
      </c>
      <c r="BA91" s="85">
        <v>186.65441000000001</v>
      </c>
      <c r="BB91" s="88"/>
      <c r="BC91" s="85"/>
      <c r="BD91" s="84"/>
      <c r="BE91" s="88"/>
      <c r="BF91" s="85"/>
      <c r="BG91" s="85"/>
      <c r="BH91" s="85"/>
      <c r="BI91" s="85"/>
      <c r="BJ91" s="85"/>
      <c r="BK91" s="85"/>
      <c r="BL91" s="85"/>
      <c r="BM91" s="85"/>
      <c r="BN91" s="85"/>
      <c r="BO91" s="85"/>
      <c r="BP91" s="85"/>
      <c r="BQ91" s="85"/>
      <c r="BR91" s="84"/>
      <c r="BS91" s="85"/>
      <c r="BT91" s="85"/>
      <c r="BU91" s="198"/>
      <c r="BV91" s="90"/>
      <c r="BW91" s="198"/>
      <c r="BX91" s="90"/>
      <c r="BY91" s="198"/>
      <c r="BZ91" s="90"/>
      <c r="CA91" s="91"/>
    </row>
    <row r="92" spans="1:1199" ht="50.1" customHeight="1" outlineLevel="2" x14ac:dyDescent="0.3">
      <c r="A92" s="106" t="s">
        <v>110</v>
      </c>
      <c r="B92" s="96" t="s">
        <v>117</v>
      </c>
      <c r="C92" s="79" t="s">
        <v>37</v>
      </c>
      <c r="D92" s="81">
        <f t="shared" si="17"/>
        <v>13003.73733</v>
      </c>
      <c r="E92" s="82">
        <f t="shared" si="5"/>
        <v>3280.1270800000002</v>
      </c>
      <c r="F92" s="83">
        <f t="shared" si="12"/>
        <v>9723.6102499999997</v>
      </c>
      <c r="G92" s="84"/>
      <c r="H92" s="85"/>
      <c r="I92" s="83"/>
      <c r="J92" s="84">
        <f>0.37645+3.09614+3.88825+159.91718+349.09165</f>
        <v>516.36967000000004</v>
      </c>
      <c r="K92" s="85">
        <f>38.20021+84.84474</f>
        <v>123.04495</v>
      </c>
      <c r="L92" s="85">
        <v>840.26264000000003</v>
      </c>
      <c r="M92" s="85"/>
      <c r="N92" s="85"/>
      <c r="O92" s="82"/>
      <c r="P92" s="83"/>
      <c r="Q92" s="83"/>
      <c r="R92" s="83"/>
      <c r="S92" s="82"/>
      <c r="T92" s="83"/>
      <c r="U92" s="83">
        <v>135.62367</v>
      </c>
      <c r="V92" s="84">
        <v>102.85</v>
      </c>
      <c r="W92" s="83">
        <v>180</v>
      </c>
      <c r="X92" s="87"/>
      <c r="Y92" s="83">
        <v>228.696</v>
      </c>
      <c r="Z92" s="84"/>
      <c r="AA92" s="85"/>
      <c r="AB92" s="84"/>
      <c r="AC92" s="85"/>
      <c r="AD92" s="89">
        <f t="shared" si="13"/>
        <v>222.52490999999998</v>
      </c>
      <c r="AE92" s="89">
        <v>79.5167</v>
      </c>
      <c r="AF92" s="186">
        <v>143.00820999999999</v>
      </c>
      <c r="AG92" s="85"/>
      <c r="AH92" s="85"/>
      <c r="AI92" s="85"/>
      <c r="AJ92" s="84"/>
      <c r="AK92" s="85"/>
      <c r="AL92" s="84"/>
      <c r="AM92" s="88"/>
      <c r="AN92" s="84"/>
      <c r="AO92" s="85"/>
      <c r="AP92" s="84">
        <v>1445.1171899999999</v>
      </c>
      <c r="AQ92" s="83">
        <v>3699.90119</v>
      </c>
      <c r="AR92" s="83"/>
      <c r="AS92" s="83"/>
      <c r="AT92" s="85"/>
      <c r="AU92" s="85"/>
      <c r="AV92" s="85"/>
      <c r="AW92" s="88"/>
      <c r="AX92" s="84"/>
      <c r="AY92" s="85"/>
      <c r="AZ92" s="84">
        <v>1215.7902200000001</v>
      </c>
      <c r="BA92" s="85">
        <v>1100.99639</v>
      </c>
      <c r="BB92" s="88"/>
      <c r="BC92" s="85"/>
      <c r="BD92" s="84"/>
      <c r="BE92" s="88"/>
      <c r="BF92" s="85"/>
      <c r="BG92" s="85">
        <v>3027.5605</v>
      </c>
      <c r="BH92" s="85"/>
      <c r="BI92" s="85"/>
      <c r="BJ92" s="85"/>
      <c r="BK92" s="85"/>
      <c r="BL92" s="85"/>
      <c r="BM92" s="85"/>
      <c r="BN92" s="85"/>
      <c r="BO92" s="85"/>
      <c r="BP92" s="85"/>
      <c r="BQ92" s="85"/>
      <c r="BR92" s="84"/>
      <c r="BS92" s="85"/>
      <c r="BT92" s="85">
        <v>165</v>
      </c>
      <c r="BU92" s="198"/>
      <c r="BV92" s="90"/>
      <c r="BW92" s="198"/>
      <c r="BX92" s="90"/>
      <c r="BY92" s="198"/>
      <c r="BZ92" s="90"/>
      <c r="CA92" s="91"/>
    </row>
    <row r="93" spans="1:1199" ht="50.1" customHeight="1" outlineLevel="2" x14ac:dyDescent="0.3">
      <c r="A93" s="106" t="s">
        <v>110</v>
      </c>
      <c r="B93" s="96" t="s">
        <v>118</v>
      </c>
      <c r="C93" s="79" t="s">
        <v>37</v>
      </c>
      <c r="D93" s="81">
        <f t="shared" si="17"/>
        <v>5982.3455700000004</v>
      </c>
      <c r="E93" s="82">
        <f t="shared" si="5"/>
        <v>1924.50017</v>
      </c>
      <c r="F93" s="83">
        <f t="shared" si="12"/>
        <v>4057.8454000000002</v>
      </c>
      <c r="G93" s="84"/>
      <c r="H93" s="85"/>
      <c r="I93" s="83"/>
      <c r="J93" s="84"/>
      <c r="K93" s="85"/>
      <c r="L93" s="85">
        <v>776.70854999999995</v>
      </c>
      <c r="M93" s="85"/>
      <c r="N93" s="85"/>
      <c r="O93" s="82"/>
      <c r="P93" s="83"/>
      <c r="Q93" s="83"/>
      <c r="R93" s="83"/>
      <c r="S93" s="82"/>
      <c r="T93" s="83"/>
      <c r="U93" s="83"/>
      <c r="V93" s="84">
        <v>130.03648000000001</v>
      </c>
      <c r="W93" s="83">
        <v>218.22318000000001</v>
      </c>
      <c r="X93" s="87"/>
      <c r="Y93" s="83">
        <v>709.8</v>
      </c>
      <c r="Z93" s="84"/>
      <c r="AA93" s="85"/>
      <c r="AB93" s="84"/>
      <c r="AC93" s="85"/>
      <c r="AD93" s="89">
        <f t="shared" si="13"/>
        <v>417.35914000000002</v>
      </c>
      <c r="AE93" s="89">
        <v>143.9897</v>
      </c>
      <c r="AF93" s="186">
        <v>273.36944</v>
      </c>
      <c r="AG93" s="85"/>
      <c r="AH93" s="85"/>
      <c r="AI93" s="85"/>
      <c r="AJ93" s="84"/>
      <c r="AK93" s="85"/>
      <c r="AL93" s="84"/>
      <c r="AM93" s="88"/>
      <c r="AN93" s="84"/>
      <c r="AO93" s="85"/>
      <c r="AP93" s="84"/>
      <c r="AQ93" s="83"/>
      <c r="AR93" s="83"/>
      <c r="AS93" s="83"/>
      <c r="AT93" s="85"/>
      <c r="AU93" s="85"/>
      <c r="AV93" s="85"/>
      <c r="AW93" s="88"/>
      <c r="AX93" s="84"/>
      <c r="AY93" s="85"/>
      <c r="AZ93" s="84">
        <v>1794.46369</v>
      </c>
      <c r="BA93" s="85">
        <v>1625.0330300000001</v>
      </c>
      <c r="BB93" s="88"/>
      <c r="BC93" s="85"/>
      <c r="BD93" s="84"/>
      <c r="BE93" s="88"/>
      <c r="BF93" s="85"/>
      <c r="BG93" s="85"/>
      <c r="BH93" s="85"/>
      <c r="BI93" s="85"/>
      <c r="BJ93" s="85"/>
      <c r="BK93" s="85"/>
      <c r="BL93" s="85"/>
      <c r="BM93" s="85"/>
      <c r="BN93" s="85"/>
      <c r="BO93" s="85"/>
      <c r="BP93" s="85"/>
      <c r="BQ93" s="85"/>
      <c r="BR93" s="84"/>
      <c r="BS93" s="85"/>
      <c r="BT93" s="85">
        <v>310.72149999999999</v>
      </c>
      <c r="BU93" s="198"/>
      <c r="BV93" s="90"/>
      <c r="BW93" s="198"/>
      <c r="BX93" s="90"/>
      <c r="BY93" s="198"/>
      <c r="BZ93" s="90"/>
      <c r="CA93" s="91"/>
    </row>
    <row r="94" spans="1:1199" ht="50.1" customHeight="1" outlineLevel="2" x14ac:dyDescent="0.3">
      <c r="A94" s="106" t="s">
        <v>110</v>
      </c>
      <c r="B94" s="96" t="s">
        <v>119</v>
      </c>
      <c r="C94" s="79" t="s">
        <v>37</v>
      </c>
      <c r="D94" s="81">
        <f t="shared" si="17"/>
        <v>4463.6401499999993</v>
      </c>
      <c r="E94" s="82">
        <f t="shared" si="5"/>
        <v>2041.0763400000001</v>
      </c>
      <c r="F94" s="83">
        <f t="shared" si="12"/>
        <v>2422.5638099999996</v>
      </c>
      <c r="G94" s="84"/>
      <c r="H94" s="85"/>
      <c r="I94" s="83"/>
      <c r="J94" s="84">
        <v>625.07357999999999</v>
      </c>
      <c r="K94" s="85">
        <v>115.7377</v>
      </c>
      <c r="L94" s="85"/>
      <c r="M94" s="85"/>
      <c r="N94" s="85"/>
      <c r="O94" s="82"/>
      <c r="P94" s="83"/>
      <c r="Q94" s="83"/>
      <c r="R94" s="83"/>
      <c r="S94" s="82"/>
      <c r="T94" s="83"/>
      <c r="U94" s="83"/>
      <c r="V94" s="84">
        <v>115.97499999999999</v>
      </c>
      <c r="W94" s="83">
        <v>202.5</v>
      </c>
      <c r="X94" s="87"/>
      <c r="Y94" s="83">
        <v>541.63199999999995</v>
      </c>
      <c r="Z94" s="84"/>
      <c r="AA94" s="85"/>
      <c r="AB94" s="84"/>
      <c r="AC94" s="85"/>
      <c r="AD94" s="89">
        <f t="shared" si="13"/>
        <v>385.41446000000002</v>
      </c>
      <c r="AE94" s="89">
        <v>135.39330000000001</v>
      </c>
      <c r="AF94" s="186">
        <v>250.02116000000001</v>
      </c>
      <c r="AG94" s="85"/>
      <c r="AH94" s="85"/>
      <c r="AI94" s="85"/>
      <c r="AJ94" s="84"/>
      <c r="AK94" s="85"/>
      <c r="AL94" s="84"/>
      <c r="AM94" s="88"/>
      <c r="AN94" s="84"/>
      <c r="AO94" s="85"/>
      <c r="AP94" s="84"/>
      <c r="AQ94" s="83"/>
      <c r="AR94" s="83"/>
      <c r="AS94" s="83"/>
      <c r="AT94" s="85"/>
      <c r="AU94" s="85"/>
      <c r="AV94" s="85"/>
      <c r="AW94" s="88"/>
      <c r="AX94" s="84"/>
      <c r="AY94" s="85"/>
      <c r="AZ94" s="84">
        <v>1300.0277599999999</v>
      </c>
      <c r="BA94" s="85">
        <v>1177.2796499999999</v>
      </c>
      <c r="BB94" s="88"/>
      <c r="BC94" s="85"/>
      <c r="BD94" s="84"/>
      <c r="BE94" s="88"/>
      <c r="BF94" s="85"/>
      <c r="BG94" s="85"/>
      <c r="BH94" s="85"/>
      <c r="BI94" s="85"/>
      <c r="BJ94" s="85"/>
      <c r="BK94" s="85"/>
      <c r="BL94" s="85"/>
      <c r="BM94" s="85"/>
      <c r="BN94" s="85"/>
      <c r="BO94" s="85"/>
      <c r="BP94" s="85"/>
      <c r="BQ94" s="85"/>
      <c r="BR94" s="84"/>
      <c r="BS94" s="85"/>
      <c r="BT94" s="85"/>
      <c r="BU94" s="198"/>
      <c r="BV94" s="90"/>
      <c r="BW94" s="198"/>
      <c r="BX94" s="90"/>
      <c r="BY94" s="198"/>
      <c r="BZ94" s="90"/>
      <c r="CA94" s="91"/>
    </row>
    <row r="95" spans="1:1199" ht="50.1" customHeight="1" outlineLevel="2" x14ac:dyDescent="0.3">
      <c r="A95" s="106" t="s">
        <v>110</v>
      </c>
      <c r="B95" s="96" t="s">
        <v>120</v>
      </c>
      <c r="C95" s="79" t="s">
        <v>37</v>
      </c>
      <c r="D95" s="81">
        <f t="shared" si="17"/>
        <v>490.15976999999998</v>
      </c>
      <c r="E95" s="82">
        <f t="shared" si="5"/>
        <v>98.366669999999999</v>
      </c>
      <c r="F95" s="83">
        <f t="shared" si="12"/>
        <v>391.79309999999998</v>
      </c>
      <c r="G95" s="84"/>
      <c r="H95" s="85"/>
      <c r="I95" s="83"/>
      <c r="J95" s="84">
        <v>17.22888</v>
      </c>
      <c r="K95" s="85">
        <v>2.1359400000000002</v>
      </c>
      <c r="L95" s="85">
        <v>109.6104</v>
      </c>
      <c r="M95" s="85"/>
      <c r="N95" s="85"/>
      <c r="O95" s="82"/>
      <c r="P95" s="83"/>
      <c r="Q95" s="83"/>
      <c r="R95" s="83"/>
      <c r="S95" s="82"/>
      <c r="T95" s="83"/>
      <c r="U95" s="83"/>
      <c r="V95" s="84"/>
      <c r="W95" s="83"/>
      <c r="X95" s="87"/>
      <c r="Y95" s="83">
        <v>34.32</v>
      </c>
      <c r="Z95" s="84"/>
      <c r="AA95" s="85"/>
      <c r="AB95" s="84"/>
      <c r="AC95" s="85"/>
      <c r="AD95" s="89">
        <f t="shared" si="13"/>
        <v>21.03998</v>
      </c>
      <c r="AE95" s="89">
        <v>6.4473000000000003</v>
      </c>
      <c r="AF95" s="186">
        <v>14.59268</v>
      </c>
      <c r="AG95" s="85"/>
      <c r="AH95" s="85"/>
      <c r="AI95" s="85"/>
      <c r="AJ95" s="84"/>
      <c r="AK95" s="85"/>
      <c r="AL95" s="84"/>
      <c r="AM95" s="88"/>
      <c r="AN95" s="84"/>
      <c r="AO95" s="85"/>
      <c r="AP95" s="84"/>
      <c r="AQ95" s="83"/>
      <c r="AR95" s="83"/>
      <c r="AS95" s="83"/>
      <c r="AT95" s="85"/>
      <c r="AU95" s="85"/>
      <c r="AV95" s="85">
        <v>151.20994999999999</v>
      </c>
      <c r="AW95" s="88"/>
      <c r="AX95" s="84"/>
      <c r="AY95" s="85"/>
      <c r="AZ95" s="84">
        <v>81.137789999999995</v>
      </c>
      <c r="BA95" s="85">
        <v>73.476830000000007</v>
      </c>
      <c r="BB95" s="88"/>
      <c r="BC95" s="85"/>
      <c r="BD95" s="84"/>
      <c r="BE95" s="88"/>
      <c r="BF95" s="85"/>
      <c r="BG95" s="85"/>
      <c r="BH95" s="85"/>
      <c r="BI95" s="85"/>
      <c r="BJ95" s="85"/>
      <c r="BK95" s="85"/>
      <c r="BL95" s="85"/>
      <c r="BM95" s="85"/>
      <c r="BN95" s="85"/>
      <c r="BO95" s="85"/>
      <c r="BP95" s="85"/>
      <c r="BQ95" s="85"/>
      <c r="BR95" s="84"/>
      <c r="BS95" s="85"/>
      <c r="BT95" s="85"/>
      <c r="BU95" s="198"/>
      <c r="BV95" s="90"/>
      <c r="BW95" s="198"/>
      <c r="BX95" s="90"/>
      <c r="BY95" s="198"/>
      <c r="BZ95" s="90"/>
      <c r="CA95" s="91"/>
    </row>
    <row r="96" spans="1:1199" ht="50.1" customHeight="1" outlineLevel="2" x14ac:dyDescent="0.3">
      <c r="A96" s="106" t="s">
        <v>110</v>
      </c>
      <c r="B96" s="96" t="s">
        <v>121</v>
      </c>
      <c r="C96" s="79" t="s">
        <v>37</v>
      </c>
      <c r="D96" s="81">
        <f t="shared" si="17"/>
        <v>292.96089000000001</v>
      </c>
      <c r="E96" s="82">
        <f t="shared" si="5"/>
        <v>125.19633</v>
      </c>
      <c r="F96" s="83">
        <f t="shared" si="12"/>
        <v>167.76455999999999</v>
      </c>
      <c r="G96" s="84"/>
      <c r="H96" s="85"/>
      <c r="I96" s="83"/>
      <c r="J96" s="84"/>
      <c r="K96" s="85"/>
      <c r="L96" s="85"/>
      <c r="M96" s="85"/>
      <c r="N96" s="85"/>
      <c r="O96" s="82"/>
      <c r="P96" s="83"/>
      <c r="Q96" s="83"/>
      <c r="R96" s="83"/>
      <c r="S96" s="82"/>
      <c r="T96" s="83"/>
      <c r="U96" s="83"/>
      <c r="V96" s="84"/>
      <c r="W96" s="83"/>
      <c r="X96" s="87"/>
      <c r="Y96" s="83">
        <v>31.2</v>
      </c>
      <c r="Z96" s="84"/>
      <c r="AA96" s="85"/>
      <c r="AB96" s="84"/>
      <c r="AC96" s="85"/>
      <c r="AD96" s="89">
        <f t="shared" si="13"/>
        <v>23.189079999999997</v>
      </c>
      <c r="AE96" s="89">
        <v>8.5963999999999992</v>
      </c>
      <c r="AF96" s="186">
        <v>14.59268</v>
      </c>
      <c r="AG96" s="85"/>
      <c r="AH96" s="85"/>
      <c r="AI96" s="85"/>
      <c r="AJ96" s="84"/>
      <c r="AK96" s="85"/>
      <c r="AL96" s="84"/>
      <c r="AM96" s="88"/>
      <c r="AN96" s="84"/>
      <c r="AO96" s="85"/>
      <c r="AP96" s="84"/>
      <c r="AQ96" s="83"/>
      <c r="AR96" s="83"/>
      <c r="AS96" s="83"/>
      <c r="AT96" s="85"/>
      <c r="AU96" s="85"/>
      <c r="AV96" s="85"/>
      <c r="AW96" s="88"/>
      <c r="AX96" s="84"/>
      <c r="AY96" s="85"/>
      <c r="AZ96" s="84">
        <v>125.19633</v>
      </c>
      <c r="BA96" s="85">
        <v>113.37548</v>
      </c>
      <c r="BB96" s="88"/>
      <c r="BC96" s="85"/>
      <c r="BD96" s="84"/>
      <c r="BE96" s="88"/>
      <c r="BF96" s="85"/>
      <c r="BG96" s="85"/>
      <c r="BH96" s="85"/>
      <c r="BI96" s="85"/>
      <c r="BJ96" s="85"/>
      <c r="BK96" s="85"/>
      <c r="BL96" s="85"/>
      <c r="BM96" s="85"/>
      <c r="BN96" s="85"/>
      <c r="BO96" s="85"/>
      <c r="BP96" s="85"/>
      <c r="BQ96" s="85"/>
      <c r="BR96" s="84"/>
      <c r="BS96" s="85"/>
      <c r="BT96" s="85"/>
      <c r="BU96" s="198"/>
      <c r="BV96" s="90"/>
      <c r="BW96" s="198"/>
      <c r="BX96" s="90"/>
      <c r="BY96" s="198"/>
      <c r="BZ96" s="90"/>
      <c r="CA96" s="91"/>
    </row>
    <row r="97" spans="1:79" ht="50.1" customHeight="1" outlineLevel="2" x14ac:dyDescent="0.3">
      <c r="A97" s="106" t="s">
        <v>110</v>
      </c>
      <c r="B97" s="96" t="s">
        <v>122</v>
      </c>
      <c r="C97" s="79" t="s">
        <v>37</v>
      </c>
      <c r="D97" s="81">
        <f t="shared" si="17"/>
        <v>3211.2519499999999</v>
      </c>
      <c r="E97" s="82">
        <f t="shared" si="5"/>
        <v>2448.6148800000001</v>
      </c>
      <c r="F97" s="83">
        <f t="shared" si="12"/>
        <v>762.63706999999999</v>
      </c>
      <c r="G97" s="84"/>
      <c r="H97" s="85"/>
      <c r="I97" s="83">
        <v>220.45084</v>
      </c>
      <c r="J97" s="84"/>
      <c r="K97" s="85"/>
      <c r="L97" s="85">
        <v>83.510999999999996</v>
      </c>
      <c r="M97" s="85"/>
      <c r="N97" s="85"/>
      <c r="O97" s="82"/>
      <c r="P97" s="83"/>
      <c r="Q97" s="83"/>
      <c r="R97" s="83"/>
      <c r="S97" s="82"/>
      <c r="T97" s="83"/>
      <c r="U97" s="83"/>
      <c r="V97" s="84"/>
      <c r="W97" s="83"/>
      <c r="X97" s="87"/>
      <c r="Y97" s="83">
        <v>49.92</v>
      </c>
      <c r="Z97" s="84"/>
      <c r="AA97" s="85"/>
      <c r="AB97" s="84"/>
      <c r="AC97" s="85"/>
      <c r="AD97" s="89">
        <f t="shared" si="13"/>
        <v>35.270040000000002</v>
      </c>
      <c r="AE97" s="89">
        <v>12.894600000000001</v>
      </c>
      <c r="AF97" s="186">
        <v>22.375440000000001</v>
      </c>
      <c r="AG97" s="85"/>
      <c r="AH97" s="85"/>
      <c r="AI97" s="85"/>
      <c r="AJ97" s="84"/>
      <c r="AK97" s="85"/>
      <c r="AL97" s="84"/>
      <c r="AM97" s="88"/>
      <c r="AN97" s="84"/>
      <c r="AO97" s="85"/>
      <c r="AP97" s="84"/>
      <c r="AQ97" s="83"/>
      <c r="AR97" s="83"/>
      <c r="AS97" s="83"/>
      <c r="AT97" s="85"/>
      <c r="AU97" s="85"/>
      <c r="AV97" s="85"/>
      <c r="AW97" s="88"/>
      <c r="AX97" s="84"/>
      <c r="AY97" s="85"/>
      <c r="AZ97" s="84">
        <v>113.78404</v>
      </c>
      <c r="BA97" s="85">
        <v>103.04062999999999</v>
      </c>
      <c r="BB97" s="88"/>
      <c r="BC97" s="85"/>
      <c r="BD97" s="84"/>
      <c r="BE97" s="88"/>
      <c r="BF97" s="85"/>
      <c r="BG97" s="85"/>
      <c r="BH97" s="85"/>
      <c r="BI97" s="85"/>
      <c r="BJ97" s="85"/>
      <c r="BK97" s="85">
        <v>270.44456000000002</v>
      </c>
      <c r="BL97" s="85"/>
      <c r="BM97" s="85"/>
      <c r="BN97" s="85"/>
      <c r="BO97" s="85"/>
      <c r="BP97" s="85"/>
      <c r="BQ97" s="85"/>
      <c r="BR97" s="84">
        <v>2334.8308400000001</v>
      </c>
      <c r="BS97" s="85"/>
      <c r="BT97" s="85"/>
      <c r="BU97" s="198"/>
      <c r="BV97" s="90"/>
      <c r="BW97" s="198"/>
      <c r="BX97" s="90"/>
      <c r="BY97" s="198"/>
      <c r="BZ97" s="90"/>
      <c r="CA97" s="91"/>
    </row>
    <row r="98" spans="1:79" ht="50.1" customHeight="1" outlineLevel="2" x14ac:dyDescent="0.3">
      <c r="A98" s="106" t="s">
        <v>110</v>
      </c>
      <c r="B98" s="102" t="s">
        <v>123</v>
      </c>
      <c r="C98" s="79" t="s">
        <v>37</v>
      </c>
      <c r="D98" s="81">
        <f t="shared" si="17"/>
        <v>14308.39933</v>
      </c>
      <c r="E98" s="82">
        <f t="shared" si="5"/>
        <v>5846.2322800000002</v>
      </c>
      <c r="F98" s="83">
        <f t="shared" si="12"/>
        <v>8462.16705</v>
      </c>
      <c r="G98" s="84"/>
      <c r="H98" s="85"/>
      <c r="I98" s="83"/>
      <c r="J98" s="84"/>
      <c r="K98" s="85"/>
      <c r="L98" s="85">
        <f>283.8399</f>
        <v>283.8399</v>
      </c>
      <c r="M98" s="85"/>
      <c r="N98" s="85"/>
      <c r="O98" s="82"/>
      <c r="P98" s="83"/>
      <c r="Q98" s="83"/>
      <c r="R98" s="83"/>
      <c r="S98" s="82">
        <v>428.76184000000001</v>
      </c>
      <c r="T98" s="83">
        <v>395.10874999999999</v>
      </c>
      <c r="U98" s="83"/>
      <c r="V98" s="84">
        <v>132.2115</v>
      </c>
      <c r="W98" s="83">
        <v>230.85</v>
      </c>
      <c r="X98" s="87"/>
      <c r="Y98" s="83">
        <v>1340.3520000000001</v>
      </c>
      <c r="Z98" s="84"/>
      <c r="AA98" s="85"/>
      <c r="AB98" s="84"/>
      <c r="AC98" s="85"/>
      <c r="AD98" s="89">
        <f t="shared" si="13"/>
        <v>1333.82105</v>
      </c>
      <c r="AE98" s="89">
        <f>706.23+73.0694</f>
        <v>779.29939999999999</v>
      </c>
      <c r="AF98" s="186">
        <v>554.52165000000002</v>
      </c>
      <c r="AG98" s="85"/>
      <c r="AH98" s="85"/>
      <c r="AI98" s="85"/>
      <c r="AJ98" s="84"/>
      <c r="AK98" s="85"/>
      <c r="AL98" s="84"/>
      <c r="AM98" s="88"/>
      <c r="AN98" s="84"/>
      <c r="AO98" s="85"/>
      <c r="AP98" s="84">
        <v>449.66757000000001</v>
      </c>
      <c r="AQ98" s="83">
        <v>995.24936000000002</v>
      </c>
      <c r="AR98" s="83"/>
      <c r="AS98" s="83"/>
      <c r="AT98" s="85"/>
      <c r="AU98" s="85"/>
      <c r="AV98" s="85"/>
      <c r="AW98" s="88"/>
      <c r="AX98" s="84"/>
      <c r="AY98" s="85"/>
      <c r="AZ98" s="84">
        <v>3329.1230399999999</v>
      </c>
      <c r="BA98" s="85">
        <v>3014.7879400000002</v>
      </c>
      <c r="BB98" s="88"/>
      <c r="BC98" s="85"/>
      <c r="BD98" s="84"/>
      <c r="BE98" s="88"/>
      <c r="BF98" s="85"/>
      <c r="BG98" s="85"/>
      <c r="BH98" s="85"/>
      <c r="BI98" s="85"/>
      <c r="BJ98" s="85"/>
      <c r="BK98" s="85"/>
      <c r="BL98" s="85"/>
      <c r="BM98" s="85"/>
      <c r="BN98" s="85"/>
      <c r="BO98" s="85"/>
      <c r="BP98" s="85"/>
      <c r="BQ98" s="85"/>
      <c r="BR98" s="84">
        <v>1506.4683299999999</v>
      </c>
      <c r="BS98" s="85"/>
      <c r="BT98" s="85">
        <v>868.15805</v>
      </c>
      <c r="BU98" s="198"/>
      <c r="BV98" s="90"/>
      <c r="BW98" s="198"/>
      <c r="BX98" s="90"/>
      <c r="BY98" s="198"/>
      <c r="BZ98" s="90"/>
      <c r="CA98" s="91"/>
    </row>
    <row r="99" spans="1:79" ht="50.1" customHeight="1" outlineLevel="2" x14ac:dyDescent="0.3">
      <c r="A99" s="106" t="s">
        <v>110</v>
      </c>
      <c r="B99" s="96" t="s">
        <v>124</v>
      </c>
      <c r="C99" s="79" t="s">
        <v>37</v>
      </c>
      <c r="D99" s="81">
        <f t="shared" si="17"/>
        <v>3008.8346000000001</v>
      </c>
      <c r="E99" s="82">
        <f t="shared" si="5"/>
        <v>1054.6027999999999</v>
      </c>
      <c r="F99" s="83">
        <f t="shared" si="12"/>
        <v>1954.2318</v>
      </c>
      <c r="G99" s="84"/>
      <c r="H99" s="85"/>
      <c r="I99" s="83"/>
      <c r="J99" s="84">
        <v>65.727440000000001</v>
      </c>
      <c r="K99" s="85">
        <v>10.010249999999999</v>
      </c>
      <c r="L99" s="85">
        <v>117.49026000000001</v>
      </c>
      <c r="M99" s="85"/>
      <c r="N99" s="85"/>
      <c r="O99" s="82"/>
      <c r="P99" s="83"/>
      <c r="Q99" s="83"/>
      <c r="R99" s="83"/>
      <c r="S99" s="82"/>
      <c r="T99" s="83"/>
      <c r="U99" s="83"/>
      <c r="V99" s="84">
        <v>69.584999999999994</v>
      </c>
      <c r="W99" s="83">
        <v>121.5</v>
      </c>
      <c r="X99" s="87"/>
      <c r="Y99" s="83">
        <v>368.78399999999999</v>
      </c>
      <c r="Z99" s="84"/>
      <c r="AA99" s="85"/>
      <c r="AB99" s="84"/>
      <c r="AC99" s="85"/>
      <c r="AD99" s="89">
        <f t="shared" si="13"/>
        <v>254.46960000000001</v>
      </c>
      <c r="AE99" s="89">
        <v>88.113100000000003</v>
      </c>
      <c r="AF99" s="186">
        <v>166.35650000000001</v>
      </c>
      <c r="AG99" s="85"/>
      <c r="AH99" s="85"/>
      <c r="AI99" s="85"/>
      <c r="AJ99" s="84"/>
      <c r="AK99" s="85"/>
      <c r="AL99" s="84"/>
      <c r="AM99" s="88"/>
      <c r="AN99" s="84"/>
      <c r="AO99" s="85"/>
      <c r="AP99" s="84"/>
      <c r="AQ99" s="83"/>
      <c r="AR99" s="83"/>
      <c r="AS99" s="83"/>
      <c r="AT99" s="85"/>
      <c r="AU99" s="85"/>
      <c r="AV99" s="85"/>
      <c r="AW99" s="88"/>
      <c r="AX99" s="84"/>
      <c r="AY99" s="85"/>
      <c r="AZ99" s="84">
        <v>919.29035999999996</v>
      </c>
      <c r="BA99" s="85">
        <v>832.49112000000002</v>
      </c>
      <c r="BB99" s="88"/>
      <c r="BC99" s="85"/>
      <c r="BD99" s="84"/>
      <c r="BE99" s="88"/>
      <c r="BF99" s="85"/>
      <c r="BG99" s="85">
        <v>249.48657</v>
      </c>
      <c r="BH99" s="85"/>
      <c r="BI99" s="85"/>
      <c r="BJ99" s="85"/>
      <c r="BK99" s="85"/>
      <c r="BL99" s="85"/>
      <c r="BM99" s="85"/>
      <c r="BN99" s="85"/>
      <c r="BO99" s="85"/>
      <c r="BP99" s="85"/>
      <c r="BQ99" s="85"/>
      <c r="BR99" s="84"/>
      <c r="BS99" s="85"/>
      <c r="BT99" s="85"/>
      <c r="BU99" s="198"/>
      <c r="BV99" s="90"/>
      <c r="BW99" s="198"/>
      <c r="BX99" s="90"/>
      <c r="BY99" s="198"/>
      <c r="BZ99" s="90"/>
      <c r="CA99" s="91"/>
    </row>
    <row r="100" spans="1:79" ht="50.1" customHeight="1" outlineLevel="2" x14ac:dyDescent="0.3">
      <c r="A100" s="106" t="s">
        <v>110</v>
      </c>
      <c r="B100" s="96" t="s">
        <v>972</v>
      </c>
      <c r="C100" s="79" t="s">
        <v>37</v>
      </c>
      <c r="D100" s="81">
        <f t="shared" si="17"/>
        <v>5641.4189299999998</v>
      </c>
      <c r="E100" s="82">
        <f t="shared" si="5"/>
        <v>4574.0995199999998</v>
      </c>
      <c r="F100" s="83">
        <f t="shared" si="12"/>
        <v>1067.3194100000001</v>
      </c>
      <c r="G100" s="84"/>
      <c r="H100" s="85"/>
      <c r="I100" s="83"/>
      <c r="J100" s="84">
        <f>8.88441+2.40156</f>
        <v>11.285970000000001</v>
      </c>
      <c r="K100" s="85">
        <f>2.2211+0.31949</f>
        <v>2.5405899999999999</v>
      </c>
      <c r="L100" s="85">
        <v>111.46464</v>
      </c>
      <c r="M100" s="85"/>
      <c r="N100" s="85"/>
      <c r="O100" s="82"/>
      <c r="P100" s="83"/>
      <c r="Q100" s="83"/>
      <c r="R100" s="83"/>
      <c r="S100" s="82"/>
      <c r="T100" s="83">
        <v>0.32991999999999999</v>
      </c>
      <c r="U100" s="83"/>
      <c r="V100" s="84">
        <v>46.39</v>
      </c>
      <c r="W100" s="83">
        <v>81</v>
      </c>
      <c r="X100" s="87"/>
      <c r="Y100" s="83">
        <v>135.72</v>
      </c>
      <c r="Z100" s="84"/>
      <c r="AA100" s="85"/>
      <c r="AB100" s="84"/>
      <c r="AC100" s="85"/>
      <c r="AD100" s="89">
        <f t="shared" si="13"/>
        <v>91.580039999999997</v>
      </c>
      <c r="AE100" s="89">
        <v>32.236499999999999</v>
      </c>
      <c r="AF100" s="186">
        <v>59.343539999999997</v>
      </c>
      <c r="AG100" s="85"/>
      <c r="AH100" s="85"/>
      <c r="AI100" s="85"/>
      <c r="AJ100" s="84"/>
      <c r="AK100" s="85"/>
      <c r="AL100" s="84"/>
      <c r="AM100" s="88"/>
      <c r="AN100" s="84"/>
      <c r="AO100" s="85"/>
      <c r="AP100" s="84"/>
      <c r="AQ100" s="83"/>
      <c r="AR100" s="83"/>
      <c r="AS100" s="83"/>
      <c r="AT100" s="85"/>
      <c r="AU100" s="85"/>
      <c r="AV100" s="85">
        <v>286.81484999999998</v>
      </c>
      <c r="AW100" s="88"/>
      <c r="AX100" s="84"/>
      <c r="AY100" s="85"/>
      <c r="AZ100" s="84">
        <v>300.59248000000002</v>
      </c>
      <c r="BA100" s="85">
        <v>272.21077000000002</v>
      </c>
      <c r="BB100" s="88"/>
      <c r="BC100" s="85"/>
      <c r="BD100" s="84"/>
      <c r="BE100" s="88"/>
      <c r="BF100" s="85"/>
      <c r="BG100" s="85"/>
      <c r="BH100" s="85"/>
      <c r="BI100" s="85"/>
      <c r="BJ100" s="85"/>
      <c r="BK100" s="85"/>
      <c r="BL100" s="85"/>
      <c r="BM100" s="85"/>
      <c r="BN100" s="85"/>
      <c r="BO100" s="85"/>
      <c r="BP100" s="85"/>
      <c r="BQ100" s="85"/>
      <c r="BR100" s="84">
        <v>4215.8310700000002</v>
      </c>
      <c r="BS100" s="85"/>
      <c r="BT100" s="85">
        <v>85.658600000000007</v>
      </c>
      <c r="BU100" s="198"/>
      <c r="BV100" s="90"/>
      <c r="BW100" s="198"/>
      <c r="BX100" s="90"/>
      <c r="BY100" s="198"/>
      <c r="BZ100" s="90"/>
      <c r="CA100" s="91"/>
    </row>
    <row r="101" spans="1:79" ht="50.1" customHeight="1" outlineLevel="2" x14ac:dyDescent="0.3">
      <c r="A101" s="106" t="s">
        <v>110</v>
      </c>
      <c r="B101" s="96" t="s">
        <v>125</v>
      </c>
      <c r="C101" s="79" t="s">
        <v>37</v>
      </c>
      <c r="D101" s="81">
        <f t="shared" si="17"/>
        <v>422.31180000000006</v>
      </c>
      <c r="E101" s="82">
        <f t="shared" si="5"/>
        <v>129.4374</v>
      </c>
      <c r="F101" s="83">
        <f t="shared" si="12"/>
        <v>292.87440000000004</v>
      </c>
      <c r="G101" s="84"/>
      <c r="H101" s="85"/>
      <c r="I101" s="83"/>
      <c r="J101" s="84"/>
      <c r="K101" s="85"/>
      <c r="L101" s="85">
        <v>111.52746999999999</v>
      </c>
      <c r="M101" s="85"/>
      <c r="N101" s="85"/>
      <c r="O101" s="82"/>
      <c r="P101" s="83"/>
      <c r="Q101" s="83"/>
      <c r="R101" s="83"/>
      <c r="S101" s="82"/>
      <c r="T101" s="83"/>
      <c r="U101" s="83"/>
      <c r="V101" s="84">
        <v>6.9584999999999999</v>
      </c>
      <c r="W101" s="83">
        <v>12.15</v>
      </c>
      <c r="X101" s="87"/>
      <c r="Y101" s="83">
        <v>28.08</v>
      </c>
      <c r="Z101" s="84"/>
      <c r="AA101" s="85"/>
      <c r="AB101" s="84"/>
      <c r="AC101" s="85"/>
      <c r="AD101" s="89">
        <f t="shared" si="13"/>
        <v>30.202400000000001</v>
      </c>
      <c r="AE101" s="89">
        <v>10.7455</v>
      </c>
      <c r="AF101" s="186">
        <v>19.456900000000001</v>
      </c>
      <c r="AG101" s="85"/>
      <c r="AH101" s="85"/>
      <c r="AI101" s="85"/>
      <c r="AJ101" s="84"/>
      <c r="AK101" s="85"/>
      <c r="AL101" s="84"/>
      <c r="AM101" s="88"/>
      <c r="AN101" s="84"/>
      <c r="AO101" s="85"/>
      <c r="AP101" s="84"/>
      <c r="AQ101" s="83"/>
      <c r="AR101" s="83"/>
      <c r="AS101" s="83"/>
      <c r="AT101" s="85"/>
      <c r="AU101" s="85"/>
      <c r="AV101" s="85"/>
      <c r="AW101" s="88"/>
      <c r="AX101" s="84"/>
      <c r="AY101" s="85"/>
      <c r="AZ101" s="84">
        <v>122.4789</v>
      </c>
      <c r="BA101" s="85">
        <v>110.91453</v>
      </c>
      <c r="BB101" s="88"/>
      <c r="BC101" s="85"/>
      <c r="BD101" s="84"/>
      <c r="BE101" s="88"/>
      <c r="BF101" s="85"/>
      <c r="BG101" s="85"/>
      <c r="BH101" s="85"/>
      <c r="BI101" s="85"/>
      <c r="BJ101" s="85"/>
      <c r="BK101" s="85"/>
      <c r="BL101" s="85"/>
      <c r="BM101" s="85"/>
      <c r="BN101" s="85"/>
      <c r="BO101" s="85"/>
      <c r="BP101" s="85"/>
      <c r="BQ101" s="85"/>
      <c r="BR101" s="84"/>
      <c r="BS101" s="85"/>
      <c r="BT101" s="85"/>
      <c r="BU101" s="198"/>
      <c r="BV101" s="90"/>
      <c r="BW101" s="198"/>
      <c r="BX101" s="90"/>
      <c r="BY101" s="198"/>
      <c r="BZ101" s="90"/>
      <c r="CA101" s="91"/>
    </row>
    <row r="102" spans="1:79" ht="50.1" customHeight="1" outlineLevel="2" x14ac:dyDescent="0.3">
      <c r="A102" s="106" t="s">
        <v>110</v>
      </c>
      <c r="B102" s="96" t="s">
        <v>126</v>
      </c>
      <c r="C102" s="79" t="s">
        <v>37</v>
      </c>
      <c r="D102" s="81">
        <f t="shared" si="17"/>
        <v>1024.81699</v>
      </c>
      <c r="E102" s="82">
        <f t="shared" si="5"/>
        <v>386.70106000000004</v>
      </c>
      <c r="F102" s="83">
        <f t="shared" si="12"/>
        <v>638.11592999999993</v>
      </c>
      <c r="G102" s="84"/>
      <c r="H102" s="85"/>
      <c r="I102" s="83"/>
      <c r="J102" s="84"/>
      <c r="K102" s="85"/>
      <c r="L102" s="85"/>
      <c r="M102" s="85"/>
      <c r="N102" s="85"/>
      <c r="O102" s="82"/>
      <c r="P102" s="83"/>
      <c r="Q102" s="83"/>
      <c r="R102" s="83"/>
      <c r="S102" s="82"/>
      <c r="T102" s="83"/>
      <c r="U102" s="83"/>
      <c r="V102" s="84">
        <v>32.472999999999999</v>
      </c>
      <c r="W102" s="83">
        <v>56.7</v>
      </c>
      <c r="X102" s="87"/>
      <c r="Y102" s="83">
        <v>156</v>
      </c>
      <c r="Z102" s="84"/>
      <c r="AA102" s="85"/>
      <c r="AB102" s="84"/>
      <c r="AC102" s="85"/>
      <c r="AD102" s="89">
        <f t="shared" si="13"/>
        <v>104.63385</v>
      </c>
      <c r="AE102" s="89">
        <v>36.534700000000001</v>
      </c>
      <c r="AF102" s="186">
        <v>68.099149999999995</v>
      </c>
      <c r="AG102" s="85"/>
      <c r="AH102" s="85"/>
      <c r="AI102" s="85"/>
      <c r="AJ102" s="84"/>
      <c r="AK102" s="85"/>
      <c r="AL102" s="84"/>
      <c r="AM102" s="88"/>
      <c r="AN102" s="84"/>
      <c r="AO102" s="85"/>
      <c r="AP102" s="84"/>
      <c r="AQ102" s="83"/>
      <c r="AR102" s="83"/>
      <c r="AS102" s="83"/>
      <c r="AT102" s="85"/>
      <c r="AU102" s="85"/>
      <c r="AV102" s="85"/>
      <c r="AW102" s="88"/>
      <c r="AX102" s="84"/>
      <c r="AY102" s="85"/>
      <c r="AZ102" s="84">
        <v>354.22806000000003</v>
      </c>
      <c r="BA102" s="85">
        <v>320.78208000000001</v>
      </c>
      <c r="BB102" s="88"/>
      <c r="BC102" s="85"/>
      <c r="BD102" s="84"/>
      <c r="BE102" s="88"/>
      <c r="BF102" s="85"/>
      <c r="BG102" s="85"/>
      <c r="BH102" s="85"/>
      <c r="BI102" s="85"/>
      <c r="BJ102" s="85"/>
      <c r="BK102" s="85"/>
      <c r="BL102" s="85"/>
      <c r="BM102" s="85"/>
      <c r="BN102" s="85"/>
      <c r="BO102" s="85"/>
      <c r="BP102" s="85"/>
      <c r="BQ102" s="85"/>
      <c r="BR102" s="84"/>
      <c r="BS102" s="85"/>
      <c r="BT102" s="85"/>
      <c r="BU102" s="198"/>
      <c r="BV102" s="90"/>
      <c r="BW102" s="198"/>
      <c r="BX102" s="90"/>
      <c r="BY102" s="198"/>
      <c r="BZ102" s="90"/>
      <c r="CA102" s="91"/>
    </row>
    <row r="103" spans="1:79" ht="50.1" customHeight="1" outlineLevel="2" x14ac:dyDescent="0.3">
      <c r="A103" s="106" t="s">
        <v>110</v>
      </c>
      <c r="B103" s="96" t="s">
        <v>127</v>
      </c>
      <c r="C103" s="79" t="s">
        <v>37</v>
      </c>
      <c r="D103" s="81">
        <f t="shared" si="17"/>
        <v>243.02454</v>
      </c>
      <c r="E103" s="82">
        <f t="shared" si="5"/>
        <v>97.549890000000005</v>
      </c>
      <c r="F103" s="83">
        <f t="shared" si="12"/>
        <v>145.47465</v>
      </c>
      <c r="G103" s="84"/>
      <c r="H103" s="85"/>
      <c r="I103" s="83"/>
      <c r="J103" s="84"/>
      <c r="K103" s="85"/>
      <c r="L103" s="85"/>
      <c r="M103" s="85"/>
      <c r="N103" s="85"/>
      <c r="O103" s="82"/>
      <c r="P103" s="83"/>
      <c r="Q103" s="83"/>
      <c r="R103" s="83"/>
      <c r="S103" s="82"/>
      <c r="T103" s="83"/>
      <c r="U103" s="83"/>
      <c r="V103" s="84"/>
      <c r="W103" s="83"/>
      <c r="X103" s="87"/>
      <c r="Y103" s="83">
        <v>39.624000000000002</v>
      </c>
      <c r="Z103" s="84"/>
      <c r="AA103" s="85"/>
      <c r="AB103" s="84"/>
      <c r="AC103" s="85"/>
      <c r="AD103" s="89">
        <f t="shared" si="13"/>
        <v>17.511209999999998</v>
      </c>
      <c r="AE103" s="89"/>
      <c r="AF103" s="188">
        <v>17.511209999999998</v>
      </c>
      <c r="AG103" s="85"/>
      <c r="AH103" s="85"/>
      <c r="AI103" s="85"/>
      <c r="AJ103" s="84"/>
      <c r="AK103" s="85"/>
      <c r="AL103" s="84"/>
      <c r="AM103" s="88"/>
      <c r="AN103" s="84"/>
      <c r="AO103" s="85"/>
      <c r="AP103" s="84"/>
      <c r="AQ103" s="83"/>
      <c r="AR103" s="83"/>
      <c r="AS103" s="83"/>
      <c r="AT103" s="85"/>
      <c r="AU103" s="85"/>
      <c r="AV103" s="85"/>
      <c r="AW103" s="88"/>
      <c r="AX103" s="84"/>
      <c r="AY103" s="85"/>
      <c r="AZ103" s="84">
        <v>97.549890000000005</v>
      </c>
      <c r="BA103" s="85">
        <v>88.339439999999996</v>
      </c>
      <c r="BB103" s="88"/>
      <c r="BC103" s="85"/>
      <c r="BD103" s="84"/>
      <c r="BE103" s="88"/>
      <c r="BF103" s="85"/>
      <c r="BG103" s="85"/>
      <c r="BH103" s="85"/>
      <c r="BI103" s="85"/>
      <c r="BJ103" s="85"/>
      <c r="BK103" s="85"/>
      <c r="BL103" s="85"/>
      <c r="BM103" s="85"/>
      <c r="BN103" s="85"/>
      <c r="BO103" s="85"/>
      <c r="BP103" s="85"/>
      <c r="BQ103" s="85"/>
      <c r="BR103" s="84"/>
      <c r="BS103" s="85"/>
      <c r="BT103" s="85"/>
      <c r="BU103" s="198"/>
      <c r="BV103" s="90"/>
      <c r="BW103" s="198"/>
      <c r="BX103" s="90"/>
      <c r="BY103" s="198"/>
      <c r="BZ103" s="90"/>
      <c r="CA103" s="91"/>
    </row>
    <row r="104" spans="1:79" ht="50.1" customHeight="1" outlineLevel="2" x14ac:dyDescent="0.3">
      <c r="A104" s="106" t="s">
        <v>110</v>
      </c>
      <c r="B104" s="96" t="s">
        <v>128</v>
      </c>
      <c r="C104" s="79" t="s">
        <v>37</v>
      </c>
      <c r="D104" s="81">
        <f t="shared" si="17"/>
        <v>3690.5870400000003</v>
      </c>
      <c r="E104" s="82">
        <f t="shared" si="5"/>
        <v>2633.6184000000003</v>
      </c>
      <c r="F104" s="83">
        <f t="shared" si="12"/>
        <v>1056.9686400000001</v>
      </c>
      <c r="G104" s="84"/>
      <c r="H104" s="85"/>
      <c r="I104" s="83"/>
      <c r="J104" s="84">
        <f>209.55829+13.01862+31.00383</f>
        <v>253.58073999999999</v>
      </c>
      <c r="K104" s="85">
        <f>76.00529+2.51021+6.82336</f>
        <v>85.338859999999997</v>
      </c>
      <c r="L104" s="85">
        <v>72.020960000000002</v>
      </c>
      <c r="M104" s="85"/>
      <c r="N104" s="85"/>
      <c r="O104" s="82"/>
      <c r="P104" s="83"/>
      <c r="Q104" s="83"/>
      <c r="R104" s="83"/>
      <c r="S104" s="82"/>
      <c r="T104" s="83"/>
      <c r="U104" s="83"/>
      <c r="V104" s="84">
        <v>44.070500000000003</v>
      </c>
      <c r="W104" s="83">
        <v>76.95</v>
      </c>
      <c r="X104" s="87"/>
      <c r="Y104" s="83">
        <v>176.28</v>
      </c>
      <c r="Z104" s="84"/>
      <c r="AA104" s="85"/>
      <c r="AB104" s="84"/>
      <c r="AC104" s="85"/>
      <c r="AD104" s="89">
        <f t="shared" si="13"/>
        <v>147.89006000000001</v>
      </c>
      <c r="AE104" s="89">
        <v>51.578400000000002</v>
      </c>
      <c r="AF104" s="186">
        <v>96.311660000000003</v>
      </c>
      <c r="AG104" s="85"/>
      <c r="AH104" s="85"/>
      <c r="AI104" s="85"/>
      <c r="AJ104" s="84"/>
      <c r="AK104" s="85"/>
      <c r="AL104" s="84"/>
      <c r="AM104" s="88"/>
      <c r="AN104" s="84"/>
      <c r="AO104" s="85"/>
      <c r="AP104" s="84"/>
      <c r="AQ104" s="83"/>
      <c r="AR104" s="83"/>
      <c r="AS104" s="83"/>
      <c r="AT104" s="85"/>
      <c r="AU104" s="85"/>
      <c r="AV104" s="85">
        <v>43.159199999999998</v>
      </c>
      <c r="AW104" s="88"/>
      <c r="AX104" s="84"/>
      <c r="AY104" s="85"/>
      <c r="AZ104" s="84">
        <v>502.80408</v>
      </c>
      <c r="BA104" s="85">
        <v>455.32956000000001</v>
      </c>
      <c r="BB104" s="88"/>
      <c r="BC104" s="85"/>
      <c r="BD104" s="84"/>
      <c r="BE104" s="88"/>
      <c r="BF104" s="85"/>
      <c r="BG104" s="85"/>
      <c r="BH104" s="85"/>
      <c r="BI104" s="85"/>
      <c r="BJ104" s="85"/>
      <c r="BK104" s="85"/>
      <c r="BL104" s="85"/>
      <c r="BM104" s="85"/>
      <c r="BN104" s="85"/>
      <c r="BO104" s="85"/>
      <c r="BP104" s="85"/>
      <c r="BQ104" s="85"/>
      <c r="BR104" s="84">
        <v>1833.16308</v>
      </c>
      <c r="BS104" s="85"/>
      <c r="BT104" s="85"/>
      <c r="BU104" s="198"/>
      <c r="BV104" s="90"/>
      <c r="BW104" s="198"/>
      <c r="BX104" s="90"/>
      <c r="BY104" s="198"/>
      <c r="BZ104" s="90"/>
      <c r="CA104" s="91"/>
    </row>
    <row r="105" spans="1:79" ht="50.1" customHeight="1" outlineLevel="2" x14ac:dyDescent="0.3">
      <c r="A105" s="106" t="s">
        <v>110</v>
      </c>
      <c r="B105" s="96" t="s">
        <v>129</v>
      </c>
      <c r="C105" s="79" t="s">
        <v>37</v>
      </c>
      <c r="D105" s="81">
        <f t="shared" si="17"/>
        <v>1464.0349800000001</v>
      </c>
      <c r="E105" s="82">
        <f t="shared" si="5"/>
        <v>1243.9389000000001</v>
      </c>
      <c r="F105" s="83">
        <f t="shared" si="12"/>
        <v>220.09607999999997</v>
      </c>
      <c r="G105" s="84"/>
      <c r="H105" s="85"/>
      <c r="I105" s="83"/>
      <c r="J105" s="84"/>
      <c r="K105" s="85"/>
      <c r="L105" s="85">
        <v>138.67395999999999</v>
      </c>
      <c r="M105" s="85"/>
      <c r="N105" s="85"/>
      <c r="O105" s="82"/>
      <c r="P105" s="83"/>
      <c r="Q105" s="83"/>
      <c r="R105" s="83"/>
      <c r="S105" s="82"/>
      <c r="T105" s="83"/>
      <c r="U105" s="83"/>
      <c r="V105" s="84"/>
      <c r="W105" s="83"/>
      <c r="X105" s="87"/>
      <c r="Y105" s="83">
        <v>20.28</v>
      </c>
      <c r="Z105" s="84"/>
      <c r="AA105" s="85"/>
      <c r="AB105" s="84"/>
      <c r="AC105" s="85"/>
      <c r="AD105" s="89">
        <f t="shared" si="13"/>
        <v>14.02665</v>
      </c>
      <c r="AE105" s="89">
        <v>4.2981999999999996</v>
      </c>
      <c r="AF105" s="186">
        <v>9.7284500000000005</v>
      </c>
      <c r="AG105" s="85"/>
      <c r="AH105" s="85"/>
      <c r="AI105" s="85"/>
      <c r="AJ105" s="84"/>
      <c r="AK105" s="85"/>
      <c r="AL105" s="84"/>
      <c r="AM105" s="88"/>
      <c r="AN105" s="84"/>
      <c r="AO105" s="85"/>
      <c r="AP105" s="84"/>
      <c r="AQ105" s="83"/>
      <c r="AR105" s="83"/>
      <c r="AS105" s="83"/>
      <c r="AT105" s="85"/>
      <c r="AU105" s="85"/>
      <c r="AV105" s="85"/>
      <c r="AW105" s="88"/>
      <c r="AX105" s="84"/>
      <c r="AY105" s="85"/>
      <c r="AZ105" s="84">
        <v>52.027830000000002</v>
      </c>
      <c r="BA105" s="85">
        <v>47.115470000000002</v>
      </c>
      <c r="BB105" s="88"/>
      <c r="BC105" s="85"/>
      <c r="BD105" s="84"/>
      <c r="BE105" s="88"/>
      <c r="BF105" s="85"/>
      <c r="BG105" s="85"/>
      <c r="BH105" s="85"/>
      <c r="BI105" s="85"/>
      <c r="BJ105" s="85"/>
      <c r="BK105" s="85"/>
      <c r="BL105" s="85"/>
      <c r="BM105" s="85"/>
      <c r="BN105" s="85"/>
      <c r="BO105" s="85"/>
      <c r="BP105" s="85"/>
      <c r="BQ105" s="85"/>
      <c r="BR105" s="84">
        <v>1191.9110700000001</v>
      </c>
      <c r="BS105" s="85"/>
      <c r="BT105" s="85"/>
      <c r="BU105" s="198"/>
      <c r="BV105" s="90"/>
      <c r="BW105" s="198"/>
      <c r="BX105" s="90"/>
      <c r="BY105" s="198"/>
      <c r="BZ105" s="90"/>
      <c r="CA105" s="91"/>
    </row>
    <row r="106" spans="1:79" ht="50.1" customHeight="1" outlineLevel="2" x14ac:dyDescent="0.3">
      <c r="A106" s="106" t="s">
        <v>110</v>
      </c>
      <c r="B106" s="96" t="s">
        <v>130</v>
      </c>
      <c r="C106" s="79" t="s">
        <v>37</v>
      </c>
      <c r="D106" s="81">
        <f t="shared" si="17"/>
        <v>5183.3290799999995</v>
      </c>
      <c r="E106" s="82">
        <f t="shared" si="5"/>
        <v>3754.8591699999997</v>
      </c>
      <c r="F106" s="83">
        <f t="shared" si="12"/>
        <v>1428.4699099999998</v>
      </c>
      <c r="G106" s="84"/>
      <c r="H106" s="85"/>
      <c r="I106" s="83"/>
      <c r="J106" s="84">
        <v>31.29271</v>
      </c>
      <c r="K106" s="85">
        <v>3.9256000000000002</v>
      </c>
      <c r="L106" s="85">
        <v>499.75977</v>
      </c>
      <c r="M106" s="85"/>
      <c r="N106" s="85"/>
      <c r="O106" s="82"/>
      <c r="P106" s="83"/>
      <c r="Q106" s="83"/>
      <c r="R106" s="83"/>
      <c r="S106" s="82"/>
      <c r="T106" s="83"/>
      <c r="U106" s="83"/>
      <c r="V106" s="84">
        <v>37.508000000000003</v>
      </c>
      <c r="W106" s="83">
        <v>65.7</v>
      </c>
      <c r="X106" s="87"/>
      <c r="Y106" s="83">
        <v>62.4</v>
      </c>
      <c r="Z106" s="84"/>
      <c r="AA106" s="85"/>
      <c r="AB106" s="84"/>
      <c r="AC106" s="85"/>
      <c r="AD106" s="89">
        <f t="shared" si="13"/>
        <v>91.986860000000007</v>
      </c>
      <c r="AE106" s="89">
        <v>36.534700000000001</v>
      </c>
      <c r="AF106" s="186">
        <v>55.452159999999999</v>
      </c>
      <c r="AG106" s="85"/>
      <c r="AH106" s="85"/>
      <c r="AI106" s="85"/>
      <c r="AJ106" s="84"/>
      <c r="AK106" s="85"/>
      <c r="AL106" s="84"/>
      <c r="AM106" s="88"/>
      <c r="AN106" s="84"/>
      <c r="AO106" s="85"/>
      <c r="AP106" s="84"/>
      <c r="AQ106" s="83"/>
      <c r="AR106" s="83"/>
      <c r="AS106" s="83"/>
      <c r="AT106" s="85"/>
      <c r="AU106" s="85"/>
      <c r="AV106" s="85">
        <v>62.612549999999999</v>
      </c>
      <c r="AW106" s="88"/>
      <c r="AX106" s="84"/>
      <c r="AY106" s="85"/>
      <c r="AZ106" s="84">
        <v>365.18833000000001</v>
      </c>
      <c r="BA106" s="85">
        <v>330.70740999999998</v>
      </c>
      <c r="BB106" s="88"/>
      <c r="BC106" s="85"/>
      <c r="BD106" s="84"/>
      <c r="BE106" s="88"/>
      <c r="BF106" s="85"/>
      <c r="BG106" s="85">
        <v>265.14272</v>
      </c>
      <c r="BH106" s="85"/>
      <c r="BI106" s="85"/>
      <c r="BJ106" s="85"/>
      <c r="BK106" s="85">
        <v>46.234999999999999</v>
      </c>
      <c r="BL106" s="85"/>
      <c r="BM106" s="85"/>
      <c r="BN106" s="85"/>
      <c r="BO106" s="85"/>
      <c r="BP106" s="85"/>
      <c r="BQ106" s="85"/>
      <c r="BR106" s="84">
        <v>3320.8701299999998</v>
      </c>
      <c r="BS106" s="85"/>
      <c r="BT106" s="85"/>
      <c r="BU106" s="198"/>
      <c r="BV106" s="90"/>
      <c r="BW106" s="198"/>
      <c r="BX106" s="90"/>
      <c r="BY106" s="198"/>
      <c r="BZ106" s="90"/>
      <c r="CA106" s="91"/>
    </row>
    <row r="107" spans="1:79" ht="50.1" customHeight="1" outlineLevel="2" x14ac:dyDescent="0.3">
      <c r="A107" s="106" t="s">
        <v>110</v>
      </c>
      <c r="B107" s="96" t="s">
        <v>131</v>
      </c>
      <c r="C107" s="79" t="s">
        <v>37</v>
      </c>
      <c r="D107" s="81">
        <f t="shared" si="17"/>
        <v>1643.1929599999999</v>
      </c>
      <c r="E107" s="82">
        <f t="shared" si="5"/>
        <v>560.44782999999995</v>
      </c>
      <c r="F107" s="83">
        <f t="shared" si="12"/>
        <v>1082.74513</v>
      </c>
      <c r="G107" s="84"/>
      <c r="H107" s="85"/>
      <c r="I107" s="83"/>
      <c r="J107" s="84">
        <f>0.26945+4.53464+216.08923</f>
        <v>220.89331999999999</v>
      </c>
      <c r="K107" s="85">
        <v>31.94698</v>
      </c>
      <c r="L107" s="85">
        <v>218.85319999999999</v>
      </c>
      <c r="M107" s="85"/>
      <c r="N107" s="85"/>
      <c r="O107" s="82"/>
      <c r="P107" s="83"/>
      <c r="Q107" s="83"/>
      <c r="R107" s="83"/>
      <c r="S107" s="82"/>
      <c r="T107" s="83"/>
      <c r="U107" s="83"/>
      <c r="V107" s="84">
        <v>30.153500000000001</v>
      </c>
      <c r="W107" s="83">
        <v>52.65</v>
      </c>
      <c r="X107" s="87"/>
      <c r="Y107" s="83">
        <v>136.34399999999999</v>
      </c>
      <c r="Z107" s="84"/>
      <c r="AA107" s="85"/>
      <c r="AB107" s="84"/>
      <c r="AC107" s="85"/>
      <c r="AD107" s="89">
        <f t="shared" si="13"/>
        <v>97.620519999999999</v>
      </c>
      <c r="AE107" s="89">
        <v>34.385599999999997</v>
      </c>
      <c r="AF107" s="186">
        <v>63.234920000000002</v>
      </c>
      <c r="AG107" s="85"/>
      <c r="AH107" s="85"/>
      <c r="AI107" s="85"/>
      <c r="AJ107" s="84"/>
      <c r="AK107" s="85"/>
      <c r="AL107" s="84"/>
      <c r="AM107" s="88"/>
      <c r="AN107" s="84"/>
      <c r="AO107" s="85"/>
      <c r="AP107" s="84"/>
      <c r="AQ107" s="83"/>
      <c r="AR107" s="83"/>
      <c r="AS107" s="83"/>
      <c r="AT107" s="85"/>
      <c r="AU107" s="85"/>
      <c r="AV107" s="85"/>
      <c r="AW107" s="88"/>
      <c r="AX107" s="84"/>
      <c r="AY107" s="85"/>
      <c r="AZ107" s="84">
        <v>309.40100999999999</v>
      </c>
      <c r="BA107" s="85">
        <v>280.18770999999998</v>
      </c>
      <c r="BB107" s="88"/>
      <c r="BC107" s="85"/>
      <c r="BD107" s="84"/>
      <c r="BE107" s="88"/>
      <c r="BF107" s="85"/>
      <c r="BG107" s="85">
        <v>265.14272</v>
      </c>
      <c r="BH107" s="85"/>
      <c r="BI107" s="85"/>
      <c r="BJ107" s="85"/>
      <c r="BK107" s="85"/>
      <c r="BL107" s="85"/>
      <c r="BM107" s="85"/>
      <c r="BN107" s="85"/>
      <c r="BO107" s="85"/>
      <c r="BP107" s="85"/>
      <c r="BQ107" s="85"/>
      <c r="BR107" s="84"/>
      <c r="BS107" s="85"/>
      <c r="BT107" s="85"/>
      <c r="BU107" s="198"/>
      <c r="BV107" s="90"/>
      <c r="BW107" s="198"/>
      <c r="BX107" s="90"/>
      <c r="BY107" s="198"/>
      <c r="BZ107" s="90"/>
      <c r="CA107" s="91"/>
    </row>
    <row r="108" spans="1:79" ht="50.1" customHeight="1" outlineLevel="2" x14ac:dyDescent="0.3">
      <c r="A108" s="106" t="s">
        <v>110</v>
      </c>
      <c r="B108" s="96" t="s">
        <v>132</v>
      </c>
      <c r="C108" s="79" t="s">
        <v>37</v>
      </c>
      <c r="D108" s="81">
        <f t="shared" si="17"/>
        <v>309.92899</v>
      </c>
      <c r="E108" s="82">
        <f t="shared" si="5"/>
        <v>84.151340000000005</v>
      </c>
      <c r="F108" s="83">
        <f t="shared" si="12"/>
        <v>225.77764999999999</v>
      </c>
      <c r="G108" s="84"/>
      <c r="H108" s="85"/>
      <c r="I108" s="83"/>
      <c r="J108" s="84"/>
      <c r="K108" s="85"/>
      <c r="L108" s="85">
        <v>108.05619</v>
      </c>
      <c r="M108" s="85"/>
      <c r="N108" s="85"/>
      <c r="O108" s="82"/>
      <c r="P108" s="83"/>
      <c r="Q108" s="83"/>
      <c r="R108" s="83"/>
      <c r="S108" s="82"/>
      <c r="T108" s="83"/>
      <c r="U108" s="83"/>
      <c r="V108" s="84">
        <v>6.9584999999999999</v>
      </c>
      <c r="W108" s="83">
        <v>12.15</v>
      </c>
      <c r="X108" s="87"/>
      <c r="Y108" s="83">
        <v>15.6</v>
      </c>
      <c r="Z108" s="84"/>
      <c r="AA108" s="85"/>
      <c r="AB108" s="84"/>
      <c r="AC108" s="85"/>
      <c r="AD108" s="89">
        <f t="shared" si="13"/>
        <v>20.067129999999999</v>
      </c>
      <c r="AE108" s="89">
        <v>6.4473000000000003</v>
      </c>
      <c r="AF108" s="186">
        <v>13.61983</v>
      </c>
      <c r="AG108" s="85"/>
      <c r="AH108" s="85"/>
      <c r="AI108" s="85"/>
      <c r="AJ108" s="84"/>
      <c r="AK108" s="85"/>
      <c r="AL108" s="84"/>
      <c r="AM108" s="88"/>
      <c r="AN108" s="84"/>
      <c r="AO108" s="85"/>
      <c r="AP108" s="84"/>
      <c r="AQ108" s="83"/>
      <c r="AR108" s="83"/>
      <c r="AS108" s="83"/>
      <c r="AT108" s="85"/>
      <c r="AU108" s="85"/>
      <c r="AV108" s="85"/>
      <c r="AW108" s="88"/>
      <c r="AX108" s="84"/>
      <c r="AY108" s="85"/>
      <c r="AZ108" s="84">
        <v>77.192840000000004</v>
      </c>
      <c r="BA108" s="85">
        <v>69.904330000000002</v>
      </c>
      <c r="BB108" s="88"/>
      <c r="BC108" s="85"/>
      <c r="BD108" s="84"/>
      <c r="BE108" s="88"/>
      <c r="BF108" s="85"/>
      <c r="BG108" s="85"/>
      <c r="BH108" s="85"/>
      <c r="BI108" s="85"/>
      <c r="BJ108" s="85"/>
      <c r="BK108" s="85"/>
      <c r="BL108" s="85"/>
      <c r="BM108" s="85"/>
      <c r="BN108" s="85"/>
      <c r="BO108" s="85"/>
      <c r="BP108" s="85"/>
      <c r="BQ108" s="85"/>
      <c r="BR108" s="84"/>
      <c r="BS108" s="85"/>
      <c r="BT108" s="85"/>
      <c r="BU108" s="198"/>
      <c r="BV108" s="90"/>
      <c r="BW108" s="198"/>
      <c r="BX108" s="90"/>
      <c r="BY108" s="198"/>
      <c r="BZ108" s="90"/>
      <c r="CA108" s="91"/>
    </row>
    <row r="109" spans="1:79" ht="50.1" customHeight="1" outlineLevel="2" x14ac:dyDescent="0.3">
      <c r="A109" s="106" t="s">
        <v>110</v>
      </c>
      <c r="B109" s="96" t="s">
        <v>133</v>
      </c>
      <c r="C109" s="79" t="s">
        <v>37</v>
      </c>
      <c r="D109" s="81">
        <f t="shared" si="17"/>
        <v>593.08996000000002</v>
      </c>
      <c r="E109" s="82">
        <f t="shared" si="5"/>
        <v>159.67057</v>
      </c>
      <c r="F109" s="83">
        <f t="shared" si="12"/>
        <v>433.41938999999996</v>
      </c>
      <c r="G109" s="84"/>
      <c r="H109" s="85"/>
      <c r="I109" s="83"/>
      <c r="J109" s="84"/>
      <c r="K109" s="85"/>
      <c r="L109" s="85">
        <v>108.52269</v>
      </c>
      <c r="M109" s="85"/>
      <c r="N109" s="85"/>
      <c r="O109" s="82"/>
      <c r="P109" s="83"/>
      <c r="Q109" s="83"/>
      <c r="R109" s="83"/>
      <c r="S109" s="82"/>
      <c r="T109" s="83"/>
      <c r="U109" s="83"/>
      <c r="V109" s="84"/>
      <c r="W109" s="83"/>
      <c r="X109" s="87"/>
      <c r="Y109" s="83">
        <v>65.52</v>
      </c>
      <c r="Z109" s="84"/>
      <c r="AA109" s="85"/>
      <c r="AB109" s="84"/>
      <c r="AC109" s="85"/>
      <c r="AD109" s="89">
        <f t="shared" si="13"/>
        <v>47.350999999999999</v>
      </c>
      <c r="AE109" s="89">
        <v>17.192799999999998</v>
      </c>
      <c r="AF109" s="186">
        <v>30.158200000000001</v>
      </c>
      <c r="AG109" s="85"/>
      <c r="AH109" s="85"/>
      <c r="AI109" s="85"/>
      <c r="AJ109" s="84"/>
      <c r="AK109" s="85"/>
      <c r="AL109" s="84"/>
      <c r="AM109" s="88"/>
      <c r="AN109" s="84"/>
      <c r="AO109" s="85"/>
      <c r="AP109" s="84"/>
      <c r="AQ109" s="83"/>
      <c r="AR109" s="83"/>
      <c r="AS109" s="83"/>
      <c r="AT109" s="85"/>
      <c r="AU109" s="85"/>
      <c r="AV109" s="85">
        <v>67.430999999999997</v>
      </c>
      <c r="AW109" s="88"/>
      <c r="AX109" s="84"/>
      <c r="AY109" s="85"/>
      <c r="AZ109" s="84">
        <v>159.67057</v>
      </c>
      <c r="BA109" s="85">
        <v>144.59469999999999</v>
      </c>
      <c r="BB109" s="88"/>
      <c r="BC109" s="85"/>
      <c r="BD109" s="84"/>
      <c r="BE109" s="88"/>
      <c r="BF109" s="85"/>
      <c r="BG109" s="85"/>
      <c r="BH109" s="85"/>
      <c r="BI109" s="85"/>
      <c r="BJ109" s="85"/>
      <c r="BK109" s="85"/>
      <c r="BL109" s="85"/>
      <c r="BM109" s="85"/>
      <c r="BN109" s="85"/>
      <c r="BO109" s="85"/>
      <c r="BP109" s="85"/>
      <c r="BQ109" s="85"/>
      <c r="BR109" s="84"/>
      <c r="BS109" s="85"/>
      <c r="BT109" s="85"/>
      <c r="BU109" s="198"/>
      <c r="BV109" s="90"/>
      <c r="BW109" s="198"/>
      <c r="BX109" s="90"/>
      <c r="BY109" s="198"/>
      <c r="BZ109" s="90"/>
      <c r="CA109" s="91"/>
    </row>
    <row r="110" spans="1:79" ht="50.1" customHeight="1" outlineLevel="2" x14ac:dyDescent="0.3">
      <c r="A110" s="106" t="s">
        <v>110</v>
      </c>
      <c r="B110" s="96" t="s">
        <v>134</v>
      </c>
      <c r="C110" s="79" t="s">
        <v>37</v>
      </c>
      <c r="D110" s="81">
        <f t="shared" si="17"/>
        <v>500.42651000000001</v>
      </c>
      <c r="E110" s="82">
        <f t="shared" si="5"/>
        <v>63.834380000000003</v>
      </c>
      <c r="F110" s="83">
        <f t="shared" si="12"/>
        <v>436.59213</v>
      </c>
      <c r="G110" s="84"/>
      <c r="H110" s="85"/>
      <c r="I110" s="83"/>
      <c r="J110" s="84"/>
      <c r="K110" s="85"/>
      <c r="L110" s="85"/>
      <c r="M110" s="85"/>
      <c r="N110" s="85"/>
      <c r="O110" s="82"/>
      <c r="P110" s="83"/>
      <c r="Q110" s="83"/>
      <c r="R110" s="83"/>
      <c r="S110" s="82"/>
      <c r="T110" s="83"/>
      <c r="U110" s="83"/>
      <c r="V110" s="84"/>
      <c r="W110" s="83"/>
      <c r="X110" s="87"/>
      <c r="Y110" s="83">
        <v>25.584</v>
      </c>
      <c r="Z110" s="84"/>
      <c r="AA110" s="85"/>
      <c r="AB110" s="84"/>
      <c r="AC110" s="85"/>
      <c r="AD110" s="89">
        <f t="shared" si="13"/>
        <v>12.080959999999999</v>
      </c>
      <c r="AE110" s="89">
        <v>4.2981999999999996</v>
      </c>
      <c r="AF110" s="186">
        <v>7.7827599999999997</v>
      </c>
      <c r="AG110" s="85"/>
      <c r="AH110" s="85"/>
      <c r="AI110" s="85"/>
      <c r="AJ110" s="84"/>
      <c r="AK110" s="85"/>
      <c r="AL110" s="84"/>
      <c r="AM110" s="88"/>
      <c r="AN110" s="84"/>
      <c r="AO110" s="85">
        <v>341.12</v>
      </c>
      <c r="AP110" s="84"/>
      <c r="AQ110" s="83"/>
      <c r="AR110" s="83"/>
      <c r="AS110" s="83"/>
      <c r="AT110" s="85"/>
      <c r="AU110" s="85"/>
      <c r="AV110" s="85"/>
      <c r="AW110" s="88"/>
      <c r="AX110" s="84"/>
      <c r="AY110" s="85"/>
      <c r="AZ110" s="84">
        <v>63.834380000000003</v>
      </c>
      <c r="BA110" s="85">
        <v>57.807169999999999</v>
      </c>
      <c r="BB110" s="88"/>
      <c r="BC110" s="85"/>
      <c r="BD110" s="84"/>
      <c r="BE110" s="88"/>
      <c r="BF110" s="85"/>
      <c r="BG110" s="85"/>
      <c r="BH110" s="85"/>
      <c r="BI110" s="85"/>
      <c r="BJ110" s="85"/>
      <c r="BK110" s="85"/>
      <c r="BL110" s="85"/>
      <c r="BM110" s="85"/>
      <c r="BN110" s="85"/>
      <c r="BO110" s="85"/>
      <c r="BP110" s="85"/>
      <c r="BQ110" s="85"/>
      <c r="BR110" s="84"/>
      <c r="BS110" s="85"/>
      <c r="BT110" s="85"/>
      <c r="BU110" s="198"/>
      <c r="BV110" s="90"/>
      <c r="BW110" s="198"/>
      <c r="BX110" s="90"/>
      <c r="BY110" s="198"/>
      <c r="BZ110" s="90"/>
      <c r="CA110" s="91"/>
    </row>
    <row r="111" spans="1:79" ht="50.1" customHeight="1" outlineLevel="2" x14ac:dyDescent="0.3">
      <c r="A111" s="106" t="s">
        <v>110</v>
      </c>
      <c r="B111" s="80" t="s">
        <v>135</v>
      </c>
      <c r="C111" s="79" t="s">
        <v>55</v>
      </c>
      <c r="D111" s="81">
        <f t="shared" si="17"/>
        <v>479.26360999999997</v>
      </c>
      <c r="E111" s="82">
        <f t="shared" ref="E111:E156" si="18">G111+J111+O111+S111+V111+X111+Z111+AB111+AJ111+AL111+AN111+AP111+AX111+AZ111+BD111+BV111+BX111+BZ111+BR111</f>
        <v>445.04271</v>
      </c>
      <c r="F111" s="83">
        <f t="shared" si="12"/>
        <v>34.2209</v>
      </c>
      <c r="G111" s="84"/>
      <c r="H111" s="85"/>
      <c r="I111" s="83"/>
      <c r="J111" s="84"/>
      <c r="K111" s="85"/>
      <c r="L111" s="85"/>
      <c r="M111" s="85"/>
      <c r="N111" s="85"/>
      <c r="O111" s="82"/>
      <c r="P111" s="83"/>
      <c r="Q111" s="83"/>
      <c r="R111" s="83"/>
      <c r="S111" s="82"/>
      <c r="T111" s="83"/>
      <c r="U111" s="83"/>
      <c r="V111" s="84"/>
      <c r="W111" s="83"/>
      <c r="X111" s="82"/>
      <c r="Y111" s="83"/>
      <c r="Z111" s="84"/>
      <c r="AA111" s="85"/>
      <c r="AB111" s="84"/>
      <c r="AC111" s="85"/>
      <c r="AD111" s="89">
        <f t="shared" si="13"/>
        <v>0</v>
      </c>
      <c r="AE111" s="89"/>
      <c r="AF111" s="188"/>
      <c r="AG111" s="85"/>
      <c r="AH111" s="85"/>
      <c r="AI111" s="85"/>
      <c r="AJ111" s="84"/>
      <c r="AK111" s="85"/>
      <c r="AL111" s="84"/>
      <c r="AM111" s="88"/>
      <c r="AN111" s="84"/>
      <c r="AO111" s="85"/>
      <c r="AP111" s="84"/>
      <c r="AQ111" s="83"/>
      <c r="AR111" s="83"/>
      <c r="AS111" s="83"/>
      <c r="AT111" s="85"/>
      <c r="AU111" s="85"/>
      <c r="AV111" s="85"/>
      <c r="AW111" s="88"/>
      <c r="AX111" s="84"/>
      <c r="AY111" s="85"/>
      <c r="AZ111" s="84">
        <v>37.788820000000001</v>
      </c>
      <c r="BA111" s="85">
        <v>34.2209</v>
      </c>
      <c r="BB111" s="88"/>
      <c r="BC111" s="85"/>
      <c r="BD111" s="84"/>
      <c r="BE111" s="88"/>
      <c r="BF111" s="85"/>
      <c r="BG111" s="85"/>
      <c r="BH111" s="85"/>
      <c r="BI111" s="85"/>
      <c r="BJ111" s="85"/>
      <c r="BK111" s="85"/>
      <c r="BL111" s="85"/>
      <c r="BM111" s="85"/>
      <c r="BN111" s="85"/>
      <c r="BO111" s="85"/>
      <c r="BP111" s="85"/>
      <c r="BQ111" s="85"/>
      <c r="BR111" s="84">
        <v>407.25389000000001</v>
      </c>
      <c r="BS111" s="85"/>
      <c r="BT111" s="85"/>
      <c r="BU111" s="198"/>
      <c r="BV111" s="90"/>
      <c r="BW111" s="198"/>
      <c r="BX111" s="90"/>
      <c r="BY111" s="198"/>
      <c r="BZ111" s="90"/>
      <c r="CA111" s="91"/>
    </row>
    <row r="112" spans="1:79" ht="50.1" customHeight="1" outlineLevel="2" x14ac:dyDescent="0.3">
      <c r="A112" s="106" t="s">
        <v>110</v>
      </c>
      <c r="B112" s="80" t="s">
        <v>136</v>
      </c>
      <c r="C112" s="79" t="s">
        <v>55</v>
      </c>
      <c r="D112" s="81">
        <f t="shared" si="17"/>
        <v>2249.11139</v>
      </c>
      <c r="E112" s="82">
        <f t="shared" si="18"/>
        <v>1819.4257300000002</v>
      </c>
      <c r="F112" s="83">
        <f t="shared" si="12"/>
        <v>429.68565999999998</v>
      </c>
      <c r="G112" s="84"/>
      <c r="H112" s="85"/>
      <c r="I112" s="83"/>
      <c r="J112" s="84"/>
      <c r="K112" s="85"/>
      <c r="L112" s="85">
        <v>158.24871999999999</v>
      </c>
      <c r="M112" s="85"/>
      <c r="N112" s="85"/>
      <c r="O112" s="82">
        <v>4.49221</v>
      </c>
      <c r="P112" s="83">
        <v>0.23643</v>
      </c>
      <c r="Q112" s="83"/>
      <c r="R112" s="83"/>
      <c r="S112" s="82"/>
      <c r="T112" s="83"/>
      <c r="U112" s="83"/>
      <c r="V112" s="84"/>
      <c r="W112" s="83"/>
      <c r="X112" s="82"/>
      <c r="Y112" s="83">
        <v>55.223999999999997</v>
      </c>
      <c r="Z112" s="84"/>
      <c r="AA112" s="85"/>
      <c r="AB112" s="84"/>
      <c r="AC112" s="85"/>
      <c r="AD112" s="89">
        <f t="shared" si="13"/>
        <v>49.296679999999995</v>
      </c>
      <c r="AE112" s="89">
        <v>17.192799999999998</v>
      </c>
      <c r="AF112" s="188">
        <v>32.103879999999997</v>
      </c>
      <c r="AG112" s="85"/>
      <c r="AH112" s="85"/>
      <c r="AI112" s="85"/>
      <c r="AJ112" s="84"/>
      <c r="AK112" s="85"/>
      <c r="AL112" s="84"/>
      <c r="AM112" s="88"/>
      <c r="AN112" s="84"/>
      <c r="AO112" s="85"/>
      <c r="AP112" s="84"/>
      <c r="AQ112" s="83"/>
      <c r="AR112" s="83"/>
      <c r="AS112" s="83"/>
      <c r="AT112" s="85"/>
      <c r="AU112" s="85"/>
      <c r="AV112" s="85"/>
      <c r="AW112" s="88"/>
      <c r="AX112" s="84"/>
      <c r="AY112" s="85"/>
      <c r="AZ112" s="84">
        <v>184.05847</v>
      </c>
      <c r="BA112" s="85">
        <v>166.67983000000001</v>
      </c>
      <c r="BB112" s="88"/>
      <c r="BC112" s="85"/>
      <c r="BD112" s="84"/>
      <c r="BE112" s="88"/>
      <c r="BF112" s="85"/>
      <c r="BG112" s="85"/>
      <c r="BH112" s="85"/>
      <c r="BI112" s="85"/>
      <c r="BJ112" s="85"/>
      <c r="BK112" s="85"/>
      <c r="BL112" s="85"/>
      <c r="BM112" s="85"/>
      <c r="BN112" s="85"/>
      <c r="BO112" s="85"/>
      <c r="BP112" s="85"/>
      <c r="BQ112" s="85"/>
      <c r="BR112" s="84">
        <v>1630.8750500000001</v>
      </c>
      <c r="BS112" s="85"/>
      <c r="BT112" s="85"/>
      <c r="BU112" s="198"/>
      <c r="BV112" s="90"/>
      <c r="BW112" s="198"/>
      <c r="BX112" s="90"/>
      <c r="BY112" s="198"/>
      <c r="BZ112" s="90"/>
      <c r="CA112" s="91"/>
    </row>
    <row r="113" spans="1:1199" ht="50.1" customHeight="1" outlineLevel="2" x14ac:dyDescent="0.3">
      <c r="A113" s="106" t="s">
        <v>110</v>
      </c>
      <c r="B113" s="80" t="s">
        <v>137</v>
      </c>
      <c r="C113" s="79" t="s">
        <v>55</v>
      </c>
      <c r="D113" s="81">
        <f t="shared" si="17"/>
        <v>247.90475000000001</v>
      </c>
      <c r="E113" s="82">
        <f t="shared" si="18"/>
        <v>69.584370000000007</v>
      </c>
      <c r="F113" s="83">
        <f t="shared" si="12"/>
        <v>178.32038</v>
      </c>
      <c r="G113" s="98"/>
      <c r="H113" s="97"/>
      <c r="I113" s="97"/>
      <c r="J113" s="98"/>
      <c r="K113" s="97"/>
      <c r="L113" s="97"/>
      <c r="M113" s="97"/>
      <c r="N113" s="97"/>
      <c r="O113" s="98"/>
      <c r="P113" s="97"/>
      <c r="Q113" s="97"/>
      <c r="R113" s="97"/>
      <c r="S113" s="98"/>
      <c r="T113" s="97"/>
      <c r="U113" s="97"/>
      <c r="V113" s="98"/>
      <c r="W113" s="97"/>
      <c r="X113" s="98"/>
      <c r="Y113" s="97"/>
      <c r="Z113" s="98"/>
      <c r="AA113" s="97"/>
      <c r="AB113" s="98"/>
      <c r="AC113" s="97"/>
      <c r="AD113" s="89">
        <f t="shared" si="13"/>
        <v>0</v>
      </c>
      <c r="AE113" s="97"/>
      <c r="AF113" s="125"/>
      <c r="AG113" s="97"/>
      <c r="AH113" s="97"/>
      <c r="AI113" s="97"/>
      <c r="AJ113" s="98"/>
      <c r="AK113" s="97"/>
      <c r="AL113" s="98"/>
      <c r="AM113" s="97"/>
      <c r="AN113" s="98"/>
      <c r="AO113" s="97"/>
      <c r="AP113" s="98">
        <v>69.584370000000007</v>
      </c>
      <c r="AQ113" s="97">
        <v>178.32038</v>
      </c>
      <c r="AR113" s="97"/>
      <c r="AS113" s="97"/>
      <c r="AT113" s="97"/>
      <c r="AU113" s="97"/>
      <c r="AV113" s="97"/>
      <c r="AW113" s="97"/>
      <c r="AX113" s="98"/>
      <c r="AY113" s="97"/>
      <c r="AZ113" s="98"/>
      <c r="BA113" s="97"/>
      <c r="BB113" s="97"/>
      <c r="BC113" s="97"/>
      <c r="BD113" s="97"/>
      <c r="BE113" s="97"/>
      <c r="BF113" s="97"/>
      <c r="BG113" s="85"/>
      <c r="BH113" s="85"/>
      <c r="BI113" s="85"/>
      <c r="BJ113" s="85"/>
      <c r="BK113" s="85"/>
      <c r="BL113" s="85"/>
      <c r="BM113" s="85"/>
      <c r="BN113" s="85"/>
      <c r="BO113" s="85"/>
      <c r="BP113" s="85"/>
      <c r="BQ113" s="85"/>
      <c r="BR113" s="84"/>
      <c r="BS113" s="85"/>
      <c r="BT113" s="85"/>
      <c r="BU113" s="198"/>
      <c r="BV113" s="90"/>
      <c r="BW113" s="198"/>
      <c r="BX113" s="90"/>
      <c r="BY113" s="198"/>
      <c r="BZ113" s="90"/>
      <c r="CA113" s="91"/>
    </row>
    <row r="114" spans="1:1199" ht="50.1" customHeight="1" outlineLevel="2" x14ac:dyDescent="0.3">
      <c r="A114" s="106" t="s">
        <v>110</v>
      </c>
      <c r="B114" s="96" t="s">
        <v>138</v>
      </c>
      <c r="C114" s="79" t="s">
        <v>55</v>
      </c>
      <c r="D114" s="81">
        <f t="shared" si="17"/>
        <v>1629.26397</v>
      </c>
      <c r="E114" s="82">
        <f t="shared" si="18"/>
        <v>1383.42731</v>
      </c>
      <c r="F114" s="83">
        <f t="shared" si="12"/>
        <v>245.83665999999999</v>
      </c>
      <c r="G114" s="84"/>
      <c r="H114" s="85"/>
      <c r="I114" s="83"/>
      <c r="J114" s="84"/>
      <c r="K114" s="85"/>
      <c r="L114" s="85"/>
      <c r="M114" s="85"/>
      <c r="N114" s="85"/>
      <c r="O114" s="82"/>
      <c r="P114" s="83"/>
      <c r="Q114" s="83"/>
      <c r="R114" s="83"/>
      <c r="S114" s="82"/>
      <c r="T114" s="83"/>
      <c r="U114" s="83"/>
      <c r="V114" s="84"/>
      <c r="W114" s="83"/>
      <c r="X114" s="87"/>
      <c r="Y114" s="83"/>
      <c r="Z114" s="84"/>
      <c r="AA114" s="85"/>
      <c r="AB114" s="84"/>
      <c r="AC114" s="85"/>
      <c r="AD114" s="89">
        <f t="shared" si="13"/>
        <v>0</v>
      </c>
      <c r="AE114" s="89"/>
      <c r="AF114" s="186"/>
      <c r="AG114" s="85"/>
      <c r="AH114" s="85"/>
      <c r="AI114" s="85"/>
      <c r="AJ114" s="84"/>
      <c r="AK114" s="85"/>
      <c r="AL114" s="84"/>
      <c r="AM114" s="88"/>
      <c r="AN114" s="84"/>
      <c r="AO114" s="85"/>
      <c r="AP114" s="84"/>
      <c r="AQ114" s="83"/>
      <c r="AR114" s="83"/>
      <c r="AS114" s="83"/>
      <c r="AT114" s="85"/>
      <c r="AU114" s="85"/>
      <c r="AV114" s="85">
        <v>202.62479999999999</v>
      </c>
      <c r="AW114" s="88"/>
      <c r="AX114" s="84"/>
      <c r="AY114" s="85"/>
      <c r="AZ114" s="84">
        <v>47.717230000000001</v>
      </c>
      <c r="BA114" s="85">
        <v>43.211860000000001</v>
      </c>
      <c r="BB114" s="88"/>
      <c r="BC114" s="85"/>
      <c r="BD114" s="84"/>
      <c r="BE114" s="88"/>
      <c r="BF114" s="85"/>
      <c r="BG114" s="85"/>
      <c r="BH114" s="85"/>
      <c r="BI114" s="85"/>
      <c r="BJ114" s="85"/>
      <c r="BK114" s="85"/>
      <c r="BL114" s="85"/>
      <c r="BM114" s="85"/>
      <c r="BN114" s="85"/>
      <c r="BO114" s="85"/>
      <c r="BP114" s="85"/>
      <c r="BQ114" s="85"/>
      <c r="BR114" s="84">
        <v>1335.7100800000001</v>
      </c>
      <c r="BS114" s="85"/>
      <c r="BT114" s="85"/>
      <c r="BU114" s="198"/>
      <c r="BV114" s="90"/>
      <c r="BW114" s="198"/>
      <c r="BX114" s="90"/>
      <c r="BY114" s="198"/>
      <c r="BZ114" s="90"/>
      <c r="CA114" s="91"/>
    </row>
    <row r="115" spans="1:1199" ht="50.1" customHeight="1" outlineLevel="2" x14ac:dyDescent="0.3">
      <c r="A115" s="106" t="s">
        <v>110</v>
      </c>
      <c r="B115" s="80" t="s">
        <v>139</v>
      </c>
      <c r="C115" s="79" t="s">
        <v>55</v>
      </c>
      <c r="D115" s="81">
        <f t="shared" si="17"/>
        <v>169.55216999999999</v>
      </c>
      <c r="E115" s="82">
        <f t="shared" si="18"/>
        <v>62.072929999999999</v>
      </c>
      <c r="F115" s="83">
        <f t="shared" si="12"/>
        <v>107.47924</v>
      </c>
      <c r="G115" s="84"/>
      <c r="H115" s="85"/>
      <c r="I115" s="83"/>
      <c r="J115" s="84"/>
      <c r="K115" s="85"/>
      <c r="L115" s="85"/>
      <c r="M115" s="85"/>
      <c r="N115" s="85"/>
      <c r="O115" s="82"/>
      <c r="P115" s="83"/>
      <c r="Q115" s="83"/>
      <c r="R115" s="83"/>
      <c r="S115" s="82"/>
      <c r="T115" s="83"/>
      <c r="U115" s="83"/>
      <c r="V115" s="84"/>
      <c r="W115" s="83"/>
      <c r="X115" s="87"/>
      <c r="Y115" s="83">
        <v>31.2</v>
      </c>
      <c r="Z115" s="84"/>
      <c r="AA115" s="85"/>
      <c r="AB115" s="84"/>
      <c r="AC115" s="85"/>
      <c r="AD115" s="89">
        <f t="shared" si="13"/>
        <v>20.067129999999999</v>
      </c>
      <c r="AE115" s="89">
        <v>6.4473000000000003</v>
      </c>
      <c r="AF115" s="186">
        <v>13.61983</v>
      </c>
      <c r="AG115" s="85"/>
      <c r="AH115" s="85"/>
      <c r="AI115" s="85"/>
      <c r="AJ115" s="84"/>
      <c r="AK115" s="85"/>
      <c r="AL115" s="84"/>
      <c r="AM115" s="88"/>
      <c r="AN115" s="84"/>
      <c r="AO115" s="85"/>
      <c r="AP115" s="84"/>
      <c r="AQ115" s="83"/>
      <c r="AR115" s="83"/>
      <c r="AS115" s="83"/>
      <c r="AT115" s="85"/>
      <c r="AU115" s="85"/>
      <c r="AV115" s="85"/>
      <c r="AW115" s="88"/>
      <c r="AX115" s="84"/>
      <c r="AY115" s="85"/>
      <c r="AZ115" s="84">
        <v>62.072929999999999</v>
      </c>
      <c r="BA115" s="85">
        <v>56.212110000000003</v>
      </c>
      <c r="BB115" s="88"/>
      <c r="BC115" s="85"/>
      <c r="BD115" s="84"/>
      <c r="BE115" s="88"/>
      <c r="BF115" s="85"/>
      <c r="BG115" s="85"/>
      <c r="BH115" s="85"/>
      <c r="BI115" s="85"/>
      <c r="BJ115" s="85"/>
      <c r="BK115" s="85"/>
      <c r="BL115" s="85"/>
      <c r="BM115" s="85"/>
      <c r="BN115" s="85"/>
      <c r="BO115" s="85"/>
      <c r="BP115" s="85"/>
      <c r="BQ115" s="85"/>
      <c r="BR115" s="84"/>
      <c r="BS115" s="85"/>
      <c r="BT115" s="85"/>
      <c r="BU115" s="198"/>
      <c r="BV115" s="90"/>
      <c r="BW115" s="198"/>
      <c r="BX115" s="90"/>
      <c r="BY115" s="198"/>
      <c r="BZ115" s="90"/>
      <c r="CA115" s="91"/>
    </row>
    <row r="116" spans="1:1199" ht="50.1" customHeight="1" outlineLevel="2" x14ac:dyDescent="0.3">
      <c r="A116" s="106" t="s">
        <v>110</v>
      </c>
      <c r="B116" s="80" t="s">
        <v>1193</v>
      </c>
      <c r="C116" s="79" t="s">
        <v>55</v>
      </c>
      <c r="D116" s="81">
        <f t="shared" si="17"/>
        <v>2969.9989999999998</v>
      </c>
      <c r="E116" s="82">
        <f t="shared" si="18"/>
        <v>0</v>
      </c>
      <c r="F116" s="83">
        <f t="shared" si="12"/>
        <v>2969.9989999999998</v>
      </c>
      <c r="G116" s="84"/>
      <c r="H116" s="85"/>
      <c r="I116" s="83"/>
      <c r="J116" s="84"/>
      <c r="K116" s="85"/>
      <c r="L116" s="85"/>
      <c r="M116" s="85"/>
      <c r="N116" s="85"/>
      <c r="O116" s="82"/>
      <c r="P116" s="83"/>
      <c r="Q116" s="83"/>
      <c r="R116" s="83"/>
      <c r="S116" s="82"/>
      <c r="T116" s="83"/>
      <c r="U116" s="83"/>
      <c r="V116" s="84"/>
      <c r="W116" s="83"/>
      <c r="X116" s="87"/>
      <c r="Y116" s="83"/>
      <c r="Z116" s="84"/>
      <c r="AA116" s="85"/>
      <c r="AB116" s="84"/>
      <c r="AC116" s="85"/>
      <c r="AD116" s="89"/>
      <c r="AE116" s="89"/>
      <c r="AF116" s="186"/>
      <c r="AG116" s="85"/>
      <c r="AH116" s="85"/>
      <c r="AI116" s="85"/>
      <c r="AJ116" s="84"/>
      <c r="AK116" s="85"/>
      <c r="AL116" s="84"/>
      <c r="AM116" s="88"/>
      <c r="AN116" s="84"/>
      <c r="AO116" s="85"/>
      <c r="AP116" s="84"/>
      <c r="AQ116" s="83"/>
      <c r="AR116" s="83"/>
      <c r="AS116" s="83"/>
      <c r="AT116" s="85"/>
      <c r="AU116" s="85"/>
      <c r="AV116" s="85"/>
      <c r="AW116" s="88"/>
      <c r="AX116" s="84"/>
      <c r="AY116" s="85"/>
      <c r="AZ116" s="84"/>
      <c r="BA116" s="85"/>
      <c r="BB116" s="88"/>
      <c r="BC116" s="85"/>
      <c r="BD116" s="84"/>
      <c r="BE116" s="88"/>
      <c r="BF116" s="85"/>
      <c r="BG116" s="85"/>
      <c r="BH116" s="85"/>
      <c r="BI116" s="85"/>
      <c r="BJ116" s="85"/>
      <c r="BK116" s="85"/>
      <c r="BL116" s="85"/>
      <c r="BM116" s="85"/>
      <c r="BN116" s="85"/>
      <c r="BO116" s="85"/>
      <c r="BP116" s="85"/>
      <c r="BQ116" s="85"/>
      <c r="BR116" s="84"/>
      <c r="BS116" s="85"/>
      <c r="BT116" s="85"/>
      <c r="BU116" s="198"/>
      <c r="BV116" s="90"/>
      <c r="BW116" s="198">
        <v>2969.9989999999998</v>
      </c>
      <c r="BX116" s="90"/>
      <c r="BY116" s="198"/>
      <c r="BZ116" s="90"/>
      <c r="CA116" s="91"/>
    </row>
    <row r="117" spans="1:1199" ht="50.1" customHeight="1" outlineLevel="2" x14ac:dyDescent="0.3">
      <c r="A117" s="106" t="s">
        <v>110</v>
      </c>
      <c r="B117" s="96" t="s">
        <v>140</v>
      </c>
      <c r="C117" s="79" t="s">
        <v>89</v>
      </c>
      <c r="D117" s="81">
        <f t="shared" si="17"/>
        <v>3048</v>
      </c>
      <c r="E117" s="82">
        <f t="shared" si="18"/>
        <v>0</v>
      </c>
      <c r="F117" s="83">
        <f t="shared" si="12"/>
        <v>3048</v>
      </c>
      <c r="G117" s="84"/>
      <c r="H117" s="85"/>
      <c r="I117" s="83"/>
      <c r="J117" s="84"/>
      <c r="K117" s="85"/>
      <c r="L117" s="85"/>
      <c r="M117" s="85"/>
      <c r="N117" s="85"/>
      <c r="O117" s="82"/>
      <c r="P117" s="83"/>
      <c r="Q117" s="83"/>
      <c r="R117" s="83"/>
      <c r="S117" s="82"/>
      <c r="T117" s="83"/>
      <c r="U117" s="83"/>
      <c r="V117" s="84"/>
      <c r="W117" s="83"/>
      <c r="X117" s="82"/>
      <c r="Y117" s="83"/>
      <c r="Z117" s="84"/>
      <c r="AA117" s="85"/>
      <c r="AB117" s="84"/>
      <c r="AC117" s="85"/>
      <c r="AD117" s="89">
        <f t="shared" si="13"/>
        <v>0</v>
      </c>
      <c r="AE117" s="89"/>
      <c r="AF117" s="186"/>
      <c r="AG117" s="85"/>
      <c r="AH117" s="85"/>
      <c r="AI117" s="85"/>
      <c r="AJ117" s="84"/>
      <c r="AK117" s="85"/>
      <c r="AL117" s="84"/>
      <c r="AM117" s="88"/>
      <c r="AN117" s="84"/>
      <c r="AO117" s="85"/>
      <c r="AP117" s="84"/>
      <c r="AQ117" s="83"/>
      <c r="AR117" s="83"/>
      <c r="AS117" s="83"/>
      <c r="AT117" s="85"/>
      <c r="AU117" s="85"/>
      <c r="AV117" s="85"/>
      <c r="AW117" s="88"/>
      <c r="AX117" s="84"/>
      <c r="AY117" s="85"/>
      <c r="AZ117" s="84"/>
      <c r="BA117" s="85"/>
      <c r="BB117" s="88"/>
      <c r="BC117" s="85"/>
      <c r="BD117" s="84"/>
      <c r="BE117" s="88"/>
      <c r="BF117" s="85"/>
      <c r="BG117" s="85">
        <v>3048</v>
      </c>
      <c r="BH117" s="85"/>
      <c r="BI117" s="85"/>
      <c r="BJ117" s="85"/>
      <c r="BK117" s="85"/>
      <c r="BL117" s="85"/>
      <c r="BM117" s="85"/>
      <c r="BN117" s="85"/>
      <c r="BO117" s="85"/>
      <c r="BP117" s="85"/>
      <c r="BQ117" s="85"/>
      <c r="BR117" s="84"/>
      <c r="BS117" s="85"/>
      <c r="BT117" s="85"/>
      <c r="BU117" s="198"/>
      <c r="BV117" s="90"/>
      <c r="BW117" s="198"/>
      <c r="BX117" s="90"/>
      <c r="BY117" s="198"/>
      <c r="BZ117" s="90"/>
      <c r="CA117" s="91"/>
    </row>
    <row r="118" spans="1:1199" ht="50.1" customHeight="1" outlineLevel="2" x14ac:dyDescent="0.3">
      <c r="A118" s="106" t="s">
        <v>110</v>
      </c>
      <c r="B118" s="96" t="s">
        <v>141</v>
      </c>
      <c r="C118" s="79" t="s">
        <v>1268</v>
      </c>
      <c r="D118" s="81">
        <f t="shared" si="17"/>
        <v>13.61983</v>
      </c>
      <c r="E118" s="82">
        <f t="shared" si="18"/>
        <v>0</v>
      </c>
      <c r="F118" s="83">
        <f t="shared" si="12"/>
        <v>13.61983</v>
      </c>
      <c r="G118" s="84"/>
      <c r="H118" s="85"/>
      <c r="I118" s="83"/>
      <c r="J118" s="84"/>
      <c r="K118" s="85"/>
      <c r="L118" s="85"/>
      <c r="M118" s="85"/>
      <c r="N118" s="85"/>
      <c r="O118" s="82"/>
      <c r="P118" s="83"/>
      <c r="Q118" s="83"/>
      <c r="R118" s="83"/>
      <c r="S118" s="82"/>
      <c r="T118" s="83"/>
      <c r="U118" s="83"/>
      <c r="V118" s="84"/>
      <c r="W118" s="83"/>
      <c r="X118" s="82"/>
      <c r="Y118" s="83"/>
      <c r="Z118" s="84"/>
      <c r="AA118" s="85"/>
      <c r="AB118" s="84"/>
      <c r="AC118" s="85"/>
      <c r="AD118" s="89">
        <f t="shared" si="13"/>
        <v>13.61983</v>
      </c>
      <c r="AE118" s="89"/>
      <c r="AF118" s="187">
        <v>13.61983</v>
      </c>
      <c r="AG118" s="85"/>
      <c r="AH118" s="85"/>
      <c r="AI118" s="85"/>
      <c r="AJ118" s="84"/>
      <c r="AK118" s="85"/>
      <c r="AL118" s="84"/>
      <c r="AM118" s="88"/>
      <c r="AN118" s="84"/>
      <c r="AO118" s="85"/>
      <c r="AP118" s="84"/>
      <c r="AQ118" s="83"/>
      <c r="AR118" s="83"/>
      <c r="AS118" s="83"/>
      <c r="AT118" s="85"/>
      <c r="AU118" s="85"/>
      <c r="AV118" s="85"/>
      <c r="AW118" s="88"/>
      <c r="AX118" s="84"/>
      <c r="AY118" s="85"/>
      <c r="AZ118" s="84"/>
      <c r="BA118" s="85"/>
      <c r="BB118" s="88"/>
      <c r="BC118" s="85"/>
      <c r="BD118" s="84"/>
      <c r="BE118" s="88"/>
      <c r="BF118" s="85"/>
      <c r="BG118" s="85"/>
      <c r="BH118" s="85"/>
      <c r="BI118" s="85"/>
      <c r="BJ118" s="85"/>
      <c r="BK118" s="85"/>
      <c r="BL118" s="85"/>
      <c r="BM118" s="85"/>
      <c r="BN118" s="85"/>
      <c r="BO118" s="85"/>
      <c r="BP118" s="85"/>
      <c r="BQ118" s="85"/>
      <c r="BR118" s="84"/>
      <c r="BS118" s="85"/>
      <c r="BT118" s="85"/>
      <c r="BU118" s="198"/>
      <c r="BV118" s="90"/>
      <c r="BW118" s="198"/>
      <c r="BX118" s="90"/>
      <c r="BY118" s="198"/>
      <c r="BZ118" s="90"/>
      <c r="CA118" s="91"/>
    </row>
    <row r="119" spans="1:1199" ht="50.1" customHeight="1" outlineLevel="2" x14ac:dyDescent="0.3">
      <c r="A119" s="103" t="s">
        <v>110</v>
      </c>
      <c r="B119" s="108" t="s">
        <v>1009</v>
      </c>
      <c r="C119" s="79"/>
      <c r="D119" s="81">
        <f t="shared" si="17"/>
        <v>300</v>
      </c>
      <c r="E119" s="82">
        <f t="shared" si="18"/>
        <v>0</v>
      </c>
      <c r="F119" s="83">
        <f t="shared" ref="F119:F170" si="19">H119+I119+K119+L119+M119+N119+P119+Q119+R119+T119+U119+W119+Y119+AA119+AC119+AD119+AG119+AH119+AI119+AK119+AM119+AO119+AQ119+AR119+AS119+AT119+AU119+AV119+AW119+AY119+BA119+BB119+BC119+BE119+BF119+BG119+BH119+BI119+BJ119+BK119+BL119+BO119+BP119+BQ119+BS119+BT119+BU119+BW119+BY119+CA119+BM119+BN119</f>
        <v>300</v>
      </c>
      <c r="G119" s="84"/>
      <c r="H119" s="85"/>
      <c r="I119" s="83"/>
      <c r="J119" s="84"/>
      <c r="K119" s="85"/>
      <c r="L119" s="85"/>
      <c r="M119" s="85"/>
      <c r="N119" s="85"/>
      <c r="O119" s="82"/>
      <c r="P119" s="83"/>
      <c r="Q119" s="83"/>
      <c r="R119" s="83"/>
      <c r="S119" s="82"/>
      <c r="T119" s="83"/>
      <c r="U119" s="83"/>
      <c r="V119" s="84"/>
      <c r="W119" s="83"/>
      <c r="X119" s="82"/>
      <c r="Y119" s="83"/>
      <c r="Z119" s="84"/>
      <c r="AA119" s="85"/>
      <c r="AB119" s="84"/>
      <c r="AC119" s="85"/>
      <c r="AD119" s="89">
        <f t="shared" si="13"/>
        <v>0</v>
      </c>
      <c r="AE119" s="89"/>
      <c r="AF119" s="186"/>
      <c r="AG119" s="85"/>
      <c r="AH119" s="85"/>
      <c r="AI119" s="85"/>
      <c r="AJ119" s="84"/>
      <c r="AK119" s="85"/>
      <c r="AL119" s="84"/>
      <c r="AM119" s="88"/>
      <c r="AN119" s="84"/>
      <c r="AO119" s="85"/>
      <c r="AP119" s="84"/>
      <c r="AQ119" s="83"/>
      <c r="AR119" s="83"/>
      <c r="AS119" s="83"/>
      <c r="AT119" s="85"/>
      <c r="AU119" s="85"/>
      <c r="AV119" s="85"/>
      <c r="AW119" s="88"/>
      <c r="AX119" s="84"/>
      <c r="AY119" s="85"/>
      <c r="AZ119" s="84"/>
      <c r="BA119" s="85"/>
      <c r="BB119" s="88"/>
      <c r="BC119" s="85"/>
      <c r="BD119" s="84"/>
      <c r="BE119" s="88"/>
      <c r="BF119" s="85"/>
      <c r="BG119" s="85"/>
      <c r="BH119" s="85">
        <v>300</v>
      </c>
      <c r="BI119" s="85"/>
      <c r="BJ119" s="85"/>
      <c r="BK119" s="85"/>
      <c r="BL119" s="85"/>
      <c r="BM119" s="85"/>
      <c r="BN119" s="85"/>
      <c r="BO119" s="85"/>
      <c r="BP119" s="85"/>
      <c r="BQ119" s="85"/>
      <c r="BR119" s="84"/>
      <c r="BS119" s="85"/>
      <c r="BT119" s="85"/>
      <c r="BU119" s="198"/>
      <c r="BV119" s="90"/>
      <c r="BW119" s="198"/>
      <c r="BX119" s="90"/>
      <c r="BY119" s="198"/>
      <c r="BZ119" s="90"/>
      <c r="CA119" s="91"/>
    </row>
    <row r="120" spans="1:1199" ht="50.1" customHeight="1" outlineLevel="2" x14ac:dyDescent="0.3">
      <c r="A120" s="103" t="s">
        <v>110</v>
      </c>
      <c r="B120" s="108" t="s">
        <v>1010</v>
      </c>
      <c r="C120" s="79"/>
      <c r="D120" s="81">
        <f t="shared" si="17"/>
        <v>300</v>
      </c>
      <c r="E120" s="82">
        <f t="shared" si="18"/>
        <v>0</v>
      </c>
      <c r="F120" s="83">
        <f t="shared" si="19"/>
        <v>300</v>
      </c>
      <c r="G120" s="84"/>
      <c r="H120" s="85"/>
      <c r="I120" s="83"/>
      <c r="J120" s="84"/>
      <c r="K120" s="85"/>
      <c r="L120" s="85"/>
      <c r="M120" s="85"/>
      <c r="N120" s="85"/>
      <c r="O120" s="82"/>
      <c r="P120" s="83"/>
      <c r="Q120" s="83"/>
      <c r="R120" s="83"/>
      <c r="S120" s="82"/>
      <c r="T120" s="83"/>
      <c r="U120" s="83"/>
      <c r="V120" s="84"/>
      <c r="W120" s="83"/>
      <c r="X120" s="82"/>
      <c r="Y120" s="83"/>
      <c r="Z120" s="84"/>
      <c r="AA120" s="85"/>
      <c r="AB120" s="84"/>
      <c r="AC120" s="85"/>
      <c r="AD120" s="89">
        <f t="shared" si="13"/>
        <v>0</v>
      </c>
      <c r="AE120" s="89"/>
      <c r="AF120" s="186"/>
      <c r="AG120" s="85"/>
      <c r="AH120" s="85"/>
      <c r="AI120" s="85"/>
      <c r="AJ120" s="84"/>
      <c r="AK120" s="85"/>
      <c r="AL120" s="84"/>
      <c r="AM120" s="88"/>
      <c r="AN120" s="84"/>
      <c r="AO120" s="85"/>
      <c r="AP120" s="84"/>
      <c r="AQ120" s="83"/>
      <c r="AR120" s="83"/>
      <c r="AS120" s="83"/>
      <c r="AT120" s="85"/>
      <c r="AU120" s="85"/>
      <c r="AV120" s="85"/>
      <c r="AW120" s="88"/>
      <c r="AX120" s="84"/>
      <c r="AY120" s="85"/>
      <c r="AZ120" s="84"/>
      <c r="BA120" s="85"/>
      <c r="BB120" s="88"/>
      <c r="BC120" s="85"/>
      <c r="BD120" s="84"/>
      <c r="BE120" s="88"/>
      <c r="BF120" s="85"/>
      <c r="BG120" s="85"/>
      <c r="BH120" s="85">
        <v>300</v>
      </c>
      <c r="BI120" s="85"/>
      <c r="BJ120" s="85"/>
      <c r="BK120" s="85"/>
      <c r="BL120" s="85"/>
      <c r="BM120" s="85"/>
      <c r="BN120" s="85"/>
      <c r="BO120" s="85"/>
      <c r="BP120" s="85"/>
      <c r="BQ120" s="85"/>
      <c r="BR120" s="84"/>
      <c r="BS120" s="85"/>
      <c r="BT120" s="85"/>
      <c r="BU120" s="198"/>
      <c r="BV120" s="90"/>
      <c r="BW120" s="198"/>
      <c r="BX120" s="90"/>
      <c r="BY120" s="198"/>
      <c r="BZ120" s="90"/>
      <c r="CA120" s="91"/>
    </row>
    <row r="121" spans="1:1199" ht="50.1" customHeight="1" outlineLevel="2" x14ac:dyDescent="0.3">
      <c r="A121" s="103" t="s">
        <v>110</v>
      </c>
      <c r="B121" s="108" t="s">
        <v>1011</v>
      </c>
      <c r="C121" s="79"/>
      <c r="D121" s="81">
        <f t="shared" si="17"/>
        <v>300</v>
      </c>
      <c r="E121" s="82">
        <f t="shared" si="18"/>
        <v>0</v>
      </c>
      <c r="F121" s="83">
        <f t="shared" si="19"/>
        <v>300</v>
      </c>
      <c r="G121" s="84"/>
      <c r="H121" s="85"/>
      <c r="I121" s="83"/>
      <c r="J121" s="84"/>
      <c r="K121" s="85"/>
      <c r="L121" s="85"/>
      <c r="M121" s="85"/>
      <c r="N121" s="85"/>
      <c r="O121" s="82"/>
      <c r="P121" s="83"/>
      <c r="Q121" s="83"/>
      <c r="R121" s="83"/>
      <c r="S121" s="82"/>
      <c r="T121" s="83"/>
      <c r="U121" s="83"/>
      <c r="V121" s="84"/>
      <c r="W121" s="83"/>
      <c r="X121" s="82"/>
      <c r="Y121" s="83"/>
      <c r="Z121" s="84"/>
      <c r="AA121" s="85"/>
      <c r="AB121" s="84"/>
      <c r="AC121" s="85"/>
      <c r="AD121" s="89">
        <f t="shared" si="13"/>
        <v>0</v>
      </c>
      <c r="AE121" s="89"/>
      <c r="AF121" s="186"/>
      <c r="AG121" s="85"/>
      <c r="AH121" s="85"/>
      <c r="AI121" s="85"/>
      <c r="AJ121" s="84"/>
      <c r="AK121" s="85"/>
      <c r="AL121" s="84"/>
      <c r="AM121" s="88"/>
      <c r="AN121" s="84"/>
      <c r="AO121" s="85"/>
      <c r="AP121" s="84"/>
      <c r="AQ121" s="83"/>
      <c r="AR121" s="83"/>
      <c r="AS121" s="83"/>
      <c r="AT121" s="85"/>
      <c r="AU121" s="85"/>
      <c r="AV121" s="85"/>
      <c r="AW121" s="88"/>
      <c r="AX121" s="84"/>
      <c r="AY121" s="85"/>
      <c r="AZ121" s="84"/>
      <c r="BA121" s="85"/>
      <c r="BB121" s="88"/>
      <c r="BC121" s="85"/>
      <c r="BD121" s="84"/>
      <c r="BE121" s="88"/>
      <c r="BF121" s="85"/>
      <c r="BG121" s="85"/>
      <c r="BH121" s="85">
        <v>300</v>
      </c>
      <c r="BI121" s="85"/>
      <c r="BJ121" s="85"/>
      <c r="BK121" s="85"/>
      <c r="BL121" s="85"/>
      <c r="BM121" s="85"/>
      <c r="BN121" s="85"/>
      <c r="BO121" s="85"/>
      <c r="BP121" s="85"/>
      <c r="BQ121" s="85"/>
      <c r="BR121" s="84"/>
      <c r="BS121" s="85"/>
      <c r="BT121" s="85"/>
      <c r="BU121" s="198"/>
      <c r="BV121" s="90"/>
      <c r="BW121" s="198"/>
      <c r="BX121" s="90"/>
      <c r="BY121" s="198"/>
      <c r="BZ121" s="90"/>
      <c r="CA121" s="91"/>
    </row>
    <row r="122" spans="1:1199" ht="50.1" customHeight="1" outlineLevel="2" x14ac:dyDescent="0.3">
      <c r="A122" s="103" t="s">
        <v>110</v>
      </c>
      <c r="B122" s="108" t="s">
        <v>1127</v>
      </c>
      <c r="C122" s="79"/>
      <c r="D122" s="81">
        <f t="shared" si="17"/>
        <v>300</v>
      </c>
      <c r="E122" s="82">
        <f t="shared" si="18"/>
        <v>0</v>
      </c>
      <c r="F122" s="83">
        <f t="shared" si="19"/>
        <v>300</v>
      </c>
      <c r="G122" s="84"/>
      <c r="H122" s="85"/>
      <c r="I122" s="83"/>
      <c r="J122" s="84"/>
      <c r="K122" s="85"/>
      <c r="L122" s="85"/>
      <c r="M122" s="85"/>
      <c r="N122" s="85"/>
      <c r="O122" s="82"/>
      <c r="P122" s="83"/>
      <c r="Q122" s="83"/>
      <c r="R122" s="83"/>
      <c r="S122" s="82"/>
      <c r="T122" s="83"/>
      <c r="U122" s="83"/>
      <c r="V122" s="84"/>
      <c r="W122" s="83"/>
      <c r="X122" s="82"/>
      <c r="Y122" s="83"/>
      <c r="Z122" s="84"/>
      <c r="AA122" s="85"/>
      <c r="AB122" s="84"/>
      <c r="AC122" s="85"/>
      <c r="AD122" s="89">
        <f t="shared" si="13"/>
        <v>0</v>
      </c>
      <c r="AE122" s="89"/>
      <c r="AF122" s="186"/>
      <c r="AG122" s="85"/>
      <c r="AH122" s="85"/>
      <c r="AI122" s="85"/>
      <c r="AJ122" s="84"/>
      <c r="AK122" s="85"/>
      <c r="AL122" s="84"/>
      <c r="AM122" s="88"/>
      <c r="AN122" s="84"/>
      <c r="AO122" s="85"/>
      <c r="AP122" s="84"/>
      <c r="AQ122" s="83"/>
      <c r="AR122" s="83"/>
      <c r="AS122" s="83"/>
      <c r="AT122" s="85"/>
      <c r="AU122" s="85"/>
      <c r="AV122" s="85"/>
      <c r="AW122" s="88"/>
      <c r="AX122" s="84"/>
      <c r="AY122" s="85"/>
      <c r="AZ122" s="84"/>
      <c r="BA122" s="85"/>
      <c r="BB122" s="88"/>
      <c r="BC122" s="85"/>
      <c r="BD122" s="84"/>
      <c r="BE122" s="88"/>
      <c r="BF122" s="85"/>
      <c r="BG122" s="85"/>
      <c r="BH122" s="85">
        <v>300</v>
      </c>
      <c r="BI122" s="85"/>
      <c r="BJ122" s="85"/>
      <c r="BK122" s="85"/>
      <c r="BL122" s="85"/>
      <c r="BM122" s="85"/>
      <c r="BN122" s="85"/>
      <c r="BO122" s="85"/>
      <c r="BP122" s="85"/>
      <c r="BQ122" s="85"/>
      <c r="BR122" s="84"/>
      <c r="BS122" s="85"/>
      <c r="BT122" s="85"/>
      <c r="BU122" s="198"/>
      <c r="BV122" s="90"/>
      <c r="BW122" s="198"/>
      <c r="BX122" s="90"/>
      <c r="BY122" s="198"/>
      <c r="BZ122" s="90"/>
      <c r="CA122" s="91"/>
    </row>
    <row r="123" spans="1:1199" ht="50.1" customHeight="1" outlineLevel="2" x14ac:dyDescent="0.3">
      <c r="A123" s="106" t="s">
        <v>110</v>
      </c>
      <c r="B123" s="108" t="s">
        <v>1126</v>
      </c>
      <c r="C123" s="79"/>
      <c r="D123" s="81">
        <f t="shared" si="17"/>
        <v>300</v>
      </c>
      <c r="E123" s="82">
        <f t="shared" si="18"/>
        <v>0</v>
      </c>
      <c r="F123" s="83">
        <f t="shared" si="19"/>
        <v>300</v>
      </c>
      <c r="G123" s="84"/>
      <c r="H123" s="85"/>
      <c r="I123" s="83"/>
      <c r="J123" s="84"/>
      <c r="K123" s="85"/>
      <c r="L123" s="85"/>
      <c r="M123" s="85"/>
      <c r="N123" s="85"/>
      <c r="O123" s="82"/>
      <c r="P123" s="83"/>
      <c r="Q123" s="83"/>
      <c r="R123" s="83"/>
      <c r="S123" s="82"/>
      <c r="T123" s="83"/>
      <c r="U123" s="83"/>
      <c r="V123" s="84"/>
      <c r="W123" s="83"/>
      <c r="X123" s="87"/>
      <c r="Y123" s="83"/>
      <c r="Z123" s="84"/>
      <c r="AA123" s="85"/>
      <c r="AB123" s="84"/>
      <c r="AC123" s="85"/>
      <c r="AD123" s="89">
        <f t="shared" ref="AD123:AD174" si="20">AE123+AF123</f>
        <v>0</v>
      </c>
      <c r="AE123" s="89"/>
      <c r="AF123" s="186"/>
      <c r="AG123" s="85"/>
      <c r="AH123" s="85"/>
      <c r="AI123" s="85"/>
      <c r="AJ123" s="84"/>
      <c r="AK123" s="85"/>
      <c r="AL123" s="84"/>
      <c r="AM123" s="88"/>
      <c r="AN123" s="84"/>
      <c r="AO123" s="85"/>
      <c r="AP123" s="84"/>
      <c r="AQ123" s="83"/>
      <c r="AR123" s="83"/>
      <c r="AS123" s="83"/>
      <c r="AT123" s="85"/>
      <c r="AU123" s="85"/>
      <c r="AV123" s="85"/>
      <c r="AW123" s="88"/>
      <c r="AX123" s="84"/>
      <c r="AY123" s="85"/>
      <c r="AZ123" s="84"/>
      <c r="BA123" s="85"/>
      <c r="BB123" s="88"/>
      <c r="BC123" s="85"/>
      <c r="BD123" s="84"/>
      <c r="BE123" s="88"/>
      <c r="BF123" s="85"/>
      <c r="BG123" s="85"/>
      <c r="BH123" s="85">
        <v>300</v>
      </c>
      <c r="BI123" s="85"/>
      <c r="BJ123" s="85"/>
      <c r="BK123" s="85"/>
      <c r="BL123" s="85"/>
      <c r="BM123" s="85"/>
      <c r="BN123" s="85"/>
      <c r="BO123" s="85"/>
      <c r="BP123" s="85"/>
      <c r="BQ123" s="85"/>
      <c r="BR123" s="84"/>
      <c r="BS123" s="85"/>
      <c r="BT123" s="85"/>
      <c r="BU123" s="198"/>
      <c r="BV123" s="90"/>
      <c r="BW123" s="198"/>
      <c r="BX123" s="90"/>
      <c r="BY123" s="198"/>
      <c r="BZ123" s="90"/>
      <c r="CA123" s="91"/>
    </row>
    <row r="124" spans="1:1199" ht="50.1" customHeight="1" outlineLevel="2" x14ac:dyDescent="0.3">
      <c r="A124" s="103" t="s">
        <v>110</v>
      </c>
      <c r="B124" s="108" t="s">
        <v>142</v>
      </c>
      <c r="C124" s="79"/>
      <c r="D124" s="81">
        <f t="shared" si="17"/>
        <v>22.204999999999998</v>
      </c>
      <c r="E124" s="82">
        <f t="shared" si="18"/>
        <v>0</v>
      </c>
      <c r="F124" s="83">
        <f t="shared" si="19"/>
        <v>22.204999999999998</v>
      </c>
      <c r="G124" s="84"/>
      <c r="H124" s="85"/>
      <c r="I124" s="83"/>
      <c r="J124" s="84"/>
      <c r="K124" s="85"/>
      <c r="L124" s="85"/>
      <c r="M124" s="85"/>
      <c r="N124" s="85"/>
      <c r="O124" s="82"/>
      <c r="P124" s="83"/>
      <c r="Q124" s="83"/>
      <c r="R124" s="83"/>
      <c r="S124" s="82"/>
      <c r="T124" s="83"/>
      <c r="U124" s="83"/>
      <c r="V124" s="84"/>
      <c r="W124" s="83"/>
      <c r="X124" s="87"/>
      <c r="Y124" s="83"/>
      <c r="Z124" s="84"/>
      <c r="AA124" s="85"/>
      <c r="AB124" s="84"/>
      <c r="AC124" s="85"/>
      <c r="AD124" s="89">
        <f t="shared" si="20"/>
        <v>0</v>
      </c>
      <c r="AE124" s="89"/>
      <c r="AF124" s="186"/>
      <c r="AG124" s="85"/>
      <c r="AH124" s="85"/>
      <c r="AI124" s="85"/>
      <c r="AJ124" s="84"/>
      <c r="AK124" s="85"/>
      <c r="AL124" s="84"/>
      <c r="AM124" s="88"/>
      <c r="AN124" s="84"/>
      <c r="AO124" s="85"/>
      <c r="AP124" s="84"/>
      <c r="AQ124" s="83"/>
      <c r="AR124" s="83"/>
      <c r="AS124" s="83"/>
      <c r="AT124" s="85"/>
      <c r="AU124" s="85"/>
      <c r="AV124" s="85"/>
      <c r="AW124" s="88"/>
      <c r="AX124" s="84"/>
      <c r="AY124" s="85"/>
      <c r="AZ124" s="84"/>
      <c r="BA124" s="85"/>
      <c r="BB124" s="88"/>
      <c r="BC124" s="85"/>
      <c r="BD124" s="84"/>
      <c r="BE124" s="88"/>
      <c r="BF124" s="85"/>
      <c r="BG124" s="85"/>
      <c r="BH124" s="85"/>
      <c r="BI124" s="85">
        <v>22.204999999999998</v>
      </c>
      <c r="BJ124" s="85"/>
      <c r="BK124" s="85"/>
      <c r="BL124" s="85"/>
      <c r="BM124" s="85"/>
      <c r="BN124" s="85"/>
      <c r="BO124" s="85"/>
      <c r="BP124" s="85"/>
      <c r="BQ124" s="85"/>
      <c r="BR124" s="84"/>
      <c r="BS124" s="85"/>
      <c r="BT124" s="85"/>
      <c r="BU124" s="198"/>
      <c r="BV124" s="90"/>
      <c r="BW124" s="198"/>
      <c r="BX124" s="90"/>
      <c r="BY124" s="198"/>
      <c r="BZ124" s="90"/>
      <c r="CA124" s="91"/>
    </row>
    <row r="125" spans="1:1199" ht="50.1" customHeight="1" outlineLevel="2" x14ac:dyDescent="0.3">
      <c r="A125" s="103" t="s">
        <v>110</v>
      </c>
      <c r="B125" s="108" t="s">
        <v>143</v>
      </c>
      <c r="C125" s="79"/>
      <c r="D125" s="81">
        <f t="shared" si="17"/>
        <v>43.555</v>
      </c>
      <c r="E125" s="82">
        <f t="shared" si="18"/>
        <v>0</v>
      </c>
      <c r="F125" s="83">
        <f t="shared" si="19"/>
        <v>43.555</v>
      </c>
      <c r="G125" s="84"/>
      <c r="H125" s="85"/>
      <c r="I125" s="83"/>
      <c r="J125" s="84"/>
      <c r="K125" s="85"/>
      <c r="L125" s="85"/>
      <c r="M125" s="85"/>
      <c r="N125" s="85"/>
      <c r="O125" s="82"/>
      <c r="P125" s="83"/>
      <c r="Q125" s="83"/>
      <c r="R125" s="83"/>
      <c r="S125" s="82"/>
      <c r="T125" s="83"/>
      <c r="U125" s="83"/>
      <c r="V125" s="84"/>
      <c r="W125" s="83"/>
      <c r="X125" s="87"/>
      <c r="Y125" s="83"/>
      <c r="Z125" s="84"/>
      <c r="AA125" s="85"/>
      <c r="AB125" s="84"/>
      <c r="AC125" s="85"/>
      <c r="AD125" s="89">
        <f t="shared" si="20"/>
        <v>0</v>
      </c>
      <c r="AE125" s="89"/>
      <c r="AF125" s="186"/>
      <c r="AG125" s="85"/>
      <c r="AH125" s="85"/>
      <c r="AI125" s="85"/>
      <c r="AJ125" s="84"/>
      <c r="AK125" s="85"/>
      <c r="AL125" s="84"/>
      <c r="AM125" s="88"/>
      <c r="AN125" s="84"/>
      <c r="AO125" s="85"/>
      <c r="AP125" s="84"/>
      <c r="AQ125" s="83"/>
      <c r="AR125" s="83"/>
      <c r="AS125" s="83"/>
      <c r="AT125" s="85"/>
      <c r="AU125" s="85"/>
      <c r="AV125" s="85"/>
      <c r="AW125" s="88"/>
      <c r="AX125" s="84"/>
      <c r="AY125" s="85"/>
      <c r="AZ125" s="84"/>
      <c r="BA125" s="85"/>
      <c r="BB125" s="88"/>
      <c r="BC125" s="85"/>
      <c r="BD125" s="84"/>
      <c r="BE125" s="88"/>
      <c r="BF125" s="85"/>
      <c r="BG125" s="85"/>
      <c r="BH125" s="85"/>
      <c r="BI125" s="85">
        <v>43.555</v>
      </c>
      <c r="BJ125" s="85"/>
      <c r="BK125" s="85"/>
      <c r="BL125" s="85"/>
      <c r="BM125" s="85"/>
      <c r="BN125" s="85"/>
      <c r="BO125" s="85"/>
      <c r="BP125" s="85"/>
      <c r="BQ125" s="85"/>
      <c r="BR125" s="84"/>
      <c r="BS125" s="85"/>
      <c r="BT125" s="85"/>
      <c r="BU125" s="198"/>
      <c r="BV125" s="90"/>
      <c r="BW125" s="198"/>
      <c r="BX125" s="90"/>
      <c r="BY125" s="198"/>
      <c r="BZ125" s="90"/>
      <c r="CA125" s="91"/>
    </row>
    <row r="126" spans="1:1199" ht="50.1" customHeight="1" outlineLevel="2" x14ac:dyDescent="0.3">
      <c r="A126" s="103" t="s">
        <v>110</v>
      </c>
      <c r="B126" s="108" t="s">
        <v>144</v>
      </c>
      <c r="C126" s="79"/>
      <c r="D126" s="81">
        <f t="shared" si="17"/>
        <v>34.270000000000003</v>
      </c>
      <c r="E126" s="82">
        <f t="shared" si="18"/>
        <v>0</v>
      </c>
      <c r="F126" s="83">
        <f t="shared" si="19"/>
        <v>34.270000000000003</v>
      </c>
      <c r="G126" s="84"/>
      <c r="H126" s="85"/>
      <c r="I126" s="83"/>
      <c r="J126" s="84"/>
      <c r="K126" s="85"/>
      <c r="L126" s="85"/>
      <c r="M126" s="85"/>
      <c r="N126" s="85"/>
      <c r="O126" s="82"/>
      <c r="P126" s="83"/>
      <c r="Q126" s="83"/>
      <c r="R126" s="83"/>
      <c r="S126" s="82"/>
      <c r="T126" s="83"/>
      <c r="U126" s="83"/>
      <c r="V126" s="84"/>
      <c r="W126" s="83"/>
      <c r="X126" s="87"/>
      <c r="Y126" s="83"/>
      <c r="Z126" s="84"/>
      <c r="AA126" s="85"/>
      <c r="AB126" s="84"/>
      <c r="AC126" s="85"/>
      <c r="AD126" s="89">
        <f t="shared" si="20"/>
        <v>0</v>
      </c>
      <c r="AE126" s="89"/>
      <c r="AF126" s="186"/>
      <c r="AG126" s="85"/>
      <c r="AH126" s="85"/>
      <c r="AI126" s="85"/>
      <c r="AJ126" s="84"/>
      <c r="AK126" s="85"/>
      <c r="AL126" s="84"/>
      <c r="AM126" s="88"/>
      <c r="AN126" s="84"/>
      <c r="AO126" s="85"/>
      <c r="AP126" s="84"/>
      <c r="AQ126" s="83"/>
      <c r="AR126" s="83"/>
      <c r="AS126" s="83"/>
      <c r="AT126" s="85"/>
      <c r="AU126" s="85"/>
      <c r="AV126" s="85"/>
      <c r="AW126" s="88"/>
      <c r="AX126" s="84"/>
      <c r="AY126" s="85"/>
      <c r="AZ126" s="84"/>
      <c r="BA126" s="85"/>
      <c r="BB126" s="88"/>
      <c r="BC126" s="85"/>
      <c r="BD126" s="84"/>
      <c r="BE126" s="88"/>
      <c r="BF126" s="85"/>
      <c r="BG126" s="85"/>
      <c r="BH126" s="85"/>
      <c r="BI126" s="85">
        <v>34.270000000000003</v>
      </c>
      <c r="BJ126" s="85"/>
      <c r="BK126" s="85"/>
      <c r="BL126" s="85"/>
      <c r="BM126" s="85"/>
      <c r="BN126" s="85"/>
      <c r="BO126" s="85"/>
      <c r="BP126" s="85"/>
      <c r="BQ126" s="85"/>
      <c r="BR126" s="84"/>
      <c r="BS126" s="85"/>
      <c r="BT126" s="85"/>
      <c r="BU126" s="198"/>
      <c r="BV126" s="90"/>
      <c r="BW126" s="198"/>
      <c r="BX126" s="90"/>
      <c r="BY126" s="198"/>
      <c r="BZ126" s="90"/>
      <c r="CA126" s="91"/>
    </row>
    <row r="127" spans="1:1199" s="101" customFormat="1" ht="50.1" customHeight="1" outlineLevel="1" x14ac:dyDescent="0.3">
      <c r="A127" s="228" t="s">
        <v>145</v>
      </c>
      <c r="B127" s="229"/>
      <c r="C127" s="134" t="s">
        <v>94</v>
      </c>
      <c r="D127" s="81">
        <f t="shared" ref="D127:AI127" si="21">SUBTOTAL(9,D86:D126)</f>
        <v>127298.06195</v>
      </c>
      <c r="E127" s="81">
        <f t="shared" si="21"/>
        <v>53494.465440000007</v>
      </c>
      <c r="F127" s="81">
        <f t="shared" si="21"/>
        <v>73803.596510000003</v>
      </c>
      <c r="G127" s="81">
        <f t="shared" si="21"/>
        <v>0</v>
      </c>
      <c r="H127" s="81">
        <f t="shared" si="21"/>
        <v>0</v>
      </c>
      <c r="I127" s="81">
        <f t="shared" si="21"/>
        <v>601.20392000000004</v>
      </c>
      <c r="J127" s="81">
        <f t="shared" si="21"/>
        <v>3759.2394200000008</v>
      </c>
      <c r="K127" s="81">
        <f t="shared" si="21"/>
        <v>875.17249000000004</v>
      </c>
      <c r="L127" s="81">
        <f t="shared" si="21"/>
        <v>4497.6708499999995</v>
      </c>
      <c r="M127" s="81">
        <f t="shared" si="21"/>
        <v>0</v>
      </c>
      <c r="N127" s="81">
        <f t="shared" si="21"/>
        <v>0</v>
      </c>
      <c r="O127" s="81">
        <f t="shared" si="21"/>
        <v>4.49221</v>
      </c>
      <c r="P127" s="81">
        <f t="shared" si="21"/>
        <v>0.23643</v>
      </c>
      <c r="Q127" s="81">
        <f t="shared" si="21"/>
        <v>0</v>
      </c>
      <c r="R127" s="81">
        <f t="shared" si="21"/>
        <v>0</v>
      </c>
      <c r="S127" s="81">
        <f t="shared" si="21"/>
        <v>806.69431000000009</v>
      </c>
      <c r="T127" s="81">
        <f t="shared" si="21"/>
        <v>746.37594000000001</v>
      </c>
      <c r="U127" s="81">
        <f t="shared" si="21"/>
        <v>515.40233999999998</v>
      </c>
      <c r="V127" s="81">
        <f t="shared" si="21"/>
        <v>1637.73973</v>
      </c>
      <c r="W127" s="81">
        <f t="shared" si="21"/>
        <v>2883.3481799999995</v>
      </c>
      <c r="X127" s="81">
        <f t="shared" si="21"/>
        <v>0</v>
      </c>
      <c r="Y127" s="81">
        <f t="shared" si="21"/>
        <v>6782.2559999999994</v>
      </c>
      <c r="Z127" s="81">
        <f t="shared" si="21"/>
        <v>0</v>
      </c>
      <c r="AA127" s="81">
        <f t="shared" si="21"/>
        <v>0</v>
      </c>
      <c r="AB127" s="81">
        <f t="shared" si="21"/>
        <v>0</v>
      </c>
      <c r="AC127" s="81">
        <f t="shared" si="21"/>
        <v>0</v>
      </c>
      <c r="AD127" s="81">
        <f t="shared" si="21"/>
        <v>5715.8549700000003</v>
      </c>
      <c r="AE127" s="81">
        <f t="shared" si="21"/>
        <v>2741.8678</v>
      </c>
      <c r="AF127" s="192">
        <f t="shared" si="21"/>
        <v>2973.9871699999999</v>
      </c>
      <c r="AG127" s="81">
        <f t="shared" si="21"/>
        <v>0</v>
      </c>
      <c r="AH127" s="81">
        <f t="shared" si="21"/>
        <v>0</v>
      </c>
      <c r="AI127" s="81">
        <f t="shared" si="21"/>
        <v>0</v>
      </c>
      <c r="AJ127" s="81">
        <f t="shared" ref="AJ127:BO127" si="22">SUBTOTAL(9,AJ86:AJ126)</f>
        <v>0</v>
      </c>
      <c r="AK127" s="81">
        <f t="shared" si="22"/>
        <v>0</v>
      </c>
      <c r="AL127" s="81">
        <f t="shared" si="22"/>
        <v>0</v>
      </c>
      <c r="AM127" s="81">
        <f t="shared" si="22"/>
        <v>0</v>
      </c>
      <c r="AN127" s="81">
        <f t="shared" si="22"/>
        <v>0</v>
      </c>
      <c r="AO127" s="81">
        <f t="shared" si="22"/>
        <v>341.12</v>
      </c>
      <c r="AP127" s="81">
        <f t="shared" si="22"/>
        <v>7035.6275199999991</v>
      </c>
      <c r="AQ127" s="81">
        <f t="shared" si="22"/>
        <v>12651.693699999998</v>
      </c>
      <c r="AR127" s="81">
        <f t="shared" si="22"/>
        <v>0</v>
      </c>
      <c r="AS127" s="81">
        <f t="shared" si="22"/>
        <v>0</v>
      </c>
      <c r="AT127" s="81">
        <f t="shared" si="22"/>
        <v>0</v>
      </c>
      <c r="AU127" s="81">
        <f t="shared" si="22"/>
        <v>0</v>
      </c>
      <c r="AV127" s="81">
        <f t="shared" si="22"/>
        <v>5839.5956499999993</v>
      </c>
      <c r="AW127" s="81">
        <f t="shared" si="22"/>
        <v>0</v>
      </c>
      <c r="AX127" s="81">
        <f t="shared" si="22"/>
        <v>0</v>
      </c>
      <c r="AY127" s="81">
        <f t="shared" si="22"/>
        <v>0</v>
      </c>
      <c r="AZ127" s="81">
        <f t="shared" si="22"/>
        <v>18092.424940000001</v>
      </c>
      <c r="BA127" s="81">
        <f t="shared" si="22"/>
        <v>16384.151240000003</v>
      </c>
      <c r="BB127" s="81">
        <f t="shared" si="22"/>
        <v>0</v>
      </c>
      <c r="BC127" s="81">
        <f t="shared" si="22"/>
        <v>0</v>
      </c>
      <c r="BD127" s="81">
        <f t="shared" si="22"/>
        <v>0</v>
      </c>
      <c r="BE127" s="81">
        <f t="shared" si="22"/>
        <v>0</v>
      </c>
      <c r="BF127" s="81">
        <f t="shared" si="22"/>
        <v>0</v>
      </c>
      <c r="BG127" s="81">
        <f t="shared" si="22"/>
        <v>8805.8826399999998</v>
      </c>
      <c r="BH127" s="81">
        <f t="shared" si="22"/>
        <v>1500</v>
      </c>
      <c r="BI127" s="81">
        <f t="shared" si="22"/>
        <v>100.03</v>
      </c>
      <c r="BJ127" s="81">
        <f t="shared" si="22"/>
        <v>0</v>
      </c>
      <c r="BK127" s="81">
        <f t="shared" si="22"/>
        <v>988.58262999999999</v>
      </c>
      <c r="BL127" s="81">
        <f t="shared" si="22"/>
        <v>0</v>
      </c>
      <c r="BM127" s="81">
        <f t="shared" si="22"/>
        <v>0</v>
      </c>
      <c r="BN127" s="81">
        <f t="shared" si="22"/>
        <v>0</v>
      </c>
      <c r="BO127" s="81">
        <f t="shared" si="22"/>
        <v>0</v>
      </c>
      <c r="BP127" s="81">
        <f t="shared" ref="BP127:CU127" si="23">SUBTOTAL(9,BP86:BP126)</f>
        <v>0</v>
      </c>
      <c r="BQ127" s="81">
        <f t="shared" si="23"/>
        <v>0</v>
      </c>
      <c r="BR127" s="81">
        <f t="shared" si="23"/>
        <v>22158.247309999999</v>
      </c>
      <c r="BS127" s="81">
        <f t="shared" si="23"/>
        <v>0</v>
      </c>
      <c r="BT127" s="81">
        <f t="shared" si="23"/>
        <v>1583.5381500000001</v>
      </c>
      <c r="BU127" s="81">
        <f t="shared" si="23"/>
        <v>21.482379999999999</v>
      </c>
      <c r="BV127" s="81">
        <f t="shared" si="23"/>
        <v>0</v>
      </c>
      <c r="BW127" s="81">
        <f t="shared" si="23"/>
        <v>2969.9989999999998</v>
      </c>
      <c r="BX127" s="81">
        <f t="shared" si="23"/>
        <v>0</v>
      </c>
      <c r="BY127" s="81">
        <f t="shared" si="23"/>
        <v>0</v>
      </c>
      <c r="BZ127" s="81">
        <f t="shared" si="23"/>
        <v>0</v>
      </c>
      <c r="CA127" s="81">
        <f t="shared" si="23"/>
        <v>0</v>
      </c>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c r="CX127" s="176"/>
      <c r="CY127" s="176"/>
      <c r="CZ127" s="176"/>
      <c r="DA127" s="176"/>
      <c r="DB127" s="176"/>
      <c r="DC127" s="176"/>
      <c r="DD127" s="176"/>
      <c r="DE127" s="176"/>
      <c r="DF127" s="176"/>
      <c r="DG127" s="176"/>
      <c r="DH127" s="176"/>
      <c r="DI127" s="176"/>
      <c r="DJ127" s="176"/>
      <c r="DK127" s="176"/>
      <c r="DL127" s="176"/>
      <c r="DM127" s="176"/>
      <c r="DN127" s="176"/>
      <c r="DO127" s="176"/>
      <c r="DP127" s="176"/>
      <c r="DQ127" s="176"/>
      <c r="DR127" s="176"/>
      <c r="DS127" s="176"/>
      <c r="DT127" s="176"/>
      <c r="DU127" s="176"/>
      <c r="DV127" s="176"/>
      <c r="DW127" s="176"/>
      <c r="DX127" s="176"/>
      <c r="DY127" s="176"/>
      <c r="DZ127" s="176"/>
      <c r="EA127" s="176"/>
      <c r="EB127" s="176"/>
      <c r="EC127" s="176"/>
      <c r="ED127" s="176"/>
      <c r="EE127" s="176"/>
      <c r="EF127" s="176"/>
      <c r="EG127" s="176"/>
      <c r="EH127" s="176"/>
      <c r="EI127" s="176"/>
      <c r="EJ127" s="176"/>
      <c r="EK127" s="176"/>
      <c r="EL127" s="176"/>
      <c r="EM127" s="176"/>
      <c r="EN127" s="176"/>
      <c r="EO127" s="176"/>
      <c r="EP127" s="176"/>
      <c r="EQ127" s="176"/>
      <c r="ER127" s="176"/>
      <c r="ES127" s="176"/>
      <c r="ET127" s="176"/>
      <c r="EU127" s="176"/>
      <c r="EV127" s="176"/>
      <c r="EW127" s="176"/>
      <c r="EX127" s="176"/>
      <c r="EY127" s="176"/>
      <c r="EZ127" s="176"/>
      <c r="FA127" s="176"/>
      <c r="FB127" s="176"/>
      <c r="FC127" s="176"/>
      <c r="FD127" s="176"/>
      <c r="FE127" s="176"/>
      <c r="FF127" s="176"/>
      <c r="FG127" s="176"/>
      <c r="FH127" s="176"/>
      <c r="FI127" s="176"/>
      <c r="FJ127" s="176"/>
      <c r="FK127" s="176"/>
      <c r="FL127" s="176"/>
      <c r="FM127" s="176"/>
      <c r="FN127" s="176"/>
      <c r="FO127" s="176"/>
      <c r="FP127" s="176"/>
      <c r="FQ127" s="176"/>
      <c r="FR127" s="176"/>
      <c r="FS127" s="176"/>
      <c r="FT127" s="176"/>
      <c r="FU127" s="176"/>
      <c r="FV127" s="176"/>
      <c r="FW127" s="176"/>
      <c r="FX127" s="176"/>
      <c r="FY127" s="176"/>
      <c r="FZ127" s="176"/>
      <c r="GA127" s="176"/>
      <c r="GB127" s="176"/>
      <c r="GC127" s="176"/>
      <c r="GD127" s="176"/>
      <c r="GE127" s="176"/>
      <c r="GF127" s="176"/>
      <c r="GG127" s="176"/>
      <c r="GH127" s="176"/>
      <c r="GI127" s="176"/>
      <c r="GJ127" s="176"/>
      <c r="GK127" s="176"/>
      <c r="GL127" s="176"/>
      <c r="GM127" s="176"/>
      <c r="GN127" s="176"/>
      <c r="GO127" s="176"/>
      <c r="GP127" s="176"/>
      <c r="GQ127" s="176"/>
      <c r="GR127" s="176"/>
      <c r="GS127" s="176"/>
      <c r="GT127" s="176"/>
      <c r="GU127" s="176"/>
      <c r="GV127" s="176"/>
      <c r="GW127" s="176"/>
      <c r="GX127" s="176"/>
      <c r="GY127" s="176"/>
      <c r="GZ127" s="176"/>
      <c r="HA127" s="176"/>
      <c r="HB127" s="176"/>
      <c r="HC127" s="176"/>
      <c r="HD127" s="176"/>
      <c r="HE127" s="176"/>
      <c r="HF127" s="176"/>
      <c r="HG127" s="176"/>
      <c r="HH127" s="176"/>
      <c r="HI127" s="176"/>
      <c r="HJ127" s="176"/>
      <c r="HK127" s="176"/>
      <c r="HL127" s="176"/>
      <c r="HM127" s="176"/>
      <c r="HN127" s="176"/>
      <c r="HO127" s="176"/>
      <c r="HP127" s="176"/>
      <c r="HQ127" s="176"/>
      <c r="HR127" s="176"/>
      <c r="HS127" s="176"/>
      <c r="HT127" s="176"/>
      <c r="HU127" s="176"/>
      <c r="HV127" s="176"/>
      <c r="HW127" s="176"/>
      <c r="HX127" s="176"/>
      <c r="HY127" s="176"/>
      <c r="HZ127" s="176"/>
      <c r="IA127" s="176"/>
      <c r="IB127" s="176"/>
      <c r="IC127" s="176"/>
      <c r="ID127" s="176"/>
      <c r="IE127" s="176"/>
      <c r="IF127" s="176"/>
      <c r="IG127" s="176"/>
      <c r="IH127" s="176"/>
      <c r="II127" s="176"/>
      <c r="IJ127" s="176"/>
      <c r="IK127" s="176"/>
      <c r="IL127" s="176"/>
      <c r="IM127" s="176"/>
      <c r="IN127" s="176"/>
      <c r="IO127" s="176"/>
      <c r="IP127" s="176"/>
      <c r="IQ127" s="176"/>
      <c r="IR127" s="176"/>
      <c r="IS127" s="176"/>
      <c r="IT127" s="176"/>
      <c r="IU127" s="176"/>
      <c r="IV127" s="176"/>
      <c r="IW127" s="176"/>
      <c r="IX127" s="176"/>
      <c r="IY127" s="176"/>
      <c r="IZ127" s="176"/>
      <c r="JA127" s="176"/>
      <c r="JB127" s="176"/>
      <c r="JC127" s="176"/>
      <c r="JD127" s="176"/>
      <c r="JE127" s="176"/>
      <c r="JF127" s="176"/>
      <c r="JG127" s="176"/>
      <c r="JH127" s="176"/>
      <c r="JI127" s="176"/>
      <c r="JJ127" s="176"/>
      <c r="JK127" s="176"/>
      <c r="JL127" s="176"/>
      <c r="JM127" s="176"/>
      <c r="JN127" s="176"/>
      <c r="JO127" s="176"/>
      <c r="JP127" s="176"/>
      <c r="JQ127" s="176"/>
      <c r="JR127" s="176"/>
      <c r="JS127" s="176"/>
      <c r="JT127" s="176"/>
      <c r="JU127" s="176"/>
      <c r="JV127" s="176"/>
      <c r="JW127" s="131"/>
      <c r="JX127" s="131"/>
      <c r="JY127" s="131"/>
      <c r="JZ127" s="131"/>
      <c r="KA127" s="131"/>
      <c r="KB127" s="131"/>
      <c r="KC127" s="131"/>
      <c r="KD127" s="131"/>
      <c r="KE127" s="131"/>
      <c r="KF127" s="131"/>
      <c r="KG127" s="131"/>
      <c r="KH127" s="131"/>
      <c r="KI127" s="131"/>
      <c r="KJ127" s="131"/>
      <c r="KK127" s="131"/>
      <c r="KL127" s="131"/>
      <c r="KM127" s="131"/>
      <c r="KN127" s="131"/>
      <c r="KO127" s="131"/>
      <c r="KP127" s="131"/>
      <c r="KQ127" s="131"/>
      <c r="KR127" s="131"/>
      <c r="KS127" s="131"/>
      <c r="KT127" s="131"/>
      <c r="KU127" s="131"/>
      <c r="KV127" s="131"/>
      <c r="KW127" s="131"/>
      <c r="KX127" s="131"/>
      <c r="KY127" s="131"/>
      <c r="KZ127" s="131"/>
      <c r="LA127" s="131"/>
      <c r="LB127" s="131"/>
      <c r="LC127" s="131"/>
      <c r="LD127" s="131"/>
      <c r="LE127" s="131"/>
      <c r="LF127" s="131"/>
      <c r="LG127" s="131"/>
      <c r="LH127" s="131"/>
      <c r="LI127" s="131"/>
      <c r="LJ127" s="131"/>
      <c r="LK127" s="131"/>
      <c r="LL127" s="131"/>
      <c r="LM127" s="131"/>
      <c r="LN127" s="131"/>
      <c r="LO127" s="131"/>
      <c r="LP127" s="131"/>
      <c r="LQ127" s="131"/>
      <c r="LR127" s="131"/>
      <c r="LS127" s="131"/>
      <c r="LT127" s="131"/>
      <c r="LU127" s="131"/>
      <c r="LV127" s="131"/>
      <c r="LW127" s="131"/>
      <c r="LX127" s="131"/>
      <c r="LY127" s="131"/>
      <c r="LZ127" s="131"/>
      <c r="MA127" s="131"/>
      <c r="MB127" s="131"/>
      <c r="MC127" s="131"/>
      <c r="MD127" s="131"/>
      <c r="ME127" s="131"/>
      <c r="MF127" s="131"/>
      <c r="MG127" s="131"/>
      <c r="MH127" s="131"/>
      <c r="MI127" s="131"/>
      <c r="MJ127" s="131"/>
      <c r="MK127" s="131"/>
      <c r="ML127" s="131"/>
      <c r="MM127" s="131"/>
      <c r="MN127" s="131"/>
      <c r="MO127" s="131"/>
      <c r="MP127" s="131"/>
      <c r="MQ127" s="131"/>
      <c r="MR127" s="131"/>
      <c r="MS127" s="131"/>
      <c r="MT127" s="131"/>
      <c r="MU127" s="131"/>
      <c r="MV127" s="131"/>
      <c r="MW127" s="131"/>
      <c r="MX127" s="131"/>
      <c r="MY127" s="131"/>
      <c r="MZ127" s="131"/>
      <c r="NA127" s="131"/>
      <c r="NB127" s="131"/>
      <c r="NC127" s="131"/>
      <c r="ND127" s="131"/>
      <c r="NE127" s="131"/>
      <c r="NF127" s="131"/>
      <c r="NG127" s="131"/>
      <c r="NH127" s="131"/>
      <c r="NI127" s="131"/>
      <c r="NJ127" s="131"/>
      <c r="NK127" s="131"/>
      <c r="NL127" s="131"/>
      <c r="NM127" s="131"/>
      <c r="NN127" s="131"/>
      <c r="NO127" s="131"/>
      <c r="NP127" s="131"/>
      <c r="NQ127" s="131"/>
      <c r="NR127" s="131"/>
      <c r="NS127" s="131"/>
      <c r="NT127" s="131"/>
      <c r="NU127" s="131"/>
      <c r="NV127" s="131"/>
      <c r="NW127" s="131"/>
      <c r="NX127" s="131"/>
      <c r="NY127" s="131"/>
      <c r="NZ127" s="131"/>
      <c r="OA127" s="131"/>
      <c r="OB127" s="131"/>
      <c r="OC127" s="131"/>
      <c r="OD127" s="131"/>
      <c r="OE127" s="131"/>
      <c r="OF127" s="131"/>
      <c r="OG127" s="131"/>
      <c r="OH127" s="131"/>
      <c r="OI127" s="131"/>
      <c r="OJ127" s="131"/>
      <c r="OK127" s="131"/>
      <c r="OL127" s="131"/>
      <c r="OM127" s="131"/>
      <c r="ON127" s="131"/>
      <c r="OO127" s="131"/>
      <c r="OP127" s="131"/>
      <c r="OQ127" s="131"/>
      <c r="OR127" s="131"/>
      <c r="OS127" s="131"/>
      <c r="OT127" s="131"/>
      <c r="OU127" s="131"/>
      <c r="OV127" s="131"/>
      <c r="OW127" s="131"/>
      <c r="OX127" s="131"/>
      <c r="OY127" s="131"/>
      <c r="OZ127" s="131"/>
      <c r="PA127" s="131"/>
      <c r="PB127" s="131"/>
      <c r="PC127" s="131"/>
      <c r="PD127" s="131"/>
      <c r="PE127" s="131"/>
      <c r="PF127" s="131"/>
      <c r="PG127" s="131"/>
      <c r="PH127" s="131"/>
      <c r="PI127" s="131"/>
      <c r="PJ127" s="131"/>
      <c r="PK127" s="131"/>
      <c r="PL127" s="131"/>
      <c r="PM127" s="131"/>
      <c r="PN127" s="131"/>
      <c r="PO127" s="131"/>
      <c r="PP127" s="131"/>
      <c r="PQ127" s="131"/>
      <c r="PR127" s="131"/>
      <c r="PS127" s="131"/>
      <c r="PT127" s="131"/>
      <c r="PU127" s="131"/>
      <c r="PV127" s="131"/>
      <c r="PW127" s="131"/>
      <c r="PX127" s="131"/>
      <c r="PY127" s="131"/>
      <c r="PZ127" s="131"/>
      <c r="QA127" s="131"/>
      <c r="QB127" s="131"/>
      <c r="QC127" s="131"/>
      <c r="QD127" s="131"/>
      <c r="QE127" s="131"/>
      <c r="QF127" s="131"/>
      <c r="QG127" s="131"/>
      <c r="QH127" s="131"/>
      <c r="QI127" s="131"/>
      <c r="QJ127" s="131"/>
      <c r="QK127" s="131"/>
      <c r="QL127" s="131"/>
      <c r="QM127" s="131"/>
      <c r="QN127" s="131"/>
      <c r="QO127" s="131"/>
      <c r="QP127" s="131"/>
      <c r="QQ127" s="131"/>
      <c r="QR127" s="131"/>
      <c r="QS127" s="131"/>
      <c r="QT127" s="131"/>
      <c r="QU127" s="131"/>
      <c r="QV127" s="131"/>
      <c r="QW127" s="131"/>
      <c r="QX127" s="131"/>
      <c r="QY127" s="131"/>
      <c r="QZ127" s="131"/>
      <c r="RA127" s="131"/>
      <c r="RB127" s="131"/>
      <c r="RC127" s="131"/>
      <c r="RD127" s="131"/>
      <c r="RE127" s="131"/>
      <c r="RF127" s="131"/>
      <c r="RG127" s="131"/>
      <c r="RH127" s="131"/>
      <c r="RI127" s="131"/>
      <c r="RJ127" s="131"/>
      <c r="RK127" s="131"/>
      <c r="RL127" s="131"/>
      <c r="RM127" s="131"/>
      <c r="RN127" s="131"/>
      <c r="RO127" s="131"/>
      <c r="RP127" s="131"/>
      <c r="RQ127" s="131"/>
      <c r="RR127" s="131"/>
      <c r="RS127" s="131"/>
      <c r="RT127" s="131"/>
      <c r="RU127" s="131"/>
      <c r="RV127" s="131"/>
      <c r="RW127" s="131"/>
      <c r="RX127" s="131"/>
      <c r="RY127" s="131"/>
      <c r="RZ127" s="131"/>
      <c r="SA127" s="131"/>
      <c r="SB127" s="131"/>
      <c r="SC127" s="131"/>
      <c r="SD127" s="131"/>
      <c r="SE127" s="131"/>
      <c r="SF127" s="131"/>
      <c r="SG127" s="131"/>
      <c r="SH127" s="131"/>
      <c r="SI127" s="131"/>
      <c r="SJ127" s="131"/>
      <c r="SK127" s="131"/>
      <c r="SL127" s="131"/>
      <c r="SM127" s="131"/>
      <c r="SN127" s="131"/>
      <c r="SO127" s="131"/>
      <c r="SP127" s="131"/>
      <c r="SQ127" s="131"/>
      <c r="SR127" s="131"/>
      <c r="SS127" s="131"/>
      <c r="ST127" s="131"/>
      <c r="SU127" s="131"/>
      <c r="SV127" s="131"/>
      <c r="SW127" s="131"/>
      <c r="SX127" s="131"/>
      <c r="SY127" s="131"/>
      <c r="SZ127" s="131"/>
      <c r="TA127" s="131"/>
      <c r="TB127" s="131"/>
      <c r="TC127" s="131"/>
      <c r="TD127" s="131"/>
      <c r="TE127" s="131"/>
      <c r="TF127" s="131"/>
      <c r="TG127" s="131"/>
      <c r="TH127" s="131"/>
      <c r="TI127" s="131"/>
      <c r="TJ127" s="131"/>
      <c r="TK127" s="131"/>
      <c r="TL127" s="131"/>
      <c r="TM127" s="131"/>
      <c r="TN127" s="131"/>
      <c r="TO127" s="131"/>
      <c r="TP127" s="131"/>
      <c r="TQ127" s="131"/>
      <c r="TR127" s="131"/>
      <c r="TS127" s="131"/>
      <c r="TT127" s="131"/>
      <c r="TU127" s="131"/>
      <c r="TV127" s="131"/>
      <c r="TW127" s="131"/>
      <c r="TX127" s="131"/>
      <c r="TY127" s="131"/>
      <c r="TZ127" s="131"/>
      <c r="UA127" s="131"/>
      <c r="UB127" s="131"/>
      <c r="UC127" s="131"/>
      <c r="UD127" s="131"/>
      <c r="UE127" s="131"/>
      <c r="UF127" s="131"/>
      <c r="UG127" s="131"/>
      <c r="UH127" s="131"/>
      <c r="UI127" s="131"/>
      <c r="UJ127" s="131"/>
      <c r="UK127" s="131"/>
      <c r="UL127" s="131"/>
      <c r="UM127" s="131"/>
      <c r="UN127" s="131"/>
      <c r="UO127" s="131"/>
      <c r="UP127" s="131"/>
      <c r="UQ127" s="131"/>
      <c r="UR127" s="131"/>
      <c r="US127" s="131"/>
      <c r="UT127" s="131"/>
      <c r="UU127" s="131"/>
      <c r="UV127" s="131"/>
      <c r="UW127" s="131"/>
      <c r="UX127" s="131"/>
      <c r="UY127" s="131"/>
      <c r="UZ127" s="131"/>
      <c r="VA127" s="131"/>
      <c r="VB127" s="131"/>
      <c r="VC127" s="131"/>
      <c r="VD127" s="131"/>
      <c r="VE127" s="131"/>
      <c r="VF127" s="131"/>
      <c r="VG127" s="131"/>
      <c r="VH127" s="131"/>
      <c r="VI127" s="131"/>
      <c r="VJ127" s="131"/>
      <c r="VK127" s="131"/>
      <c r="VL127" s="131"/>
      <c r="VM127" s="131"/>
      <c r="VN127" s="131"/>
      <c r="VO127" s="131"/>
      <c r="VP127" s="131"/>
      <c r="VQ127" s="131"/>
      <c r="VR127" s="131"/>
      <c r="VS127" s="131"/>
      <c r="VT127" s="131"/>
      <c r="VU127" s="131"/>
      <c r="VV127" s="131"/>
      <c r="VW127" s="131"/>
      <c r="VX127" s="131"/>
      <c r="VY127" s="131"/>
      <c r="VZ127" s="131"/>
      <c r="WA127" s="131"/>
      <c r="WB127" s="131"/>
      <c r="WC127" s="131"/>
      <c r="WD127" s="131"/>
      <c r="WE127" s="131"/>
      <c r="WF127" s="131"/>
      <c r="WG127" s="131"/>
      <c r="WH127" s="131"/>
      <c r="WI127" s="131"/>
      <c r="WJ127" s="131"/>
      <c r="WK127" s="131"/>
      <c r="WL127" s="131"/>
      <c r="WM127" s="131"/>
      <c r="WN127" s="131"/>
      <c r="WO127" s="131"/>
      <c r="WP127" s="131"/>
      <c r="WQ127" s="131"/>
      <c r="WR127" s="131"/>
      <c r="WS127" s="131"/>
      <c r="WT127" s="131"/>
      <c r="WU127" s="131"/>
      <c r="WV127" s="131"/>
      <c r="WW127" s="131"/>
      <c r="WX127" s="131"/>
      <c r="WY127" s="131"/>
      <c r="WZ127" s="131"/>
      <c r="XA127" s="131"/>
      <c r="XB127" s="131"/>
      <c r="XC127" s="131"/>
      <c r="XD127" s="131"/>
      <c r="XE127" s="131"/>
      <c r="XF127" s="131"/>
      <c r="XG127" s="131"/>
      <c r="XH127" s="131"/>
      <c r="XI127" s="131"/>
      <c r="XJ127" s="131"/>
      <c r="XK127" s="131"/>
      <c r="XL127" s="131"/>
      <c r="XM127" s="131"/>
      <c r="XN127" s="131"/>
      <c r="XO127" s="131"/>
      <c r="XP127" s="131"/>
      <c r="XQ127" s="131"/>
      <c r="XR127" s="131"/>
      <c r="XS127" s="131"/>
      <c r="XT127" s="131"/>
      <c r="XU127" s="131"/>
      <c r="XV127" s="131"/>
      <c r="XW127" s="131"/>
      <c r="XX127" s="131"/>
      <c r="XY127" s="131"/>
      <c r="XZ127" s="131"/>
      <c r="YA127" s="131"/>
      <c r="YB127" s="131"/>
      <c r="YC127" s="131"/>
      <c r="YD127" s="131"/>
      <c r="YE127" s="131"/>
      <c r="YF127" s="131"/>
      <c r="YG127" s="131"/>
      <c r="YH127" s="131"/>
      <c r="YI127" s="131"/>
      <c r="YJ127" s="131"/>
      <c r="YK127" s="131"/>
      <c r="YL127" s="131"/>
      <c r="YM127" s="131"/>
      <c r="YN127" s="131"/>
      <c r="YO127" s="131"/>
      <c r="YP127" s="131"/>
      <c r="YQ127" s="131"/>
      <c r="YR127" s="131"/>
      <c r="YS127" s="131"/>
      <c r="YT127" s="131"/>
      <c r="YU127" s="131"/>
      <c r="YV127" s="131"/>
      <c r="YW127" s="131"/>
      <c r="YX127" s="131"/>
      <c r="YY127" s="131"/>
      <c r="YZ127" s="131"/>
      <c r="ZA127" s="131"/>
      <c r="ZB127" s="131"/>
      <c r="ZC127" s="131"/>
      <c r="ZD127" s="131"/>
      <c r="ZE127" s="131"/>
      <c r="ZF127" s="131"/>
      <c r="ZG127" s="131"/>
      <c r="ZH127" s="131"/>
      <c r="ZI127" s="131"/>
      <c r="ZJ127" s="131"/>
      <c r="ZK127" s="131"/>
      <c r="ZL127" s="131"/>
      <c r="ZM127" s="131"/>
      <c r="ZN127" s="131"/>
      <c r="ZO127" s="131"/>
      <c r="ZP127" s="131"/>
      <c r="ZQ127" s="131"/>
      <c r="ZR127" s="131"/>
      <c r="ZS127" s="131"/>
      <c r="ZT127" s="131"/>
      <c r="ZU127" s="131"/>
      <c r="ZV127" s="131"/>
      <c r="ZW127" s="131"/>
      <c r="ZX127" s="131"/>
      <c r="ZY127" s="131"/>
      <c r="ZZ127" s="131"/>
      <c r="AAA127" s="131"/>
      <c r="AAB127" s="131"/>
      <c r="AAC127" s="131"/>
      <c r="AAD127" s="131"/>
      <c r="AAE127" s="131"/>
      <c r="AAF127" s="131"/>
      <c r="AAG127" s="131"/>
      <c r="AAH127" s="131"/>
      <c r="AAI127" s="131"/>
      <c r="AAJ127" s="131"/>
      <c r="AAK127" s="131"/>
      <c r="AAL127" s="131"/>
      <c r="AAM127" s="131"/>
      <c r="AAN127" s="131"/>
      <c r="AAO127" s="131"/>
      <c r="AAP127" s="131"/>
      <c r="AAQ127" s="131"/>
      <c r="AAR127" s="131"/>
      <c r="AAS127" s="131"/>
      <c r="AAT127" s="131"/>
      <c r="AAU127" s="131"/>
      <c r="AAV127" s="131"/>
      <c r="AAW127" s="131"/>
      <c r="AAX127" s="131"/>
      <c r="AAY127" s="131"/>
      <c r="AAZ127" s="131"/>
      <c r="ABA127" s="131"/>
      <c r="ABB127" s="131"/>
      <c r="ABC127" s="131"/>
      <c r="ABD127" s="131"/>
      <c r="ABE127" s="131"/>
      <c r="ABF127" s="131"/>
      <c r="ABG127" s="131"/>
      <c r="ABH127" s="131"/>
      <c r="ABI127" s="131"/>
      <c r="ABJ127" s="131"/>
      <c r="ABK127" s="131"/>
      <c r="ABL127" s="131"/>
      <c r="ABM127" s="131"/>
      <c r="ABN127" s="131"/>
      <c r="ABO127" s="131"/>
      <c r="ABP127" s="131"/>
      <c r="ABQ127" s="131"/>
      <c r="ABR127" s="131"/>
      <c r="ABS127" s="131"/>
      <c r="ABT127" s="131"/>
      <c r="ABU127" s="131"/>
      <c r="ABV127" s="131"/>
      <c r="ABW127" s="131"/>
      <c r="ABX127" s="131"/>
      <c r="ABY127" s="131"/>
      <c r="ABZ127" s="131"/>
      <c r="ACA127" s="131"/>
      <c r="ACB127" s="131"/>
      <c r="ACC127" s="131"/>
      <c r="ACD127" s="131"/>
      <c r="ACE127" s="131"/>
      <c r="ACF127" s="131"/>
      <c r="ACG127" s="131"/>
      <c r="ACH127" s="131"/>
      <c r="ACI127" s="131"/>
      <c r="ACJ127" s="131"/>
      <c r="ACK127" s="131"/>
      <c r="ACL127" s="131"/>
      <c r="ACM127" s="131"/>
      <c r="ACN127" s="131"/>
      <c r="ACO127" s="131"/>
      <c r="ACP127" s="131"/>
      <c r="ACQ127" s="131"/>
      <c r="ACR127" s="131"/>
      <c r="ACS127" s="131"/>
      <c r="ACT127" s="131"/>
      <c r="ACU127" s="131"/>
      <c r="ACV127" s="131"/>
      <c r="ACW127" s="131"/>
      <c r="ACX127" s="131"/>
      <c r="ACY127" s="131"/>
      <c r="ACZ127" s="131"/>
      <c r="ADA127" s="131"/>
      <c r="ADB127" s="131"/>
      <c r="ADC127" s="131"/>
      <c r="ADD127" s="131"/>
      <c r="ADE127" s="131"/>
      <c r="ADF127" s="131"/>
      <c r="ADG127" s="131"/>
      <c r="ADH127" s="131"/>
      <c r="ADI127" s="131"/>
      <c r="ADJ127" s="131"/>
      <c r="ADK127" s="131"/>
      <c r="ADL127" s="131"/>
      <c r="ADM127" s="131"/>
      <c r="ADN127" s="131"/>
      <c r="ADO127" s="131"/>
      <c r="ADP127" s="131"/>
      <c r="ADQ127" s="131"/>
      <c r="ADR127" s="131"/>
      <c r="ADS127" s="131"/>
      <c r="ADT127" s="131"/>
      <c r="ADU127" s="131"/>
      <c r="ADV127" s="131"/>
      <c r="ADW127" s="131"/>
      <c r="ADX127" s="131"/>
      <c r="ADY127" s="131"/>
      <c r="ADZ127" s="131"/>
      <c r="AEA127" s="131"/>
      <c r="AEB127" s="131"/>
      <c r="AEC127" s="131"/>
      <c r="AED127" s="131"/>
      <c r="AEE127" s="131"/>
      <c r="AEF127" s="131"/>
      <c r="AEG127" s="131"/>
      <c r="AEH127" s="131"/>
      <c r="AEI127" s="131"/>
      <c r="AEJ127" s="131"/>
      <c r="AEK127" s="131"/>
      <c r="AEL127" s="131"/>
      <c r="AEM127" s="131"/>
      <c r="AEN127" s="131"/>
      <c r="AEO127" s="131"/>
      <c r="AEP127" s="131"/>
      <c r="AEQ127" s="131"/>
      <c r="AER127" s="131"/>
      <c r="AES127" s="131"/>
      <c r="AET127" s="131"/>
      <c r="AEU127" s="131"/>
      <c r="AEV127" s="131"/>
      <c r="AEW127" s="131"/>
      <c r="AEX127" s="131"/>
      <c r="AEY127" s="131"/>
      <c r="AEZ127" s="131"/>
      <c r="AFA127" s="131"/>
      <c r="AFB127" s="131"/>
      <c r="AFC127" s="131"/>
      <c r="AFD127" s="131"/>
      <c r="AFE127" s="131"/>
      <c r="AFF127" s="131"/>
      <c r="AFG127" s="131"/>
      <c r="AFH127" s="131"/>
      <c r="AFI127" s="131"/>
      <c r="AFJ127" s="131"/>
      <c r="AFK127" s="131"/>
      <c r="AFL127" s="131"/>
      <c r="AFM127" s="131"/>
      <c r="AFN127" s="131"/>
      <c r="AFO127" s="131"/>
      <c r="AFP127" s="131"/>
      <c r="AFQ127" s="131"/>
      <c r="AFR127" s="131"/>
      <c r="AFS127" s="131"/>
      <c r="AFT127" s="131"/>
      <c r="AFU127" s="131"/>
      <c r="AFV127" s="131"/>
      <c r="AFW127" s="131"/>
      <c r="AFX127" s="131"/>
      <c r="AFY127" s="131"/>
      <c r="AFZ127" s="131"/>
      <c r="AGA127" s="131"/>
      <c r="AGB127" s="131"/>
      <c r="AGC127" s="131"/>
      <c r="AGD127" s="131"/>
      <c r="AGE127" s="131"/>
      <c r="AGF127" s="131"/>
      <c r="AGG127" s="131"/>
      <c r="AGH127" s="131"/>
      <c r="AGI127" s="131"/>
      <c r="AGJ127" s="131"/>
      <c r="AGK127" s="131"/>
      <c r="AGL127" s="131"/>
      <c r="AGM127" s="131"/>
      <c r="AGN127" s="131"/>
      <c r="AGO127" s="131"/>
      <c r="AGP127" s="131"/>
      <c r="AGQ127" s="131"/>
      <c r="AGR127" s="131"/>
      <c r="AGS127" s="131"/>
      <c r="AGT127" s="131"/>
      <c r="AGU127" s="131"/>
      <c r="AGV127" s="131"/>
      <c r="AGW127" s="131"/>
      <c r="AGX127" s="131"/>
      <c r="AGY127" s="131"/>
      <c r="AGZ127" s="131"/>
      <c r="AHA127" s="131"/>
      <c r="AHB127" s="131"/>
      <c r="AHC127" s="131"/>
      <c r="AHD127" s="131"/>
      <c r="AHE127" s="131"/>
      <c r="AHF127" s="131"/>
      <c r="AHG127" s="131"/>
      <c r="AHH127" s="131"/>
      <c r="AHI127" s="131"/>
      <c r="AHJ127" s="131"/>
      <c r="AHK127" s="131"/>
      <c r="AHL127" s="131"/>
      <c r="AHM127" s="131"/>
      <c r="AHN127" s="131"/>
      <c r="AHO127" s="131"/>
      <c r="AHP127" s="131"/>
      <c r="AHQ127" s="131"/>
      <c r="AHR127" s="131"/>
      <c r="AHS127" s="131"/>
      <c r="AHT127" s="131"/>
      <c r="AHU127" s="131"/>
      <c r="AHV127" s="131"/>
      <c r="AHW127" s="131"/>
      <c r="AHX127" s="131"/>
      <c r="AHY127" s="131"/>
      <c r="AHZ127" s="131"/>
      <c r="AIA127" s="131"/>
      <c r="AIB127" s="131"/>
      <c r="AIC127" s="131"/>
      <c r="AID127" s="131"/>
      <c r="AIE127" s="131"/>
      <c r="AIF127" s="131"/>
      <c r="AIG127" s="131"/>
      <c r="AIH127" s="131"/>
      <c r="AII127" s="131"/>
      <c r="AIJ127" s="131"/>
      <c r="AIK127" s="131"/>
      <c r="AIL127" s="131"/>
      <c r="AIM127" s="131"/>
      <c r="AIN127" s="131"/>
      <c r="AIO127" s="131"/>
      <c r="AIP127" s="131"/>
      <c r="AIQ127" s="131"/>
      <c r="AIR127" s="131"/>
      <c r="AIS127" s="131"/>
      <c r="AIT127" s="131"/>
      <c r="AIU127" s="131"/>
      <c r="AIV127" s="131"/>
      <c r="AIW127" s="131"/>
      <c r="AIX127" s="131"/>
      <c r="AIY127" s="131"/>
      <c r="AIZ127" s="131"/>
      <c r="AJA127" s="131"/>
      <c r="AJB127" s="131"/>
      <c r="AJC127" s="131"/>
      <c r="AJD127" s="131"/>
      <c r="AJE127" s="131"/>
      <c r="AJF127" s="131"/>
      <c r="AJG127" s="131"/>
      <c r="AJH127" s="131"/>
      <c r="AJI127" s="131"/>
      <c r="AJJ127" s="131"/>
      <c r="AJK127" s="131"/>
      <c r="AJL127" s="131"/>
      <c r="AJM127" s="131"/>
      <c r="AJN127" s="131"/>
      <c r="AJO127" s="131"/>
      <c r="AJP127" s="131"/>
      <c r="AJQ127" s="131"/>
      <c r="AJR127" s="131"/>
      <c r="AJS127" s="131"/>
      <c r="AJT127" s="131"/>
      <c r="AJU127" s="131"/>
      <c r="AJV127" s="131"/>
      <c r="AJW127" s="131"/>
      <c r="AJX127" s="131"/>
      <c r="AJY127" s="131"/>
      <c r="AJZ127" s="131"/>
      <c r="AKA127" s="131"/>
      <c r="AKB127" s="131"/>
      <c r="AKC127" s="131"/>
      <c r="AKD127" s="131"/>
      <c r="AKE127" s="131"/>
      <c r="AKF127" s="131"/>
      <c r="AKG127" s="131"/>
      <c r="AKH127" s="131"/>
      <c r="AKI127" s="131"/>
      <c r="AKJ127" s="131"/>
      <c r="AKK127" s="131"/>
      <c r="AKL127" s="131"/>
      <c r="AKM127" s="131"/>
      <c r="AKN127" s="131"/>
      <c r="AKO127" s="131"/>
      <c r="AKP127" s="131"/>
      <c r="AKQ127" s="131"/>
      <c r="AKR127" s="131"/>
      <c r="AKS127" s="131"/>
      <c r="AKT127" s="131"/>
      <c r="AKU127" s="131"/>
      <c r="AKV127" s="131"/>
      <c r="AKW127" s="131"/>
      <c r="AKX127" s="131"/>
      <c r="AKY127" s="131"/>
      <c r="AKZ127" s="131"/>
      <c r="ALA127" s="131"/>
      <c r="ALB127" s="131"/>
      <c r="ALC127" s="131"/>
      <c r="ALD127" s="131"/>
      <c r="ALE127" s="131"/>
      <c r="ALF127" s="131"/>
      <c r="ALG127" s="131"/>
      <c r="ALH127" s="131"/>
      <c r="ALI127" s="131"/>
      <c r="ALJ127" s="131"/>
      <c r="ALK127" s="131"/>
      <c r="ALL127" s="131"/>
      <c r="ALM127" s="131"/>
      <c r="ALN127" s="131"/>
      <c r="ALO127" s="131"/>
      <c r="ALP127" s="131"/>
      <c r="ALQ127" s="131"/>
      <c r="ALR127" s="131"/>
      <c r="ALS127" s="131"/>
      <c r="ALT127" s="131"/>
      <c r="ALU127" s="131"/>
      <c r="ALV127" s="131"/>
      <c r="ALW127" s="131"/>
      <c r="ALX127" s="131"/>
      <c r="ALY127" s="131"/>
      <c r="ALZ127" s="131"/>
      <c r="AMA127" s="131"/>
      <c r="AMB127" s="131"/>
      <c r="AMC127" s="131"/>
      <c r="AMD127" s="131"/>
      <c r="AME127" s="131"/>
      <c r="AMF127" s="131"/>
      <c r="AMG127" s="131"/>
      <c r="AMH127" s="131"/>
      <c r="AMI127" s="131"/>
      <c r="AMJ127" s="131"/>
      <c r="AMK127" s="131"/>
      <c r="AML127" s="131"/>
      <c r="AMM127" s="131"/>
      <c r="AMN127" s="131"/>
      <c r="AMO127" s="131"/>
      <c r="AMP127" s="131"/>
      <c r="AMQ127" s="131"/>
      <c r="AMR127" s="131"/>
      <c r="AMS127" s="131"/>
      <c r="AMT127" s="131"/>
      <c r="AMU127" s="131"/>
      <c r="AMV127" s="131"/>
      <c r="AMW127" s="131"/>
      <c r="AMX127" s="131"/>
      <c r="AMY127" s="131"/>
      <c r="AMZ127" s="131"/>
      <c r="ANA127" s="131"/>
      <c r="ANB127" s="131"/>
      <c r="ANC127" s="131"/>
      <c r="AND127" s="131"/>
      <c r="ANE127" s="131"/>
      <c r="ANF127" s="131"/>
      <c r="ANG127" s="131"/>
      <c r="ANH127" s="131"/>
      <c r="ANI127" s="131"/>
      <c r="ANJ127" s="131"/>
      <c r="ANK127" s="131"/>
      <c r="ANL127" s="131"/>
      <c r="ANM127" s="131"/>
      <c r="ANN127" s="131"/>
      <c r="ANO127" s="131"/>
      <c r="ANP127" s="131"/>
      <c r="ANQ127" s="131"/>
      <c r="ANR127" s="131"/>
      <c r="ANS127" s="131"/>
      <c r="ANT127" s="131"/>
      <c r="ANU127" s="131"/>
      <c r="ANV127" s="131"/>
      <c r="ANW127" s="131"/>
      <c r="ANX127" s="131"/>
      <c r="ANY127" s="131"/>
      <c r="ANZ127" s="131"/>
      <c r="AOA127" s="131"/>
      <c r="AOB127" s="131"/>
      <c r="AOC127" s="131"/>
      <c r="AOD127" s="131"/>
      <c r="AOE127" s="131"/>
      <c r="AOF127" s="131"/>
      <c r="AOG127" s="131"/>
      <c r="AOH127" s="131"/>
      <c r="AOI127" s="131"/>
      <c r="AOJ127" s="131"/>
      <c r="AOK127" s="131"/>
      <c r="AOL127" s="131"/>
      <c r="AOM127" s="131"/>
      <c r="AON127" s="131"/>
      <c r="AOO127" s="131"/>
      <c r="AOP127" s="131"/>
      <c r="AOQ127" s="131"/>
      <c r="AOR127" s="131"/>
      <c r="AOS127" s="131"/>
      <c r="AOT127" s="131"/>
      <c r="AOU127" s="131"/>
      <c r="AOV127" s="131"/>
      <c r="AOW127" s="131"/>
      <c r="AOX127" s="131"/>
      <c r="AOY127" s="131"/>
      <c r="AOZ127" s="131"/>
      <c r="APA127" s="131"/>
      <c r="APB127" s="131"/>
      <c r="APC127" s="131"/>
      <c r="APD127" s="131"/>
      <c r="APE127" s="131"/>
      <c r="APF127" s="131"/>
      <c r="APG127" s="131"/>
      <c r="APH127" s="131"/>
      <c r="API127" s="131"/>
      <c r="APJ127" s="131"/>
      <c r="APK127" s="131"/>
      <c r="APL127" s="131"/>
      <c r="APM127" s="131"/>
      <c r="APN127" s="131"/>
      <c r="APO127" s="131"/>
      <c r="APP127" s="131"/>
      <c r="APQ127" s="131"/>
      <c r="APR127" s="131"/>
      <c r="APS127" s="131"/>
      <c r="APT127" s="131"/>
      <c r="APU127" s="131"/>
      <c r="APV127" s="131"/>
      <c r="APW127" s="131"/>
      <c r="APX127" s="131"/>
      <c r="APY127" s="131"/>
      <c r="APZ127" s="131"/>
      <c r="AQA127" s="131"/>
      <c r="AQB127" s="131"/>
      <c r="AQC127" s="131"/>
      <c r="AQD127" s="131"/>
      <c r="AQE127" s="131"/>
      <c r="AQF127" s="131"/>
      <c r="AQG127" s="131"/>
      <c r="AQH127" s="131"/>
      <c r="AQI127" s="131"/>
      <c r="AQJ127" s="131"/>
      <c r="AQK127" s="131"/>
      <c r="AQL127" s="131"/>
      <c r="AQM127" s="131"/>
      <c r="AQN127" s="131"/>
      <c r="AQO127" s="131"/>
      <c r="AQP127" s="131"/>
      <c r="AQQ127" s="131"/>
      <c r="AQR127" s="131"/>
      <c r="AQS127" s="131"/>
      <c r="AQT127" s="131"/>
      <c r="AQU127" s="131"/>
      <c r="AQV127" s="131"/>
      <c r="AQW127" s="131"/>
      <c r="AQX127" s="131"/>
      <c r="AQY127" s="131"/>
      <c r="AQZ127" s="131"/>
      <c r="ARA127" s="131"/>
      <c r="ARB127" s="131"/>
      <c r="ARC127" s="131"/>
      <c r="ARD127" s="131"/>
      <c r="ARE127" s="131"/>
      <c r="ARF127" s="131"/>
      <c r="ARG127" s="131"/>
      <c r="ARH127" s="131"/>
      <c r="ARI127" s="131"/>
      <c r="ARJ127" s="131"/>
      <c r="ARK127" s="131"/>
      <c r="ARL127" s="131"/>
      <c r="ARM127" s="131"/>
      <c r="ARN127" s="131"/>
      <c r="ARO127" s="131"/>
      <c r="ARP127" s="131"/>
      <c r="ARQ127" s="131"/>
      <c r="ARR127" s="131"/>
      <c r="ARS127" s="131"/>
      <c r="ART127" s="131"/>
      <c r="ARU127" s="131"/>
      <c r="ARV127" s="131"/>
      <c r="ARW127" s="131"/>
      <c r="ARX127" s="131"/>
      <c r="ARY127" s="131"/>
      <c r="ARZ127" s="131"/>
      <c r="ASA127" s="131"/>
      <c r="ASB127" s="131"/>
      <c r="ASC127" s="131"/>
      <c r="ASD127" s="131"/>
      <c r="ASE127" s="131"/>
      <c r="ASF127" s="131"/>
      <c r="ASG127" s="131"/>
      <c r="ASH127" s="131"/>
      <c r="ASI127" s="131"/>
      <c r="ASJ127" s="131"/>
      <c r="ASK127" s="131"/>
      <c r="ASL127" s="131"/>
      <c r="ASM127" s="131"/>
      <c r="ASN127" s="131"/>
      <c r="ASO127" s="131"/>
      <c r="ASP127" s="131"/>
      <c r="ASQ127" s="131"/>
      <c r="ASR127" s="131"/>
      <c r="ASS127" s="131"/>
      <c r="AST127" s="131"/>
      <c r="ASU127" s="131"/>
      <c r="ASV127" s="131"/>
      <c r="ASW127" s="131"/>
      <c r="ASX127" s="131"/>
      <c r="ASY127" s="131"/>
      <c r="ASZ127" s="131"/>
      <c r="ATA127" s="131"/>
      <c r="ATB127" s="131"/>
      <c r="ATC127" s="131"/>
    </row>
    <row r="128" spans="1:1199" ht="50.1" customHeight="1" outlineLevel="2" x14ac:dyDescent="0.3">
      <c r="A128" s="103" t="s">
        <v>146</v>
      </c>
      <c r="B128" s="102" t="s">
        <v>147</v>
      </c>
      <c r="C128" s="79" t="s">
        <v>37</v>
      </c>
      <c r="D128" s="81">
        <f t="shared" ref="D128:D174" si="24">E128+F128</f>
        <v>3118.2482500000006</v>
      </c>
      <c r="E128" s="82">
        <f t="shared" si="18"/>
        <v>1043.31944</v>
      </c>
      <c r="F128" s="83">
        <f t="shared" si="19"/>
        <v>2074.9288100000003</v>
      </c>
      <c r="G128" s="84"/>
      <c r="H128" s="85"/>
      <c r="I128" s="85"/>
      <c r="J128" s="84"/>
      <c r="K128" s="85"/>
      <c r="L128" s="85"/>
      <c r="M128" s="85"/>
      <c r="N128" s="85"/>
      <c r="O128" s="82"/>
      <c r="P128" s="83"/>
      <c r="Q128" s="83"/>
      <c r="R128" s="83"/>
      <c r="S128" s="82"/>
      <c r="T128" s="83"/>
      <c r="U128" s="83"/>
      <c r="V128" s="84">
        <v>540.93100000000004</v>
      </c>
      <c r="W128" s="85">
        <v>1008.522</v>
      </c>
      <c r="X128" s="87"/>
      <c r="Y128" s="83">
        <v>126.36</v>
      </c>
      <c r="Z128" s="84"/>
      <c r="AA128" s="85"/>
      <c r="AB128" s="84"/>
      <c r="AC128" s="85"/>
      <c r="AD128" s="89">
        <f t="shared" si="20"/>
        <v>49.09328</v>
      </c>
      <c r="AE128" s="89">
        <v>15.043699999999999</v>
      </c>
      <c r="AF128" s="186">
        <v>34.049579999999999</v>
      </c>
      <c r="AG128" s="85"/>
      <c r="AH128" s="85"/>
      <c r="AI128" s="85"/>
      <c r="AJ128" s="84"/>
      <c r="AK128" s="85"/>
      <c r="AL128" s="84"/>
      <c r="AM128" s="88"/>
      <c r="AN128" s="84"/>
      <c r="AO128" s="85"/>
      <c r="AP128" s="84"/>
      <c r="AQ128" s="83"/>
      <c r="AR128" s="83"/>
      <c r="AS128" s="83"/>
      <c r="AT128" s="85"/>
      <c r="AU128" s="85"/>
      <c r="AV128" s="85">
        <v>22.769600000000001</v>
      </c>
      <c r="AW128" s="88"/>
      <c r="AX128" s="84"/>
      <c r="AY128" s="85"/>
      <c r="AZ128" s="84">
        <v>502.38844</v>
      </c>
      <c r="BA128" s="85">
        <v>376.88398000000001</v>
      </c>
      <c r="BB128" s="88">
        <v>207.68095</v>
      </c>
      <c r="BC128" s="85"/>
      <c r="BD128" s="84"/>
      <c r="BE128" s="88"/>
      <c r="BF128" s="85"/>
      <c r="BG128" s="85"/>
      <c r="BH128" s="85"/>
      <c r="BI128" s="85"/>
      <c r="BJ128" s="85"/>
      <c r="BK128" s="85">
        <v>283.61900000000003</v>
      </c>
      <c r="BL128" s="85"/>
      <c r="BM128" s="85"/>
      <c r="BN128" s="85"/>
      <c r="BO128" s="85"/>
      <c r="BP128" s="85"/>
      <c r="BQ128" s="85"/>
      <c r="BR128" s="84"/>
      <c r="BS128" s="85"/>
      <c r="BT128" s="85"/>
      <c r="BU128" s="198"/>
      <c r="BV128" s="90"/>
      <c r="BW128" s="198"/>
      <c r="BX128" s="90"/>
      <c r="BY128" s="198"/>
      <c r="BZ128" s="90"/>
      <c r="CA128" s="91"/>
    </row>
    <row r="129" spans="1:79" ht="50.1" customHeight="1" outlineLevel="2" x14ac:dyDescent="0.3">
      <c r="A129" s="103" t="s">
        <v>146</v>
      </c>
      <c r="B129" s="109" t="s">
        <v>148</v>
      </c>
      <c r="C129" s="79" t="s">
        <v>37</v>
      </c>
      <c r="D129" s="81">
        <f t="shared" si="24"/>
        <v>538.29366000000005</v>
      </c>
      <c r="E129" s="82">
        <f t="shared" si="18"/>
        <v>286.65726999999998</v>
      </c>
      <c r="F129" s="83">
        <f t="shared" si="19"/>
        <v>251.63639000000001</v>
      </c>
      <c r="G129" s="84"/>
      <c r="H129" s="85"/>
      <c r="I129" s="85"/>
      <c r="J129" s="84"/>
      <c r="K129" s="85"/>
      <c r="L129" s="85"/>
      <c r="M129" s="85"/>
      <c r="N129" s="85"/>
      <c r="O129" s="82"/>
      <c r="P129" s="83"/>
      <c r="Q129" s="83"/>
      <c r="R129" s="83"/>
      <c r="S129" s="82"/>
      <c r="T129" s="83"/>
      <c r="U129" s="83"/>
      <c r="V129" s="84"/>
      <c r="W129" s="83">
        <v>61.44</v>
      </c>
      <c r="X129" s="82"/>
      <c r="Y129" s="83"/>
      <c r="Z129" s="84"/>
      <c r="AA129" s="85"/>
      <c r="AB129" s="84"/>
      <c r="AC129" s="85"/>
      <c r="AD129" s="89">
        <f t="shared" si="20"/>
        <v>0</v>
      </c>
      <c r="AE129" s="89"/>
      <c r="AF129" s="186"/>
      <c r="AG129" s="85"/>
      <c r="AH129" s="85"/>
      <c r="AI129" s="85"/>
      <c r="AJ129" s="84"/>
      <c r="AK129" s="85"/>
      <c r="AL129" s="84"/>
      <c r="AM129" s="88"/>
      <c r="AN129" s="84"/>
      <c r="AO129" s="85"/>
      <c r="AP129" s="84"/>
      <c r="AQ129" s="83"/>
      <c r="AR129" s="83"/>
      <c r="AS129" s="83"/>
      <c r="AT129" s="85"/>
      <c r="AU129" s="85"/>
      <c r="AV129" s="85"/>
      <c r="AW129" s="88"/>
      <c r="AX129" s="84"/>
      <c r="AY129" s="85"/>
      <c r="AZ129" s="84">
        <v>286.65726999999998</v>
      </c>
      <c r="BA129" s="85">
        <v>190.19639000000001</v>
      </c>
      <c r="BB129" s="85"/>
      <c r="BC129" s="85"/>
      <c r="BD129" s="84"/>
      <c r="BE129" s="88"/>
      <c r="BF129" s="85"/>
      <c r="BG129" s="85"/>
      <c r="BH129" s="85"/>
      <c r="BI129" s="85"/>
      <c r="BJ129" s="85"/>
      <c r="BK129" s="85"/>
      <c r="BL129" s="85"/>
      <c r="BM129" s="85"/>
      <c r="BN129" s="85"/>
      <c r="BO129" s="85"/>
      <c r="BP129" s="85"/>
      <c r="BQ129" s="85"/>
      <c r="BR129" s="84"/>
      <c r="BS129" s="85"/>
      <c r="BT129" s="85"/>
      <c r="BU129" s="198"/>
      <c r="BV129" s="90"/>
      <c r="BW129" s="198"/>
      <c r="BX129" s="90"/>
      <c r="BY129" s="198"/>
      <c r="BZ129" s="90"/>
      <c r="CA129" s="91"/>
    </row>
    <row r="130" spans="1:79" ht="50.1" customHeight="1" outlineLevel="2" x14ac:dyDescent="0.3">
      <c r="A130" s="103" t="s">
        <v>146</v>
      </c>
      <c r="B130" s="102" t="s">
        <v>149</v>
      </c>
      <c r="C130" s="79" t="s">
        <v>37</v>
      </c>
      <c r="D130" s="81">
        <f t="shared" si="24"/>
        <v>4596.2398300000004</v>
      </c>
      <c r="E130" s="82">
        <f t="shared" si="18"/>
        <v>552.24057000000005</v>
      </c>
      <c r="F130" s="83">
        <f t="shared" si="19"/>
        <v>4043.99926</v>
      </c>
      <c r="G130" s="84"/>
      <c r="H130" s="85"/>
      <c r="I130" s="85"/>
      <c r="J130" s="84"/>
      <c r="K130" s="85"/>
      <c r="L130" s="85"/>
      <c r="M130" s="85"/>
      <c r="N130" s="85"/>
      <c r="O130" s="82"/>
      <c r="P130" s="83"/>
      <c r="Q130" s="83"/>
      <c r="R130" s="83"/>
      <c r="S130" s="82"/>
      <c r="T130" s="83"/>
      <c r="U130" s="83"/>
      <c r="V130" s="84">
        <v>332.45670000000001</v>
      </c>
      <c r="W130" s="83">
        <v>621.16633999999999</v>
      </c>
      <c r="X130" s="87"/>
      <c r="Y130" s="83">
        <v>29.327999999999999</v>
      </c>
      <c r="Z130" s="84"/>
      <c r="AA130" s="85"/>
      <c r="AB130" s="84"/>
      <c r="AC130" s="85"/>
      <c r="AD130" s="89">
        <f t="shared" si="20"/>
        <v>19.094279999999998</v>
      </c>
      <c r="AE130" s="89">
        <v>6.4473000000000003</v>
      </c>
      <c r="AF130" s="186">
        <v>12.646979999999999</v>
      </c>
      <c r="AG130" s="85"/>
      <c r="AH130" s="85"/>
      <c r="AI130" s="85"/>
      <c r="AJ130" s="84"/>
      <c r="AK130" s="85"/>
      <c r="AL130" s="84"/>
      <c r="AM130" s="88"/>
      <c r="AN130" s="84"/>
      <c r="AO130" s="85"/>
      <c r="AP130" s="84"/>
      <c r="AQ130" s="83"/>
      <c r="AR130" s="83"/>
      <c r="AS130" s="83"/>
      <c r="AT130" s="85"/>
      <c r="AU130" s="85"/>
      <c r="AV130" s="85">
        <f>57.95567+2834.90592</f>
        <v>2892.86159</v>
      </c>
      <c r="AW130" s="88"/>
      <c r="AX130" s="84"/>
      <c r="AY130" s="85"/>
      <c r="AZ130" s="84">
        <v>219.78387000000001</v>
      </c>
      <c r="BA130" s="85">
        <v>184.31834000000001</v>
      </c>
      <c r="BB130" s="88">
        <v>85.289379999999994</v>
      </c>
      <c r="BC130" s="85"/>
      <c r="BD130" s="84"/>
      <c r="BE130" s="88"/>
      <c r="BF130" s="85"/>
      <c r="BG130" s="85"/>
      <c r="BH130" s="85"/>
      <c r="BI130" s="85"/>
      <c r="BJ130" s="85"/>
      <c r="BK130" s="85">
        <v>211.94132999999999</v>
      </c>
      <c r="BL130" s="85"/>
      <c r="BM130" s="85"/>
      <c r="BN130" s="85"/>
      <c r="BO130" s="85"/>
      <c r="BP130" s="85"/>
      <c r="BQ130" s="85"/>
      <c r="BR130" s="84"/>
      <c r="BS130" s="85"/>
      <c r="BT130" s="85"/>
      <c r="BU130" s="198"/>
      <c r="BV130" s="90"/>
      <c r="BW130" s="198"/>
      <c r="BX130" s="90"/>
      <c r="BY130" s="198"/>
      <c r="BZ130" s="90"/>
      <c r="CA130" s="91"/>
    </row>
    <row r="131" spans="1:79" ht="50.1" customHeight="1" outlineLevel="2" x14ac:dyDescent="0.3">
      <c r="A131" s="103" t="s">
        <v>146</v>
      </c>
      <c r="B131" s="102" t="s">
        <v>150</v>
      </c>
      <c r="C131" s="79" t="s">
        <v>37</v>
      </c>
      <c r="D131" s="81">
        <f t="shared" si="24"/>
        <v>6417.4094399999994</v>
      </c>
      <c r="E131" s="82">
        <f t="shared" si="18"/>
        <v>955.39124000000004</v>
      </c>
      <c r="F131" s="83">
        <f t="shared" si="19"/>
        <v>5462.0181999999995</v>
      </c>
      <c r="G131" s="84"/>
      <c r="H131" s="85"/>
      <c r="I131" s="85"/>
      <c r="J131" s="84"/>
      <c r="K131" s="85"/>
      <c r="L131" s="85"/>
      <c r="M131" s="85"/>
      <c r="N131" s="85"/>
      <c r="O131" s="82"/>
      <c r="P131" s="83"/>
      <c r="Q131" s="83"/>
      <c r="R131" s="83"/>
      <c r="S131" s="82">
        <v>244.88228000000001</v>
      </c>
      <c r="T131" s="83">
        <v>418.68583999999998</v>
      </c>
      <c r="U131" s="83">
        <v>577.20000000000005</v>
      </c>
      <c r="V131" s="84">
        <v>495.51600000000002</v>
      </c>
      <c r="W131" s="83">
        <v>917.65088000000003</v>
      </c>
      <c r="X131" s="82"/>
      <c r="Y131" s="83"/>
      <c r="Z131" s="84"/>
      <c r="AA131" s="85"/>
      <c r="AB131" s="84"/>
      <c r="AC131" s="85"/>
      <c r="AD131" s="89">
        <f t="shared" si="20"/>
        <v>0</v>
      </c>
      <c r="AE131" s="89"/>
      <c r="AF131" s="186"/>
      <c r="AG131" s="85"/>
      <c r="AH131" s="85"/>
      <c r="AI131" s="85"/>
      <c r="AJ131" s="84"/>
      <c r="AK131" s="85"/>
      <c r="AL131" s="84"/>
      <c r="AM131" s="88"/>
      <c r="AN131" s="84"/>
      <c r="AO131" s="85"/>
      <c r="AP131" s="84"/>
      <c r="AQ131" s="83"/>
      <c r="AR131" s="83"/>
      <c r="AS131" s="83"/>
      <c r="AT131" s="85"/>
      <c r="AU131" s="85"/>
      <c r="AV131" s="85">
        <f>2779.64949+441.45409</f>
        <v>3221.10358</v>
      </c>
      <c r="AW131" s="88"/>
      <c r="AX131" s="84"/>
      <c r="AY131" s="85"/>
      <c r="AZ131" s="84">
        <v>214.99296000000001</v>
      </c>
      <c r="BA131" s="88">
        <v>179.95379</v>
      </c>
      <c r="BB131" s="88">
        <v>147.42411000000001</v>
      </c>
      <c r="BC131" s="85"/>
      <c r="BD131" s="84"/>
      <c r="BE131" s="88"/>
      <c r="BF131" s="85"/>
      <c r="BG131" s="85"/>
      <c r="BH131" s="85"/>
      <c r="BI131" s="85"/>
      <c r="BJ131" s="85"/>
      <c r="BK131" s="85"/>
      <c r="BL131" s="85"/>
      <c r="BM131" s="85"/>
      <c r="BN131" s="85"/>
      <c r="BO131" s="85"/>
      <c r="BP131" s="85"/>
      <c r="BQ131" s="85"/>
      <c r="BR131" s="84"/>
      <c r="BS131" s="85"/>
      <c r="BT131" s="85"/>
      <c r="BU131" s="198"/>
      <c r="BV131" s="90"/>
      <c r="BW131" s="198"/>
      <c r="BX131" s="90"/>
      <c r="BY131" s="198"/>
      <c r="BZ131" s="90"/>
      <c r="CA131" s="91"/>
    </row>
    <row r="132" spans="1:79" ht="50.1" customHeight="1" outlineLevel="2" x14ac:dyDescent="0.3">
      <c r="A132" s="103" t="s">
        <v>146</v>
      </c>
      <c r="B132" s="102" t="s">
        <v>151</v>
      </c>
      <c r="C132" s="79" t="s">
        <v>37</v>
      </c>
      <c r="D132" s="81">
        <f t="shared" si="24"/>
        <v>447.83474999999999</v>
      </c>
      <c r="E132" s="82">
        <f t="shared" si="18"/>
        <v>229.32581999999999</v>
      </c>
      <c r="F132" s="83">
        <f t="shared" si="19"/>
        <v>218.50893000000002</v>
      </c>
      <c r="G132" s="84"/>
      <c r="H132" s="85"/>
      <c r="I132" s="85"/>
      <c r="J132" s="84"/>
      <c r="K132" s="85"/>
      <c r="L132" s="85"/>
      <c r="M132" s="85"/>
      <c r="N132" s="85"/>
      <c r="O132" s="82"/>
      <c r="P132" s="83"/>
      <c r="Q132" s="83"/>
      <c r="R132" s="83"/>
      <c r="S132" s="82"/>
      <c r="T132" s="83"/>
      <c r="U132" s="83"/>
      <c r="V132" s="84"/>
      <c r="W132" s="83">
        <v>42.456000000000003</v>
      </c>
      <c r="X132" s="82"/>
      <c r="Y132" s="83"/>
      <c r="Z132" s="84"/>
      <c r="AA132" s="85"/>
      <c r="AB132" s="84"/>
      <c r="AC132" s="85"/>
      <c r="AD132" s="89">
        <f t="shared" si="20"/>
        <v>0</v>
      </c>
      <c r="AE132" s="89"/>
      <c r="AF132" s="186"/>
      <c r="AG132" s="85"/>
      <c r="AH132" s="85"/>
      <c r="AI132" s="85"/>
      <c r="AJ132" s="84"/>
      <c r="AK132" s="85"/>
      <c r="AL132" s="84"/>
      <c r="AM132" s="88"/>
      <c r="AN132" s="84"/>
      <c r="AO132" s="85"/>
      <c r="AP132" s="84"/>
      <c r="AQ132" s="83"/>
      <c r="AR132" s="83"/>
      <c r="AS132" s="83"/>
      <c r="AT132" s="85"/>
      <c r="AU132" s="85"/>
      <c r="AV132" s="85"/>
      <c r="AW132" s="88"/>
      <c r="AX132" s="84"/>
      <c r="AY132" s="85"/>
      <c r="AZ132" s="84">
        <v>229.32581999999999</v>
      </c>
      <c r="BA132" s="88">
        <v>163.15291999999999</v>
      </c>
      <c r="BB132" s="88">
        <v>12.90001</v>
      </c>
      <c r="BC132" s="85"/>
      <c r="BD132" s="84"/>
      <c r="BE132" s="88"/>
      <c r="BF132" s="85"/>
      <c r="BG132" s="85"/>
      <c r="BH132" s="85"/>
      <c r="BI132" s="85"/>
      <c r="BJ132" s="85"/>
      <c r="BK132" s="85"/>
      <c r="BL132" s="85"/>
      <c r="BM132" s="85"/>
      <c r="BN132" s="85"/>
      <c r="BO132" s="85"/>
      <c r="BP132" s="85"/>
      <c r="BQ132" s="85"/>
      <c r="BR132" s="84"/>
      <c r="BS132" s="85"/>
      <c r="BT132" s="85"/>
      <c r="BU132" s="198"/>
      <c r="BV132" s="90"/>
      <c r="BW132" s="198"/>
      <c r="BX132" s="90"/>
      <c r="BY132" s="198"/>
      <c r="BZ132" s="90"/>
      <c r="CA132" s="91"/>
    </row>
    <row r="133" spans="1:79" ht="50.1" customHeight="1" outlineLevel="2" x14ac:dyDescent="0.3">
      <c r="A133" s="103" t="s">
        <v>146</v>
      </c>
      <c r="B133" s="102" t="s">
        <v>152</v>
      </c>
      <c r="C133" s="79" t="s">
        <v>37</v>
      </c>
      <c r="D133" s="81">
        <f t="shared" si="24"/>
        <v>17506.0988</v>
      </c>
      <c r="E133" s="82">
        <f t="shared" si="18"/>
        <v>841.30580999999995</v>
      </c>
      <c r="F133" s="83">
        <f t="shared" si="19"/>
        <v>16664.792989999998</v>
      </c>
      <c r="G133" s="84"/>
      <c r="H133" s="85"/>
      <c r="I133" s="85"/>
      <c r="J133" s="84"/>
      <c r="K133" s="85"/>
      <c r="L133" s="85"/>
      <c r="M133" s="85"/>
      <c r="N133" s="85"/>
      <c r="O133" s="82"/>
      <c r="P133" s="83"/>
      <c r="Q133" s="83">
        <v>14997.054899999999</v>
      </c>
      <c r="R133" s="83"/>
      <c r="S133" s="82">
        <v>106.38442000000001</v>
      </c>
      <c r="T133" s="83">
        <v>5.5991799999999996</v>
      </c>
      <c r="U133" s="83"/>
      <c r="V133" s="84"/>
      <c r="W133" s="85"/>
      <c r="X133" s="87"/>
      <c r="Y133" s="83"/>
      <c r="Z133" s="84"/>
      <c r="AA133" s="85"/>
      <c r="AB133" s="84"/>
      <c r="AC133" s="85"/>
      <c r="AD133" s="89">
        <f t="shared" si="20"/>
        <v>778.42295999999988</v>
      </c>
      <c r="AE133" s="89">
        <f>105.138+388.4265</f>
        <v>493.56449999999995</v>
      </c>
      <c r="AF133" s="186">
        <f>49.0325+124.52416+111.3018</f>
        <v>284.85845999999998</v>
      </c>
      <c r="AG133" s="85"/>
      <c r="AH133" s="85"/>
      <c r="AI133" s="85"/>
      <c r="AJ133" s="84"/>
      <c r="AK133" s="85"/>
      <c r="AL133" s="84"/>
      <c r="AM133" s="88"/>
      <c r="AN133" s="84"/>
      <c r="AO133" s="85"/>
      <c r="AP133" s="84"/>
      <c r="AQ133" s="83"/>
      <c r="AR133" s="83"/>
      <c r="AS133" s="83"/>
      <c r="AT133" s="85"/>
      <c r="AU133" s="85"/>
      <c r="AV133" s="85"/>
      <c r="AW133" s="88"/>
      <c r="AX133" s="84"/>
      <c r="AY133" s="85"/>
      <c r="AZ133" s="84">
        <v>734.92138999999997</v>
      </c>
      <c r="BA133" s="88">
        <v>665.53083000000004</v>
      </c>
      <c r="BB133" s="88">
        <v>218.18512000000001</v>
      </c>
      <c r="BC133" s="85"/>
      <c r="BD133" s="84"/>
      <c r="BE133" s="88"/>
      <c r="BF133" s="85"/>
      <c r="BG133" s="85"/>
      <c r="BH133" s="85"/>
      <c r="BI133" s="85"/>
      <c r="BJ133" s="85"/>
      <c r="BK133" s="85"/>
      <c r="BL133" s="85"/>
      <c r="BM133" s="85"/>
      <c r="BN133" s="85"/>
      <c r="BO133" s="85"/>
      <c r="BP133" s="85"/>
      <c r="BQ133" s="85"/>
      <c r="BR133" s="84"/>
      <c r="BS133" s="85"/>
      <c r="BT133" s="85"/>
      <c r="BU133" s="198"/>
      <c r="BV133" s="90"/>
      <c r="BW133" s="198"/>
      <c r="BX133" s="90"/>
      <c r="BY133" s="198"/>
      <c r="BZ133" s="90"/>
      <c r="CA133" s="91"/>
    </row>
    <row r="134" spans="1:79" ht="50.1" customHeight="1" outlineLevel="2" x14ac:dyDescent="0.3">
      <c r="A134" s="103" t="s">
        <v>146</v>
      </c>
      <c r="B134" s="102" t="s">
        <v>153</v>
      </c>
      <c r="C134" s="79" t="s">
        <v>53</v>
      </c>
      <c r="D134" s="81">
        <f t="shared" si="24"/>
        <v>203.62376</v>
      </c>
      <c r="E134" s="82">
        <f t="shared" si="18"/>
        <v>28.66573</v>
      </c>
      <c r="F134" s="83">
        <f t="shared" si="19"/>
        <v>174.95803000000001</v>
      </c>
      <c r="G134" s="84"/>
      <c r="H134" s="85"/>
      <c r="I134" s="85"/>
      <c r="J134" s="84"/>
      <c r="K134" s="85"/>
      <c r="L134" s="85"/>
      <c r="M134" s="85"/>
      <c r="N134" s="85"/>
      <c r="O134" s="82"/>
      <c r="P134" s="83"/>
      <c r="Q134" s="83"/>
      <c r="R134" s="83"/>
      <c r="S134" s="82"/>
      <c r="T134" s="83"/>
      <c r="U134" s="83"/>
      <c r="V134" s="84"/>
      <c r="W134" s="83">
        <v>44.786000000000001</v>
      </c>
      <c r="X134" s="87"/>
      <c r="Y134" s="83"/>
      <c r="Z134" s="84"/>
      <c r="AA134" s="85"/>
      <c r="AB134" s="84"/>
      <c r="AC134" s="85"/>
      <c r="AD134" s="89">
        <f t="shared" si="20"/>
        <v>0</v>
      </c>
      <c r="AE134" s="89"/>
      <c r="AF134" s="186"/>
      <c r="AG134" s="85"/>
      <c r="AH134" s="85"/>
      <c r="AI134" s="85"/>
      <c r="AJ134" s="84"/>
      <c r="AK134" s="85"/>
      <c r="AL134" s="84"/>
      <c r="AM134" s="88"/>
      <c r="AN134" s="84"/>
      <c r="AO134" s="85"/>
      <c r="AP134" s="84"/>
      <c r="AQ134" s="83"/>
      <c r="AR134" s="83"/>
      <c r="AS134" s="83"/>
      <c r="AT134" s="85"/>
      <c r="AU134" s="85"/>
      <c r="AV134" s="85">
        <v>99.670550000000006</v>
      </c>
      <c r="AW134" s="88"/>
      <c r="AX134" s="84"/>
      <c r="AY134" s="85"/>
      <c r="AZ134" s="84">
        <v>28.66573</v>
      </c>
      <c r="BA134" s="88">
        <v>20.52383</v>
      </c>
      <c r="BB134" s="88">
        <v>9.9776500000000006</v>
      </c>
      <c r="BC134" s="85"/>
      <c r="BD134" s="84"/>
      <c r="BE134" s="88"/>
      <c r="BF134" s="85"/>
      <c r="BG134" s="85"/>
      <c r="BH134" s="85"/>
      <c r="BI134" s="85"/>
      <c r="BJ134" s="85"/>
      <c r="BK134" s="85"/>
      <c r="BL134" s="85"/>
      <c r="BM134" s="85"/>
      <c r="BN134" s="85"/>
      <c r="BO134" s="85"/>
      <c r="BP134" s="85"/>
      <c r="BQ134" s="85"/>
      <c r="BR134" s="84"/>
      <c r="BS134" s="85"/>
      <c r="BT134" s="85"/>
      <c r="BU134" s="198"/>
      <c r="BV134" s="90"/>
      <c r="BW134" s="198"/>
      <c r="BX134" s="90"/>
      <c r="BY134" s="198"/>
      <c r="BZ134" s="90"/>
      <c r="CA134" s="91"/>
    </row>
    <row r="135" spans="1:79" ht="50.1" customHeight="1" outlineLevel="2" x14ac:dyDescent="0.3">
      <c r="A135" s="103" t="s">
        <v>146</v>
      </c>
      <c r="B135" s="102" t="s">
        <v>154</v>
      </c>
      <c r="C135" s="79" t="s">
        <v>55</v>
      </c>
      <c r="D135" s="81">
        <f t="shared" si="24"/>
        <v>463.57372999999995</v>
      </c>
      <c r="E135" s="82">
        <f t="shared" si="18"/>
        <v>250.82512</v>
      </c>
      <c r="F135" s="83">
        <f t="shared" si="19"/>
        <v>212.74860999999999</v>
      </c>
      <c r="G135" s="84"/>
      <c r="H135" s="85"/>
      <c r="I135" s="85"/>
      <c r="J135" s="84"/>
      <c r="K135" s="85"/>
      <c r="L135" s="85"/>
      <c r="M135" s="85"/>
      <c r="N135" s="85"/>
      <c r="O135" s="82"/>
      <c r="P135" s="83"/>
      <c r="Q135" s="83"/>
      <c r="R135" s="83"/>
      <c r="S135" s="82"/>
      <c r="T135" s="83"/>
      <c r="U135" s="83"/>
      <c r="V135" s="84"/>
      <c r="W135" s="83"/>
      <c r="X135" s="82"/>
      <c r="Y135" s="83"/>
      <c r="Z135" s="84"/>
      <c r="AA135" s="85"/>
      <c r="AB135" s="84"/>
      <c r="AC135" s="85"/>
      <c r="AD135" s="89">
        <f t="shared" si="20"/>
        <v>0</v>
      </c>
      <c r="AE135" s="89"/>
      <c r="AF135" s="186"/>
      <c r="AG135" s="85"/>
      <c r="AH135" s="85"/>
      <c r="AI135" s="85"/>
      <c r="AJ135" s="84"/>
      <c r="AK135" s="85"/>
      <c r="AL135" s="84"/>
      <c r="AM135" s="88"/>
      <c r="AN135" s="84"/>
      <c r="AO135" s="85"/>
      <c r="AP135" s="84"/>
      <c r="AQ135" s="83"/>
      <c r="AR135" s="83"/>
      <c r="AS135" s="83"/>
      <c r="AT135" s="85"/>
      <c r="AU135" s="85"/>
      <c r="AV135" s="85"/>
      <c r="AW135" s="88"/>
      <c r="AX135" s="84"/>
      <c r="AY135" s="85"/>
      <c r="AZ135" s="84">
        <v>250.82512</v>
      </c>
      <c r="BA135" s="88">
        <v>163.72824</v>
      </c>
      <c r="BB135" s="88">
        <v>49.02037</v>
      </c>
      <c r="BC135" s="85"/>
      <c r="BD135" s="84"/>
      <c r="BE135" s="88"/>
      <c r="BF135" s="85"/>
      <c r="BG135" s="85"/>
      <c r="BH135" s="85"/>
      <c r="BI135" s="85"/>
      <c r="BJ135" s="85"/>
      <c r="BK135" s="85"/>
      <c r="BL135" s="85"/>
      <c r="BM135" s="85"/>
      <c r="BN135" s="85"/>
      <c r="BO135" s="85"/>
      <c r="BP135" s="85"/>
      <c r="BQ135" s="85"/>
      <c r="BR135" s="84"/>
      <c r="BS135" s="85"/>
      <c r="BT135" s="85"/>
      <c r="BU135" s="198"/>
      <c r="BV135" s="90"/>
      <c r="BW135" s="198"/>
      <c r="BX135" s="90"/>
      <c r="BY135" s="198"/>
      <c r="BZ135" s="90"/>
      <c r="CA135" s="91"/>
    </row>
    <row r="136" spans="1:79" ht="50.1" customHeight="1" outlineLevel="2" x14ac:dyDescent="0.3">
      <c r="A136" s="103" t="s">
        <v>146</v>
      </c>
      <c r="B136" s="102" t="s">
        <v>155</v>
      </c>
      <c r="C136" s="79" t="s">
        <v>55</v>
      </c>
      <c r="D136" s="81">
        <f t="shared" si="24"/>
        <v>516.91106000000002</v>
      </c>
      <c r="E136" s="82">
        <f t="shared" si="18"/>
        <v>201.79161999999999</v>
      </c>
      <c r="F136" s="83">
        <f t="shared" si="19"/>
        <v>315.11944</v>
      </c>
      <c r="G136" s="84"/>
      <c r="H136" s="85"/>
      <c r="I136" s="85"/>
      <c r="J136" s="84"/>
      <c r="K136" s="85"/>
      <c r="L136" s="85"/>
      <c r="M136" s="85"/>
      <c r="N136" s="85"/>
      <c r="O136" s="82"/>
      <c r="P136" s="83"/>
      <c r="Q136" s="85"/>
      <c r="R136" s="85"/>
      <c r="S136" s="84"/>
      <c r="T136" s="85"/>
      <c r="U136" s="85"/>
      <c r="V136" s="84"/>
      <c r="W136" s="85"/>
      <c r="X136" s="84"/>
      <c r="Y136" s="85"/>
      <c r="Z136" s="84"/>
      <c r="AA136" s="85"/>
      <c r="AB136" s="84"/>
      <c r="AC136" s="85"/>
      <c r="AD136" s="89">
        <f t="shared" si="20"/>
        <v>0</v>
      </c>
      <c r="AE136" s="88"/>
      <c r="AF136" s="186"/>
      <c r="AG136" s="85"/>
      <c r="AH136" s="85"/>
      <c r="AI136" s="85"/>
      <c r="AJ136" s="84"/>
      <c r="AK136" s="85"/>
      <c r="AL136" s="84"/>
      <c r="AM136" s="88"/>
      <c r="AN136" s="84"/>
      <c r="AO136" s="85"/>
      <c r="AP136" s="84">
        <v>188.33410000000001</v>
      </c>
      <c r="AQ136" s="83">
        <v>302.93254000000002</v>
      </c>
      <c r="AR136" s="83"/>
      <c r="AS136" s="83"/>
      <c r="AT136" s="85"/>
      <c r="AU136" s="85"/>
      <c r="AV136" s="85"/>
      <c r="AW136" s="88"/>
      <c r="AX136" s="84"/>
      <c r="AY136" s="85"/>
      <c r="AZ136" s="84">
        <v>13.457520000000001</v>
      </c>
      <c r="BA136" s="85">
        <v>12.1869</v>
      </c>
      <c r="BB136" s="88"/>
      <c r="BC136" s="85"/>
      <c r="BD136" s="84"/>
      <c r="BE136" s="88"/>
      <c r="BF136" s="85"/>
      <c r="BG136" s="85"/>
      <c r="BH136" s="85"/>
      <c r="BI136" s="85"/>
      <c r="BJ136" s="85"/>
      <c r="BK136" s="85"/>
      <c r="BL136" s="85"/>
      <c r="BM136" s="85"/>
      <c r="BN136" s="85"/>
      <c r="BO136" s="85"/>
      <c r="BP136" s="85"/>
      <c r="BQ136" s="85"/>
      <c r="BR136" s="84"/>
      <c r="BS136" s="85"/>
      <c r="BT136" s="85"/>
      <c r="BU136" s="198"/>
      <c r="BV136" s="90"/>
      <c r="BW136" s="198"/>
      <c r="BX136" s="90"/>
      <c r="BY136" s="198"/>
      <c r="BZ136" s="90"/>
      <c r="CA136" s="91"/>
    </row>
    <row r="137" spans="1:79" ht="50.1" customHeight="1" outlineLevel="2" x14ac:dyDescent="0.3">
      <c r="A137" s="103" t="s">
        <v>146</v>
      </c>
      <c r="B137" s="102" t="s">
        <v>156</v>
      </c>
      <c r="C137" s="79" t="s">
        <v>55</v>
      </c>
      <c r="D137" s="81">
        <f t="shared" si="24"/>
        <v>771.47200999999995</v>
      </c>
      <c r="E137" s="82">
        <f t="shared" si="18"/>
        <v>96.290899999999993</v>
      </c>
      <c r="F137" s="83">
        <f t="shared" si="19"/>
        <v>675.18110999999999</v>
      </c>
      <c r="G137" s="84"/>
      <c r="H137" s="85"/>
      <c r="I137" s="85"/>
      <c r="J137" s="84"/>
      <c r="K137" s="85"/>
      <c r="L137" s="85"/>
      <c r="M137" s="85"/>
      <c r="N137" s="85"/>
      <c r="O137" s="82"/>
      <c r="P137" s="83"/>
      <c r="Q137" s="83"/>
      <c r="R137" s="83"/>
      <c r="S137" s="82"/>
      <c r="T137" s="83"/>
      <c r="U137" s="83"/>
      <c r="V137" s="84"/>
      <c r="W137" s="83"/>
      <c r="X137" s="82"/>
      <c r="Y137" s="83"/>
      <c r="Z137" s="84"/>
      <c r="AA137" s="85"/>
      <c r="AB137" s="84"/>
      <c r="AC137" s="85"/>
      <c r="AD137" s="89">
        <f t="shared" si="20"/>
        <v>0</v>
      </c>
      <c r="AE137" s="89"/>
      <c r="AF137" s="186"/>
      <c r="AG137" s="85"/>
      <c r="AH137" s="85"/>
      <c r="AI137" s="85"/>
      <c r="AJ137" s="84"/>
      <c r="AK137" s="85"/>
      <c r="AL137" s="84"/>
      <c r="AM137" s="88"/>
      <c r="AN137" s="84"/>
      <c r="AO137" s="85">
        <v>324.48</v>
      </c>
      <c r="AP137" s="84"/>
      <c r="AQ137" s="83"/>
      <c r="AR137" s="83"/>
      <c r="AS137" s="83"/>
      <c r="AT137" s="85"/>
      <c r="AU137" s="85"/>
      <c r="AV137" s="85">
        <v>263.50170000000003</v>
      </c>
      <c r="AW137" s="88"/>
      <c r="AX137" s="84"/>
      <c r="AY137" s="85"/>
      <c r="AZ137" s="84">
        <v>96.290899999999993</v>
      </c>
      <c r="BA137" s="85">
        <v>87.19941</v>
      </c>
      <c r="BB137" s="88"/>
      <c r="BC137" s="85"/>
      <c r="BD137" s="84"/>
      <c r="BE137" s="88"/>
      <c r="BF137" s="85"/>
      <c r="BG137" s="85"/>
      <c r="BH137" s="85"/>
      <c r="BI137" s="85"/>
      <c r="BJ137" s="85"/>
      <c r="BK137" s="85"/>
      <c r="BL137" s="85"/>
      <c r="BM137" s="85"/>
      <c r="BN137" s="85"/>
      <c r="BO137" s="85"/>
      <c r="BP137" s="85"/>
      <c r="BQ137" s="85"/>
      <c r="BR137" s="84"/>
      <c r="BS137" s="85"/>
      <c r="BT137" s="85"/>
      <c r="BU137" s="198"/>
      <c r="BV137" s="90"/>
      <c r="BW137" s="198"/>
      <c r="BX137" s="90"/>
      <c r="BY137" s="198"/>
      <c r="BZ137" s="90"/>
      <c r="CA137" s="91"/>
    </row>
    <row r="138" spans="1:79" ht="50.1" customHeight="1" outlineLevel="2" x14ac:dyDescent="0.3">
      <c r="A138" s="103" t="s">
        <v>146</v>
      </c>
      <c r="B138" s="102" t="s">
        <v>1188</v>
      </c>
      <c r="C138" s="79" t="s">
        <v>55</v>
      </c>
      <c r="D138" s="81">
        <f t="shared" si="24"/>
        <v>3000</v>
      </c>
      <c r="E138" s="82">
        <f t="shared" si="18"/>
        <v>2850</v>
      </c>
      <c r="F138" s="83">
        <f t="shared" si="19"/>
        <v>150</v>
      </c>
      <c r="G138" s="84"/>
      <c r="H138" s="85"/>
      <c r="I138" s="85"/>
      <c r="J138" s="84"/>
      <c r="K138" s="85"/>
      <c r="L138" s="85"/>
      <c r="M138" s="85"/>
      <c r="N138" s="85"/>
      <c r="O138" s="82"/>
      <c r="P138" s="83"/>
      <c r="Q138" s="83"/>
      <c r="R138" s="83"/>
      <c r="S138" s="82"/>
      <c r="T138" s="83"/>
      <c r="U138" s="83"/>
      <c r="V138" s="84"/>
      <c r="W138" s="83"/>
      <c r="X138" s="82"/>
      <c r="Y138" s="83"/>
      <c r="Z138" s="84"/>
      <c r="AA138" s="85"/>
      <c r="AB138" s="84"/>
      <c r="AC138" s="85"/>
      <c r="AD138" s="89"/>
      <c r="AE138" s="89"/>
      <c r="AF138" s="186"/>
      <c r="AG138" s="85"/>
      <c r="AH138" s="85"/>
      <c r="AI138" s="85"/>
      <c r="AJ138" s="84"/>
      <c r="AK138" s="85"/>
      <c r="AL138" s="84"/>
      <c r="AM138" s="88"/>
      <c r="AN138" s="84"/>
      <c r="AO138" s="85"/>
      <c r="AP138" s="84"/>
      <c r="AQ138" s="83"/>
      <c r="AR138" s="83"/>
      <c r="AS138" s="83"/>
      <c r="AT138" s="85"/>
      <c r="AU138" s="85"/>
      <c r="AV138" s="85"/>
      <c r="AW138" s="88"/>
      <c r="AX138" s="84"/>
      <c r="AY138" s="85"/>
      <c r="AZ138" s="84"/>
      <c r="BA138" s="85"/>
      <c r="BB138" s="88"/>
      <c r="BC138" s="85"/>
      <c r="BD138" s="84"/>
      <c r="BE138" s="88"/>
      <c r="BF138" s="85"/>
      <c r="BG138" s="85"/>
      <c r="BH138" s="85"/>
      <c r="BI138" s="85"/>
      <c r="BJ138" s="85"/>
      <c r="BK138" s="85"/>
      <c r="BL138" s="85"/>
      <c r="BM138" s="85"/>
      <c r="BN138" s="85"/>
      <c r="BO138" s="85"/>
      <c r="BP138" s="85"/>
      <c r="BQ138" s="85"/>
      <c r="BR138" s="84"/>
      <c r="BS138" s="85"/>
      <c r="BT138" s="85"/>
      <c r="BU138" s="198"/>
      <c r="BV138" s="90">
        <v>2850</v>
      </c>
      <c r="BW138" s="198">
        <v>150</v>
      </c>
      <c r="BX138" s="90"/>
      <c r="BY138" s="198"/>
      <c r="BZ138" s="90"/>
      <c r="CA138" s="91"/>
    </row>
    <row r="139" spans="1:79" ht="50.1" customHeight="1" outlineLevel="2" x14ac:dyDescent="0.3">
      <c r="A139" s="103" t="s">
        <v>146</v>
      </c>
      <c r="B139" s="102" t="s">
        <v>157</v>
      </c>
      <c r="C139" s="79" t="s">
        <v>55</v>
      </c>
      <c r="D139" s="81">
        <f t="shared" si="24"/>
        <v>3307.62898</v>
      </c>
      <c r="E139" s="82">
        <f t="shared" si="18"/>
        <v>57.331449999999997</v>
      </c>
      <c r="F139" s="83">
        <f t="shared" si="19"/>
        <v>3250.2975299999998</v>
      </c>
      <c r="G139" s="84"/>
      <c r="H139" s="85"/>
      <c r="I139" s="85"/>
      <c r="J139" s="84"/>
      <c r="K139" s="85"/>
      <c r="L139" s="85"/>
      <c r="M139" s="85"/>
      <c r="N139" s="85">
        <v>2456.33385</v>
      </c>
      <c r="O139" s="82"/>
      <c r="P139" s="83"/>
      <c r="Q139" s="83"/>
      <c r="R139" s="83"/>
      <c r="S139" s="82"/>
      <c r="T139" s="83"/>
      <c r="U139" s="83"/>
      <c r="V139" s="84"/>
      <c r="W139" s="83">
        <v>57.561999999999998</v>
      </c>
      <c r="X139" s="82"/>
      <c r="Y139" s="83"/>
      <c r="Z139" s="84"/>
      <c r="AA139" s="85"/>
      <c r="AB139" s="84"/>
      <c r="AC139" s="85"/>
      <c r="AD139" s="89">
        <f t="shared" si="20"/>
        <v>0</v>
      </c>
      <c r="AE139" s="89"/>
      <c r="AF139" s="186"/>
      <c r="AG139" s="85"/>
      <c r="AH139" s="85"/>
      <c r="AI139" s="85"/>
      <c r="AJ139" s="84"/>
      <c r="AK139" s="85"/>
      <c r="AL139" s="84"/>
      <c r="AM139" s="88"/>
      <c r="AN139" s="84"/>
      <c r="AO139" s="85"/>
      <c r="AP139" s="84"/>
      <c r="AQ139" s="83"/>
      <c r="AR139" s="83"/>
      <c r="AS139" s="83"/>
      <c r="AT139" s="85"/>
      <c r="AU139" s="85"/>
      <c r="AV139" s="85">
        <f>248.0618+109.70471</f>
        <v>357.76651000000004</v>
      </c>
      <c r="AW139" s="88"/>
      <c r="AX139" s="84"/>
      <c r="AY139" s="85"/>
      <c r="AZ139" s="84">
        <v>57.331449999999997</v>
      </c>
      <c r="BA139" s="88">
        <v>47.647770000000001</v>
      </c>
      <c r="BB139" s="88">
        <v>18.402640000000002</v>
      </c>
      <c r="BC139" s="85"/>
      <c r="BD139" s="84"/>
      <c r="BE139" s="88"/>
      <c r="BF139" s="85"/>
      <c r="BG139" s="85"/>
      <c r="BH139" s="85"/>
      <c r="BI139" s="85"/>
      <c r="BJ139" s="85"/>
      <c r="BK139" s="85">
        <v>312.58476000000002</v>
      </c>
      <c r="BL139" s="85"/>
      <c r="BM139" s="85"/>
      <c r="BN139" s="85"/>
      <c r="BO139" s="85"/>
      <c r="BP139" s="85"/>
      <c r="BQ139" s="85"/>
      <c r="BR139" s="84"/>
      <c r="BS139" s="85"/>
      <c r="BT139" s="85"/>
      <c r="BU139" s="198"/>
      <c r="BV139" s="90"/>
      <c r="BW139" s="198"/>
      <c r="BX139" s="90"/>
      <c r="BY139" s="198"/>
      <c r="BZ139" s="90"/>
      <c r="CA139" s="91"/>
    </row>
    <row r="140" spans="1:79" ht="50.1" customHeight="1" outlineLevel="2" x14ac:dyDescent="0.3">
      <c r="A140" s="103" t="s">
        <v>146</v>
      </c>
      <c r="B140" s="102" t="s">
        <v>158</v>
      </c>
      <c r="C140" s="79" t="s">
        <v>55</v>
      </c>
      <c r="D140" s="81">
        <f t="shared" si="24"/>
        <v>330.41030999999998</v>
      </c>
      <c r="E140" s="82">
        <f t="shared" si="18"/>
        <v>14.33286</v>
      </c>
      <c r="F140" s="83">
        <f t="shared" si="19"/>
        <v>316.07745</v>
      </c>
      <c r="G140" s="84"/>
      <c r="H140" s="85"/>
      <c r="I140" s="85"/>
      <c r="J140" s="84"/>
      <c r="K140" s="85"/>
      <c r="L140" s="85"/>
      <c r="M140" s="85"/>
      <c r="N140" s="85"/>
      <c r="O140" s="82"/>
      <c r="P140" s="83"/>
      <c r="Q140" s="83"/>
      <c r="R140" s="83"/>
      <c r="S140" s="82"/>
      <c r="T140" s="83"/>
      <c r="U140" s="83"/>
      <c r="V140" s="84"/>
      <c r="W140" s="83">
        <v>11.06</v>
      </c>
      <c r="X140" s="87"/>
      <c r="Y140" s="83"/>
      <c r="Z140" s="84"/>
      <c r="AA140" s="85"/>
      <c r="AB140" s="84"/>
      <c r="AC140" s="85"/>
      <c r="AD140" s="89">
        <f t="shared" si="20"/>
        <v>0</v>
      </c>
      <c r="AE140" s="89"/>
      <c r="AF140" s="186"/>
      <c r="AG140" s="85"/>
      <c r="AH140" s="85"/>
      <c r="AI140" s="85"/>
      <c r="AJ140" s="84"/>
      <c r="AK140" s="85"/>
      <c r="AL140" s="84"/>
      <c r="AM140" s="88"/>
      <c r="AN140" s="84"/>
      <c r="AO140" s="85"/>
      <c r="AP140" s="84"/>
      <c r="AQ140" s="83"/>
      <c r="AR140" s="83"/>
      <c r="AS140" s="83"/>
      <c r="AT140" s="85"/>
      <c r="AU140" s="85"/>
      <c r="AV140" s="85">
        <v>285.32069999999999</v>
      </c>
      <c r="AW140" s="88"/>
      <c r="AX140" s="84"/>
      <c r="AY140" s="85"/>
      <c r="AZ140" s="84">
        <v>14.33286</v>
      </c>
      <c r="BA140" s="88">
        <v>9.6822099999999995</v>
      </c>
      <c r="BB140" s="88">
        <v>10.01454</v>
      </c>
      <c r="BC140" s="85"/>
      <c r="BD140" s="84"/>
      <c r="BE140" s="88"/>
      <c r="BF140" s="85"/>
      <c r="BG140" s="85"/>
      <c r="BH140" s="85"/>
      <c r="BI140" s="85"/>
      <c r="BJ140" s="85"/>
      <c r="BK140" s="85"/>
      <c r="BL140" s="85"/>
      <c r="BM140" s="85"/>
      <c r="BN140" s="85"/>
      <c r="BO140" s="85"/>
      <c r="BP140" s="85"/>
      <c r="BQ140" s="85"/>
      <c r="BR140" s="84"/>
      <c r="BS140" s="85"/>
      <c r="BT140" s="85"/>
      <c r="BU140" s="198"/>
      <c r="BV140" s="90"/>
      <c r="BW140" s="198"/>
      <c r="BX140" s="90"/>
      <c r="BY140" s="198"/>
      <c r="BZ140" s="90"/>
      <c r="CA140" s="91"/>
    </row>
    <row r="141" spans="1:79" ht="50.1" customHeight="1" outlineLevel="2" x14ac:dyDescent="0.3">
      <c r="A141" s="103" t="s">
        <v>146</v>
      </c>
      <c r="B141" s="102" t="s">
        <v>159</v>
      </c>
      <c r="C141" s="79" t="s">
        <v>55</v>
      </c>
      <c r="D141" s="81">
        <f t="shared" si="24"/>
        <v>336.23984999999999</v>
      </c>
      <c r="E141" s="82">
        <f t="shared" si="18"/>
        <v>214.99296000000001</v>
      </c>
      <c r="F141" s="83">
        <f t="shared" si="19"/>
        <v>121.24688999999999</v>
      </c>
      <c r="G141" s="84"/>
      <c r="H141" s="85"/>
      <c r="I141" s="85"/>
      <c r="J141" s="84"/>
      <c r="K141" s="85"/>
      <c r="L141" s="85"/>
      <c r="M141" s="85"/>
      <c r="N141" s="85"/>
      <c r="O141" s="82"/>
      <c r="P141" s="83"/>
      <c r="Q141" s="83"/>
      <c r="R141" s="83"/>
      <c r="S141" s="82"/>
      <c r="T141" s="83"/>
      <c r="U141" s="83"/>
      <c r="V141" s="84"/>
      <c r="W141" s="83"/>
      <c r="X141" s="82"/>
      <c r="Y141" s="83"/>
      <c r="Z141" s="84"/>
      <c r="AA141" s="85"/>
      <c r="AB141" s="84"/>
      <c r="AC141" s="85"/>
      <c r="AD141" s="89">
        <f t="shared" si="20"/>
        <v>0</v>
      </c>
      <c r="AE141" s="89"/>
      <c r="AF141" s="186"/>
      <c r="AG141" s="85"/>
      <c r="AH141" s="85"/>
      <c r="AI141" s="85"/>
      <c r="AJ141" s="84"/>
      <c r="AK141" s="85"/>
      <c r="AL141" s="84"/>
      <c r="AM141" s="88"/>
      <c r="AN141" s="84"/>
      <c r="AO141" s="85"/>
      <c r="AP141" s="84"/>
      <c r="AQ141" s="83"/>
      <c r="AR141" s="83"/>
      <c r="AS141" s="83"/>
      <c r="AT141" s="85"/>
      <c r="AU141" s="85"/>
      <c r="AV141" s="85"/>
      <c r="AW141" s="88"/>
      <c r="AX141" s="84"/>
      <c r="AY141" s="85"/>
      <c r="AZ141" s="84">
        <v>214.99296000000001</v>
      </c>
      <c r="BA141" s="88">
        <v>113.49315</v>
      </c>
      <c r="BB141" s="88">
        <v>7.7537399999999996</v>
      </c>
      <c r="BC141" s="85"/>
      <c r="BD141" s="84"/>
      <c r="BE141" s="88"/>
      <c r="BF141" s="85"/>
      <c r="BG141" s="85"/>
      <c r="BH141" s="85"/>
      <c r="BI141" s="85"/>
      <c r="BJ141" s="85"/>
      <c r="BK141" s="85"/>
      <c r="BL141" s="85"/>
      <c r="BM141" s="85"/>
      <c r="BN141" s="85"/>
      <c r="BO141" s="85"/>
      <c r="BP141" s="85"/>
      <c r="BQ141" s="85"/>
      <c r="BR141" s="84"/>
      <c r="BS141" s="85"/>
      <c r="BT141" s="85"/>
      <c r="BU141" s="198"/>
      <c r="BV141" s="90"/>
      <c r="BW141" s="198"/>
      <c r="BX141" s="90"/>
      <c r="BY141" s="198"/>
      <c r="BZ141" s="90"/>
      <c r="CA141" s="91"/>
    </row>
    <row r="142" spans="1:79" ht="50.1" customHeight="1" outlineLevel="2" x14ac:dyDescent="0.3">
      <c r="A142" s="103" t="s">
        <v>146</v>
      </c>
      <c r="B142" s="102" t="s">
        <v>1058</v>
      </c>
      <c r="C142" s="79" t="s">
        <v>55</v>
      </c>
      <c r="D142" s="81">
        <f t="shared" si="24"/>
        <v>13.481809999999999</v>
      </c>
      <c r="E142" s="82">
        <f t="shared" si="18"/>
        <v>7.0749000000000004</v>
      </c>
      <c r="F142" s="83">
        <f t="shared" si="19"/>
        <v>6.4069099999999999</v>
      </c>
      <c r="G142" s="84"/>
      <c r="H142" s="85"/>
      <c r="I142" s="85"/>
      <c r="J142" s="84"/>
      <c r="K142" s="85"/>
      <c r="L142" s="85"/>
      <c r="M142" s="85"/>
      <c r="N142" s="85"/>
      <c r="O142" s="82"/>
      <c r="P142" s="83"/>
      <c r="Q142" s="83"/>
      <c r="R142" s="83"/>
      <c r="S142" s="82"/>
      <c r="T142" s="83"/>
      <c r="U142" s="83"/>
      <c r="V142" s="84"/>
      <c r="W142" s="83"/>
      <c r="X142" s="82"/>
      <c r="Y142" s="83"/>
      <c r="Z142" s="84"/>
      <c r="AA142" s="85"/>
      <c r="AB142" s="84"/>
      <c r="AC142" s="85"/>
      <c r="AD142" s="89"/>
      <c r="AE142" s="89"/>
      <c r="AF142" s="186"/>
      <c r="AG142" s="85"/>
      <c r="AH142" s="85"/>
      <c r="AI142" s="85"/>
      <c r="AJ142" s="84"/>
      <c r="AK142" s="85"/>
      <c r="AL142" s="84"/>
      <c r="AM142" s="88"/>
      <c r="AN142" s="84"/>
      <c r="AO142" s="85"/>
      <c r="AP142" s="84"/>
      <c r="AQ142" s="83"/>
      <c r="AR142" s="83"/>
      <c r="AS142" s="83"/>
      <c r="AT142" s="85"/>
      <c r="AU142" s="85"/>
      <c r="AV142" s="85"/>
      <c r="AW142" s="88"/>
      <c r="AX142" s="84"/>
      <c r="AY142" s="85"/>
      <c r="AZ142" s="84">
        <v>7.0749000000000004</v>
      </c>
      <c r="BA142" s="88">
        <v>6.4069099999999999</v>
      </c>
      <c r="BB142" s="88"/>
      <c r="BC142" s="85"/>
      <c r="BD142" s="84"/>
      <c r="BE142" s="88"/>
      <c r="BF142" s="85"/>
      <c r="BG142" s="85"/>
      <c r="BH142" s="85"/>
      <c r="BI142" s="85"/>
      <c r="BJ142" s="85"/>
      <c r="BK142" s="85"/>
      <c r="BL142" s="85"/>
      <c r="BM142" s="85"/>
      <c r="BN142" s="85"/>
      <c r="BO142" s="85"/>
      <c r="BP142" s="85"/>
      <c r="BQ142" s="85"/>
      <c r="BR142" s="84"/>
      <c r="BS142" s="85"/>
      <c r="BT142" s="85"/>
      <c r="BU142" s="198"/>
      <c r="BV142" s="90"/>
      <c r="BW142" s="198"/>
      <c r="BX142" s="90"/>
      <c r="BY142" s="198"/>
      <c r="BZ142" s="90"/>
      <c r="CA142" s="91"/>
    </row>
    <row r="143" spans="1:79" ht="50.1" customHeight="1" outlineLevel="2" x14ac:dyDescent="0.3">
      <c r="A143" s="103" t="s">
        <v>146</v>
      </c>
      <c r="B143" s="102" t="s">
        <v>160</v>
      </c>
      <c r="C143" s="79" t="s">
        <v>55</v>
      </c>
      <c r="D143" s="81">
        <f t="shared" si="24"/>
        <v>440.90891999999997</v>
      </c>
      <c r="E143" s="82">
        <f t="shared" si="18"/>
        <v>133.25349</v>
      </c>
      <c r="F143" s="83">
        <f t="shared" si="19"/>
        <v>307.65542999999997</v>
      </c>
      <c r="G143" s="84"/>
      <c r="H143" s="85"/>
      <c r="I143" s="85"/>
      <c r="J143" s="84"/>
      <c r="K143" s="85"/>
      <c r="L143" s="85"/>
      <c r="M143" s="85"/>
      <c r="N143" s="85"/>
      <c r="O143" s="82"/>
      <c r="P143" s="83"/>
      <c r="Q143" s="83"/>
      <c r="R143" s="83"/>
      <c r="S143" s="82"/>
      <c r="T143" s="83"/>
      <c r="U143" s="83"/>
      <c r="V143" s="84">
        <v>18.556000000000001</v>
      </c>
      <c r="W143" s="83">
        <v>32.4</v>
      </c>
      <c r="X143" s="82"/>
      <c r="Y143" s="83"/>
      <c r="Z143" s="84"/>
      <c r="AA143" s="85"/>
      <c r="AB143" s="84"/>
      <c r="AC143" s="85"/>
      <c r="AD143" s="89">
        <f t="shared" si="20"/>
        <v>0</v>
      </c>
      <c r="AE143" s="89"/>
      <c r="AF143" s="186"/>
      <c r="AG143" s="85"/>
      <c r="AH143" s="85"/>
      <c r="AI143" s="85"/>
      <c r="AJ143" s="84"/>
      <c r="AK143" s="85"/>
      <c r="AL143" s="84"/>
      <c r="AM143" s="88"/>
      <c r="AN143" s="84"/>
      <c r="AO143" s="85"/>
      <c r="AP143" s="84">
        <v>100.11972</v>
      </c>
      <c r="AQ143" s="83">
        <v>262.05408999999997</v>
      </c>
      <c r="AR143" s="83"/>
      <c r="AS143" s="83"/>
      <c r="AT143" s="85"/>
      <c r="AU143" s="85"/>
      <c r="AV143" s="85"/>
      <c r="AW143" s="88"/>
      <c r="AX143" s="84"/>
      <c r="AY143" s="85"/>
      <c r="AZ143" s="84">
        <v>14.577769999999999</v>
      </c>
      <c r="BA143" s="85">
        <v>13.20134</v>
      </c>
      <c r="BB143" s="88"/>
      <c r="BC143" s="85"/>
      <c r="BD143" s="84"/>
      <c r="BE143" s="88"/>
      <c r="BF143" s="85"/>
      <c r="BG143" s="85"/>
      <c r="BH143" s="85"/>
      <c r="BI143" s="85"/>
      <c r="BJ143" s="85"/>
      <c r="BK143" s="85"/>
      <c r="BL143" s="85"/>
      <c r="BM143" s="85"/>
      <c r="BN143" s="85"/>
      <c r="BO143" s="85"/>
      <c r="BP143" s="85"/>
      <c r="BQ143" s="85"/>
      <c r="BR143" s="84"/>
      <c r="BS143" s="85"/>
      <c r="BT143" s="85"/>
      <c r="BU143" s="198"/>
      <c r="BV143" s="90"/>
      <c r="BW143" s="198"/>
      <c r="BX143" s="90"/>
      <c r="BY143" s="198"/>
      <c r="BZ143" s="90"/>
      <c r="CA143" s="91"/>
    </row>
    <row r="144" spans="1:79" ht="50.1" customHeight="1" outlineLevel="2" x14ac:dyDescent="0.3">
      <c r="A144" s="103" t="s">
        <v>146</v>
      </c>
      <c r="B144" s="102" t="s">
        <v>161</v>
      </c>
      <c r="C144" s="79" t="s">
        <v>55</v>
      </c>
      <c r="D144" s="81">
        <f t="shared" si="24"/>
        <v>10199.64443</v>
      </c>
      <c r="E144" s="82">
        <f t="shared" si="18"/>
        <v>7922.4894299999996</v>
      </c>
      <c r="F144" s="83">
        <f t="shared" si="19"/>
        <v>2277.1550000000002</v>
      </c>
      <c r="G144" s="84"/>
      <c r="H144" s="85"/>
      <c r="I144" s="85"/>
      <c r="J144" s="84"/>
      <c r="K144" s="85"/>
      <c r="L144" s="85"/>
      <c r="M144" s="85"/>
      <c r="N144" s="85"/>
      <c r="O144" s="82"/>
      <c r="P144" s="83"/>
      <c r="Q144" s="83"/>
      <c r="R144" s="83"/>
      <c r="S144" s="82"/>
      <c r="T144" s="83"/>
      <c r="U144" s="83"/>
      <c r="V144" s="84"/>
      <c r="W144" s="83">
        <v>191.26904999999999</v>
      </c>
      <c r="X144" s="82"/>
      <c r="Y144" s="83"/>
      <c r="Z144" s="84"/>
      <c r="AA144" s="85"/>
      <c r="AB144" s="84"/>
      <c r="AC144" s="85"/>
      <c r="AD144" s="89">
        <f t="shared" si="20"/>
        <v>0</v>
      </c>
      <c r="AE144" s="89"/>
      <c r="AF144" s="186"/>
      <c r="AG144" s="85"/>
      <c r="AH144" s="85"/>
      <c r="AI144" s="85"/>
      <c r="AJ144" s="84"/>
      <c r="AK144" s="85"/>
      <c r="AL144" s="84"/>
      <c r="AM144" s="88"/>
      <c r="AN144" s="84"/>
      <c r="AO144" s="85"/>
      <c r="AP144" s="84"/>
      <c r="AQ144" s="83"/>
      <c r="AR144" s="83"/>
      <c r="AS144" s="83"/>
      <c r="AT144" s="85"/>
      <c r="AU144" s="85"/>
      <c r="AV144" s="85">
        <v>57.5169</v>
      </c>
      <c r="AW144" s="88"/>
      <c r="AX144" s="84"/>
      <c r="AY144" s="85"/>
      <c r="AZ144" s="84">
        <v>322.48943000000003</v>
      </c>
      <c r="BA144" s="88">
        <v>331.26096000000001</v>
      </c>
      <c r="BB144" s="88">
        <v>86.017589999999998</v>
      </c>
      <c r="BC144" s="85"/>
      <c r="BD144" s="84"/>
      <c r="BE144" s="88"/>
      <c r="BF144" s="85"/>
      <c r="BG144" s="85"/>
      <c r="BH144" s="85"/>
      <c r="BI144" s="85"/>
      <c r="BJ144" s="85"/>
      <c r="BK144" s="85">
        <v>1211.0905</v>
      </c>
      <c r="BL144" s="85"/>
      <c r="BM144" s="85"/>
      <c r="BN144" s="85"/>
      <c r="BO144" s="85"/>
      <c r="BP144" s="85"/>
      <c r="BQ144" s="85"/>
      <c r="BR144" s="84"/>
      <c r="BS144" s="85"/>
      <c r="BT144" s="85"/>
      <c r="BU144" s="198"/>
      <c r="BV144" s="90"/>
      <c r="BW144" s="198"/>
      <c r="BX144" s="90"/>
      <c r="BY144" s="198"/>
      <c r="BZ144" s="90">
        <v>7600</v>
      </c>
      <c r="CA144" s="91">
        <v>400</v>
      </c>
    </row>
    <row r="145" spans="1:79" ht="50.1" customHeight="1" outlineLevel="2" x14ac:dyDescent="0.3">
      <c r="A145" s="103" t="s">
        <v>146</v>
      </c>
      <c r="B145" s="102" t="s">
        <v>162</v>
      </c>
      <c r="C145" s="79" t="s">
        <v>55</v>
      </c>
      <c r="D145" s="81">
        <f t="shared" si="24"/>
        <v>100.24569</v>
      </c>
      <c r="E145" s="82">
        <f t="shared" si="18"/>
        <v>38.11824</v>
      </c>
      <c r="F145" s="83">
        <f t="shared" si="19"/>
        <v>62.127450000000003</v>
      </c>
      <c r="G145" s="84"/>
      <c r="H145" s="85"/>
      <c r="I145" s="85"/>
      <c r="J145" s="84"/>
      <c r="K145" s="85"/>
      <c r="L145" s="85"/>
      <c r="M145" s="85"/>
      <c r="N145" s="85"/>
      <c r="O145" s="82"/>
      <c r="P145" s="83"/>
      <c r="Q145" s="83"/>
      <c r="R145" s="83"/>
      <c r="S145" s="82"/>
      <c r="T145" s="83"/>
      <c r="U145" s="83"/>
      <c r="V145" s="84">
        <v>15.076750000000001</v>
      </c>
      <c r="W145" s="83">
        <v>26.324999999999999</v>
      </c>
      <c r="X145" s="87"/>
      <c r="Y145" s="83">
        <v>12.714</v>
      </c>
      <c r="Z145" s="84"/>
      <c r="AA145" s="85"/>
      <c r="AB145" s="84"/>
      <c r="AC145" s="85"/>
      <c r="AD145" s="89">
        <f t="shared" si="20"/>
        <v>0</v>
      </c>
      <c r="AE145" s="89"/>
      <c r="AF145" s="186"/>
      <c r="AG145" s="85"/>
      <c r="AH145" s="85"/>
      <c r="AI145" s="85"/>
      <c r="AJ145" s="84"/>
      <c r="AK145" s="85"/>
      <c r="AL145" s="84"/>
      <c r="AM145" s="88"/>
      <c r="AN145" s="84"/>
      <c r="AO145" s="85"/>
      <c r="AP145" s="84"/>
      <c r="AQ145" s="83"/>
      <c r="AR145" s="83"/>
      <c r="AS145" s="83"/>
      <c r="AT145" s="85"/>
      <c r="AU145" s="85"/>
      <c r="AV145" s="85"/>
      <c r="AW145" s="88"/>
      <c r="AX145" s="84"/>
      <c r="AY145" s="85"/>
      <c r="AZ145" s="84">
        <v>23.04149</v>
      </c>
      <c r="BA145" s="85">
        <v>20.865970000000001</v>
      </c>
      <c r="BB145" s="88">
        <v>2.22248</v>
      </c>
      <c r="BC145" s="85"/>
      <c r="BD145" s="84"/>
      <c r="BE145" s="88"/>
      <c r="BF145" s="85"/>
      <c r="BG145" s="85"/>
      <c r="BH145" s="85"/>
      <c r="BI145" s="85"/>
      <c r="BJ145" s="85"/>
      <c r="BK145" s="85"/>
      <c r="BL145" s="85"/>
      <c r="BM145" s="85"/>
      <c r="BN145" s="85"/>
      <c r="BO145" s="85"/>
      <c r="BP145" s="85"/>
      <c r="BQ145" s="85"/>
      <c r="BR145" s="84"/>
      <c r="BS145" s="85"/>
      <c r="BT145" s="85"/>
      <c r="BU145" s="198"/>
      <c r="BV145" s="90"/>
      <c r="BW145" s="198"/>
      <c r="BX145" s="90"/>
      <c r="BY145" s="198"/>
      <c r="BZ145" s="90"/>
      <c r="CA145" s="91"/>
    </row>
    <row r="146" spans="1:79" ht="50.1" customHeight="1" outlineLevel="2" x14ac:dyDescent="0.3">
      <c r="A146" s="103" t="s">
        <v>146</v>
      </c>
      <c r="B146" s="102" t="s">
        <v>163</v>
      </c>
      <c r="C146" s="79" t="s">
        <v>55</v>
      </c>
      <c r="D146" s="81">
        <f t="shared" si="24"/>
        <v>359.37580000000003</v>
      </c>
      <c r="E146" s="82">
        <f t="shared" si="18"/>
        <v>144.70808</v>
      </c>
      <c r="F146" s="83">
        <f t="shared" si="19"/>
        <v>214.66772000000003</v>
      </c>
      <c r="G146" s="84"/>
      <c r="H146" s="85"/>
      <c r="I146" s="85"/>
      <c r="J146" s="84"/>
      <c r="K146" s="85"/>
      <c r="L146" s="85"/>
      <c r="M146" s="85"/>
      <c r="N146" s="85"/>
      <c r="O146" s="82"/>
      <c r="P146" s="83"/>
      <c r="Q146" s="83"/>
      <c r="R146" s="83"/>
      <c r="S146" s="82"/>
      <c r="T146" s="83"/>
      <c r="U146" s="83"/>
      <c r="V146" s="84"/>
      <c r="W146" s="83"/>
      <c r="X146" s="87"/>
      <c r="Y146" s="83"/>
      <c r="Z146" s="84"/>
      <c r="AA146" s="85"/>
      <c r="AB146" s="84"/>
      <c r="AC146" s="85"/>
      <c r="AD146" s="89">
        <f t="shared" si="20"/>
        <v>0</v>
      </c>
      <c r="AE146" s="89"/>
      <c r="AF146" s="186"/>
      <c r="AG146" s="85"/>
      <c r="AH146" s="85"/>
      <c r="AI146" s="85"/>
      <c r="AJ146" s="84"/>
      <c r="AK146" s="85"/>
      <c r="AL146" s="84"/>
      <c r="AM146" s="88"/>
      <c r="AN146" s="84"/>
      <c r="AO146" s="85"/>
      <c r="AP146" s="84">
        <v>113.83202</v>
      </c>
      <c r="AQ146" s="83">
        <v>174.00541000000001</v>
      </c>
      <c r="AR146" s="83"/>
      <c r="AS146" s="83"/>
      <c r="AT146" s="85"/>
      <c r="AU146" s="85"/>
      <c r="AV146" s="85"/>
      <c r="AW146" s="88"/>
      <c r="AX146" s="84"/>
      <c r="AY146" s="85"/>
      <c r="AZ146" s="84">
        <v>30.876059999999999</v>
      </c>
      <c r="BA146" s="85">
        <v>27.960799999999999</v>
      </c>
      <c r="BB146" s="88">
        <v>12.701510000000001</v>
      </c>
      <c r="BC146" s="85"/>
      <c r="BD146" s="84"/>
      <c r="BE146" s="88"/>
      <c r="BF146" s="85"/>
      <c r="BG146" s="85"/>
      <c r="BH146" s="85"/>
      <c r="BI146" s="85"/>
      <c r="BJ146" s="85"/>
      <c r="BK146" s="85"/>
      <c r="BL146" s="85"/>
      <c r="BM146" s="85"/>
      <c r="BN146" s="85"/>
      <c r="BO146" s="85"/>
      <c r="BP146" s="85"/>
      <c r="BQ146" s="85"/>
      <c r="BR146" s="84"/>
      <c r="BS146" s="85"/>
      <c r="BT146" s="85"/>
      <c r="BU146" s="198"/>
      <c r="BV146" s="90"/>
      <c r="BW146" s="198"/>
      <c r="BX146" s="90"/>
      <c r="BY146" s="198"/>
      <c r="BZ146" s="90"/>
      <c r="CA146" s="91"/>
    </row>
    <row r="147" spans="1:79" ht="50.1" customHeight="1" outlineLevel="2" x14ac:dyDescent="0.3">
      <c r="A147" s="103" t="s">
        <v>1252</v>
      </c>
      <c r="B147" s="102" t="s">
        <v>164</v>
      </c>
      <c r="C147" s="79" t="s">
        <v>55</v>
      </c>
      <c r="D147" s="81">
        <f t="shared" si="24"/>
        <v>860.18155999999999</v>
      </c>
      <c r="E147" s="82">
        <f t="shared" si="18"/>
        <v>0</v>
      </c>
      <c r="F147" s="83">
        <f t="shared" si="19"/>
        <v>860.18155999999999</v>
      </c>
      <c r="G147" s="84"/>
      <c r="H147" s="85"/>
      <c r="I147" s="85"/>
      <c r="J147" s="84"/>
      <c r="K147" s="85"/>
      <c r="L147" s="85"/>
      <c r="M147" s="85"/>
      <c r="N147" s="85"/>
      <c r="O147" s="82"/>
      <c r="P147" s="83"/>
      <c r="Q147" s="83"/>
      <c r="R147" s="83"/>
      <c r="S147" s="82"/>
      <c r="T147" s="83"/>
      <c r="U147" s="83"/>
      <c r="V147" s="84"/>
      <c r="W147" s="83"/>
      <c r="X147" s="87"/>
      <c r="Y147" s="83"/>
      <c r="Z147" s="84"/>
      <c r="AA147" s="85"/>
      <c r="AB147" s="84"/>
      <c r="AC147" s="85"/>
      <c r="AD147" s="89">
        <f t="shared" si="20"/>
        <v>0</v>
      </c>
      <c r="AE147" s="89"/>
      <c r="AF147" s="186"/>
      <c r="AG147" s="85"/>
      <c r="AH147" s="85"/>
      <c r="AI147" s="85"/>
      <c r="AJ147" s="84"/>
      <c r="AK147" s="85"/>
      <c r="AL147" s="84"/>
      <c r="AM147" s="88"/>
      <c r="AN147" s="84"/>
      <c r="AO147" s="85"/>
      <c r="AP147" s="84"/>
      <c r="AQ147" s="83"/>
      <c r="AR147" s="83"/>
      <c r="AS147" s="83"/>
      <c r="AT147" s="85"/>
      <c r="AU147" s="85"/>
      <c r="AV147" s="85"/>
      <c r="AW147" s="88"/>
      <c r="AX147" s="84"/>
      <c r="AY147" s="85"/>
      <c r="AZ147" s="84"/>
      <c r="BA147" s="85"/>
      <c r="BB147" s="88"/>
      <c r="BC147" s="85"/>
      <c r="BD147" s="84"/>
      <c r="BE147" s="88"/>
      <c r="BF147" s="85"/>
      <c r="BG147" s="85"/>
      <c r="BH147" s="85"/>
      <c r="BI147" s="85"/>
      <c r="BJ147" s="85"/>
      <c r="BK147" s="85">
        <v>860.18155999999999</v>
      </c>
      <c r="BL147" s="85"/>
      <c r="BM147" s="85"/>
      <c r="BN147" s="85"/>
      <c r="BO147" s="85"/>
      <c r="BP147" s="85"/>
      <c r="BQ147" s="85"/>
      <c r="BR147" s="84"/>
      <c r="BS147" s="85"/>
      <c r="BT147" s="85"/>
      <c r="BU147" s="198"/>
      <c r="BV147" s="90"/>
      <c r="BW147" s="198"/>
      <c r="BX147" s="90"/>
      <c r="BY147" s="198"/>
      <c r="BZ147" s="90"/>
      <c r="CA147" s="91"/>
    </row>
    <row r="148" spans="1:79" ht="50.1" customHeight="1" outlineLevel="2" x14ac:dyDescent="0.3">
      <c r="A148" s="103" t="s">
        <v>146</v>
      </c>
      <c r="B148" s="102" t="s">
        <v>165</v>
      </c>
      <c r="C148" s="79" t="s">
        <v>55</v>
      </c>
      <c r="D148" s="81">
        <f t="shared" si="24"/>
        <v>370.24225000000001</v>
      </c>
      <c r="E148" s="82">
        <f t="shared" si="18"/>
        <v>214.99296000000001</v>
      </c>
      <c r="F148" s="83">
        <f t="shared" si="19"/>
        <v>155.24929</v>
      </c>
      <c r="G148" s="84"/>
      <c r="H148" s="85"/>
      <c r="I148" s="85"/>
      <c r="J148" s="84"/>
      <c r="K148" s="85"/>
      <c r="L148" s="85"/>
      <c r="M148" s="85"/>
      <c r="N148" s="85"/>
      <c r="O148" s="82"/>
      <c r="P148" s="83"/>
      <c r="Q148" s="83"/>
      <c r="R148" s="83"/>
      <c r="S148" s="82"/>
      <c r="T148" s="83"/>
      <c r="U148" s="83"/>
      <c r="V148" s="84"/>
      <c r="W148" s="83"/>
      <c r="X148" s="82"/>
      <c r="Y148" s="83"/>
      <c r="Z148" s="84"/>
      <c r="AA148" s="85"/>
      <c r="AB148" s="84"/>
      <c r="AC148" s="85"/>
      <c r="AD148" s="89">
        <f t="shared" si="20"/>
        <v>0</v>
      </c>
      <c r="AE148" s="89"/>
      <c r="AF148" s="186"/>
      <c r="AG148" s="85"/>
      <c r="AH148" s="85"/>
      <c r="AI148" s="85"/>
      <c r="AJ148" s="84"/>
      <c r="AK148" s="85"/>
      <c r="AL148" s="84"/>
      <c r="AM148" s="88"/>
      <c r="AN148" s="84"/>
      <c r="AO148" s="85"/>
      <c r="AP148" s="84"/>
      <c r="AQ148" s="83"/>
      <c r="AR148" s="83"/>
      <c r="AS148" s="83"/>
      <c r="AT148" s="85"/>
      <c r="AU148" s="85"/>
      <c r="AV148" s="85"/>
      <c r="AW148" s="88"/>
      <c r="AX148" s="84"/>
      <c r="AY148" s="85"/>
      <c r="AZ148" s="84">
        <v>214.99296000000001</v>
      </c>
      <c r="BA148" s="88">
        <v>136.95350999999999</v>
      </c>
      <c r="BB148" s="88">
        <v>18.295780000000001</v>
      </c>
      <c r="BC148" s="85"/>
      <c r="BD148" s="84"/>
      <c r="BE148" s="88"/>
      <c r="BF148" s="85"/>
      <c r="BG148" s="85"/>
      <c r="BH148" s="85"/>
      <c r="BI148" s="85"/>
      <c r="BJ148" s="85"/>
      <c r="BK148" s="85"/>
      <c r="BL148" s="85"/>
      <c r="BM148" s="85"/>
      <c r="BN148" s="85"/>
      <c r="BO148" s="85"/>
      <c r="BP148" s="85"/>
      <c r="BQ148" s="85"/>
      <c r="BR148" s="84"/>
      <c r="BS148" s="85"/>
      <c r="BT148" s="85"/>
      <c r="BU148" s="198"/>
      <c r="BV148" s="90"/>
      <c r="BW148" s="198"/>
      <c r="BX148" s="90"/>
      <c r="BY148" s="198"/>
      <c r="BZ148" s="90"/>
      <c r="CA148" s="91"/>
    </row>
    <row r="149" spans="1:79" ht="50.1" customHeight="1" outlineLevel="2" x14ac:dyDescent="0.3">
      <c r="A149" s="103" t="s">
        <v>146</v>
      </c>
      <c r="B149" s="102" t="s">
        <v>166</v>
      </c>
      <c r="C149" s="79" t="s">
        <v>55</v>
      </c>
      <c r="D149" s="81">
        <f t="shared" si="24"/>
        <v>158.79494</v>
      </c>
      <c r="E149" s="82">
        <f t="shared" si="18"/>
        <v>71.312139999999999</v>
      </c>
      <c r="F149" s="83">
        <f t="shared" si="19"/>
        <v>87.482799999999997</v>
      </c>
      <c r="G149" s="84"/>
      <c r="H149" s="85"/>
      <c r="I149" s="85"/>
      <c r="J149" s="84"/>
      <c r="K149" s="85"/>
      <c r="L149" s="85"/>
      <c r="M149" s="85"/>
      <c r="N149" s="85"/>
      <c r="O149" s="82">
        <v>1.9030199999999999</v>
      </c>
      <c r="P149" s="83">
        <v>0.24515000000000001</v>
      </c>
      <c r="Q149" s="83"/>
      <c r="R149" s="83"/>
      <c r="S149" s="82"/>
      <c r="T149" s="83"/>
      <c r="U149" s="83"/>
      <c r="V149" s="84"/>
      <c r="W149" s="83"/>
      <c r="X149" s="82"/>
      <c r="Y149" s="83"/>
      <c r="Z149" s="84"/>
      <c r="AA149" s="85"/>
      <c r="AB149" s="84"/>
      <c r="AC149" s="85"/>
      <c r="AD149" s="89">
        <f t="shared" si="20"/>
        <v>0</v>
      </c>
      <c r="AE149" s="89"/>
      <c r="AF149" s="186"/>
      <c r="AG149" s="85"/>
      <c r="AH149" s="85"/>
      <c r="AI149" s="85"/>
      <c r="AJ149" s="84"/>
      <c r="AK149" s="85"/>
      <c r="AL149" s="84"/>
      <c r="AM149" s="88"/>
      <c r="AN149" s="84"/>
      <c r="AO149" s="85"/>
      <c r="AP149" s="84">
        <v>52.4739</v>
      </c>
      <c r="AQ149" s="83">
        <v>71.449370000000002</v>
      </c>
      <c r="AR149" s="83"/>
      <c r="AS149" s="83"/>
      <c r="AT149" s="85"/>
      <c r="AU149" s="85"/>
      <c r="AV149" s="85"/>
      <c r="AW149" s="88"/>
      <c r="AX149" s="84"/>
      <c r="AY149" s="85"/>
      <c r="AZ149" s="84">
        <v>16.935220000000001</v>
      </c>
      <c r="BA149" s="85">
        <v>15.336259999999999</v>
      </c>
      <c r="BB149" s="88">
        <v>0.45201999999999998</v>
      </c>
      <c r="BC149" s="85"/>
      <c r="BD149" s="84"/>
      <c r="BE149" s="88"/>
      <c r="BF149" s="85"/>
      <c r="BG149" s="85"/>
      <c r="BH149" s="85"/>
      <c r="BI149" s="85"/>
      <c r="BJ149" s="85"/>
      <c r="BK149" s="85"/>
      <c r="BL149" s="85"/>
      <c r="BM149" s="85"/>
      <c r="BN149" s="85"/>
      <c r="BO149" s="85"/>
      <c r="BP149" s="85"/>
      <c r="BQ149" s="85"/>
      <c r="BR149" s="84"/>
      <c r="BS149" s="85"/>
      <c r="BT149" s="85"/>
      <c r="BU149" s="198"/>
      <c r="BV149" s="90"/>
      <c r="BW149" s="198"/>
      <c r="BX149" s="90"/>
      <c r="BY149" s="198"/>
      <c r="BZ149" s="90"/>
      <c r="CA149" s="91"/>
    </row>
    <row r="150" spans="1:79" ht="50.1" customHeight="1" outlineLevel="2" x14ac:dyDescent="0.3">
      <c r="A150" s="103" t="s">
        <v>146</v>
      </c>
      <c r="B150" s="102" t="s">
        <v>167</v>
      </c>
      <c r="C150" s="79" t="s">
        <v>55</v>
      </c>
      <c r="D150" s="81">
        <f t="shared" si="24"/>
        <v>253.27536000000001</v>
      </c>
      <c r="E150" s="82">
        <f t="shared" si="18"/>
        <v>45.5899</v>
      </c>
      <c r="F150" s="83">
        <f t="shared" si="19"/>
        <v>207.68546000000001</v>
      </c>
      <c r="G150" s="84"/>
      <c r="H150" s="85"/>
      <c r="I150" s="85"/>
      <c r="J150" s="84"/>
      <c r="K150" s="85"/>
      <c r="L150" s="85"/>
      <c r="M150" s="85"/>
      <c r="N150" s="85"/>
      <c r="O150" s="82"/>
      <c r="P150" s="83"/>
      <c r="Q150" s="83"/>
      <c r="R150" s="83"/>
      <c r="S150" s="82"/>
      <c r="T150" s="83"/>
      <c r="U150" s="83"/>
      <c r="V150" s="84"/>
      <c r="W150" s="83"/>
      <c r="X150" s="82"/>
      <c r="Y150" s="83"/>
      <c r="Z150" s="84"/>
      <c r="AA150" s="85"/>
      <c r="AB150" s="84"/>
      <c r="AC150" s="85"/>
      <c r="AD150" s="89">
        <f t="shared" si="20"/>
        <v>0</v>
      </c>
      <c r="AE150" s="89"/>
      <c r="AF150" s="186"/>
      <c r="AG150" s="85"/>
      <c r="AH150" s="85"/>
      <c r="AI150" s="85"/>
      <c r="AJ150" s="84"/>
      <c r="AK150" s="85"/>
      <c r="AL150" s="84"/>
      <c r="AM150" s="88"/>
      <c r="AN150" s="84"/>
      <c r="AO150" s="85">
        <v>166.4</v>
      </c>
      <c r="AP150" s="84"/>
      <c r="AQ150" s="83"/>
      <c r="AR150" s="83"/>
      <c r="AS150" s="83"/>
      <c r="AT150" s="85"/>
      <c r="AU150" s="85"/>
      <c r="AV150" s="85"/>
      <c r="AW150" s="88"/>
      <c r="AX150" s="84"/>
      <c r="AY150" s="85"/>
      <c r="AZ150" s="84">
        <v>45.5899</v>
      </c>
      <c r="BA150" s="85">
        <v>41.28546</v>
      </c>
      <c r="BB150" s="88"/>
      <c r="BC150" s="85"/>
      <c r="BD150" s="84"/>
      <c r="BE150" s="88"/>
      <c r="BF150" s="85"/>
      <c r="BG150" s="85"/>
      <c r="BH150" s="85"/>
      <c r="BI150" s="85"/>
      <c r="BJ150" s="85"/>
      <c r="BK150" s="85"/>
      <c r="BL150" s="85"/>
      <c r="BM150" s="85"/>
      <c r="BN150" s="85"/>
      <c r="BO150" s="85"/>
      <c r="BP150" s="85"/>
      <c r="BQ150" s="85"/>
      <c r="BR150" s="84"/>
      <c r="BS150" s="85"/>
      <c r="BT150" s="85"/>
      <c r="BU150" s="198"/>
      <c r="BV150" s="90"/>
      <c r="BW150" s="198"/>
      <c r="BX150" s="90"/>
      <c r="BY150" s="198"/>
      <c r="BZ150" s="90"/>
      <c r="CA150" s="91"/>
    </row>
    <row r="151" spans="1:79" ht="50.1" customHeight="1" outlineLevel="2" x14ac:dyDescent="0.3">
      <c r="A151" s="103" t="s">
        <v>146</v>
      </c>
      <c r="B151" s="102" t="s">
        <v>168</v>
      </c>
      <c r="C151" s="79" t="s">
        <v>55</v>
      </c>
      <c r="D151" s="81">
        <f t="shared" si="24"/>
        <v>53.358080000000001</v>
      </c>
      <c r="E151" s="82">
        <f t="shared" si="18"/>
        <v>29.443069999999999</v>
      </c>
      <c r="F151" s="83">
        <f t="shared" si="19"/>
        <v>23.915010000000002</v>
      </c>
      <c r="G151" s="84"/>
      <c r="H151" s="85"/>
      <c r="I151" s="85"/>
      <c r="J151" s="84"/>
      <c r="K151" s="85"/>
      <c r="L151" s="85"/>
      <c r="M151" s="85"/>
      <c r="N151" s="85"/>
      <c r="O151" s="82">
        <v>21.53426</v>
      </c>
      <c r="P151" s="83">
        <v>10.767110000000001</v>
      </c>
      <c r="Q151" s="83"/>
      <c r="R151" s="83"/>
      <c r="S151" s="82"/>
      <c r="T151" s="83"/>
      <c r="U151" s="83"/>
      <c r="V151" s="84"/>
      <c r="W151" s="83"/>
      <c r="X151" s="87"/>
      <c r="Y151" s="91"/>
      <c r="Z151" s="84"/>
      <c r="AA151" s="85"/>
      <c r="AB151" s="84"/>
      <c r="AC151" s="85"/>
      <c r="AD151" s="89">
        <f t="shared" si="20"/>
        <v>0</v>
      </c>
      <c r="AE151" s="89"/>
      <c r="AF151" s="186"/>
      <c r="AG151" s="85"/>
      <c r="AH151" s="85"/>
      <c r="AI151" s="85"/>
      <c r="AJ151" s="84"/>
      <c r="AK151" s="85"/>
      <c r="AL151" s="84"/>
      <c r="AM151" s="88"/>
      <c r="AN151" s="84"/>
      <c r="AO151" s="85"/>
      <c r="AP151" s="84"/>
      <c r="AQ151" s="83"/>
      <c r="AR151" s="83"/>
      <c r="AS151" s="83"/>
      <c r="AT151" s="85"/>
      <c r="AU151" s="85"/>
      <c r="AV151" s="85"/>
      <c r="AW151" s="88"/>
      <c r="AX151" s="84"/>
      <c r="AY151" s="85"/>
      <c r="AZ151" s="84">
        <v>7.9088099999999999</v>
      </c>
      <c r="BA151" s="85">
        <v>7.1620699999999999</v>
      </c>
      <c r="BB151" s="88">
        <v>5.98583</v>
      </c>
      <c r="BC151" s="85"/>
      <c r="BD151" s="84"/>
      <c r="BE151" s="88"/>
      <c r="BF151" s="85"/>
      <c r="BG151" s="85"/>
      <c r="BH151" s="85"/>
      <c r="BI151" s="85"/>
      <c r="BJ151" s="85"/>
      <c r="BK151" s="85"/>
      <c r="BL151" s="85"/>
      <c r="BM151" s="85"/>
      <c r="BN151" s="85"/>
      <c r="BO151" s="85"/>
      <c r="BP151" s="85"/>
      <c r="BQ151" s="85"/>
      <c r="BR151" s="84"/>
      <c r="BS151" s="85"/>
      <c r="BT151" s="85"/>
      <c r="BU151" s="198"/>
      <c r="BV151" s="90"/>
      <c r="BW151" s="198"/>
      <c r="BX151" s="90"/>
      <c r="BY151" s="198"/>
      <c r="BZ151" s="90"/>
      <c r="CA151" s="91"/>
    </row>
    <row r="152" spans="1:79" ht="50.1" customHeight="1" outlineLevel="2" x14ac:dyDescent="0.3">
      <c r="A152" s="103" t="s">
        <v>146</v>
      </c>
      <c r="B152" s="102" t="s">
        <v>169</v>
      </c>
      <c r="C152" s="79" t="s">
        <v>55</v>
      </c>
      <c r="D152" s="81">
        <f t="shared" si="24"/>
        <v>17.923459999999999</v>
      </c>
      <c r="E152" s="82">
        <f t="shared" si="18"/>
        <v>6.4713099999999999</v>
      </c>
      <c r="F152" s="83">
        <f t="shared" si="19"/>
        <v>11.45215</v>
      </c>
      <c r="G152" s="84"/>
      <c r="H152" s="85"/>
      <c r="I152" s="85"/>
      <c r="J152" s="84"/>
      <c r="K152" s="85"/>
      <c r="L152" s="85"/>
      <c r="M152" s="85"/>
      <c r="N152" s="85"/>
      <c r="O152" s="82"/>
      <c r="P152" s="83"/>
      <c r="Q152" s="83"/>
      <c r="R152" s="83"/>
      <c r="S152" s="82"/>
      <c r="T152" s="83"/>
      <c r="U152" s="83"/>
      <c r="V152" s="84"/>
      <c r="W152" s="83"/>
      <c r="X152" s="87"/>
      <c r="Y152" s="83"/>
      <c r="Z152" s="84"/>
      <c r="AA152" s="85"/>
      <c r="AB152" s="84"/>
      <c r="AC152" s="85"/>
      <c r="AD152" s="89">
        <f t="shared" si="20"/>
        <v>0</v>
      </c>
      <c r="AE152" s="89"/>
      <c r="AF152" s="186"/>
      <c r="AG152" s="85"/>
      <c r="AH152" s="85"/>
      <c r="AI152" s="85"/>
      <c r="AJ152" s="84"/>
      <c r="AK152" s="85"/>
      <c r="AL152" s="84"/>
      <c r="AM152" s="88"/>
      <c r="AN152" s="84"/>
      <c r="AO152" s="85"/>
      <c r="AP152" s="84"/>
      <c r="AQ152" s="83"/>
      <c r="AR152" s="83"/>
      <c r="AS152" s="83"/>
      <c r="AT152" s="85"/>
      <c r="AU152" s="85"/>
      <c r="AV152" s="85"/>
      <c r="AW152" s="88"/>
      <c r="AX152" s="84"/>
      <c r="AY152" s="85"/>
      <c r="AZ152" s="84">
        <v>6.4713099999999999</v>
      </c>
      <c r="BA152" s="85">
        <v>5.8602999999999996</v>
      </c>
      <c r="BB152" s="88">
        <v>5.59185</v>
      </c>
      <c r="BC152" s="85"/>
      <c r="BD152" s="84"/>
      <c r="BE152" s="88"/>
      <c r="BF152" s="85"/>
      <c r="BG152" s="85"/>
      <c r="BH152" s="85"/>
      <c r="BI152" s="85"/>
      <c r="BJ152" s="85"/>
      <c r="BK152" s="85"/>
      <c r="BL152" s="85"/>
      <c r="BM152" s="85"/>
      <c r="BN152" s="85"/>
      <c r="BO152" s="85"/>
      <c r="BP152" s="85"/>
      <c r="BQ152" s="85"/>
      <c r="BR152" s="84"/>
      <c r="BS152" s="85"/>
      <c r="BT152" s="85"/>
      <c r="BU152" s="198"/>
      <c r="BV152" s="90"/>
      <c r="BW152" s="198"/>
      <c r="BX152" s="90"/>
      <c r="BY152" s="198"/>
      <c r="BZ152" s="90"/>
      <c r="CA152" s="91"/>
    </row>
    <row r="153" spans="1:79" ht="50.1" customHeight="1" outlineLevel="2" x14ac:dyDescent="0.3">
      <c r="A153" s="103" t="s">
        <v>146</v>
      </c>
      <c r="B153" s="102" t="s">
        <v>170</v>
      </c>
      <c r="C153" s="79" t="s">
        <v>55</v>
      </c>
      <c r="D153" s="81">
        <f t="shared" si="24"/>
        <v>21.80817</v>
      </c>
      <c r="E153" s="82">
        <f t="shared" si="18"/>
        <v>2.8177599999999998</v>
      </c>
      <c r="F153" s="83">
        <f t="shared" si="19"/>
        <v>18.990410000000001</v>
      </c>
      <c r="G153" s="84"/>
      <c r="H153" s="85"/>
      <c r="I153" s="85"/>
      <c r="J153" s="84"/>
      <c r="K153" s="85"/>
      <c r="L153" s="85"/>
      <c r="M153" s="85"/>
      <c r="N153" s="85"/>
      <c r="O153" s="82"/>
      <c r="P153" s="83"/>
      <c r="Q153" s="83"/>
      <c r="R153" s="83"/>
      <c r="S153" s="82"/>
      <c r="T153" s="83"/>
      <c r="U153" s="83"/>
      <c r="V153" s="84"/>
      <c r="W153" s="83"/>
      <c r="X153" s="82"/>
      <c r="Y153" s="83"/>
      <c r="Z153" s="84"/>
      <c r="AA153" s="85"/>
      <c r="AB153" s="84"/>
      <c r="AC153" s="85"/>
      <c r="AD153" s="89">
        <f t="shared" si="20"/>
        <v>0</v>
      </c>
      <c r="AE153" s="89"/>
      <c r="AF153" s="186"/>
      <c r="AG153" s="85"/>
      <c r="AH153" s="85"/>
      <c r="AI153" s="85"/>
      <c r="AJ153" s="84"/>
      <c r="AK153" s="85"/>
      <c r="AL153" s="84"/>
      <c r="AM153" s="88"/>
      <c r="AN153" s="84"/>
      <c r="AO153" s="85"/>
      <c r="AP153" s="84"/>
      <c r="AQ153" s="83"/>
      <c r="AR153" s="83"/>
      <c r="AS153" s="83"/>
      <c r="AT153" s="85"/>
      <c r="AU153" s="85"/>
      <c r="AV153" s="85"/>
      <c r="AW153" s="88"/>
      <c r="AX153" s="84"/>
      <c r="AY153" s="85"/>
      <c r="AZ153" s="84">
        <v>2.8177599999999998</v>
      </c>
      <c r="BA153" s="85">
        <v>2.55172</v>
      </c>
      <c r="BB153" s="88">
        <v>16.438690000000001</v>
      </c>
      <c r="BC153" s="85"/>
      <c r="BD153" s="84"/>
      <c r="BE153" s="88"/>
      <c r="BF153" s="85"/>
      <c r="BG153" s="85"/>
      <c r="BH153" s="85"/>
      <c r="BI153" s="85"/>
      <c r="BJ153" s="85"/>
      <c r="BK153" s="85"/>
      <c r="BL153" s="85"/>
      <c r="BM153" s="85"/>
      <c r="BN153" s="85"/>
      <c r="BO153" s="85"/>
      <c r="BP153" s="85"/>
      <c r="BQ153" s="85"/>
      <c r="BR153" s="84"/>
      <c r="BS153" s="85"/>
      <c r="BT153" s="85"/>
      <c r="BU153" s="198"/>
      <c r="BV153" s="90"/>
      <c r="BW153" s="198"/>
      <c r="BX153" s="90"/>
      <c r="BY153" s="198"/>
      <c r="BZ153" s="90"/>
      <c r="CA153" s="91"/>
    </row>
    <row r="154" spans="1:79" ht="50.1" customHeight="1" outlineLevel="2" x14ac:dyDescent="0.3">
      <c r="A154" s="103" t="s">
        <v>146</v>
      </c>
      <c r="B154" s="102" t="s">
        <v>171</v>
      </c>
      <c r="C154" s="79" t="s">
        <v>55</v>
      </c>
      <c r="D154" s="81">
        <f t="shared" si="24"/>
        <v>1270.20472</v>
      </c>
      <c r="E154" s="82">
        <f t="shared" si="18"/>
        <v>584.07164</v>
      </c>
      <c r="F154" s="83">
        <f t="shared" si="19"/>
        <v>686.13307999999995</v>
      </c>
      <c r="G154" s="84"/>
      <c r="H154" s="85"/>
      <c r="I154" s="85"/>
      <c r="J154" s="84">
        <f>69.61547</f>
        <v>69.615470000000002</v>
      </c>
      <c r="K154" s="85">
        <v>25.31474</v>
      </c>
      <c r="L154" s="85"/>
      <c r="M154" s="85"/>
      <c r="N154" s="85"/>
      <c r="O154" s="82">
        <v>15.08067</v>
      </c>
      <c r="P154" s="83">
        <v>0.79371999999999998</v>
      </c>
      <c r="Q154" s="83"/>
      <c r="R154" s="83"/>
      <c r="S154" s="82"/>
      <c r="T154" s="83"/>
      <c r="U154" s="83"/>
      <c r="V154" s="84"/>
      <c r="W154" s="83"/>
      <c r="X154" s="82"/>
      <c r="Y154" s="83"/>
      <c r="Z154" s="84"/>
      <c r="AA154" s="85"/>
      <c r="AB154" s="84"/>
      <c r="AC154" s="85"/>
      <c r="AD154" s="89">
        <f t="shared" si="20"/>
        <v>0</v>
      </c>
      <c r="AE154" s="89"/>
      <c r="AF154" s="186"/>
      <c r="AG154" s="85"/>
      <c r="AH154" s="85"/>
      <c r="AI154" s="85"/>
      <c r="AJ154" s="84"/>
      <c r="AK154" s="85"/>
      <c r="AL154" s="84"/>
      <c r="AM154" s="88"/>
      <c r="AN154" s="84"/>
      <c r="AO154" s="85"/>
      <c r="AP154" s="84">
        <v>299.84291000000002</v>
      </c>
      <c r="AQ154" s="83">
        <v>456.14420000000001</v>
      </c>
      <c r="AR154" s="83"/>
      <c r="AS154" s="83"/>
      <c r="AT154" s="85"/>
      <c r="AU154" s="85"/>
      <c r="AV154" s="85"/>
      <c r="AW154" s="88"/>
      <c r="AX154" s="84"/>
      <c r="AY154" s="85"/>
      <c r="AZ154" s="84">
        <v>199.53259</v>
      </c>
      <c r="BA154" s="85">
        <v>180.69291999999999</v>
      </c>
      <c r="BB154" s="88"/>
      <c r="BC154" s="85"/>
      <c r="BD154" s="84"/>
      <c r="BE154" s="88"/>
      <c r="BF154" s="85"/>
      <c r="BG154" s="85"/>
      <c r="BH154" s="85"/>
      <c r="BI154" s="85"/>
      <c r="BJ154" s="85"/>
      <c r="BK154" s="85">
        <v>23.1875</v>
      </c>
      <c r="BL154" s="85"/>
      <c r="BM154" s="85"/>
      <c r="BN154" s="85"/>
      <c r="BO154" s="85"/>
      <c r="BP154" s="85"/>
      <c r="BQ154" s="85"/>
      <c r="BR154" s="84"/>
      <c r="BS154" s="85"/>
      <c r="BT154" s="85"/>
      <c r="BU154" s="198"/>
      <c r="BV154" s="90"/>
      <c r="BW154" s="198"/>
      <c r="BX154" s="90"/>
      <c r="BY154" s="198"/>
      <c r="BZ154" s="90"/>
      <c r="CA154" s="91"/>
    </row>
    <row r="155" spans="1:79" ht="50.1" customHeight="1" outlineLevel="2" x14ac:dyDescent="0.3">
      <c r="A155" s="103" t="s">
        <v>146</v>
      </c>
      <c r="B155" s="102" t="s">
        <v>172</v>
      </c>
      <c r="C155" s="79" t="s">
        <v>55</v>
      </c>
      <c r="D155" s="81">
        <f t="shared" si="24"/>
        <v>57.410390000000007</v>
      </c>
      <c r="E155" s="82">
        <f t="shared" si="18"/>
        <v>35.307130000000001</v>
      </c>
      <c r="F155" s="83">
        <f t="shared" si="19"/>
        <v>22.103260000000002</v>
      </c>
      <c r="G155" s="84"/>
      <c r="H155" s="85"/>
      <c r="I155" s="85"/>
      <c r="J155" s="84"/>
      <c r="K155" s="85"/>
      <c r="L155" s="85"/>
      <c r="M155" s="85"/>
      <c r="N155" s="85"/>
      <c r="O155" s="82">
        <v>20.103560000000002</v>
      </c>
      <c r="P155" s="83">
        <v>1.0580799999999999</v>
      </c>
      <c r="Q155" s="83"/>
      <c r="R155" s="83"/>
      <c r="S155" s="82"/>
      <c r="T155" s="83"/>
      <c r="U155" s="83"/>
      <c r="V155" s="84"/>
      <c r="W155" s="83"/>
      <c r="X155" s="87"/>
      <c r="Y155" s="83"/>
      <c r="Z155" s="84"/>
      <c r="AA155" s="85"/>
      <c r="AB155" s="84"/>
      <c r="AC155" s="85"/>
      <c r="AD155" s="89">
        <f t="shared" si="20"/>
        <v>0</v>
      </c>
      <c r="AE155" s="89"/>
      <c r="AF155" s="186"/>
      <c r="AG155" s="85"/>
      <c r="AH155" s="85"/>
      <c r="AI155" s="85"/>
      <c r="AJ155" s="84"/>
      <c r="AK155" s="85"/>
      <c r="AL155" s="84"/>
      <c r="AM155" s="88"/>
      <c r="AN155" s="84"/>
      <c r="AO155" s="85"/>
      <c r="AP155" s="84"/>
      <c r="AQ155" s="83"/>
      <c r="AR155" s="83"/>
      <c r="AS155" s="83"/>
      <c r="AT155" s="85"/>
      <c r="AU155" s="85"/>
      <c r="AV155" s="85"/>
      <c r="AW155" s="88"/>
      <c r="AX155" s="84"/>
      <c r="AY155" s="85"/>
      <c r="AZ155" s="84">
        <v>15.203569999999999</v>
      </c>
      <c r="BA155" s="85">
        <v>13.768090000000001</v>
      </c>
      <c r="BB155" s="88">
        <v>7.2770900000000003</v>
      </c>
      <c r="BC155" s="85"/>
      <c r="BD155" s="84"/>
      <c r="BE155" s="88"/>
      <c r="BF155" s="85"/>
      <c r="BG155" s="85"/>
      <c r="BH155" s="85"/>
      <c r="BI155" s="85"/>
      <c r="BJ155" s="85"/>
      <c r="BK155" s="85"/>
      <c r="BL155" s="85"/>
      <c r="BM155" s="85"/>
      <c r="BN155" s="85"/>
      <c r="BO155" s="85"/>
      <c r="BP155" s="85"/>
      <c r="BQ155" s="85"/>
      <c r="BR155" s="84"/>
      <c r="BS155" s="85"/>
      <c r="BT155" s="85"/>
      <c r="BU155" s="198"/>
      <c r="BV155" s="90"/>
      <c r="BW155" s="198"/>
      <c r="BX155" s="90"/>
      <c r="BY155" s="198"/>
      <c r="BZ155" s="90"/>
      <c r="CA155" s="91"/>
    </row>
    <row r="156" spans="1:79" ht="50.1" customHeight="1" outlineLevel="2" x14ac:dyDescent="0.3">
      <c r="A156" s="103" t="s">
        <v>146</v>
      </c>
      <c r="B156" s="102" t="s">
        <v>173</v>
      </c>
      <c r="C156" s="79" t="s">
        <v>55</v>
      </c>
      <c r="D156" s="81">
        <f t="shared" si="24"/>
        <v>218.61031</v>
      </c>
      <c r="E156" s="82">
        <f t="shared" si="18"/>
        <v>121.82934</v>
      </c>
      <c r="F156" s="83">
        <f t="shared" si="19"/>
        <v>96.780969999999996</v>
      </c>
      <c r="G156" s="84"/>
      <c r="H156" s="85"/>
      <c r="I156" s="85"/>
      <c r="J156" s="84"/>
      <c r="K156" s="85"/>
      <c r="L156" s="85"/>
      <c r="M156" s="85"/>
      <c r="N156" s="85"/>
      <c r="O156" s="82"/>
      <c r="P156" s="83"/>
      <c r="Q156" s="83"/>
      <c r="R156" s="83"/>
      <c r="S156" s="82"/>
      <c r="T156" s="83"/>
      <c r="U156" s="83"/>
      <c r="V156" s="84"/>
      <c r="W156" s="83"/>
      <c r="X156" s="82"/>
      <c r="Y156" s="83"/>
      <c r="Z156" s="84"/>
      <c r="AA156" s="85"/>
      <c r="AB156" s="84"/>
      <c r="AC156" s="85"/>
      <c r="AD156" s="89">
        <f t="shared" si="20"/>
        <v>0</v>
      </c>
      <c r="AE156" s="89"/>
      <c r="AF156" s="186"/>
      <c r="AG156" s="85"/>
      <c r="AH156" s="85"/>
      <c r="AI156" s="85"/>
      <c r="AJ156" s="84"/>
      <c r="AK156" s="85"/>
      <c r="AL156" s="84"/>
      <c r="AM156" s="88"/>
      <c r="AN156" s="84"/>
      <c r="AO156" s="85"/>
      <c r="AP156" s="84"/>
      <c r="AQ156" s="83"/>
      <c r="AR156" s="83"/>
      <c r="AS156" s="83"/>
      <c r="AT156" s="85"/>
      <c r="AU156" s="85"/>
      <c r="AV156" s="85"/>
      <c r="AW156" s="88"/>
      <c r="AX156" s="84"/>
      <c r="AY156" s="85"/>
      <c r="AZ156" s="84">
        <v>121.82934</v>
      </c>
      <c r="BA156" s="85">
        <v>95.309129999999996</v>
      </c>
      <c r="BB156" s="88">
        <v>1.47184</v>
      </c>
      <c r="BC156" s="85"/>
      <c r="BD156" s="84"/>
      <c r="BE156" s="88"/>
      <c r="BF156" s="85"/>
      <c r="BG156" s="85"/>
      <c r="BH156" s="85"/>
      <c r="BI156" s="85"/>
      <c r="BJ156" s="85"/>
      <c r="BK156" s="85"/>
      <c r="BL156" s="85"/>
      <c r="BM156" s="85"/>
      <c r="BN156" s="85"/>
      <c r="BO156" s="85"/>
      <c r="BP156" s="85"/>
      <c r="BQ156" s="85"/>
      <c r="BR156" s="84"/>
      <c r="BS156" s="85"/>
      <c r="BT156" s="85"/>
      <c r="BU156" s="198"/>
      <c r="BV156" s="90"/>
      <c r="BW156" s="198"/>
      <c r="BX156" s="90"/>
      <c r="BY156" s="198"/>
      <c r="BZ156" s="90"/>
      <c r="CA156" s="91"/>
    </row>
    <row r="157" spans="1:79" ht="50.1" customHeight="1" outlineLevel="2" x14ac:dyDescent="0.3">
      <c r="A157" s="103" t="s">
        <v>146</v>
      </c>
      <c r="B157" s="102" t="s">
        <v>174</v>
      </c>
      <c r="C157" s="79" t="s">
        <v>55</v>
      </c>
      <c r="D157" s="81">
        <f t="shared" si="24"/>
        <v>306.03464000000002</v>
      </c>
      <c r="E157" s="82">
        <f t="shared" ref="E157:E211" si="25">G157+J157+O157+S157+V157+X157+Z157+AB157+AJ157+AL157+AN157+AP157+AX157+AZ157+BD157+BV157+BX157+BZ157+BR157</f>
        <v>0</v>
      </c>
      <c r="F157" s="83">
        <f t="shared" si="19"/>
        <v>306.03464000000002</v>
      </c>
      <c r="G157" s="84"/>
      <c r="H157" s="85"/>
      <c r="I157" s="85"/>
      <c r="J157" s="84"/>
      <c r="K157" s="85"/>
      <c r="L157" s="85"/>
      <c r="M157" s="85"/>
      <c r="N157" s="85"/>
      <c r="O157" s="82"/>
      <c r="P157" s="83"/>
      <c r="Q157" s="83"/>
      <c r="R157" s="83"/>
      <c r="S157" s="82"/>
      <c r="T157" s="83"/>
      <c r="U157" s="83"/>
      <c r="V157" s="84"/>
      <c r="W157" s="83"/>
      <c r="X157" s="82"/>
      <c r="Y157" s="83"/>
      <c r="Z157" s="84"/>
      <c r="AA157" s="85"/>
      <c r="AB157" s="84"/>
      <c r="AC157" s="85"/>
      <c r="AD157" s="89">
        <f t="shared" si="20"/>
        <v>0</v>
      </c>
      <c r="AE157" s="89"/>
      <c r="AF157" s="186"/>
      <c r="AG157" s="85"/>
      <c r="AH157" s="85"/>
      <c r="AI157" s="85"/>
      <c r="AJ157" s="84"/>
      <c r="AK157" s="85"/>
      <c r="AL157" s="84"/>
      <c r="AM157" s="88"/>
      <c r="AN157" s="84"/>
      <c r="AO157" s="85">
        <v>108.16</v>
      </c>
      <c r="AP157" s="84"/>
      <c r="AQ157" s="83"/>
      <c r="AR157" s="83"/>
      <c r="AS157" s="83"/>
      <c r="AT157" s="85"/>
      <c r="AU157" s="85"/>
      <c r="AV157" s="85"/>
      <c r="AW157" s="88"/>
      <c r="AX157" s="84"/>
      <c r="AY157" s="85"/>
      <c r="AZ157" s="84"/>
      <c r="BA157" s="85"/>
      <c r="BB157" s="88">
        <v>1.50874</v>
      </c>
      <c r="BC157" s="85"/>
      <c r="BD157" s="84"/>
      <c r="BE157" s="88"/>
      <c r="BF157" s="85"/>
      <c r="BG157" s="85"/>
      <c r="BH157" s="85"/>
      <c r="BI157" s="85"/>
      <c r="BJ157" s="85"/>
      <c r="BK157" s="85"/>
      <c r="BL157" s="85"/>
      <c r="BM157" s="85"/>
      <c r="BN157" s="85"/>
      <c r="BO157" s="85"/>
      <c r="BP157" s="85"/>
      <c r="BQ157" s="85"/>
      <c r="BR157" s="84"/>
      <c r="BS157" s="85"/>
      <c r="BT157" s="85"/>
      <c r="BU157" s="97">
        <v>196.36590000000001</v>
      </c>
      <c r="BV157" s="90"/>
      <c r="BW157" s="198"/>
      <c r="BX157" s="90"/>
      <c r="BY157" s="198"/>
      <c r="BZ157" s="90"/>
      <c r="CA157" s="91"/>
    </row>
    <row r="158" spans="1:79" ht="50.1" customHeight="1" outlineLevel="2" x14ac:dyDescent="0.3">
      <c r="A158" s="103" t="s">
        <v>146</v>
      </c>
      <c r="B158" s="102" t="s">
        <v>175</v>
      </c>
      <c r="C158" s="79" t="s">
        <v>55</v>
      </c>
      <c r="D158" s="81">
        <f t="shared" si="24"/>
        <v>226.09676999999999</v>
      </c>
      <c r="E158" s="82">
        <f t="shared" si="25"/>
        <v>0</v>
      </c>
      <c r="F158" s="83">
        <f t="shared" si="19"/>
        <v>226.09676999999999</v>
      </c>
      <c r="G158" s="84"/>
      <c r="H158" s="85"/>
      <c r="I158" s="85"/>
      <c r="J158" s="84"/>
      <c r="K158" s="85"/>
      <c r="L158" s="85"/>
      <c r="M158" s="85"/>
      <c r="N158" s="85"/>
      <c r="O158" s="82"/>
      <c r="P158" s="83"/>
      <c r="Q158" s="83"/>
      <c r="R158" s="83"/>
      <c r="S158" s="82"/>
      <c r="T158" s="83"/>
      <c r="U158" s="83"/>
      <c r="V158" s="84"/>
      <c r="W158" s="83"/>
      <c r="X158" s="82"/>
      <c r="Y158" s="83">
        <v>4.3680000000000003</v>
      </c>
      <c r="Z158" s="84"/>
      <c r="AA158" s="85"/>
      <c r="AB158" s="84"/>
      <c r="AC158" s="85"/>
      <c r="AD158" s="89">
        <f t="shared" si="20"/>
        <v>0</v>
      </c>
      <c r="AE158" s="89"/>
      <c r="AF158" s="186"/>
      <c r="AG158" s="85"/>
      <c r="AH158" s="85"/>
      <c r="AI158" s="85"/>
      <c r="AJ158" s="84"/>
      <c r="AK158" s="85"/>
      <c r="AL158" s="84"/>
      <c r="AM158" s="88"/>
      <c r="AN158" s="84"/>
      <c r="AO158" s="85"/>
      <c r="AP158" s="84"/>
      <c r="AQ158" s="83"/>
      <c r="AR158" s="83"/>
      <c r="AS158" s="83"/>
      <c r="AT158" s="85"/>
      <c r="AU158" s="85"/>
      <c r="AV158" s="85"/>
      <c r="AW158" s="88"/>
      <c r="AX158" s="84"/>
      <c r="AY158" s="85"/>
      <c r="AZ158" s="84"/>
      <c r="BA158" s="85"/>
      <c r="BB158" s="88">
        <v>3.87</v>
      </c>
      <c r="BC158" s="85"/>
      <c r="BD158" s="84"/>
      <c r="BE158" s="88"/>
      <c r="BF158" s="85"/>
      <c r="BG158" s="85">
        <v>217.85876999999999</v>
      </c>
      <c r="BH158" s="85"/>
      <c r="BI158" s="85"/>
      <c r="BJ158" s="85"/>
      <c r="BK158" s="85"/>
      <c r="BL158" s="85"/>
      <c r="BM158" s="85"/>
      <c r="BN158" s="85"/>
      <c r="BO158" s="85"/>
      <c r="BP158" s="85"/>
      <c r="BQ158" s="85"/>
      <c r="BR158" s="84"/>
      <c r="BS158" s="85"/>
      <c r="BT158" s="85"/>
      <c r="BU158" s="198"/>
      <c r="BV158" s="90"/>
      <c r="BW158" s="198"/>
      <c r="BX158" s="90"/>
      <c r="BY158" s="198"/>
      <c r="BZ158" s="90"/>
      <c r="CA158" s="91"/>
    </row>
    <row r="159" spans="1:79" ht="50.1" customHeight="1" outlineLevel="2" x14ac:dyDescent="0.3">
      <c r="A159" s="103" t="s">
        <v>1253</v>
      </c>
      <c r="B159" s="102" t="s">
        <v>176</v>
      </c>
      <c r="C159" s="79" t="s">
        <v>55</v>
      </c>
      <c r="D159" s="81">
        <f t="shared" si="24"/>
        <v>65.521929999999998</v>
      </c>
      <c r="E159" s="82">
        <f t="shared" si="25"/>
        <v>38.698740000000001</v>
      </c>
      <c r="F159" s="83">
        <f t="shared" si="19"/>
        <v>26.82319</v>
      </c>
      <c r="G159" s="84"/>
      <c r="H159" s="85"/>
      <c r="I159" s="85"/>
      <c r="J159" s="84"/>
      <c r="K159" s="85"/>
      <c r="L159" s="85"/>
      <c r="M159" s="85"/>
      <c r="N159" s="85"/>
      <c r="O159" s="82"/>
      <c r="P159" s="83"/>
      <c r="Q159" s="83"/>
      <c r="R159" s="83"/>
      <c r="S159" s="82"/>
      <c r="T159" s="83"/>
      <c r="U159" s="83"/>
      <c r="V159" s="84"/>
      <c r="W159" s="83"/>
      <c r="X159" s="82"/>
      <c r="Y159" s="83"/>
      <c r="Z159" s="84"/>
      <c r="AA159" s="85"/>
      <c r="AB159" s="84"/>
      <c r="AC159" s="85"/>
      <c r="AD159" s="89">
        <f t="shared" si="20"/>
        <v>0</v>
      </c>
      <c r="AE159" s="89"/>
      <c r="AF159" s="186"/>
      <c r="AG159" s="85"/>
      <c r="AH159" s="85"/>
      <c r="AI159" s="85"/>
      <c r="AJ159" s="84"/>
      <c r="AK159" s="85"/>
      <c r="AL159" s="84"/>
      <c r="AM159" s="88"/>
      <c r="AN159" s="84"/>
      <c r="AO159" s="85"/>
      <c r="AP159" s="84"/>
      <c r="AQ159" s="83"/>
      <c r="AR159" s="83"/>
      <c r="AS159" s="83"/>
      <c r="AT159" s="85"/>
      <c r="AU159" s="85"/>
      <c r="AV159" s="85"/>
      <c r="AW159" s="88"/>
      <c r="AX159" s="84"/>
      <c r="AY159" s="85"/>
      <c r="AZ159" s="84">
        <v>38.698740000000001</v>
      </c>
      <c r="BA159" s="88">
        <v>24.149570000000001</v>
      </c>
      <c r="BB159" s="88">
        <v>2.6736200000000001</v>
      </c>
      <c r="BC159" s="85"/>
      <c r="BD159" s="84"/>
      <c r="BE159" s="88"/>
      <c r="BF159" s="85"/>
      <c r="BG159" s="85"/>
      <c r="BH159" s="85"/>
      <c r="BI159" s="85"/>
      <c r="BJ159" s="85"/>
      <c r="BK159" s="85"/>
      <c r="BL159" s="85"/>
      <c r="BM159" s="85"/>
      <c r="BN159" s="85"/>
      <c r="BO159" s="85"/>
      <c r="BP159" s="85"/>
      <c r="BQ159" s="85"/>
      <c r="BR159" s="84"/>
      <c r="BS159" s="85"/>
      <c r="BT159" s="85"/>
      <c r="BU159" s="198"/>
      <c r="BV159" s="90"/>
      <c r="BW159" s="198"/>
      <c r="BX159" s="90"/>
      <c r="BY159" s="198"/>
      <c r="BZ159" s="90"/>
      <c r="CA159" s="91"/>
    </row>
    <row r="160" spans="1:79" ht="50.1" customHeight="1" outlineLevel="2" x14ac:dyDescent="0.3">
      <c r="A160" s="103" t="s">
        <v>146</v>
      </c>
      <c r="B160" s="102" t="s">
        <v>177</v>
      </c>
      <c r="C160" s="79" t="s">
        <v>55</v>
      </c>
      <c r="D160" s="81">
        <f t="shared" si="24"/>
        <v>701.54413</v>
      </c>
      <c r="E160" s="82">
        <f t="shared" si="25"/>
        <v>358.32159000000001</v>
      </c>
      <c r="F160" s="83">
        <f t="shared" si="19"/>
        <v>343.22253999999998</v>
      </c>
      <c r="G160" s="84"/>
      <c r="H160" s="85"/>
      <c r="I160" s="85"/>
      <c r="J160" s="84"/>
      <c r="K160" s="85"/>
      <c r="L160" s="85"/>
      <c r="M160" s="85"/>
      <c r="N160" s="85"/>
      <c r="O160" s="82"/>
      <c r="P160" s="83"/>
      <c r="Q160" s="83"/>
      <c r="R160" s="83"/>
      <c r="S160" s="82"/>
      <c r="T160" s="83"/>
      <c r="U160" s="83"/>
      <c r="V160" s="84"/>
      <c r="W160" s="83"/>
      <c r="X160" s="82"/>
      <c r="Y160" s="83"/>
      <c r="Z160" s="84"/>
      <c r="AA160" s="85"/>
      <c r="AB160" s="84"/>
      <c r="AC160" s="85"/>
      <c r="AD160" s="89">
        <f t="shared" si="20"/>
        <v>0</v>
      </c>
      <c r="AE160" s="89"/>
      <c r="AF160" s="186"/>
      <c r="AG160" s="85"/>
      <c r="AH160" s="85"/>
      <c r="AI160" s="85"/>
      <c r="AJ160" s="84"/>
      <c r="AK160" s="85"/>
      <c r="AL160" s="84"/>
      <c r="AM160" s="88"/>
      <c r="AN160" s="84"/>
      <c r="AO160" s="85"/>
      <c r="AP160" s="84"/>
      <c r="AQ160" s="83"/>
      <c r="AR160" s="83"/>
      <c r="AS160" s="83"/>
      <c r="AT160" s="85"/>
      <c r="AU160" s="85"/>
      <c r="AV160" s="85"/>
      <c r="AW160" s="88"/>
      <c r="AX160" s="84"/>
      <c r="AY160" s="85"/>
      <c r="AZ160" s="84">
        <v>358.32159000000001</v>
      </c>
      <c r="BA160" s="88">
        <v>289.96587</v>
      </c>
      <c r="BB160" s="88">
        <v>53.25667</v>
      </c>
      <c r="BC160" s="85"/>
      <c r="BD160" s="84"/>
      <c r="BE160" s="88"/>
      <c r="BF160" s="85"/>
      <c r="BG160" s="85"/>
      <c r="BH160" s="85"/>
      <c r="BI160" s="85"/>
      <c r="BJ160" s="85"/>
      <c r="BK160" s="85"/>
      <c r="BL160" s="85"/>
      <c r="BM160" s="85"/>
      <c r="BN160" s="85"/>
      <c r="BO160" s="85"/>
      <c r="BP160" s="85"/>
      <c r="BQ160" s="85"/>
      <c r="BR160" s="84"/>
      <c r="BS160" s="85"/>
      <c r="BT160" s="85"/>
      <c r="BU160" s="198"/>
      <c r="BV160" s="90"/>
      <c r="BW160" s="198"/>
      <c r="BX160" s="90"/>
      <c r="BY160" s="198"/>
      <c r="BZ160" s="90"/>
      <c r="CA160" s="91"/>
    </row>
    <row r="161" spans="1:1199" ht="50.1" customHeight="1" outlineLevel="2" x14ac:dyDescent="0.3">
      <c r="A161" s="103" t="s">
        <v>146</v>
      </c>
      <c r="B161" s="102" t="s">
        <v>178</v>
      </c>
      <c r="C161" s="79" t="s">
        <v>55</v>
      </c>
      <c r="D161" s="81">
        <f t="shared" si="24"/>
        <v>285.96218999999996</v>
      </c>
      <c r="E161" s="82">
        <f t="shared" si="25"/>
        <v>128.99576999999999</v>
      </c>
      <c r="F161" s="83">
        <f t="shared" si="19"/>
        <v>156.96642</v>
      </c>
      <c r="G161" s="84"/>
      <c r="H161" s="85"/>
      <c r="I161" s="85"/>
      <c r="J161" s="84"/>
      <c r="K161" s="85"/>
      <c r="L161" s="85"/>
      <c r="M161" s="85"/>
      <c r="N161" s="85"/>
      <c r="O161" s="82"/>
      <c r="P161" s="83"/>
      <c r="Q161" s="83"/>
      <c r="R161" s="83"/>
      <c r="S161" s="82"/>
      <c r="T161" s="83"/>
      <c r="U161" s="83"/>
      <c r="V161" s="84"/>
      <c r="W161" s="83">
        <v>48.456000000000003</v>
      </c>
      <c r="X161" s="82"/>
      <c r="Y161" s="83"/>
      <c r="Z161" s="84"/>
      <c r="AA161" s="85"/>
      <c r="AB161" s="84"/>
      <c r="AC161" s="85"/>
      <c r="AD161" s="89">
        <f t="shared" si="20"/>
        <v>0</v>
      </c>
      <c r="AE161" s="89"/>
      <c r="AF161" s="186"/>
      <c r="AG161" s="85"/>
      <c r="AH161" s="85"/>
      <c r="AI161" s="85"/>
      <c r="AJ161" s="84"/>
      <c r="AK161" s="85"/>
      <c r="AL161" s="84"/>
      <c r="AM161" s="88"/>
      <c r="AN161" s="84"/>
      <c r="AO161" s="85"/>
      <c r="AP161" s="84"/>
      <c r="AQ161" s="83"/>
      <c r="AR161" s="83"/>
      <c r="AS161" s="83"/>
      <c r="AT161" s="85"/>
      <c r="AU161" s="85"/>
      <c r="AV161" s="85"/>
      <c r="AW161" s="88"/>
      <c r="AX161" s="84"/>
      <c r="AY161" s="85"/>
      <c r="AZ161" s="84">
        <v>128.99576999999999</v>
      </c>
      <c r="BA161" s="88">
        <v>95.495710000000003</v>
      </c>
      <c r="BB161" s="88">
        <v>13.014709999999999</v>
      </c>
      <c r="BC161" s="85"/>
      <c r="BD161" s="84"/>
      <c r="BE161" s="88"/>
      <c r="BF161" s="85"/>
      <c r="BG161" s="85"/>
      <c r="BH161" s="85"/>
      <c r="BI161" s="85"/>
      <c r="BJ161" s="85"/>
      <c r="BK161" s="85"/>
      <c r="BL161" s="85"/>
      <c r="BM161" s="85"/>
      <c r="BN161" s="85"/>
      <c r="BO161" s="85"/>
      <c r="BP161" s="85"/>
      <c r="BQ161" s="85"/>
      <c r="BR161" s="84"/>
      <c r="BS161" s="85"/>
      <c r="BT161" s="85"/>
      <c r="BU161" s="198"/>
      <c r="BV161" s="90"/>
      <c r="BW161" s="198"/>
      <c r="BX161" s="90"/>
      <c r="BY161" s="198"/>
      <c r="BZ161" s="90"/>
      <c r="CA161" s="91"/>
    </row>
    <row r="162" spans="1:1199" ht="50.1" customHeight="1" outlineLevel="2" x14ac:dyDescent="0.3">
      <c r="A162" s="103" t="s">
        <v>146</v>
      </c>
      <c r="B162" s="102" t="s">
        <v>179</v>
      </c>
      <c r="C162" s="79" t="s">
        <v>55</v>
      </c>
      <c r="D162" s="81">
        <f t="shared" si="24"/>
        <v>88.784909999999996</v>
      </c>
      <c r="E162" s="82">
        <f t="shared" si="25"/>
        <v>50.165019999999998</v>
      </c>
      <c r="F162" s="83">
        <f t="shared" si="19"/>
        <v>38.619889999999998</v>
      </c>
      <c r="G162" s="84"/>
      <c r="H162" s="85"/>
      <c r="I162" s="85"/>
      <c r="J162" s="84"/>
      <c r="K162" s="85"/>
      <c r="L162" s="85"/>
      <c r="M162" s="85"/>
      <c r="N162" s="85"/>
      <c r="O162" s="82"/>
      <c r="P162" s="83"/>
      <c r="Q162" s="83"/>
      <c r="R162" s="83"/>
      <c r="S162" s="82"/>
      <c r="T162" s="83"/>
      <c r="U162" s="83"/>
      <c r="V162" s="84"/>
      <c r="W162" s="83"/>
      <c r="X162" s="82"/>
      <c r="Y162" s="83"/>
      <c r="Z162" s="84"/>
      <c r="AA162" s="85"/>
      <c r="AB162" s="84"/>
      <c r="AC162" s="85"/>
      <c r="AD162" s="89">
        <f t="shared" si="20"/>
        <v>0</v>
      </c>
      <c r="AE162" s="89"/>
      <c r="AF162" s="186"/>
      <c r="AG162" s="85"/>
      <c r="AH162" s="85"/>
      <c r="AI162" s="85"/>
      <c r="AJ162" s="84"/>
      <c r="AK162" s="85"/>
      <c r="AL162" s="84"/>
      <c r="AM162" s="88"/>
      <c r="AN162" s="84"/>
      <c r="AO162" s="85"/>
      <c r="AP162" s="84"/>
      <c r="AQ162" s="83"/>
      <c r="AR162" s="83"/>
      <c r="AS162" s="83"/>
      <c r="AT162" s="85"/>
      <c r="AU162" s="85"/>
      <c r="AV162" s="85"/>
      <c r="AW162" s="88"/>
      <c r="AX162" s="84"/>
      <c r="AY162" s="85"/>
      <c r="AZ162" s="84">
        <v>50.165019999999998</v>
      </c>
      <c r="BA162" s="88">
        <v>35.946269999999998</v>
      </c>
      <c r="BB162" s="88">
        <v>2.6736200000000001</v>
      </c>
      <c r="BC162" s="85"/>
      <c r="BD162" s="84"/>
      <c r="BE162" s="88"/>
      <c r="BF162" s="85"/>
      <c r="BG162" s="85"/>
      <c r="BH162" s="85"/>
      <c r="BI162" s="85"/>
      <c r="BJ162" s="85"/>
      <c r="BK162" s="85"/>
      <c r="BL162" s="85"/>
      <c r="BM162" s="85"/>
      <c r="BN162" s="85"/>
      <c r="BO162" s="85"/>
      <c r="BP162" s="85"/>
      <c r="BQ162" s="85"/>
      <c r="BR162" s="84"/>
      <c r="BS162" s="85"/>
      <c r="BT162" s="85"/>
      <c r="BU162" s="198"/>
      <c r="BV162" s="90"/>
      <c r="BW162" s="198"/>
      <c r="BX162" s="90"/>
      <c r="BY162" s="198"/>
      <c r="BZ162" s="90"/>
      <c r="CA162" s="91"/>
    </row>
    <row r="163" spans="1:1199" ht="50.1" customHeight="1" outlineLevel="2" x14ac:dyDescent="0.3">
      <c r="A163" s="103" t="s">
        <v>146</v>
      </c>
      <c r="B163" s="102" t="s">
        <v>180</v>
      </c>
      <c r="C163" s="79" t="s">
        <v>53</v>
      </c>
      <c r="D163" s="81">
        <f t="shared" si="24"/>
        <v>2774.88573</v>
      </c>
      <c r="E163" s="82">
        <f t="shared" si="25"/>
        <v>702.88464999999997</v>
      </c>
      <c r="F163" s="83">
        <f t="shared" si="19"/>
        <v>2072.00108</v>
      </c>
      <c r="G163" s="84"/>
      <c r="H163" s="85"/>
      <c r="I163" s="85"/>
      <c r="J163" s="84"/>
      <c r="K163" s="85"/>
      <c r="L163" s="85"/>
      <c r="M163" s="85"/>
      <c r="N163" s="85"/>
      <c r="O163" s="82"/>
      <c r="P163" s="83"/>
      <c r="Q163" s="83"/>
      <c r="R163" s="83"/>
      <c r="S163" s="82"/>
      <c r="T163" s="83"/>
      <c r="U163" s="83"/>
      <c r="V163" s="84">
        <v>404.56799999999998</v>
      </c>
      <c r="W163" s="83">
        <v>798.875</v>
      </c>
      <c r="X163" s="87"/>
      <c r="Y163" s="83">
        <v>46.8</v>
      </c>
      <c r="Z163" s="84"/>
      <c r="AA163" s="85"/>
      <c r="AB163" s="84"/>
      <c r="AC163" s="85"/>
      <c r="AD163" s="89">
        <f t="shared" si="20"/>
        <v>8.9590199999999989</v>
      </c>
      <c r="AE163" s="89">
        <v>2.1490999999999998</v>
      </c>
      <c r="AF163" s="186">
        <v>6.80992</v>
      </c>
      <c r="AG163" s="85"/>
      <c r="AH163" s="85"/>
      <c r="AI163" s="85"/>
      <c r="AJ163" s="84"/>
      <c r="AK163" s="85"/>
      <c r="AL163" s="84"/>
      <c r="AM163" s="88"/>
      <c r="AN163" s="84"/>
      <c r="AO163" s="85"/>
      <c r="AP163" s="84"/>
      <c r="AQ163" s="83"/>
      <c r="AR163" s="83"/>
      <c r="AS163" s="83"/>
      <c r="AT163" s="85"/>
      <c r="AU163" s="85"/>
      <c r="AV163" s="85">
        <v>848.00537999999995</v>
      </c>
      <c r="AW163" s="88"/>
      <c r="AX163" s="84"/>
      <c r="AY163" s="85"/>
      <c r="AZ163" s="84">
        <v>298.31664999999998</v>
      </c>
      <c r="BA163" s="85">
        <v>249.38489000000001</v>
      </c>
      <c r="BB163" s="88">
        <v>58.981780000000001</v>
      </c>
      <c r="BC163" s="85"/>
      <c r="BD163" s="84"/>
      <c r="BE163" s="88"/>
      <c r="BF163" s="85"/>
      <c r="BG163" s="85">
        <v>60.995010000000001</v>
      </c>
      <c r="BH163" s="85"/>
      <c r="BI163" s="85"/>
      <c r="BJ163" s="85"/>
      <c r="BK163" s="85"/>
      <c r="BL163" s="85"/>
      <c r="BM163" s="85"/>
      <c r="BN163" s="85"/>
      <c r="BO163" s="85"/>
      <c r="BP163" s="85"/>
      <c r="BQ163" s="85"/>
      <c r="BR163" s="84"/>
      <c r="BS163" s="85"/>
      <c r="BT163" s="85"/>
      <c r="BU163" s="198"/>
      <c r="BV163" s="90"/>
      <c r="BW163" s="198"/>
      <c r="BX163" s="90"/>
      <c r="BY163" s="198"/>
      <c r="BZ163" s="90"/>
      <c r="CA163" s="91"/>
    </row>
    <row r="164" spans="1:1199" ht="50.1" customHeight="1" outlineLevel="2" x14ac:dyDescent="0.3">
      <c r="A164" s="103" t="s">
        <v>146</v>
      </c>
      <c r="B164" s="102" t="s">
        <v>181</v>
      </c>
      <c r="C164" s="79" t="s">
        <v>53</v>
      </c>
      <c r="D164" s="81">
        <f t="shared" si="24"/>
        <v>319.48356000000001</v>
      </c>
      <c r="E164" s="82">
        <f t="shared" si="25"/>
        <v>164.82793000000001</v>
      </c>
      <c r="F164" s="83">
        <f t="shared" si="19"/>
        <v>154.65562999999997</v>
      </c>
      <c r="G164" s="84"/>
      <c r="H164" s="85"/>
      <c r="I164" s="85"/>
      <c r="J164" s="84"/>
      <c r="K164" s="85"/>
      <c r="L164" s="85"/>
      <c r="M164" s="85"/>
      <c r="N164" s="85"/>
      <c r="O164" s="82"/>
      <c r="P164" s="83"/>
      <c r="Q164" s="83"/>
      <c r="R164" s="83"/>
      <c r="S164" s="82"/>
      <c r="T164" s="83"/>
      <c r="U164" s="83"/>
      <c r="V164" s="84"/>
      <c r="W164" s="83"/>
      <c r="X164" s="87"/>
      <c r="Y164" s="83">
        <v>1.4663999999999999</v>
      </c>
      <c r="Z164" s="84"/>
      <c r="AA164" s="85"/>
      <c r="AB164" s="84"/>
      <c r="AC164" s="85"/>
      <c r="AD164" s="89">
        <f t="shared" si="20"/>
        <v>0</v>
      </c>
      <c r="AE164" s="89"/>
      <c r="AF164" s="186"/>
      <c r="AG164" s="85"/>
      <c r="AH164" s="85"/>
      <c r="AI164" s="85"/>
      <c r="AJ164" s="84"/>
      <c r="AK164" s="85"/>
      <c r="AL164" s="84"/>
      <c r="AM164" s="88"/>
      <c r="AN164" s="84"/>
      <c r="AO164" s="85"/>
      <c r="AP164" s="84"/>
      <c r="AQ164" s="83"/>
      <c r="AR164" s="83"/>
      <c r="AS164" s="83"/>
      <c r="AT164" s="85"/>
      <c r="AU164" s="85"/>
      <c r="AV164" s="85"/>
      <c r="AW164" s="88"/>
      <c r="AX164" s="84"/>
      <c r="AY164" s="85"/>
      <c r="AZ164" s="84">
        <v>164.82793000000001</v>
      </c>
      <c r="BA164" s="85">
        <v>115.05752</v>
      </c>
      <c r="BB164" s="88">
        <v>8.5413099999999993</v>
      </c>
      <c r="BC164" s="85"/>
      <c r="BD164" s="84"/>
      <c r="BE164" s="88"/>
      <c r="BF164" s="85"/>
      <c r="BG164" s="85"/>
      <c r="BH164" s="85"/>
      <c r="BI164" s="85"/>
      <c r="BJ164" s="85"/>
      <c r="BK164" s="85">
        <v>29.590399999999999</v>
      </c>
      <c r="BL164" s="85"/>
      <c r="BM164" s="85"/>
      <c r="BN164" s="85"/>
      <c r="BO164" s="85"/>
      <c r="BP164" s="85"/>
      <c r="BQ164" s="85"/>
      <c r="BR164" s="84"/>
      <c r="BS164" s="85"/>
      <c r="BT164" s="85"/>
      <c r="BU164" s="198"/>
      <c r="BV164" s="90"/>
      <c r="BW164" s="198"/>
      <c r="BX164" s="90"/>
      <c r="BY164" s="198"/>
      <c r="BZ164" s="90"/>
      <c r="CA164" s="91"/>
    </row>
    <row r="165" spans="1:1199" ht="50.1" customHeight="1" outlineLevel="2" x14ac:dyDescent="0.3">
      <c r="A165" s="103" t="s">
        <v>146</v>
      </c>
      <c r="B165" s="102" t="s">
        <v>182</v>
      </c>
      <c r="C165" s="79" t="s">
        <v>53</v>
      </c>
      <c r="D165" s="81">
        <f t="shared" si="24"/>
        <v>2661.8253099999997</v>
      </c>
      <c r="E165" s="82">
        <f t="shared" si="25"/>
        <v>4.8098799999999997</v>
      </c>
      <c r="F165" s="83">
        <f t="shared" si="19"/>
        <v>2657.0154299999999</v>
      </c>
      <c r="G165" s="84"/>
      <c r="H165" s="85"/>
      <c r="I165" s="85"/>
      <c r="J165" s="84"/>
      <c r="K165" s="85"/>
      <c r="L165" s="85"/>
      <c r="M165" s="85"/>
      <c r="N165" s="85">
        <v>2585.87032</v>
      </c>
      <c r="O165" s="82"/>
      <c r="P165" s="83"/>
      <c r="Q165" s="83"/>
      <c r="R165" s="83"/>
      <c r="S165" s="82"/>
      <c r="T165" s="83"/>
      <c r="U165" s="83"/>
      <c r="V165" s="84"/>
      <c r="W165" s="83"/>
      <c r="X165" s="82"/>
      <c r="Y165" s="83">
        <v>26.52</v>
      </c>
      <c r="Z165" s="84"/>
      <c r="AA165" s="85"/>
      <c r="AB165" s="84"/>
      <c r="AC165" s="85"/>
      <c r="AD165" s="89">
        <f t="shared" si="20"/>
        <v>0</v>
      </c>
      <c r="AE165" s="89"/>
      <c r="AF165" s="186"/>
      <c r="AG165" s="85"/>
      <c r="AH165" s="85"/>
      <c r="AI165" s="85"/>
      <c r="AJ165" s="84"/>
      <c r="AK165" s="85"/>
      <c r="AL165" s="84"/>
      <c r="AM165" s="88"/>
      <c r="AN165" s="84"/>
      <c r="AO165" s="85"/>
      <c r="AP165" s="84"/>
      <c r="AQ165" s="83"/>
      <c r="AR165" s="83"/>
      <c r="AS165" s="83"/>
      <c r="AT165" s="85"/>
      <c r="AU165" s="85"/>
      <c r="AV165" s="85"/>
      <c r="AW165" s="88"/>
      <c r="AX165" s="84"/>
      <c r="AY165" s="85"/>
      <c r="AZ165" s="84">
        <v>4.8098799999999997</v>
      </c>
      <c r="BA165" s="85">
        <v>4.3557399999999999</v>
      </c>
      <c r="BB165" s="88">
        <v>40.269370000000002</v>
      </c>
      <c r="BC165" s="85"/>
      <c r="BD165" s="84"/>
      <c r="BE165" s="88"/>
      <c r="BF165" s="85"/>
      <c r="BG165" s="85"/>
      <c r="BH165" s="85"/>
      <c r="BI165" s="85"/>
      <c r="BJ165" s="85"/>
      <c r="BK165" s="85"/>
      <c r="BL165" s="85"/>
      <c r="BM165" s="85"/>
      <c r="BN165" s="85"/>
      <c r="BO165" s="85"/>
      <c r="BP165" s="85"/>
      <c r="BQ165" s="85"/>
      <c r="BR165" s="84"/>
      <c r="BS165" s="85"/>
      <c r="BT165" s="85"/>
      <c r="BU165" s="198"/>
      <c r="BV165" s="90"/>
      <c r="BW165" s="198"/>
      <c r="BX165" s="90"/>
      <c r="BY165" s="198"/>
      <c r="BZ165" s="90"/>
      <c r="CA165" s="91"/>
    </row>
    <row r="166" spans="1:1199" ht="50.1" customHeight="1" outlineLevel="2" x14ac:dyDescent="0.3">
      <c r="A166" s="103" t="s">
        <v>146</v>
      </c>
      <c r="B166" s="102" t="s">
        <v>183</v>
      </c>
      <c r="C166" s="79" t="s">
        <v>89</v>
      </c>
      <c r="D166" s="81">
        <f t="shared" si="24"/>
        <v>485.17849999999999</v>
      </c>
      <c r="E166" s="82">
        <f t="shared" si="25"/>
        <v>444.34073999999998</v>
      </c>
      <c r="F166" s="83">
        <f t="shared" si="19"/>
        <v>40.837760000000003</v>
      </c>
      <c r="G166" s="84"/>
      <c r="H166" s="85"/>
      <c r="I166" s="85"/>
      <c r="J166" s="84"/>
      <c r="K166" s="85"/>
      <c r="L166" s="85"/>
      <c r="M166" s="85"/>
      <c r="N166" s="85"/>
      <c r="O166" s="82">
        <f>163.06604+281.2747</f>
        <v>444.34073999999998</v>
      </c>
      <c r="P166" s="83">
        <f>10.7233+30.11446</f>
        <v>40.837760000000003</v>
      </c>
      <c r="Q166" s="83"/>
      <c r="R166" s="83"/>
      <c r="S166" s="82"/>
      <c r="T166" s="83"/>
      <c r="U166" s="83"/>
      <c r="V166" s="84"/>
      <c r="W166" s="83"/>
      <c r="X166" s="82"/>
      <c r="Y166" s="83"/>
      <c r="Z166" s="84"/>
      <c r="AA166" s="85"/>
      <c r="AB166" s="84"/>
      <c r="AC166" s="85"/>
      <c r="AD166" s="89">
        <f t="shared" si="20"/>
        <v>0</v>
      </c>
      <c r="AE166" s="89"/>
      <c r="AF166" s="186"/>
      <c r="AG166" s="85"/>
      <c r="AH166" s="85"/>
      <c r="AI166" s="85"/>
      <c r="AJ166" s="84"/>
      <c r="AK166" s="85"/>
      <c r="AL166" s="84"/>
      <c r="AM166" s="88"/>
      <c r="AN166" s="84"/>
      <c r="AO166" s="85"/>
      <c r="AP166" s="84"/>
      <c r="AQ166" s="83"/>
      <c r="AR166" s="83"/>
      <c r="AS166" s="83"/>
      <c r="AT166" s="85"/>
      <c r="AU166" s="85"/>
      <c r="AV166" s="85"/>
      <c r="AW166" s="88"/>
      <c r="AX166" s="84"/>
      <c r="AY166" s="85"/>
      <c r="AZ166" s="84"/>
      <c r="BA166" s="85"/>
      <c r="BB166" s="88"/>
      <c r="BC166" s="85"/>
      <c r="BD166" s="84"/>
      <c r="BE166" s="88"/>
      <c r="BF166" s="85"/>
      <c r="BG166" s="85"/>
      <c r="BH166" s="85"/>
      <c r="BI166" s="85"/>
      <c r="BJ166" s="85"/>
      <c r="BK166" s="85"/>
      <c r="BL166" s="85"/>
      <c r="BM166" s="85"/>
      <c r="BN166" s="85"/>
      <c r="BO166" s="85"/>
      <c r="BP166" s="85"/>
      <c r="BQ166" s="85"/>
      <c r="BR166" s="84"/>
      <c r="BS166" s="85"/>
      <c r="BT166" s="85"/>
      <c r="BU166" s="198"/>
      <c r="BV166" s="90"/>
      <c r="BW166" s="198"/>
      <c r="BX166" s="90"/>
      <c r="BY166" s="198"/>
      <c r="BZ166" s="90"/>
      <c r="CA166" s="91"/>
    </row>
    <row r="167" spans="1:1199" ht="50.1" customHeight="1" outlineLevel="2" x14ac:dyDescent="0.3">
      <c r="A167" s="103" t="s">
        <v>146</v>
      </c>
      <c r="B167" s="102" t="s">
        <v>184</v>
      </c>
      <c r="C167" s="79" t="s">
        <v>89</v>
      </c>
      <c r="D167" s="81">
        <f t="shared" si="24"/>
        <v>2962.9065099999998</v>
      </c>
      <c r="E167" s="82">
        <f t="shared" si="25"/>
        <v>1981.0964799999999</v>
      </c>
      <c r="F167" s="83">
        <f t="shared" si="19"/>
        <v>981.81002999999998</v>
      </c>
      <c r="G167" s="84"/>
      <c r="H167" s="85"/>
      <c r="I167" s="85"/>
      <c r="J167" s="84"/>
      <c r="K167" s="85"/>
      <c r="L167" s="85"/>
      <c r="M167" s="85"/>
      <c r="N167" s="85"/>
      <c r="O167" s="82">
        <f>14.99011+5.87373+1960.23264</f>
        <v>1981.0964799999999</v>
      </c>
      <c r="P167" s="83">
        <f>1.21686+0.47681+980.11636</f>
        <v>981.81002999999998</v>
      </c>
      <c r="Q167" s="83"/>
      <c r="R167" s="83"/>
      <c r="S167" s="82"/>
      <c r="T167" s="83"/>
      <c r="U167" s="83"/>
      <c r="V167" s="84"/>
      <c r="W167" s="83"/>
      <c r="X167" s="82"/>
      <c r="Y167" s="83"/>
      <c r="Z167" s="84"/>
      <c r="AA167" s="85"/>
      <c r="AB167" s="84"/>
      <c r="AC167" s="85"/>
      <c r="AD167" s="89">
        <f t="shared" si="20"/>
        <v>0</v>
      </c>
      <c r="AE167" s="89"/>
      <c r="AF167" s="186"/>
      <c r="AG167" s="85"/>
      <c r="AH167" s="85"/>
      <c r="AI167" s="85"/>
      <c r="AJ167" s="84"/>
      <c r="AK167" s="85"/>
      <c r="AL167" s="84"/>
      <c r="AM167" s="88"/>
      <c r="AN167" s="84"/>
      <c r="AO167" s="85"/>
      <c r="AP167" s="84"/>
      <c r="AQ167" s="83"/>
      <c r="AR167" s="83"/>
      <c r="AS167" s="83"/>
      <c r="AT167" s="85"/>
      <c r="AU167" s="85"/>
      <c r="AV167" s="85"/>
      <c r="AW167" s="88"/>
      <c r="AX167" s="84"/>
      <c r="AY167" s="85"/>
      <c r="AZ167" s="84"/>
      <c r="BA167" s="85"/>
      <c r="BB167" s="88"/>
      <c r="BC167" s="85"/>
      <c r="BD167" s="84"/>
      <c r="BE167" s="88"/>
      <c r="BF167" s="85"/>
      <c r="BG167" s="85"/>
      <c r="BH167" s="85"/>
      <c r="BI167" s="85"/>
      <c r="BJ167" s="85"/>
      <c r="BK167" s="85"/>
      <c r="BL167" s="85"/>
      <c r="BM167" s="85"/>
      <c r="BN167" s="85"/>
      <c r="BO167" s="85"/>
      <c r="BP167" s="85"/>
      <c r="BQ167" s="85"/>
      <c r="BR167" s="84"/>
      <c r="BS167" s="85"/>
      <c r="BT167" s="85"/>
      <c r="BU167" s="198"/>
      <c r="BV167" s="90"/>
      <c r="BW167" s="198"/>
      <c r="BX167" s="90"/>
      <c r="BY167" s="198"/>
      <c r="BZ167" s="90"/>
      <c r="CA167" s="91"/>
    </row>
    <row r="168" spans="1:1199" ht="50.1" customHeight="1" outlineLevel="2" x14ac:dyDescent="0.3">
      <c r="A168" s="103" t="s">
        <v>146</v>
      </c>
      <c r="B168" s="102" t="s">
        <v>185</v>
      </c>
      <c r="C168" s="79" t="s">
        <v>89</v>
      </c>
      <c r="D168" s="81">
        <f t="shared" si="24"/>
        <v>1511.7708899999998</v>
      </c>
      <c r="E168" s="82">
        <f t="shared" si="25"/>
        <v>0</v>
      </c>
      <c r="F168" s="83">
        <f t="shared" si="19"/>
        <v>1511.7708899999998</v>
      </c>
      <c r="G168" s="84"/>
      <c r="H168" s="85"/>
      <c r="I168" s="85"/>
      <c r="J168" s="84"/>
      <c r="K168" s="85"/>
      <c r="L168" s="85"/>
      <c r="M168" s="85"/>
      <c r="N168" s="85"/>
      <c r="O168" s="82"/>
      <c r="P168" s="83"/>
      <c r="Q168" s="83"/>
      <c r="R168" s="83"/>
      <c r="S168" s="82"/>
      <c r="T168" s="83"/>
      <c r="U168" s="83"/>
      <c r="V168" s="84"/>
      <c r="W168" s="83"/>
      <c r="X168" s="87"/>
      <c r="Y168" s="83"/>
      <c r="Z168" s="84"/>
      <c r="AA168" s="85"/>
      <c r="AB168" s="84"/>
      <c r="AC168" s="85"/>
      <c r="AD168" s="89">
        <f t="shared" si="20"/>
        <v>0</v>
      </c>
      <c r="AE168" s="89"/>
      <c r="AF168" s="186"/>
      <c r="AG168" s="85"/>
      <c r="AH168" s="85"/>
      <c r="AI168" s="85"/>
      <c r="AJ168" s="84"/>
      <c r="AK168" s="85"/>
      <c r="AL168" s="84"/>
      <c r="AM168" s="88"/>
      <c r="AN168" s="84"/>
      <c r="AO168" s="85"/>
      <c r="AP168" s="84"/>
      <c r="AQ168" s="83"/>
      <c r="AR168" s="83"/>
      <c r="AS168" s="83"/>
      <c r="AT168" s="85"/>
      <c r="AU168" s="85"/>
      <c r="AV168" s="85">
        <v>139.53394</v>
      </c>
      <c r="AW168" s="88"/>
      <c r="AX168" s="84"/>
      <c r="AY168" s="85"/>
      <c r="AZ168" s="84"/>
      <c r="BA168" s="85"/>
      <c r="BB168" s="88"/>
      <c r="BC168" s="85"/>
      <c r="BD168" s="84"/>
      <c r="BE168" s="88"/>
      <c r="BF168" s="85"/>
      <c r="BG168" s="85">
        <v>537.72538999999995</v>
      </c>
      <c r="BH168" s="85"/>
      <c r="BI168" s="85"/>
      <c r="BJ168" s="85"/>
      <c r="BK168" s="85">
        <v>183.21155999999999</v>
      </c>
      <c r="BL168" s="85"/>
      <c r="BM168" s="85"/>
      <c r="BN168" s="85"/>
      <c r="BO168" s="85"/>
      <c r="BP168" s="85">
        <v>651.29999999999995</v>
      </c>
      <c r="BQ168" s="85"/>
      <c r="BR168" s="84"/>
      <c r="BS168" s="85"/>
      <c r="BT168" s="85"/>
      <c r="BU168" s="198"/>
      <c r="BV168" s="90"/>
      <c r="BW168" s="198"/>
      <c r="BX168" s="90"/>
      <c r="BY168" s="198"/>
      <c r="BZ168" s="90"/>
      <c r="CA168" s="91"/>
    </row>
    <row r="169" spans="1:1199" ht="75" customHeight="1" outlineLevel="2" x14ac:dyDescent="0.3">
      <c r="A169" s="103" t="s">
        <v>1253</v>
      </c>
      <c r="B169" s="102" t="s">
        <v>186</v>
      </c>
      <c r="C169" s="79" t="s">
        <v>1268</v>
      </c>
      <c r="D169" s="81">
        <f t="shared" si="24"/>
        <v>57.686940000000007</v>
      </c>
      <c r="E169" s="82">
        <f t="shared" si="25"/>
        <v>0</v>
      </c>
      <c r="F169" s="83">
        <f t="shared" si="19"/>
        <v>57.686940000000007</v>
      </c>
      <c r="G169" s="84"/>
      <c r="H169" s="85"/>
      <c r="I169" s="85"/>
      <c r="J169" s="84"/>
      <c r="K169" s="85"/>
      <c r="L169" s="85"/>
      <c r="M169" s="85"/>
      <c r="N169" s="85"/>
      <c r="O169" s="82"/>
      <c r="P169" s="83"/>
      <c r="Q169" s="83"/>
      <c r="R169" s="83"/>
      <c r="S169" s="82"/>
      <c r="T169" s="83"/>
      <c r="U169" s="83"/>
      <c r="V169" s="84"/>
      <c r="W169" s="85"/>
      <c r="X169" s="87"/>
      <c r="Y169" s="83"/>
      <c r="Z169" s="84"/>
      <c r="AA169" s="85"/>
      <c r="AB169" s="84"/>
      <c r="AC169" s="85"/>
      <c r="AD169" s="89">
        <f t="shared" si="20"/>
        <v>57.686940000000007</v>
      </c>
      <c r="AE169" s="89">
        <v>35.311500000000002</v>
      </c>
      <c r="AF169" s="186">
        <v>22.375440000000001</v>
      </c>
      <c r="AG169" s="85"/>
      <c r="AH169" s="85"/>
      <c r="AI169" s="85"/>
      <c r="AJ169" s="84"/>
      <c r="AK169" s="85"/>
      <c r="AL169" s="84"/>
      <c r="AM169" s="88"/>
      <c r="AN169" s="84"/>
      <c r="AO169" s="85"/>
      <c r="AP169" s="84"/>
      <c r="AQ169" s="83"/>
      <c r="AR169" s="83"/>
      <c r="AS169" s="83"/>
      <c r="AT169" s="85"/>
      <c r="AU169" s="85"/>
      <c r="AV169" s="85"/>
      <c r="AW169" s="88"/>
      <c r="AX169" s="84"/>
      <c r="AY169" s="85"/>
      <c r="AZ169" s="84"/>
      <c r="BA169" s="85"/>
      <c r="BB169" s="88"/>
      <c r="BC169" s="85"/>
      <c r="BD169" s="84"/>
      <c r="BE169" s="88"/>
      <c r="BF169" s="85"/>
      <c r="BG169" s="85"/>
      <c r="BH169" s="85"/>
      <c r="BI169" s="85"/>
      <c r="BJ169" s="85"/>
      <c r="BK169" s="85"/>
      <c r="BL169" s="85"/>
      <c r="BM169" s="85"/>
      <c r="BN169" s="85"/>
      <c r="BO169" s="85"/>
      <c r="BP169" s="85"/>
      <c r="BQ169" s="85"/>
      <c r="BR169" s="84"/>
      <c r="BS169" s="85"/>
      <c r="BT169" s="85"/>
      <c r="BU169" s="198"/>
      <c r="BV169" s="90"/>
      <c r="BW169" s="198"/>
      <c r="BX169" s="90"/>
      <c r="BY169" s="198"/>
      <c r="BZ169" s="90"/>
      <c r="CA169" s="91"/>
    </row>
    <row r="170" spans="1:1199" ht="50.1" customHeight="1" outlineLevel="2" x14ac:dyDescent="0.3">
      <c r="A170" s="103" t="s">
        <v>146</v>
      </c>
      <c r="B170" s="108" t="s">
        <v>187</v>
      </c>
      <c r="C170" s="79"/>
      <c r="D170" s="81">
        <f t="shared" si="24"/>
        <v>300</v>
      </c>
      <c r="E170" s="82">
        <f t="shared" si="25"/>
        <v>0</v>
      </c>
      <c r="F170" s="83">
        <f t="shared" si="19"/>
        <v>300</v>
      </c>
      <c r="G170" s="84"/>
      <c r="H170" s="85"/>
      <c r="I170" s="85"/>
      <c r="J170" s="84"/>
      <c r="K170" s="85"/>
      <c r="L170" s="85"/>
      <c r="M170" s="85"/>
      <c r="N170" s="85"/>
      <c r="O170" s="82"/>
      <c r="P170" s="83"/>
      <c r="Q170" s="83"/>
      <c r="R170" s="83"/>
      <c r="S170" s="82"/>
      <c r="T170" s="83"/>
      <c r="U170" s="83"/>
      <c r="V170" s="84"/>
      <c r="W170" s="85"/>
      <c r="X170" s="87"/>
      <c r="Y170" s="83"/>
      <c r="Z170" s="84"/>
      <c r="AA170" s="85"/>
      <c r="AB170" s="84"/>
      <c r="AC170" s="85"/>
      <c r="AD170" s="89">
        <f t="shared" si="20"/>
        <v>0</v>
      </c>
      <c r="AE170" s="89"/>
      <c r="AF170" s="186"/>
      <c r="AG170" s="85"/>
      <c r="AH170" s="85"/>
      <c r="AI170" s="85"/>
      <c r="AJ170" s="84"/>
      <c r="AK170" s="85"/>
      <c r="AL170" s="84"/>
      <c r="AM170" s="88"/>
      <c r="AN170" s="84"/>
      <c r="AO170" s="85"/>
      <c r="AP170" s="84"/>
      <c r="AQ170" s="83"/>
      <c r="AR170" s="83"/>
      <c r="AS170" s="83"/>
      <c r="AT170" s="85"/>
      <c r="AU170" s="85"/>
      <c r="AV170" s="85"/>
      <c r="AW170" s="88"/>
      <c r="AX170" s="84"/>
      <c r="AY170" s="85"/>
      <c r="AZ170" s="84"/>
      <c r="BA170" s="85"/>
      <c r="BB170" s="88"/>
      <c r="BC170" s="85"/>
      <c r="BD170" s="84"/>
      <c r="BE170" s="88"/>
      <c r="BF170" s="85"/>
      <c r="BG170" s="85"/>
      <c r="BH170" s="85">
        <v>300</v>
      </c>
      <c r="BI170" s="85"/>
      <c r="BJ170" s="85"/>
      <c r="BK170" s="85"/>
      <c r="BL170" s="85"/>
      <c r="BM170" s="85"/>
      <c r="BN170" s="85"/>
      <c r="BO170" s="85"/>
      <c r="BP170" s="85"/>
      <c r="BQ170" s="85"/>
      <c r="BR170" s="84"/>
      <c r="BS170" s="85"/>
      <c r="BT170" s="85"/>
      <c r="BU170" s="198"/>
      <c r="BV170" s="90"/>
      <c r="BW170" s="198"/>
      <c r="BX170" s="90"/>
      <c r="BY170" s="198"/>
      <c r="BZ170" s="90"/>
      <c r="CA170" s="91"/>
    </row>
    <row r="171" spans="1:1199" ht="50.1" customHeight="1" outlineLevel="2" x14ac:dyDescent="0.3">
      <c r="A171" s="103" t="s">
        <v>146</v>
      </c>
      <c r="B171" s="108" t="s">
        <v>188</v>
      </c>
      <c r="C171" s="79"/>
      <c r="D171" s="81">
        <f t="shared" si="24"/>
        <v>300</v>
      </c>
      <c r="E171" s="82">
        <f t="shared" si="25"/>
        <v>0</v>
      </c>
      <c r="F171" s="83">
        <f t="shared" ref="F171:F223" si="26">H171+I171+K171+L171+M171+N171+P171+Q171+R171+T171+U171+W171+Y171+AA171+AC171+AD171+AG171+AH171+AI171+AK171+AM171+AO171+AQ171+AR171+AS171+AT171+AU171+AV171+AW171+AY171+BA171+BB171+BC171+BE171+BF171+BG171+BH171+BI171+BJ171+BK171+BL171+BO171+BP171+BQ171+BS171+BT171+BU171+BW171+BY171+CA171+BM171+BN171</f>
        <v>300</v>
      </c>
      <c r="G171" s="84"/>
      <c r="H171" s="85"/>
      <c r="I171" s="85"/>
      <c r="J171" s="84"/>
      <c r="K171" s="85"/>
      <c r="L171" s="85"/>
      <c r="M171" s="85"/>
      <c r="N171" s="85"/>
      <c r="O171" s="82"/>
      <c r="P171" s="83"/>
      <c r="Q171" s="83"/>
      <c r="R171" s="83"/>
      <c r="S171" s="82"/>
      <c r="T171" s="83"/>
      <c r="U171" s="83"/>
      <c r="V171" s="84"/>
      <c r="W171" s="85"/>
      <c r="X171" s="87"/>
      <c r="Y171" s="83"/>
      <c r="Z171" s="84"/>
      <c r="AA171" s="85"/>
      <c r="AB171" s="84"/>
      <c r="AC171" s="85"/>
      <c r="AD171" s="89">
        <f t="shared" si="20"/>
        <v>0</v>
      </c>
      <c r="AE171" s="89"/>
      <c r="AF171" s="186"/>
      <c r="AG171" s="85"/>
      <c r="AH171" s="85"/>
      <c r="AI171" s="85"/>
      <c r="AJ171" s="84"/>
      <c r="AK171" s="85"/>
      <c r="AL171" s="84"/>
      <c r="AM171" s="88"/>
      <c r="AN171" s="84"/>
      <c r="AO171" s="85"/>
      <c r="AP171" s="84"/>
      <c r="AQ171" s="83"/>
      <c r="AR171" s="83"/>
      <c r="AS171" s="83"/>
      <c r="AT171" s="85"/>
      <c r="AU171" s="85"/>
      <c r="AV171" s="85"/>
      <c r="AW171" s="88"/>
      <c r="AX171" s="84"/>
      <c r="AY171" s="85"/>
      <c r="AZ171" s="84"/>
      <c r="BA171" s="85"/>
      <c r="BB171" s="88"/>
      <c r="BC171" s="85"/>
      <c r="BD171" s="84"/>
      <c r="BE171" s="88"/>
      <c r="BF171" s="85"/>
      <c r="BG171" s="85"/>
      <c r="BH171" s="85">
        <v>300</v>
      </c>
      <c r="BI171" s="85"/>
      <c r="BJ171" s="85"/>
      <c r="BK171" s="85"/>
      <c r="BL171" s="85"/>
      <c r="BM171" s="85"/>
      <c r="BN171" s="85"/>
      <c r="BO171" s="85"/>
      <c r="BP171" s="85"/>
      <c r="BQ171" s="85"/>
      <c r="BR171" s="84"/>
      <c r="BS171" s="85"/>
      <c r="BT171" s="85"/>
      <c r="BU171" s="198"/>
      <c r="BV171" s="90"/>
      <c r="BW171" s="198"/>
      <c r="BX171" s="90"/>
      <c r="BY171" s="198"/>
      <c r="BZ171" s="90"/>
      <c r="CA171" s="91"/>
    </row>
    <row r="172" spans="1:1199" ht="50.1" customHeight="1" outlineLevel="2" x14ac:dyDescent="0.3">
      <c r="A172" s="103" t="s">
        <v>146</v>
      </c>
      <c r="B172" s="108" t="s">
        <v>1042</v>
      </c>
      <c r="C172" s="79"/>
      <c r="D172" s="81">
        <f t="shared" si="24"/>
        <v>300</v>
      </c>
      <c r="E172" s="82">
        <f t="shared" si="25"/>
        <v>0</v>
      </c>
      <c r="F172" s="83">
        <f t="shared" si="26"/>
        <v>300</v>
      </c>
      <c r="G172" s="84"/>
      <c r="H172" s="85"/>
      <c r="I172" s="85"/>
      <c r="J172" s="84"/>
      <c r="K172" s="85"/>
      <c r="L172" s="85"/>
      <c r="M172" s="85"/>
      <c r="N172" s="85"/>
      <c r="O172" s="82"/>
      <c r="P172" s="83"/>
      <c r="Q172" s="83"/>
      <c r="R172" s="83"/>
      <c r="S172" s="82"/>
      <c r="T172" s="83"/>
      <c r="U172" s="83"/>
      <c r="V172" s="84"/>
      <c r="W172" s="83"/>
      <c r="X172" s="82"/>
      <c r="Y172" s="83"/>
      <c r="Z172" s="84"/>
      <c r="AA172" s="85"/>
      <c r="AB172" s="84"/>
      <c r="AC172" s="85"/>
      <c r="AD172" s="89">
        <f t="shared" si="20"/>
        <v>0</v>
      </c>
      <c r="AE172" s="89"/>
      <c r="AF172" s="186"/>
      <c r="AG172" s="85"/>
      <c r="AH172" s="85"/>
      <c r="AI172" s="85"/>
      <c r="AJ172" s="84"/>
      <c r="AK172" s="85"/>
      <c r="AL172" s="84"/>
      <c r="AM172" s="88"/>
      <c r="AN172" s="84"/>
      <c r="AO172" s="85"/>
      <c r="AP172" s="84"/>
      <c r="AQ172" s="83"/>
      <c r="AR172" s="83"/>
      <c r="AS172" s="83"/>
      <c r="AT172" s="85"/>
      <c r="AU172" s="85"/>
      <c r="AV172" s="85"/>
      <c r="AW172" s="88"/>
      <c r="AX172" s="84"/>
      <c r="AY172" s="85"/>
      <c r="AZ172" s="84"/>
      <c r="BA172" s="85"/>
      <c r="BB172" s="88"/>
      <c r="BC172" s="85"/>
      <c r="BD172" s="84"/>
      <c r="BE172" s="88"/>
      <c r="BF172" s="85"/>
      <c r="BG172" s="85"/>
      <c r="BH172" s="85">
        <v>300</v>
      </c>
      <c r="BI172" s="85"/>
      <c r="BJ172" s="85"/>
      <c r="BK172" s="85"/>
      <c r="BL172" s="85"/>
      <c r="BM172" s="85"/>
      <c r="BN172" s="85"/>
      <c r="BO172" s="85"/>
      <c r="BP172" s="85"/>
      <c r="BQ172" s="85"/>
      <c r="BR172" s="84"/>
      <c r="BS172" s="85"/>
      <c r="BT172" s="85"/>
      <c r="BU172" s="198"/>
      <c r="BV172" s="90"/>
      <c r="BW172" s="198"/>
      <c r="BX172" s="90"/>
      <c r="BY172" s="198"/>
      <c r="BZ172" s="90"/>
      <c r="CA172" s="91"/>
    </row>
    <row r="173" spans="1:1199" ht="50.1" customHeight="1" outlineLevel="2" x14ac:dyDescent="0.3">
      <c r="A173" s="103" t="s">
        <v>146</v>
      </c>
      <c r="B173" s="111" t="s">
        <v>1043</v>
      </c>
      <c r="C173" s="79"/>
      <c r="D173" s="81">
        <f t="shared" si="24"/>
        <v>300</v>
      </c>
      <c r="E173" s="82">
        <f t="shared" si="25"/>
        <v>0</v>
      </c>
      <c r="F173" s="83">
        <f t="shared" si="26"/>
        <v>300</v>
      </c>
      <c r="G173" s="84"/>
      <c r="H173" s="85"/>
      <c r="I173" s="85"/>
      <c r="J173" s="84"/>
      <c r="K173" s="85"/>
      <c r="L173" s="85"/>
      <c r="M173" s="85"/>
      <c r="N173" s="85"/>
      <c r="O173" s="82"/>
      <c r="P173" s="83"/>
      <c r="Q173" s="83"/>
      <c r="R173" s="83"/>
      <c r="S173" s="82"/>
      <c r="T173" s="83"/>
      <c r="U173" s="83"/>
      <c r="V173" s="84"/>
      <c r="W173" s="85"/>
      <c r="X173" s="87"/>
      <c r="Y173" s="83"/>
      <c r="Z173" s="84"/>
      <c r="AA173" s="85"/>
      <c r="AB173" s="84"/>
      <c r="AC173" s="85"/>
      <c r="AD173" s="89">
        <f t="shared" si="20"/>
        <v>0</v>
      </c>
      <c r="AE173" s="89"/>
      <c r="AF173" s="186"/>
      <c r="AG173" s="85"/>
      <c r="AH173" s="85"/>
      <c r="AI173" s="85"/>
      <c r="AJ173" s="84"/>
      <c r="AK173" s="85"/>
      <c r="AL173" s="84"/>
      <c r="AM173" s="88"/>
      <c r="AN173" s="84"/>
      <c r="AO173" s="85"/>
      <c r="AP173" s="84"/>
      <c r="AQ173" s="83"/>
      <c r="AR173" s="83"/>
      <c r="AS173" s="83"/>
      <c r="AT173" s="85"/>
      <c r="AU173" s="85"/>
      <c r="AV173" s="85"/>
      <c r="AW173" s="88"/>
      <c r="AX173" s="84"/>
      <c r="AY173" s="85"/>
      <c r="AZ173" s="84"/>
      <c r="BA173" s="85"/>
      <c r="BB173" s="88"/>
      <c r="BC173" s="85"/>
      <c r="BD173" s="84"/>
      <c r="BE173" s="88"/>
      <c r="BF173" s="85"/>
      <c r="BG173" s="85"/>
      <c r="BH173" s="85">
        <v>300</v>
      </c>
      <c r="BI173" s="85"/>
      <c r="BJ173" s="85"/>
      <c r="BK173" s="85"/>
      <c r="BL173" s="85"/>
      <c r="BM173" s="85"/>
      <c r="BN173" s="85"/>
      <c r="BO173" s="85"/>
      <c r="BP173" s="85"/>
      <c r="BQ173" s="85"/>
      <c r="BR173" s="84"/>
      <c r="BS173" s="85"/>
      <c r="BT173" s="85"/>
      <c r="BU173" s="198"/>
      <c r="BV173" s="90"/>
      <c r="BW173" s="198"/>
      <c r="BX173" s="90"/>
      <c r="BY173" s="198"/>
      <c r="BZ173" s="90"/>
      <c r="CA173" s="91"/>
    </row>
    <row r="174" spans="1:1199" ht="50.1" customHeight="1" outlineLevel="2" x14ac:dyDescent="0.3">
      <c r="A174" s="103" t="s">
        <v>146</v>
      </c>
      <c r="B174" s="111" t="s">
        <v>1045</v>
      </c>
      <c r="C174" s="79"/>
      <c r="D174" s="81">
        <f t="shared" si="24"/>
        <v>52.230000000000004</v>
      </c>
      <c r="E174" s="82">
        <f t="shared" si="25"/>
        <v>0</v>
      </c>
      <c r="F174" s="83">
        <f t="shared" si="26"/>
        <v>52.230000000000004</v>
      </c>
      <c r="G174" s="84"/>
      <c r="H174" s="85"/>
      <c r="I174" s="85"/>
      <c r="J174" s="84"/>
      <c r="K174" s="85"/>
      <c r="L174" s="85"/>
      <c r="M174" s="85"/>
      <c r="N174" s="85"/>
      <c r="O174" s="82"/>
      <c r="P174" s="83"/>
      <c r="Q174" s="83"/>
      <c r="R174" s="83"/>
      <c r="S174" s="82"/>
      <c r="T174" s="83"/>
      <c r="U174" s="83"/>
      <c r="V174" s="84"/>
      <c r="W174" s="85"/>
      <c r="X174" s="87"/>
      <c r="Y174" s="83"/>
      <c r="Z174" s="84"/>
      <c r="AA174" s="85"/>
      <c r="AB174" s="84"/>
      <c r="AC174" s="85"/>
      <c r="AD174" s="89">
        <f t="shared" si="20"/>
        <v>0</v>
      </c>
      <c r="AE174" s="89"/>
      <c r="AF174" s="186"/>
      <c r="AG174" s="85"/>
      <c r="AH174" s="85"/>
      <c r="AI174" s="85"/>
      <c r="AJ174" s="84"/>
      <c r="AK174" s="85"/>
      <c r="AL174" s="84"/>
      <c r="AM174" s="88"/>
      <c r="AN174" s="84"/>
      <c r="AO174" s="85"/>
      <c r="AP174" s="84"/>
      <c r="AQ174" s="83"/>
      <c r="AR174" s="83"/>
      <c r="AS174" s="83"/>
      <c r="AT174" s="85"/>
      <c r="AU174" s="85"/>
      <c r="AV174" s="85"/>
      <c r="AW174" s="88"/>
      <c r="AX174" s="84"/>
      <c r="AY174" s="85"/>
      <c r="AZ174" s="84"/>
      <c r="BA174" s="85"/>
      <c r="BB174" s="88"/>
      <c r="BC174" s="85"/>
      <c r="BD174" s="84"/>
      <c r="BE174" s="88"/>
      <c r="BF174" s="85"/>
      <c r="BG174" s="85"/>
      <c r="BH174" s="120"/>
      <c r="BI174" s="85">
        <f>38.92+13.31</f>
        <v>52.230000000000004</v>
      </c>
      <c r="BJ174" s="85"/>
      <c r="BK174" s="85"/>
      <c r="BL174" s="85"/>
      <c r="BM174" s="85"/>
      <c r="BN174" s="85"/>
      <c r="BO174" s="85"/>
      <c r="BP174" s="85"/>
      <c r="BQ174" s="85"/>
      <c r="BR174" s="84"/>
      <c r="BS174" s="85"/>
      <c r="BT174" s="85"/>
      <c r="BU174" s="198"/>
      <c r="BV174" s="90"/>
      <c r="BW174" s="198"/>
      <c r="BX174" s="90"/>
      <c r="BY174" s="198"/>
      <c r="BZ174" s="90"/>
      <c r="CA174" s="91"/>
    </row>
    <row r="175" spans="1:1199" s="101" customFormat="1" ht="50.1" customHeight="1" outlineLevel="1" x14ac:dyDescent="0.3">
      <c r="A175" s="132" t="s">
        <v>189</v>
      </c>
      <c r="B175" s="133"/>
      <c r="C175" s="134" t="s">
        <v>94</v>
      </c>
      <c r="D175" s="81">
        <f t="shared" ref="D175:AI175" si="27">SUBTOTAL(9,D128:D174)</f>
        <v>69649.362329999989</v>
      </c>
      <c r="E175" s="81">
        <f t="shared" si="27"/>
        <v>20854.090980000001</v>
      </c>
      <c r="F175" s="81">
        <f t="shared" si="27"/>
        <v>48795.271349999988</v>
      </c>
      <c r="G175" s="81">
        <f t="shared" si="27"/>
        <v>0</v>
      </c>
      <c r="H175" s="81">
        <f t="shared" si="27"/>
        <v>0</v>
      </c>
      <c r="I175" s="81">
        <f t="shared" si="27"/>
        <v>0</v>
      </c>
      <c r="J175" s="81">
        <f t="shared" si="27"/>
        <v>69.615470000000002</v>
      </c>
      <c r="K175" s="81">
        <f t="shared" si="27"/>
        <v>25.31474</v>
      </c>
      <c r="L175" s="81">
        <f t="shared" si="27"/>
        <v>0</v>
      </c>
      <c r="M175" s="81">
        <f t="shared" si="27"/>
        <v>0</v>
      </c>
      <c r="N175" s="81">
        <f t="shared" si="27"/>
        <v>5042.20417</v>
      </c>
      <c r="O175" s="81">
        <f t="shared" si="27"/>
        <v>2484.0587299999997</v>
      </c>
      <c r="P175" s="81">
        <f t="shared" si="27"/>
        <v>1035.5118500000001</v>
      </c>
      <c r="Q175" s="81">
        <f t="shared" si="27"/>
        <v>14997.054899999999</v>
      </c>
      <c r="R175" s="81">
        <f t="shared" si="27"/>
        <v>0</v>
      </c>
      <c r="S175" s="81">
        <f t="shared" si="27"/>
        <v>351.26670000000001</v>
      </c>
      <c r="T175" s="81">
        <f t="shared" si="27"/>
        <v>424.28501999999997</v>
      </c>
      <c r="U175" s="81">
        <f t="shared" si="27"/>
        <v>577.20000000000005</v>
      </c>
      <c r="V175" s="81">
        <f t="shared" si="27"/>
        <v>1807.10445</v>
      </c>
      <c r="W175" s="81">
        <f t="shared" si="27"/>
        <v>3861.9682699999998</v>
      </c>
      <c r="X175" s="81">
        <f t="shared" si="27"/>
        <v>0</v>
      </c>
      <c r="Y175" s="81">
        <f t="shared" si="27"/>
        <v>247.5564</v>
      </c>
      <c r="Z175" s="81">
        <f t="shared" si="27"/>
        <v>0</v>
      </c>
      <c r="AA175" s="81">
        <f t="shared" si="27"/>
        <v>0</v>
      </c>
      <c r="AB175" s="81">
        <f t="shared" si="27"/>
        <v>0</v>
      </c>
      <c r="AC175" s="81">
        <f t="shared" si="27"/>
        <v>0</v>
      </c>
      <c r="AD175" s="81">
        <f t="shared" si="27"/>
        <v>913.2564799999999</v>
      </c>
      <c r="AE175" s="81">
        <f t="shared" si="27"/>
        <v>552.51609999999994</v>
      </c>
      <c r="AF175" s="192">
        <f t="shared" si="27"/>
        <v>360.74037999999996</v>
      </c>
      <c r="AG175" s="81">
        <f t="shared" si="27"/>
        <v>0</v>
      </c>
      <c r="AH175" s="81">
        <f t="shared" si="27"/>
        <v>0</v>
      </c>
      <c r="AI175" s="81">
        <f t="shared" si="27"/>
        <v>0</v>
      </c>
      <c r="AJ175" s="81">
        <f t="shared" ref="AJ175:BO175" si="28">SUBTOTAL(9,AJ128:AJ174)</f>
        <v>0</v>
      </c>
      <c r="AK175" s="81">
        <f t="shared" si="28"/>
        <v>0</v>
      </c>
      <c r="AL175" s="81">
        <f t="shared" si="28"/>
        <v>0</v>
      </c>
      <c r="AM175" s="81">
        <f t="shared" si="28"/>
        <v>0</v>
      </c>
      <c r="AN175" s="81">
        <f t="shared" si="28"/>
        <v>0</v>
      </c>
      <c r="AO175" s="81">
        <f t="shared" si="28"/>
        <v>599.04</v>
      </c>
      <c r="AP175" s="81">
        <f t="shared" si="28"/>
        <v>754.60265000000004</v>
      </c>
      <c r="AQ175" s="81">
        <f t="shared" si="28"/>
        <v>1266.5856100000001</v>
      </c>
      <c r="AR175" s="81">
        <f t="shared" si="28"/>
        <v>0</v>
      </c>
      <c r="AS175" s="81">
        <f t="shared" si="28"/>
        <v>0</v>
      </c>
      <c r="AT175" s="81">
        <f t="shared" si="28"/>
        <v>0</v>
      </c>
      <c r="AU175" s="81">
        <f t="shared" si="28"/>
        <v>0</v>
      </c>
      <c r="AV175" s="81">
        <f t="shared" si="28"/>
        <v>8188.0504499999997</v>
      </c>
      <c r="AW175" s="81">
        <f t="shared" si="28"/>
        <v>0</v>
      </c>
      <c r="AX175" s="81">
        <f t="shared" si="28"/>
        <v>0</v>
      </c>
      <c r="AY175" s="81">
        <f t="shared" si="28"/>
        <v>0</v>
      </c>
      <c r="AZ175" s="81">
        <f t="shared" si="28"/>
        <v>4937.4429799999989</v>
      </c>
      <c r="BA175" s="81">
        <f t="shared" si="28"/>
        <v>3927.468769999999</v>
      </c>
      <c r="BB175" s="81">
        <f t="shared" si="28"/>
        <v>1107.8930100000002</v>
      </c>
      <c r="BC175" s="81">
        <f t="shared" si="28"/>
        <v>0</v>
      </c>
      <c r="BD175" s="81">
        <f t="shared" si="28"/>
        <v>0</v>
      </c>
      <c r="BE175" s="81">
        <f t="shared" si="28"/>
        <v>0</v>
      </c>
      <c r="BF175" s="81">
        <f t="shared" si="28"/>
        <v>0</v>
      </c>
      <c r="BG175" s="81">
        <f t="shared" si="28"/>
        <v>816.57916999999998</v>
      </c>
      <c r="BH175" s="81">
        <f t="shared" si="28"/>
        <v>1200</v>
      </c>
      <c r="BI175" s="81">
        <f t="shared" si="28"/>
        <v>52.230000000000004</v>
      </c>
      <c r="BJ175" s="81">
        <f t="shared" si="28"/>
        <v>0</v>
      </c>
      <c r="BK175" s="81">
        <f t="shared" si="28"/>
        <v>3115.4066100000005</v>
      </c>
      <c r="BL175" s="81">
        <f t="shared" si="28"/>
        <v>0</v>
      </c>
      <c r="BM175" s="81">
        <f t="shared" si="28"/>
        <v>0</v>
      </c>
      <c r="BN175" s="81">
        <f t="shared" si="28"/>
        <v>0</v>
      </c>
      <c r="BO175" s="81">
        <f t="shared" si="28"/>
        <v>0</v>
      </c>
      <c r="BP175" s="81">
        <f t="shared" ref="BP175:CU175" si="29">SUBTOTAL(9,BP128:BP174)</f>
        <v>651.29999999999995</v>
      </c>
      <c r="BQ175" s="81">
        <f t="shared" si="29"/>
        <v>0</v>
      </c>
      <c r="BR175" s="81">
        <f t="shared" si="29"/>
        <v>0</v>
      </c>
      <c r="BS175" s="81">
        <f t="shared" si="29"/>
        <v>0</v>
      </c>
      <c r="BT175" s="81">
        <f t="shared" si="29"/>
        <v>0</v>
      </c>
      <c r="BU175" s="81">
        <f t="shared" si="29"/>
        <v>196.36590000000001</v>
      </c>
      <c r="BV175" s="81">
        <f t="shared" si="29"/>
        <v>2850</v>
      </c>
      <c r="BW175" s="81">
        <f t="shared" si="29"/>
        <v>150</v>
      </c>
      <c r="BX175" s="81">
        <f t="shared" si="29"/>
        <v>0</v>
      </c>
      <c r="BY175" s="81">
        <f t="shared" si="29"/>
        <v>0</v>
      </c>
      <c r="BZ175" s="81">
        <f t="shared" si="29"/>
        <v>7600</v>
      </c>
      <c r="CA175" s="81">
        <f t="shared" si="29"/>
        <v>400</v>
      </c>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c r="CX175" s="176"/>
      <c r="CY175" s="176"/>
      <c r="CZ175" s="176"/>
      <c r="DA175" s="176"/>
      <c r="DB175" s="176"/>
      <c r="DC175" s="176"/>
      <c r="DD175" s="176"/>
      <c r="DE175" s="176"/>
      <c r="DF175" s="176"/>
      <c r="DG175" s="176"/>
      <c r="DH175" s="176"/>
      <c r="DI175" s="176"/>
      <c r="DJ175" s="176"/>
      <c r="DK175" s="176"/>
      <c r="DL175" s="176"/>
      <c r="DM175" s="176"/>
      <c r="DN175" s="176"/>
      <c r="DO175" s="176"/>
      <c r="DP175" s="176"/>
      <c r="DQ175" s="176"/>
      <c r="DR175" s="176"/>
      <c r="DS175" s="176"/>
      <c r="DT175" s="176"/>
      <c r="DU175" s="176"/>
      <c r="DV175" s="176"/>
      <c r="DW175" s="176"/>
      <c r="DX175" s="176"/>
      <c r="DY175" s="176"/>
      <c r="DZ175" s="176"/>
      <c r="EA175" s="176"/>
      <c r="EB175" s="176"/>
      <c r="EC175" s="176"/>
      <c r="ED175" s="176"/>
      <c r="EE175" s="176"/>
      <c r="EF175" s="176"/>
      <c r="EG175" s="176"/>
      <c r="EH175" s="176"/>
      <c r="EI175" s="176"/>
      <c r="EJ175" s="176"/>
      <c r="EK175" s="176"/>
      <c r="EL175" s="176"/>
      <c r="EM175" s="176"/>
      <c r="EN175" s="176"/>
      <c r="EO175" s="176"/>
      <c r="EP175" s="176"/>
      <c r="EQ175" s="176"/>
      <c r="ER175" s="176"/>
      <c r="ES175" s="176"/>
      <c r="ET175" s="176"/>
      <c r="EU175" s="176"/>
      <c r="EV175" s="176"/>
      <c r="EW175" s="176"/>
      <c r="EX175" s="176"/>
      <c r="EY175" s="176"/>
      <c r="EZ175" s="176"/>
      <c r="FA175" s="176"/>
      <c r="FB175" s="176"/>
      <c r="FC175" s="176"/>
      <c r="FD175" s="176"/>
      <c r="FE175" s="176"/>
      <c r="FF175" s="176"/>
      <c r="FG175" s="176"/>
      <c r="FH175" s="176"/>
      <c r="FI175" s="176"/>
      <c r="FJ175" s="176"/>
      <c r="FK175" s="176"/>
      <c r="FL175" s="176"/>
      <c r="FM175" s="176"/>
      <c r="FN175" s="176"/>
      <c r="FO175" s="176"/>
      <c r="FP175" s="176"/>
      <c r="FQ175" s="176"/>
      <c r="FR175" s="176"/>
      <c r="FS175" s="176"/>
      <c r="FT175" s="176"/>
      <c r="FU175" s="176"/>
      <c r="FV175" s="176"/>
      <c r="FW175" s="176"/>
      <c r="FX175" s="176"/>
      <c r="FY175" s="176"/>
      <c r="FZ175" s="176"/>
      <c r="GA175" s="176"/>
      <c r="GB175" s="176"/>
      <c r="GC175" s="176"/>
      <c r="GD175" s="176"/>
      <c r="GE175" s="176"/>
      <c r="GF175" s="176"/>
      <c r="GG175" s="176"/>
      <c r="GH175" s="176"/>
      <c r="GI175" s="176"/>
      <c r="GJ175" s="176"/>
      <c r="GK175" s="176"/>
      <c r="GL175" s="176"/>
      <c r="GM175" s="176"/>
      <c r="GN175" s="176"/>
      <c r="GO175" s="176"/>
      <c r="GP175" s="176"/>
      <c r="GQ175" s="176"/>
      <c r="GR175" s="176"/>
      <c r="GS175" s="176"/>
      <c r="GT175" s="176"/>
      <c r="GU175" s="176"/>
      <c r="GV175" s="176"/>
      <c r="GW175" s="176"/>
      <c r="GX175" s="176"/>
      <c r="GY175" s="176"/>
      <c r="GZ175" s="176"/>
      <c r="HA175" s="176"/>
      <c r="HB175" s="176"/>
      <c r="HC175" s="176"/>
      <c r="HD175" s="176"/>
      <c r="HE175" s="176"/>
      <c r="HF175" s="176"/>
      <c r="HG175" s="176"/>
      <c r="HH175" s="176"/>
      <c r="HI175" s="176"/>
      <c r="HJ175" s="176"/>
      <c r="HK175" s="176"/>
      <c r="HL175" s="176"/>
      <c r="HM175" s="176"/>
      <c r="HN175" s="176"/>
      <c r="HO175" s="176"/>
      <c r="HP175" s="176"/>
      <c r="HQ175" s="176"/>
      <c r="HR175" s="176"/>
      <c r="HS175" s="176"/>
      <c r="HT175" s="176"/>
      <c r="HU175" s="176"/>
      <c r="HV175" s="176"/>
      <c r="HW175" s="176"/>
      <c r="HX175" s="176"/>
      <c r="HY175" s="176"/>
      <c r="HZ175" s="176"/>
      <c r="IA175" s="176"/>
      <c r="IB175" s="176"/>
      <c r="IC175" s="176"/>
      <c r="ID175" s="176"/>
      <c r="IE175" s="176"/>
      <c r="IF175" s="176"/>
      <c r="IG175" s="176"/>
      <c r="IH175" s="176"/>
      <c r="II175" s="176"/>
      <c r="IJ175" s="176"/>
      <c r="IK175" s="176"/>
      <c r="IL175" s="176"/>
      <c r="IM175" s="176"/>
      <c r="IN175" s="176"/>
      <c r="IO175" s="176"/>
      <c r="IP175" s="176"/>
      <c r="IQ175" s="176"/>
      <c r="IR175" s="176"/>
      <c r="IS175" s="176"/>
      <c r="IT175" s="176"/>
      <c r="IU175" s="176"/>
      <c r="IV175" s="176"/>
      <c r="IW175" s="176"/>
      <c r="IX175" s="176"/>
      <c r="IY175" s="176"/>
      <c r="IZ175" s="176"/>
      <c r="JA175" s="176"/>
      <c r="JB175" s="176"/>
      <c r="JC175" s="176"/>
      <c r="JD175" s="176"/>
      <c r="JE175" s="176"/>
      <c r="JF175" s="176"/>
      <c r="JG175" s="176"/>
      <c r="JH175" s="176"/>
      <c r="JI175" s="176"/>
      <c r="JJ175" s="176"/>
      <c r="JK175" s="176"/>
      <c r="JL175" s="176"/>
      <c r="JM175" s="176"/>
      <c r="JN175" s="176"/>
      <c r="JO175" s="176"/>
      <c r="JP175" s="176"/>
      <c r="JQ175" s="176"/>
      <c r="JR175" s="176"/>
      <c r="JS175" s="176"/>
      <c r="JT175" s="176"/>
      <c r="JU175" s="176"/>
      <c r="JV175" s="176"/>
      <c r="JW175" s="131"/>
      <c r="JX175" s="131"/>
      <c r="JY175" s="131"/>
      <c r="JZ175" s="131"/>
      <c r="KA175" s="131"/>
      <c r="KB175" s="131"/>
      <c r="KC175" s="131"/>
      <c r="KD175" s="131"/>
      <c r="KE175" s="131"/>
      <c r="KF175" s="131"/>
      <c r="KG175" s="131"/>
      <c r="KH175" s="131"/>
      <c r="KI175" s="131"/>
      <c r="KJ175" s="131"/>
      <c r="KK175" s="131"/>
      <c r="KL175" s="131"/>
      <c r="KM175" s="131"/>
      <c r="KN175" s="131"/>
      <c r="KO175" s="131"/>
      <c r="KP175" s="131"/>
      <c r="KQ175" s="131"/>
      <c r="KR175" s="131"/>
      <c r="KS175" s="131"/>
      <c r="KT175" s="131"/>
      <c r="KU175" s="131"/>
      <c r="KV175" s="131"/>
      <c r="KW175" s="131"/>
      <c r="KX175" s="131"/>
      <c r="KY175" s="131"/>
      <c r="KZ175" s="131"/>
      <c r="LA175" s="131"/>
      <c r="LB175" s="131"/>
      <c r="LC175" s="131"/>
      <c r="LD175" s="131"/>
      <c r="LE175" s="131"/>
      <c r="LF175" s="131"/>
      <c r="LG175" s="131"/>
      <c r="LH175" s="131"/>
      <c r="LI175" s="131"/>
      <c r="LJ175" s="131"/>
      <c r="LK175" s="131"/>
      <c r="LL175" s="131"/>
      <c r="LM175" s="131"/>
      <c r="LN175" s="131"/>
      <c r="LO175" s="131"/>
      <c r="LP175" s="131"/>
      <c r="LQ175" s="131"/>
      <c r="LR175" s="131"/>
      <c r="LS175" s="131"/>
      <c r="LT175" s="131"/>
      <c r="LU175" s="131"/>
      <c r="LV175" s="131"/>
      <c r="LW175" s="131"/>
      <c r="LX175" s="131"/>
      <c r="LY175" s="131"/>
      <c r="LZ175" s="131"/>
      <c r="MA175" s="131"/>
      <c r="MB175" s="131"/>
      <c r="MC175" s="131"/>
      <c r="MD175" s="131"/>
      <c r="ME175" s="131"/>
      <c r="MF175" s="131"/>
      <c r="MG175" s="131"/>
      <c r="MH175" s="131"/>
      <c r="MI175" s="131"/>
      <c r="MJ175" s="131"/>
      <c r="MK175" s="131"/>
      <c r="ML175" s="131"/>
      <c r="MM175" s="131"/>
      <c r="MN175" s="131"/>
      <c r="MO175" s="131"/>
      <c r="MP175" s="131"/>
      <c r="MQ175" s="131"/>
      <c r="MR175" s="131"/>
      <c r="MS175" s="131"/>
      <c r="MT175" s="131"/>
      <c r="MU175" s="131"/>
      <c r="MV175" s="131"/>
      <c r="MW175" s="131"/>
      <c r="MX175" s="131"/>
      <c r="MY175" s="131"/>
      <c r="MZ175" s="131"/>
      <c r="NA175" s="131"/>
      <c r="NB175" s="131"/>
      <c r="NC175" s="131"/>
      <c r="ND175" s="131"/>
      <c r="NE175" s="131"/>
      <c r="NF175" s="131"/>
      <c r="NG175" s="131"/>
      <c r="NH175" s="131"/>
      <c r="NI175" s="131"/>
      <c r="NJ175" s="131"/>
      <c r="NK175" s="131"/>
      <c r="NL175" s="131"/>
      <c r="NM175" s="131"/>
      <c r="NN175" s="131"/>
      <c r="NO175" s="131"/>
      <c r="NP175" s="131"/>
      <c r="NQ175" s="131"/>
      <c r="NR175" s="131"/>
      <c r="NS175" s="131"/>
      <c r="NT175" s="131"/>
      <c r="NU175" s="131"/>
      <c r="NV175" s="131"/>
      <c r="NW175" s="131"/>
      <c r="NX175" s="131"/>
      <c r="NY175" s="131"/>
      <c r="NZ175" s="131"/>
      <c r="OA175" s="131"/>
      <c r="OB175" s="131"/>
      <c r="OC175" s="131"/>
      <c r="OD175" s="131"/>
      <c r="OE175" s="131"/>
      <c r="OF175" s="131"/>
      <c r="OG175" s="131"/>
      <c r="OH175" s="131"/>
      <c r="OI175" s="131"/>
      <c r="OJ175" s="131"/>
      <c r="OK175" s="131"/>
      <c r="OL175" s="131"/>
      <c r="OM175" s="131"/>
      <c r="ON175" s="131"/>
      <c r="OO175" s="131"/>
      <c r="OP175" s="131"/>
      <c r="OQ175" s="131"/>
      <c r="OR175" s="131"/>
      <c r="OS175" s="131"/>
      <c r="OT175" s="131"/>
      <c r="OU175" s="131"/>
      <c r="OV175" s="131"/>
      <c r="OW175" s="131"/>
      <c r="OX175" s="131"/>
      <c r="OY175" s="131"/>
      <c r="OZ175" s="131"/>
      <c r="PA175" s="131"/>
      <c r="PB175" s="131"/>
      <c r="PC175" s="131"/>
      <c r="PD175" s="131"/>
      <c r="PE175" s="131"/>
      <c r="PF175" s="131"/>
      <c r="PG175" s="131"/>
      <c r="PH175" s="131"/>
      <c r="PI175" s="131"/>
      <c r="PJ175" s="131"/>
      <c r="PK175" s="131"/>
      <c r="PL175" s="131"/>
      <c r="PM175" s="131"/>
      <c r="PN175" s="131"/>
      <c r="PO175" s="131"/>
      <c r="PP175" s="131"/>
      <c r="PQ175" s="131"/>
      <c r="PR175" s="131"/>
      <c r="PS175" s="131"/>
      <c r="PT175" s="131"/>
      <c r="PU175" s="131"/>
      <c r="PV175" s="131"/>
      <c r="PW175" s="131"/>
      <c r="PX175" s="131"/>
      <c r="PY175" s="131"/>
      <c r="PZ175" s="131"/>
      <c r="QA175" s="131"/>
      <c r="QB175" s="131"/>
      <c r="QC175" s="131"/>
      <c r="QD175" s="131"/>
      <c r="QE175" s="131"/>
      <c r="QF175" s="131"/>
      <c r="QG175" s="131"/>
      <c r="QH175" s="131"/>
      <c r="QI175" s="131"/>
      <c r="QJ175" s="131"/>
      <c r="QK175" s="131"/>
      <c r="QL175" s="131"/>
      <c r="QM175" s="131"/>
      <c r="QN175" s="131"/>
      <c r="QO175" s="131"/>
      <c r="QP175" s="131"/>
      <c r="QQ175" s="131"/>
      <c r="QR175" s="131"/>
      <c r="QS175" s="131"/>
      <c r="QT175" s="131"/>
      <c r="QU175" s="131"/>
      <c r="QV175" s="131"/>
      <c r="QW175" s="131"/>
      <c r="QX175" s="131"/>
      <c r="QY175" s="131"/>
      <c r="QZ175" s="131"/>
      <c r="RA175" s="131"/>
      <c r="RB175" s="131"/>
      <c r="RC175" s="131"/>
      <c r="RD175" s="131"/>
      <c r="RE175" s="131"/>
      <c r="RF175" s="131"/>
      <c r="RG175" s="131"/>
      <c r="RH175" s="131"/>
      <c r="RI175" s="131"/>
      <c r="RJ175" s="131"/>
      <c r="RK175" s="131"/>
      <c r="RL175" s="131"/>
      <c r="RM175" s="131"/>
      <c r="RN175" s="131"/>
      <c r="RO175" s="131"/>
      <c r="RP175" s="131"/>
      <c r="RQ175" s="131"/>
      <c r="RR175" s="131"/>
      <c r="RS175" s="131"/>
      <c r="RT175" s="131"/>
      <c r="RU175" s="131"/>
      <c r="RV175" s="131"/>
      <c r="RW175" s="131"/>
      <c r="RX175" s="131"/>
      <c r="RY175" s="131"/>
      <c r="RZ175" s="131"/>
      <c r="SA175" s="131"/>
      <c r="SB175" s="131"/>
      <c r="SC175" s="131"/>
      <c r="SD175" s="131"/>
      <c r="SE175" s="131"/>
      <c r="SF175" s="131"/>
      <c r="SG175" s="131"/>
      <c r="SH175" s="131"/>
      <c r="SI175" s="131"/>
      <c r="SJ175" s="131"/>
      <c r="SK175" s="131"/>
      <c r="SL175" s="131"/>
      <c r="SM175" s="131"/>
      <c r="SN175" s="131"/>
      <c r="SO175" s="131"/>
      <c r="SP175" s="131"/>
      <c r="SQ175" s="131"/>
      <c r="SR175" s="131"/>
      <c r="SS175" s="131"/>
      <c r="ST175" s="131"/>
      <c r="SU175" s="131"/>
      <c r="SV175" s="131"/>
      <c r="SW175" s="131"/>
      <c r="SX175" s="131"/>
      <c r="SY175" s="131"/>
      <c r="SZ175" s="131"/>
      <c r="TA175" s="131"/>
      <c r="TB175" s="131"/>
      <c r="TC175" s="131"/>
      <c r="TD175" s="131"/>
      <c r="TE175" s="131"/>
      <c r="TF175" s="131"/>
      <c r="TG175" s="131"/>
      <c r="TH175" s="131"/>
      <c r="TI175" s="131"/>
      <c r="TJ175" s="131"/>
      <c r="TK175" s="131"/>
      <c r="TL175" s="131"/>
      <c r="TM175" s="131"/>
      <c r="TN175" s="131"/>
      <c r="TO175" s="131"/>
      <c r="TP175" s="131"/>
      <c r="TQ175" s="131"/>
      <c r="TR175" s="131"/>
      <c r="TS175" s="131"/>
      <c r="TT175" s="131"/>
      <c r="TU175" s="131"/>
      <c r="TV175" s="131"/>
      <c r="TW175" s="131"/>
      <c r="TX175" s="131"/>
      <c r="TY175" s="131"/>
      <c r="TZ175" s="131"/>
      <c r="UA175" s="131"/>
      <c r="UB175" s="131"/>
      <c r="UC175" s="131"/>
      <c r="UD175" s="131"/>
      <c r="UE175" s="131"/>
      <c r="UF175" s="131"/>
      <c r="UG175" s="131"/>
      <c r="UH175" s="131"/>
      <c r="UI175" s="131"/>
      <c r="UJ175" s="131"/>
      <c r="UK175" s="131"/>
      <c r="UL175" s="131"/>
      <c r="UM175" s="131"/>
      <c r="UN175" s="131"/>
      <c r="UO175" s="131"/>
      <c r="UP175" s="131"/>
      <c r="UQ175" s="131"/>
      <c r="UR175" s="131"/>
      <c r="US175" s="131"/>
      <c r="UT175" s="131"/>
      <c r="UU175" s="131"/>
      <c r="UV175" s="131"/>
      <c r="UW175" s="131"/>
      <c r="UX175" s="131"/>
      <c r="UY175" s="131"/>
      <c r="UZ175" s="131"/>
      <c r="VA175" s="131"/>
      <c r="VB175" s="131"/>
      <c r="VC175" s="131"/>
      <c r="VD175" s="131"/>
      <c r="VE175" s="131"/>
      <c r="VF175" s="131"/>
      <c r="VG175" s="131"/>
      <c r="VH175" s="131"/>
      <c r="VI175" s="131"/>
      <c r="VJ175" s="131"/>
      <c r="VK175" s="131"/>
      <c r="VL175" s="131"/>
      <c r="VM175" s="131"/>
      <c r="VN175" s="131"/>
      <c r="VO175" s="131"/>
      <c r="VP175" s="131"/>
      <c r="VQ175" s="131"/>
      <c r="VR175" s="131"/>
      <c r="VS175" s="131"/>
      <c r="VT175" s="131"/>
      <c r="VU175" s="131"/>
      <c r="VV175" s="131"/>
      <c r="VW175" s="131"/>
      <c r="VX175" s="131"/>
      <c r="VY175" s="131"/>
      <c r="VZ175" s="131"/>
      <c r="WA175" s="131"/>
      <c r="WB175" s="131"/>
      <c r="WC175" s="131"/>
      <c r="WD175" s="131"/>
      <c r="WE175" s="131"/>
      <c r="WF175" s="131"/>
      <c r="WG175" s="131"/>
      <c r="WH175" s="131"/>
      <c r="WI175" s="131"/>
      <c r="WJ175" s="131"/>
      <c r="WK175" s="131"/>
      <c r="WL175" s="131"/>
      <c r="WM175" s="131"/>
      <c r="WN175" s="131"/>
      <c r="WO175" s="131"/>
      <c r="WP175" s="131"/>
      <c r="WQ175" s="131"/>
      <c r="WR175" s="131"/>
      <c r="WS175" s="131"/>
      <c r="WT175" s="131"/>
      <c r="WU175" s="131"/>
      <c r="WV175" s="131"/>
      <c r="WW175" s="131"/>
      <c r="WX175" s="131"/>
      <c r="WY175" s="131"/>
      <c r="WZ175" s="131"/>
      <c r="XA175" s="131"/>
      <c r="XB175" s="131"/>
      <c r="XC175" s="131"/>
      <c r="XD175" s="131"/>
      <c r="XE175" s="131"/>
      <c r="XF175" s="131"/>
      <c r="XG175" s="131"/>
      <c r="XH175" s="131"/>
      <c r="XI175" s="131"/>
      <c r="XJ175" s="131"/>
      <c r="XK175" s="131"/>
      <c r="XL175" s="131"/>
      <c r="XM175" s="131"/>
      <c r="XN175" s="131"/>
      <c r="XO175" s="131"/>
      <c r="XP175" s="131"/>
      <c r="XQ175" s="131"/>
      <c r="XR175" s="131"/>
      <c r="XS175" s="131"/>
      <c r="XT175" s="131"/>
      <c r="XU175" s="131"/>
      <c r="XV175" s="131"/>
      <c r="XW175" s="131"/>
      <c r="XX175" s="131"/>
      <c r="XY175" s="131"/>
      <c r="XZ175" s="131"/>
      <c r="YA175" s="131"/>
      <c r="YB175" s="131"/>
      <c r="YC175" s="131"/>
      <c r="YD175" s="131"/>
      <c r="YE175" s="131"/>
      <c r="YF175" s="131"/>
      <c r="YG175" s="131"/>
      <c r="YH175" s="131"/>
      <c r="YI175" s="131"/>
      <c r="YJ175" s="131"/>
      <c r="YK175" s="131"/>
      <c r="YL175" s="131"/>
      <c r="YM175" s="131"/>
      <c r="YN175" s="131"/>
      <c r="YO175" s="131"/>
      <c r="YP175" s="131"/>
      <c r="YQ175" s="131"/>
      <c r="YR175" s="131"/>
      <c r="YS175" s="131"/>
      <c r="YT175" s="131"/>
      <c r="YU175" s="131"/>
      <c r="YV175" s="131"/>
      <c r="YW175" s="131"/>
      <c r="YX175" s="131"/>
      <c r="YY175" s="131"/>
      <c r="YZ175" s="131"/>
      <c r="ZA175" s="131"/>
      <c r="ZB175" s="131"/>
      <c r="ZC175" s="131"/>
      <c r="ZD175" s="131"/>
      <c r="ZE175" s="131"/>
      <c r="ZF175" s="131"/>
      <c r="ZG175" s="131"/>
      <c r="ZH175" s="131"/>
      <c r="ZI175" s="131"/>
      <c r="ZJ175" s="131"/>
      <c r="ZK175" s="131"/>
      <c r="ZL175" s="131"/>
      <c r="ZM175" s="131"/>
      <c r="ZN175" s="131"/>
      <c r="ZO175" s="131"/>
      <c r="ZP175" s="131"/>
      <c r="ZQ175" s="131"/>
      <c r="ZR175" s="131"/>
      <c r="ZS175" s="131"/>
      <c r="ZT175" s="131"/>
      <c r="ZU175" s="131"/>
      <c r="ZV175" s="131"/>
      <c r="ZW175" s="131"/>
      <c r="ZX175" s="131"/>
      <c r="ZY175" s="131"/>
      <c r="ZZ175" s="131"/>
      <c r="AAA175" s="131"/>
      <c r="AAB175" s="131"/>
      <c r="AAC175" s="131"/>
      <c r="AAD175" s="131"/>
      <c r="AAE175" s="131"/>
      <c r="AAF175" s="131"/>
      <c r="AAG175" s="131"/>
      <c r="AAH175" s="131"/>
      <c r="AAI175" s="131"/>
      <c r="AAJ175" s="131"/>
      <c r="AAK175" s="131"/>
      <c r="AAL175" s="131"/>
      <c r="AAM175" s="131"/>
      <c r="AAN175" s="131"/>
      <c r="AAO175" s="131"/>
      <c r="AAP175" s="131"/>
      <c r="AAQ175" s="131"/>
      <c r="AAR175" s="131"/>
      <c r="AAS175" s="131"/>
      <c r="AAT175" s="131"/>
      <c r="AAU175" s="131"/>
      <c r="AAV175" s="131"/>
      <c r="AAW175" s="131"/>
      <c r="AAX175" s="131"/>
      <c r="AAY175" s="131"/>
      <c r="AAZ175" s="131"/>
      <c r="ABA175" s="131"/>
      <c r="ABB175" s="131"/>
      <c r="ABC175" s="131"/>
      <c r="ABD175" s="131"/>
      <c r="ABE175" s="131"/>
      <c r="ABF175" s="131"/>
      <c r="ABG175" s="131"/>
      <c r="ABH175" s="131"/>
      <c r="ABI175" s="131"/>
      <c r="ABJ175" s="131"/>
      <c r="ABK175" s="131"/>
      <c r="ABL175" s="131"/>
      <c r="ABM175" s="131"/>
      <c r="ABN175" s="131"/>
      <c r="ABO175" s="131"/>
      <c r="ABP175" s="131"/>
      <c r="ABQ175" s="131"/>
      <c r="ABR175" s="131"/>
      <c r="ABS175" s="131"/>
      <c r="ABT175" s="131"/>
      <c r="ABU175" s="131"/>
      <c r="ABV175" s="131"/>
      <c r="ABW175" s="131"/>
      <c r="ABX175" s="131"/>
      <c r="ABY175" s="131"/>
      <c r="ABZ175" s="131"/>
      <c r="ACA175" s="131"/>
      <c r="ACB175" s="131"/>
      <c r="ACC175" s="131"/>
      <c r="ACD175" s="131"/>
      <c r="ACE175" s="131"/>
      <c r="ACF175" s="131"/>
      <c r="ACG175" s="131"/>
      <c r="ACH175" s="131"/>
      <c r="ACI175" s="131"/>
      <c r="ACJ175" s="131"/>
      <c r="ACK175" s="131"/>
      <c r="ACL175" s="131"/>
      <c r="ACM175" s="131"/>
      <c r="ACN175" s="131"/>
      <c r="ACO175" s="131"/>
      <c r="ACP175" s="131"/>
      <c r="ACQ175" s="131"/>
      <c r="ACR175" s="131"/>
      <c r="ACS175" s="131"/>
      <c r="ACT175" s="131"/>
      <c r="ACU175" s="131"/>
      <c r="ACV175" s="131"/>
      <c r="ACW175" s="131"/>
      <c r="ACX175" s="131"/>
      <c r="ACY175" s="131"/>
      <c r="ACZ175" s="131"/>
      <c r="ADA175" s="131"/>
      <c r="ADB175" s="131"/>
      <c r="ADC175" s="131"/>
      <c r="ADD175" s="131"/>
      <c r="ADE175" s="131"/>
      <c r="ADF175" s="131"/>
      <c r="ADG175" s="131"/>
      <c r="ADH175" s="131"/>
      <c r="ADI175" s="131"/>
      <c r="ADJ175" s="131"/>
      <c r="ADK175" s="131"/>
      <c r="ADL175" s="131"/>
      <c r="ADM175" s="131"/>
      <c r="ADN175" s="131"/>
      <c r="ADO175" s="131"/>
      <c r="ADP175" s="131"/>
      <c r="ADQ175" s="131"/>
      <c r="ADR175" s="131"/>
      <c r="ADS175" s="131"/>
      <c r="ADT175" s="131"/>
      <c r="ADU175" s="131"/>
      <c r="ADV175" s="131"/>
      <c r="ADW175" s="131"/>
      <c r="ADX175" s="131"/>
      <c r="ADY175" s="131"/>
      <c r="ADZ175" s="131"/>
      <c r="AEA175" s="131"/>
      <c r="AEB175" s="131"/>
      <c r="AEC175" s="131"/>
      <c r="AED175" s="131"/>
      <c r="AEE175" s="131"/>
      <c r="AEF175" s="131"/>
      <c r="AEG175" s="131"/>
      <c r="AEH175" s="131"/>
      <c r="AEI175" s="131"/>
      <c r="AEJ175" s="131"/>
      <c r="AEK175" s="131"/>
      <c r="AEL175" s="131"/>
      <c r="AEM175" s="131"/>
      <c r="AEN175" s="131"/>
      <c r="AEO175" s="131"/>
      <c r="AEP175" s="131"/>
      <c r="AEQ175" s="131"/>
      <c r="AER175" s="131"/>
      <c r="AES175" s="131"/>
      <c r="AET175" s="131"/>
      <c r="AEU175" s="131"/>
      <c r="AEV175" s="131"/>
      <c r="AEW175" s="131"/>
      <c r="AEX175" s="131"/>
      <c r="AEY175" s="131"/>
      <c r="AEZ175" s="131"/>
      <c r="AFA175" s="131"/>
      <c r="AFB175" s="131"/>
      <c r="AFC175" s="131"/>
      <c r="AFD175" s="131"/>
      <c r="AFE175" s="131"/>
      <c r="AFF175" s="131"/>
      <c r="AFG175" s="131"/>
      <c r="AFH175" s="131"/>
      <c r="AFI175" s="131"/>
      <c r="AFJ175" s="131"/>
      <c r="AFK175" s="131"/>
      <c r="AFL175" s="131"/>
      <c r="AFM175" s="131"/>
      <c r="AFN175" s="131"/>
      <c r="AFO175" s="131"/>
      <c r="AFP175" s="131"/>
      <c r="AFQ175" s="131"/>
      <c r="AFR175" s="131"/>
      <c r="AFS175" s="131"/>
      <c r="AFT175" s="131"/>
      <c r="AFU175" s="131"/>
      <c r="AFV175" s="131"/>
      <c r="AFW175" s="131"/>
      <c r="AFX175" s="131"/>
      <c r="AFY175" s="131"/>
      <c r="AFZ175" s="131"/>
      <c r="AGA175" s="131"/>
      <c r="AGB175" s="131"/>
      <c r="AGC175" s="131"/>
      <c r="AGD175" s="131"/>
      <c r="AGE175" s="131"/>
      <c r="AGF175" s="131"/>
      <c r="AGG175" s="131"/>
      <c r="AGH175" s="131"/>
      <c r="AGI175" s="131"/>
      <c r="AGJ175" s="131"/>
      <c r="AGK175" s="131"/>
      <c r="AGL175" s="131"/>
      <c r="AGM175" s="131"/>
      <c r="AGN175" s="131"/>
      <c r="AGO175" s="131"/>
      <c r="AGP175" s="131"/>
      <c r="AGQ175" s="131"/>
      <c r="AGR175" s="131"/>
      <c r="AGS175" s="131"/>
      <c r="AGT175" s="131"/>
      <c r="AGU175" s="131"/>
      <c r="AGV175" s="131"/>
      <c r="AGW175" s="131"/>
      <c r="AGX175" s="131"/>
      <c r="AGY175" s="131"/>
      <c r="AGZ175" s="131"/>
      <c r="AHA175" s="131"/>
      <c r="AHB175" s="131"/>
      <c r="AHC175" s="131"/>
      <c r="AHD175" s="131"/>
      <c r="AHE175" s="131"/>
      <c r="AHF175" s="131"/>
      <c r="AHG175" s="131"/>
      <c r="AHH175" s="131"/>
      <c r="AHI175" s="131"/>
      <c r="AHJ175" s="131"/>
      <c r="AHK175" s="131"/>
      <c r="AHL175" s="131"/>
      <c r="AHM175" s="131"/>
      <c r="AHN175" s="131"/>
      <c r="AHO175" s="131"/>
      <c r="AHP175" s="131"/>
      <c r="AHQ175" s="131"/>
      <c r="AHR175" s="131"/>
      <c r="AHS175" s="131"/>
      <c r="AHT175" s="131"/>
      <c r="AHU175" s="131"/>
      <c r="AHV175" s="131"/>
      <c r="AHW175" s="131"/>
      <c r="AHX175" s="131"/>
      <c r="AHY175" s="131"/>
      <c r="AHZ175" s="131"/>
      <c r="AIA175" s="131"/>
      <c r="AIB175" s="131"/>
      <c r="AIC175" s="131"/>
      <c r="AID175" s="131"/>
      <c r="AIE175" s="131"/>
      <c r="AIF175" s="131"/>
      <c r="AIG175" s="131"/>
      <c r="AIH175" s="131"/>
      <c r="AII175" s="131"/>
      <c r="AIJ175" s="131"/>
      <c r="AIK175" s="131"/>
      <c r="AIL175" s="131"/>
      <c r="AIM175" s="131"/>
      <c r="AIN175" s="131"/>
      <c r="AIO175" s="131"/>
      <c r="AIP175" s="131"/>
      <c r="AIQ175" s="131"/>
      <c r="AIR175" s="131"/>
      <c r="AIS175" s="131"/>
      <c r="AIT175" s="131"/>
      <c r="AIU175" s="131"/>
      <c r="AIV175" s="131"/>
      <c r="AIW175" s="131"/>
      <c r="AIX175" s="131"/>
      <c r="AIY175" s="131"/>
      <c r="AIZ175" s="131"/>
      <c r="AJA175" s="131"/>
      <c r="AJB175" s="131"/>
      <c r="AJC175" s="131"/>
      <c r="AJD175" s="131"/>
      <c r="AJE175" s="131"/>
      <c r="AJF175" s="131"/>
      <c r="AJG175" s="131"/>
      <c r="AJH175" s="131"/>
      <c r="AJI175" s="131"/>
      <c r="AJJ175" s="131"/>
      <c r="AJK175" s="131"/>
      <c r="AJL175" s="131"/>
      <c r="AJM175" s="131"/>
      <c r="AJN175" s="131"/>
      <c r="AJO175" s="131"/>
      <c r="AJP175" s="131"/>
      <c r="AJQ175" s="131"/>
      <c r="AJR175" s="131"/>
      <c r="AJS175" s="131"/>
      <c r="AJT175" s="131"/>
      <c r="AJU175" s="131"/>
      <c r="AJV175" s="131"/>
      <c r="AJW175" s="131"/>
      <c r="AJX175" s="131"/>
      <c r="AJY175" s="131"/>
      <c r="AJZ175" s="131"/>
      <c r="AKA175" s="131"/>
      <c r="AKB175" s="131"/>
      <c r="AKC175" s="131"/>
      <c r="AKD175" s="131"/>
      <c r="AKE175" s="131"/>
      <c r="AKF175" s="131"/>
      <c r="AKG175" s="131"/>
      <c r="AKH175" s="131"/>
      <c r="AKI175" s="131"/>
      <c r="AKJ175" s="131"/>
      <c r="AKK175" s="131"/>
      <c r="AKL175" s="131"/>
      <c r="AKM175" s="131"/>
      <c r="AKN175" s="131"/>
      <c r="AKO175" s="131"/>
      <c r="AKP175" s="131"/>
      <c r="AKQ175" s="131"/>
      <c r="AKR175" s="131"/>
      <c r="AKS175" s="131"/>
      <c r="AKT175" s="131"/>
      <c r="AKU175" s="131"/>
      <c r="AKV175" s="131"/>
      <c r="AKW175" s="131"/>
      <c r="AKX175" s="131"/>
      <c r="AKY175" s="131"/>
      <c r="AKZ175" s="131"/>
      <c r="ALA175" s="131"/>
      <c r="ALB175" s="131"/>
      <c r="ALC175" s="131"/>
      <c r="ALD175" s="131"/>
      <c r="ALE175" s="131"/>
      <c r="ALF175" s="131"/>
      <c r="ALG175" s="131"/>
      <c r="ALH175" s="131"/>
      <c r="ALI175" s="131"/>
      <c r="ALJ175" s="131"/>
      <c r="ALK175" s="131"/>
      <c r="ALL175" s="131"/>
      <c r="ALM175" s="131"/>
      <c r="ALN175" s="131"/>
      <c r="ALO175" s="131"/>
      <c r="ALP175" s="131"/>
      <c r="ALQ175" s="131"/>
      <c r="ALR175" s="131"/>
      <c r="ALS175" s="131"/>
      <c r="ALT175" s="131"/>
      <c r="ALU175" s="131"/>
      <c r="ALV175" s="131"/>
      <c r="ALW175" s="131"/>
      <c r="ALX175" s="131"/>
      <c r="ALY175" s="131"/>
      <c r="ALZ175" s="131"/>
      <c r="AMA175" s="131"/>
      <c r="AMB175" s="131"/>
      <c r="AMC175" s="131"/>
      <c r="AMD175" s="131"/>
      <c r="AME175" s="131"/>
      <c r="AMF175" s="131"/>
      <c r="AMG175" s="131"/>
      <c r="AMH175" s="131"/>
      <c r="AMI175" s="131"/>
      <c r="AMJ175" s="131"/>
      <c r="AMK175" s="131"/>
      <c r="AML175" s="131"/>
      <c r="AMM175" s="131"/>
      <c r="AMN175" s="131"/>
      <c r="AMO175" s="131"/>
      <c r="AMP175" s="131"/>
      <c r="AMQ175" s="131"/>
      <c r="AMR175" s="131"/>
      <c r="AMS175" s="131"/>
      <c r="AMT175" s="131"/>
      <c r="AMU175" s="131"/>
      <c r="AMV175" s="131"/>
      <c r="AMW175" s="131"/>
      <c r="AMX175" s="131"/>
      <c r="AMY175" s="131"/>
      <c r="AMZ175" s="131"/>
      <c r="ANA175" s="131"/>
      <c r="ANB175" s="131"/>
      <c r="ANC175" s="131"/>
      <c r="AND175" s="131"/>
      <c r="ANE175" s="131"/>
      <c r="ANF175" s="131"/>
      <c r="ANG175" s="131"/>
      <c r="ANH175" s="131"/>
      <c r="ANI175" s="131"/>
      <c r="ANJ175" s="131"/>
      <c r="ANK175" s="131"/>
      <c r="ANL175" s="131"/>
      <c r="ANM175" s="131"/>
      <c r="ANN175" s="131"/>
      <c r="ANO175" s="131"/>
      <c r="ANP175" s="131"/>
      <c r="ANQ175" s="131"/>
      <c r="ANR175" s="131"/>
      <c r="ANS175" s="131"/>
      <c r="ANT175" s="131"/>
      <c r="ANU175" s="131"/>
      <c r="ANV175" s="131"/>
      <c r="ANW175" s="131"/>
      <c r="ANX175" s="131"/>
      <c r="ANY175" s="131"/>
      <c r="ANZ175" s="131"/>
      <c r="AOA175" s="131"/>
      <c r="AOB175" s="131"/>
      <c r="AOC175" s="131"/>
      <c r="AOD175" s="131"/>
      <c r="AOE175" s="131"/>
      <c r="AOF175" s="131"/>
      <c r="AOG175" s="131"/>
      <c r="AOH175" s="131"/>
      <c r="AOI175" s="131"/>
      <c r="AOJ175" s="131"/>
      <c r="AOK175" s="131"/>
      <c r="AOL175" s="131"/>
      <c r="AOM175" s="131"/>
      <c r="AON175" s="131"/>
      <c r="AOO175" s="131"/>
      <c r="AOP175" s="131"/>
      <c r="AOQ175" s="131"/>
      <c r="AOR175" s="131"/>
      <c r="AOS175" s="131"/>
      <c r="AOT175" s="131"/>
      <c r="AOU175" s="131"/>
      <c r="AOV175" s="131"/>
      <c r="AOW175" s="131"/>
      <c r="AOX175" s="131"/>
      <c r="AOY175" s="131"/>
      <c r="AOZ175" s="131"/>
      <c r="APA175" s="131"/>
      <c r="APB175" s="131"/>
      <c r="APC175" s="131"/>
      <c r="APD175" s="131"/>
      <c r="APE175" s="131"/>
      <c r="APF175" s="131"/>
      <c r="APG175" s="131"/>
      <c r="APH175" s="131"/>
      <c r="API175" s="131"/>
      <c r="APJ175" s="131"/>
      <c r="APK175" s="131"/>
      <c r="APL175" s="131"/>
      <c r="APM175" s="131"/>
      <c r="APN175" s="131"/>
      <c r="APO175" s="131"/>
      <c r="APP175" s="131"/>
      <c r="APQ175" s="131"/>
      <c r="APR175" s="131"/>
      <c r="APS175" s="131"/>
      <c r="APT175" s="131"/>
      <c r="APU175" s="131"/>
      <c r="APV175" s="131"/>
      <c r="APW175" s="131"/>
      <c r="APX175" s="131"/>
      <c r="APY175" s="131"/>
      <c r="APZ175" s="131"/>
      <c r="AQA175" s="131"/>
      <c r="AQB175" s="131"/>
      <c r="AQC175" s="131"/>
      <c r="AQD175" s="131"/>
      <c r="AQE175" s="131"/>
      <c r="AQF175" s="131"/>
      <c r="AQG175" s="131"/>
      <c r="AQH175" s="131"/>
      <c r="AQI175" s="131"/>
      <c r="AQJ175" s="131"/>
      <c r="AQK175" s="131"/>
      <c r="AQL175" s="131"/>
      <c r="AQM175" s="131"/>
      <c r="AQN175" s="131"/>
      <c r="AQO175" s="131"/>
      <c r="AQP175" s="131"/>
      <c r="AQQ175" s="131"/>
      <c r="AQR175" s="131"/>
      <c r="AQS175" s="131"/>
      <c r="AQT175" s="131"/>
      <c r="AQU175" s="131"/>
      <c r="AQV175" s="131"/>
      <c r="AQW175" s="131"/>
      <c r="AQX175" s="131"/>
      <c r="AQY175" s="131"/>
      <c r="AQZ175" s="131"/>
      <c r="ARA175" s="131"/>
      <c r="ARB175" s="131"/>
      <c r="ARC175" s="131"/>
      <c r="ARD175" s="131"/>
      <c r="ARE175" s="131"/>
      <c r="ARF175" s="131"/>
      <c r="ARG175" s="131"/>
      <c r="ARH175" s="131"/>
      <c r="ARI175" s="131"/>
      <c r="ARJ175" s="131"/>
      <c r="ARK175" s="131"/>
      <c r="ARL175" s="131"/>
      <c r="ARM175" s="131"/>
      <c r="ARN175" s="131"/>
      <c r="ARO175" s="131"/>
      <c r="ARP175" s="131"/>
      <c r="ARQ175" s="131"/>
      <c r="ARR175" s="131"/>
      <c r="ARS175" s="131"/>
      <c r="ART175" s="131"/>
      <c r="ARU175" s="131"/>
      <c r="ARV175" s="131"/>
      <c r="ARW175" s="131"/>
      <c r="ARX175" s="131"/>
      <c r="ARY175" s="131"/>
      <c r="ARZ175" s="131"/>
      <c r="ASA175" s="131"/>
      <c r="ASB175" s="131"/>
      <c r="ASC175" s="131"/>
      <c r="ASD175" s="131"/>
      <c r="ASE175" s="131"/>
      <c r="ASF175" s="131"/>
      <c r="ASG175" s="131"/>
      <c r="ASH175" s="131"/>
      <c r="ASI175" s="131"/>
      <c r="ASJ175" s="131"/>
      <c r="ASK175" s="131"/>
      <c r="ASL175" s="131"/>
      <c r="ASM175" s="131"/>
      <c r="ASN175" s="131"/>
      <c r="ASO175" s="131"/>
      <c r="ASP175" s="131"/>
      <c r="ASQ175" s="131"/>
      <c r="ASR175" s="131"/>
      <c r="ASS175" s="131"/>
      <c r="AST175" s="131"/>
      <c r="ASU175" s="131"/>
      <c r="ASV175" s="131"/>
      <c r="ASW175" s="131"/>
      <c r="ASX175" s="131"/>
      <c r="ASY175" s="131"/>
      <c r="ASZ175" s="131"/>
      <c r="ATA175" s="131"/>
      <c r="ATB175" s="131"/>
      <c r="ATC175" s="131"/>
    </row>
    <row r="176" spans="1:1199" ht="50.1" customHeight="1" outlineLevel="2" x14ac:dyDescent="0.3">
      <c r="A176" s="103" t="s">
        <v>190</v>
      </c>
      <c r="B176" s="102" t="s">
        <v>191</v>
      </c>
      <c r="C176" s="79" t="s">
        <v>55</v>
      </c>
      <c r="D176" s="81">
        <f t="shared" ref="D176" si="30">E176+F176</f>
        <v>365.64749999999998</v>
      </c>
      <c r="E176" s="82">
        <f t="shared" si="25"/>
        <v>0</v>
      </c>
      <c r="F176" s="83">
        <f t="shared" si="26"/>
        <v>365.64749999999998</v>
      </c>
      <c r="G176" s="98"/>
      <c r="H176" s="97"/>
      <c r="I176" s="97"/>
      <c r="J176" s="98"/>
      <c r="K176" s="97"/>
      <c r="L176" s="97"/>
      <c r="M176" s="97"/>
      <c r="N176" s="97"/>
      <c r="O176" s="98"/>
      <c r="P176" s="97"/>
      <c r="Q176" s="97"/>
      <c r="R176" s="97"/>
      <c r="S176" s="98"/>
      <c r="T176" s="97"/>
      <c r="U176" s="97"/>
      <c r="V176" s="98"/>
      <c r="W176" s="97"/>
      <c r="X176" s="82"/>
      <c r="Y176" s="83"/>
      <c r="Z176" s="98"/>
      <c r="AA176" s="97"/>
      <c r="AB176" s="98"/>
      <c r="AC176" s="97"/>
      <c r="AD176" s="89">
        <f t="shared" ref="AD176:AD221" si="31">AE176+AF176</f>
        <v>0</v>
      </c>
      <c r="AE176" s="105"/>
      <c r="AF176" s="190"/>
      <c r="AG176" s="97"/>
      <c r="AH176" s="97"/>
      <c r="AI176" s="97"/>
      <c r="AJ176" s="98"/>
      <c r="AK176" s="97"/>
      <c r="AL176" s="98"/>
      <c r="AM176" s="105"/>
      <c r="AN176" s="84"/>
      <c r="AO176" s="83">
        <v>216.32</v>
      </c>
      <c r="AP176" s="98"/>
      <c r="AQ176" s="83"/>
      <c r="AR176" s="83"/>
      <c r="AS176" s="83"/>
      <c r="AT176" s="97"/>
      <c r="AU176" s="97"/>
      <c r="AV176" s="97"/>
      <c r="AW176" s="105"/>
      <c r="AX176" s="98"/>
      <c r="AY176" s="97"/>
      <c r="AZ176" s="98"/>
      <c r="BA176" s="97"/>
      <c r="BB176" s="105"/>
      <c r="BC176" s="97"/>
      <c r="BD176" s="98"/>
      <c r="BE176" s="105"/>
      <c r="BF176" s="97"/>
      <c r="BG176" s="97"/>
      <c r="BH176" s="85"/>
      <c r="BI176" s="85"/>
      <c r="BJ176" s="85"/>
      <c r="BK176" s="85">
        <v>149.32749999999999</v>
      </c>
      <c r="BL176" s="85"/>
      <c r="BM176" s="85"/>
      <c r="BN176" s="85"/>
      <c r="BO176" s="85"/>
      <c r="BP176" s="85"/>
      <c r="BQ176" s="85"/>
      <c r="BR176" s="84"/>
      <c r="BS176" s="85"/>
      <c r="BT176" s="85"/>
      <c r="BU176" s="198"/>
      <c r="BV176" s="90"/>
      <c r="BW176" s="198"/>
      <c r="BX176" s="90"/>
      <c r="BY176" s="198"/>
      <c r="BZ176" s="90"/>
      <c r="CA176" s="91"/>
    </row>
    <row r="177" spans="1:1199" ht="50.1" customHeight="1" outlineLevel="2" x14ac:dyDescent="0.3">
      <c r="A177" s="103" t="s">
        <v>190</v>
      </c>
      <c r="B177" s="102" t="s">
        <v>192</v>
      </c>
      <c r="C177" s="79" t="s">
        <v>55</v>
      </c>
      <c r="D177" s="81">
        <f t="shared" ref="D177:D189" si="32">E177+F177</f>
        <v>241.28</v>
      </c>
      <c r="E177" s="82">
        <f t="shared" si="25"/>
        <v>0</v>
      </c>
      <c r="F177" s="83">
        <f t="shared" si="26"/>
        <v>241.28</v>
      </c>
      <c r="G177" s="84"/>
      <c r="H177" s="85"/>
      <c r="I177" s="85"/>
      <c r="J177" s="84"/>
      <c r="K177" s="85"/>
      <c r="L177" s="85"/>
      <c r="M177" s="85"/>
      <c r="N177" s="85"/>
      <c r="O177" s="82"/>
      <c r="P177" s="83"/>
      <c r="Q177" s="83"/>
      <c r="R177" s="83"/>
      <c r="S177" s="82"/>
      <c r="T177" s="83"/>
      <c r="U177" s="83"/>
      <c r="V177" s="84"/>
      <c r="W177" s="85"/>
      <c r="X177" s="82"/>
      <c r="Y177" s="83"/>
      <c r="Z177" s="84"/>
      <c r="AA177" s="85"/>
      <c r="AB177" s="84"/>
      <c r="AC177" s="85"/>
      <c r="AD177" s="89">
        <f t="shared" si="31"/>
        <v>0</v>
      </c>
      <c r="AE177" s="89"/>
      <c r="AF177" s="186"/>
      <c r="AG177" s="85"/>
      <c r="AH177" s="85"/>
      <c r="AI177" s="85"/>
      <c r="AJ177" s="84"/>
      <c r="AK177" s="85"/>
      <c r="AL177" s="84"/>
      <c r="AM177" s="88"/>
      <c r="AN177" s="84"/>
      <c r="AO177" s="85">
        <v>241.28</v>
      </c>
      <c r="AP177" s="84"/>
      <c r="AQ177" s="83"/>
      <c r="AR177" s="83"/>
      <c r="AS177" s="83"/>
      <c r="AT177" s="85"/>
      <c r="AU177" s="85"/>
      <c r="AV177" s="85"/>
      <c r="AW177" s="88"/>
      <c r="AX177" s="84"/>
      <c r="AY177" s="85"/>
      <c r="AZ177" s="84"/>
      <c r="BA177" s="85"/>
      <c r="BB177" s="88"/>
      <c r="BC177" s="85"/>
      <c r="BD177" s="84"/>
      <c r="BE177" s="88"/>
      <c r="BF177" s="85"/>
      <c r="BG177" s="85"/>
      <c r="BH177" s="85"/>
      <c r="BI177" s="85"/>
      <c r="BJ177" s="85"/>
      <c r="BK177" s="85"/>
      <c r="BL177" s="85"/>
      <c r="BM177" s="85"/>
      <c r="BN177" s="85"/>
      <c r="BO177" s="85"/>
      <c r="BP177" s="85"/>
      <c r="BQ177" s="85"/>
      <c r="BR177" s="84"/>
      <c r="BS177" s="85"/>
      <c r="BT177" s="85"/>
      <c r="BU177" s="198"/>
      <c r="BV177" s="90"/>
      <c r="BW177" s="198"/>
      <c r="BX177" s="90"/>
      <c r="BY177" s="198"/>
      <c r="BZ177" s="90"/>
      <c r="CA177" s="91"/>
    </row>
    <row r="178" spans="1:1199" ht="50.1" customHeight="1" outlineLevel="2" x14ac:dyDescent="0.3">
      <c r="A178" s="103" t="s">
        <v>190</v>
      </c>
      <c r="B178" s="102" t="s">
        <v>193</v>
      </c>
      <c r="C178" s="79" t="s">
        <v>55</v>
      </c>
      <c r="D178" s="81">
        <f t="shared" si="32"/>
        <v>236.07409000000001</v>
      </c>
      <c r="E178" s="82">
        <f t="shared" si="25"/>
        <v>0</v>
      </c>
      <c r="F178" s="83">
        <f t="shared" si="26"/>
        <v>236.07409000000001</v>
      </c>
      <c r="G178" s="84"/>
      <c r="H178" s="85"/>
      <c r="I178" s="85"/>
      <c r="J178" s="84"/>
      <c r="K178" s="85"/>
      <c r="L178" s="85"/>
      <c r="M178" s="85"/>
      <c r="N178" s="85"/>
      <c r="O178" s="82"/>
      <c r="P178" s="83"/>
      <c r="Q178" s="83"/>
      <c r="R178" s="83"/>
      <c r="S178" s="82"/>
      <c r="T178" s="83"/>
      <c r="U178" s="83"/>
      <c r="V178" s="84"/>
      <c r="W178" s="85"/>
      <c r="X178" s="82"/>
      <c r="Y178" s="83"/>
      <c r="Z178" s="84"/>
      <c r="AA178" s="85"/>
      <c r="AB178" s="84"/>
      <c r="AC178" s="85"/>
      <c r="AD178" s="89">
        <f t="shared" si="31"/>
        <v>0</v>
      </c>
      <c r="AE178" s="89"/>
      <c r="AF178" s="186"/>
      <c r="AG178" s="85"/>
      <c r="AH178" s="85"/>
      <c r="AI178" s="85"/>
      <c r="AJ178" s="84"/>
      <c r="AK178" s="85"/>
      <c r="AL178" s="84"/>
      <c r="AM178" s="88"/>
      <c r="AN178" s="84"/>
      <c r="AO178" s="85"/>
      <c r="AP178" s="84"/>
      <c r="AQ178" s="83"/>
      <c r="AR178" s="83"/>
      <c r="AS178" s="83"/>
      <c r="AT178" s="85"/>
      <c r="AU178" s="85"/>
      <c r="AV178" s="85"/>
      <c r="AW178" s="88"/>
      <c r="AX178" s="84"/>
      <c r="AY178" s="85"/>
      <c r="AZ178" s="84"/>
      <c r="BA178" s="85"/>
      <c r="BB178" s="88"/>
      <c r="BC178" s="85"/>
      <c r="BD178" s="84"/>
      <c r="BE178" s="88"/>
      <c r="BF178" s="85"/>
      <c r="BG178" s="85"/>
      <c r="BH178" s="85"/>
      <c r="BI178" s="85"/>
      <c r="BJ178" s="85"/>
      <c r="BK178" s="85">
        <v>236.07409000000001</v>
      </c>
      <c r="BL178" s="85"/>
      <c r="BM178" s="85"/>
      <c r="BN178" s="85"/>
      <c r="BO178" s="85"/>
      <c r="BP178" s="85"/>
      <c r="BQ178" s="85"/>
      <c r="BR178" s="84"/>
      <c r="BS178" s="85"/>
      <c r="BT178" s="85"/>
      <c r="BU178" s="198"/>
      <c r="BV178" s="90"/>
      <c r="BW178" s="198"/>
      <c r="BX178" s="90"/>
      <c r="BY178" s="198"/>
      <c r="BZ178" s="90"/>
      <c r="CA178" s="91"/>
    </row>
    <row r="179" spans="1:1199" ht="50.1" customHeight="1" outlineLevel="2" x14ac:dyDescent="0.3">
      <c r="A179" s="103" t="s">
        <v>190</v>
      </c>
      <c r="B179" s="102" t="s">
        <v>194</v>
      </c>
      <c r="C179" s="79" t="s">
        <v>55</v>
      </c>
      <c r="D179" s="81">
        <f t="shared" si="32"/>
        <v>49.92</v>
      </c>
      <c r="E179" s="82">
        <f t="shared" si="25"/>
        <v>0</v>
      </c>
      <c r="F179" s="83">
        <f t="shared" si="26"/>
        <v>49.92</v>
      </c>
      <c r="G179" s="84"/>
      <c r="H179" s="85"/>
      <c r="I179" s="85"/>
      <c r="J179" s="84"/>
      <c r="K179" s="85"/>
      <c r="L179" s="85"/>
      <c r="M179" s="85"/>
      <c r="N179" s="85"/>
      <c r="O179" s="82"/>
      <c r="P179" s="83"/>
      <c r="Q179" s="83"/>
      <c r="R179" s="83"/>
      <c r="S179" s="82"/>
      <c r="T179" s="83"/>
      <c r="U179" s="83"/>
      <c r="V179" s="84"/>
      <c r="W179" s="85"/>
      <c r="X179" s="82"/>
      <c r="Y179" s="83"/>
      <c r="Z179" s="84"/>
      <c r="AA179" s="85"/>
      <c r="AB179" s="84"/>
      <c r="AC179" s="85"/>
      <c r="AD179" s="89">
        <f t="shared" si="31"/>
        <v>0</v>
      </c>
      <c r="AE179" s="83"/>
      <c r="AF179" s="123"/>
      <c r="AG179" s="85"/>
      <c r="AH179" s="85"/>
      <c r="AI179" s="85"/>
      <c r="AJ179" s="84"/>
      <c r="AK179" s="85"/>
      <c r="AL179" s="84"/>
      <c r="AM179" s="85"/>
      <c r="AN179" s="84"/>
      <c r="AO179" s="85">
        <v>49.92</v>
      </c>
      <c r="AP179" s="84"/>
      <c r="AQ179" s="83"/>
      <c r="AR179" s="83"/>
      <c r="AS179" s="83"/>
      <c r="AT179" s="85"/>
      <c r="AU179" s="85"/>
      <c r="AV179" s="85"/>
      <c r="AW179" s="85"/>
      <c r="AX179" s="84"/>
      <c r="AY179" s="85"/>
      <c r="AZ179" s="84"/>
      <c r="BA179" s="85"/>
      <c r="BB179" s="85"/>
      <c r="BC179" s="85"/>
      <c r="BD179" s="85"/>
      <c r="BE179" s="85"/>
      <c r="BF179" s="85"/>
      <c r="BG179" s="85"/>
      <c r="BH179" s="85"/>
      <c r="BI179" s="85"/>
      <c r="BJ179" s="85"/>
      <c r="BK179" s="85"/>
      <c r="BL179" s="85"/>
      <c r="BM179" s="85"/>
      <c r="BN179" s="85"/>
      <c r="BO179" s="85"/>
      <c r="BP179" s="85"/>
      <c r="BQ179" s="85"/>
      <c r="BR179" s="84"/>
      <c r="BS179" s="85"/>
      <c r="BT179" s="85"/>
      <c r="BU179" s="198"/>
      <c r="BV179" s="90"/>
      <c r="BW179" s="198"/>
      <c r="BX179" s="90"/>
      <c r="BY179" s="198"/>
      <c r="BZ179" s="90"/>
      <c r="CA179" s="91"/>
    </row>
    <row r="180" spans="1:1199" ht="50.1" customHeight="1" outlineLevel="2" x14ac:dyDescent="0.3">
      <c r="A180" s="103" t="s">
        <v>190</v>
      </c>
      <c r="B180" s="102" t="s">
        <v>195</v>
      </c>
      <c r="C180" s="79" t="s">
        <v>55</v>
      </c>
      <c r="D180" s="81">
        <f t="shared" si="32"/>
        <v>435.45375000000001</v>
      </c>
      <c r="E180" s="82">
        <f t="shared" si="25"/>
        <v>0</v>
      </c>
      <c r="F180" s="83">
        <f t="shared" si="26"/>
        <v>435.45375000000001</v>
      </c>
      <c r="G180" s="84"/>
      <c r="H180" s="85"/>
      <c r="I180" s="85"/>
      <c r="J180" s="84"/>
      <c r="K180" s="85"/>
      <c r="L180" s="85"/>
      <c r="M180" s="85"/>
      <c r="N180" s="85"/>
      <c r="O180" s="82"/>
      <c r="P180" s="83"/>
      <c r="Q180" s="83"/>
      <c r="R180" s="83"/>
      <c r="S180" s="82"/>
      <c r="T180" s="83"/>
      <c r="U180" s="83"/>
      <c r="V180" s="84"/>
      <c r="W180" s="85"/>
      <c r="X180" s="82"/>
      <c r="Y180" s="83"/>
      <c r="Z180" s="84"/>
      <c r="AA180" s="85"/>
      <c r="AB180" s="84"/>
      <c r="AC180" s="85"/>
      <c r="AD180" s="89">
        <f t="shared" si="31"/>
        <v>0</v>
      </c>
      <c r="AE180" s="89"/>
      <c r="AF180" s="186"/>
      <c r="AG180" s="85"/>
      <c r="AH180" s="85"/>
      <c r="AI180" s="85"/>
      <c r="AJ180" s="84"/>
      <c r="AK180" s="85"/>
      <c r="AL180" s="84"/>
      <c r="AM180" s="88"/>
      <c r="AN180" s="84"/>
      <c r="AO180" s="85">
        <v>282.88</v>
      </c>
      <c r="AP180" s="84"/>
      <c r="AQ180" s="83"/>
      <c r="AR180" s="83"/>
      <c r="AS180" s="83"/>
      <c r="AT180" s="85"/>
      <c r="AU180" s="85"/>
      <c r="AV180" s="85"/>
      <c r="AW180" s="88"/>
      <c r="AX180" s="84"/>
      <c r="AY180" s="85"/>
      <c r="AZ180" s="84"/>
      <c r="BA180" s="85"/>
      <c r="BB180" s="88"/>
      <c r="BC180" s="85"/>
      <c r="BD180" s="84"/>
      <c r="BE180" s="88"/>
      <c r="BF180" s="85"/>
      <c r="BG180" s="85"/>
      <c r="BH180" s="85"/>
      <c r="BI180" s="85"/>
      <c r="BJ180" s="85"/>
      <c r="BK180" s="85">
        <v>152.57374999999999</v>
      </c>
      <c r="BL180" s="85"/>
      <c r="BM180" s="85"/>
      <c r="BN180" s="85"/>
      <c r="BO180" s="85"/>
      <c r="BP180" s="85"/>
      <c r="BQ180" s="85"/>
      <c r="BR180" s="84"/>
      <c r="BS180" s="85"/>
      <c r="BT180" s="85"/>
      <c r="BU180" s="198"/>
      <c r="BV180" s="90"/>
      <c r="BW180" s="198"/>
      <c r="BX180" s="90"/>
      <c r="BY180" s="198"/>
      <c r="BZ180" s="90"/>
      <c r="CA180" s="91"/>
    </row>
    <row r="181" spans="1:1199" ht="50.1" customHeight="1" outlineLevel="2" x14ac:dyDescent="0.3">
      <c r="A181" s="103" t="s">
        <v>190</v>
      </c>
      <c r="B181" s="102" t="s">
        <v>196</v>
      </c>
      <c r="C181" s="79" t="s">
        <v>55</v>
      </c>
      <c r="D181" s="81">
        <f t="shared" si="32"/>
        <v>299.52</v>
      </c>
      <c r="E181" s="82">
        <f t="shared" si="25"/>
        <v>0</v>
      </c>
      <c r="F181" s="83">
        <f t="shared" si="26"/>
        <v>299.52</v>
      </c>
      <c r="G181" s="84"/>
      <c r="H181" s="85"/>
      <c r="I181" s="85"/>
      <c r="J181" s="84"/>
      <c r="K181" s="85"/>
      <c r="L181" s="85"/>
      <c r="M181" s="85"/>
      <c r="N181" s="85"/>
      <c r="O181" s="82"/>
      <c r="P181" s="83"/>
      <c r="Q181" s="83"/>
      <c r="R181" s="83"/>
      <c r="S181" s="82"/>
      <c r="T181" s="83"/>
      <c r="U181" s="83"/>
      <c r="V181" s="84"/>
      <c r="W181" s="85"/>
      <c r="X181" s="82"/>
      <c r="Y181" s="83"/>
      <c r="Z181" s="84"/>
      <c r="AA181" s="85"/>
      <c r="AB181" s="84"/>
      <c r="AC181" s="85"/>
      <c r="AD181" s="89">
        <f t="shared" si="31"/>
        <v>0</v>
      </c>
      <c r="AE181" s="89"/>
      <c r="AF181" s="186"/>
      <c r="AG181" s="85"/>
      <c r="AH181" s="85"/>
      <c r="AI181" s="85"/>
      <c r="AJ181" s="84"/>
      <c r="AK181" s="85"/>
      <c r="AL181" s="84"/>
      <c r="AM181" s="88"/>
      <c r="AN181" s="84"/>
      <c r="AO181" s="85">
        <v>299.52</v>
      </c>
      <c r="AP181" s="84"/>
      <c r="AQ181" s="83"/>
      <c r="AR181" s="83"/>
      <c r="AS181" s="83"/>
      <c r="AT181" s="85"/>
      <c r="AU181" s="85"/>
      <c r="AV181" s="85"/>
      <c r="AW181" s="88"/>
      <c r="AX181" s="84"/>
      <c r="AY181" s="85"/>
      <c r="AZ181" s="84"/>
      <c r="BA181" s="85"/>
      <c r="BB181" s="88"/>
      <c r="BC181" s="85"/>
      <c r="BD181" s="84"/>
      <c r="BE181" s="88"/>
      <c r="BF181" s="85"/>
      <c r="BG181" s="85"/>
      <c r="BH181" s="85"/>
      <c r="BI181" s="85"/>
      <c r="BJ181" s="85"/>
      <c r="BK181" s="85"/>
      <c r="BL181" s="85"/>
      <c r="BM181" s="85"/>
      <c r="BN181" s="85"/>
      <c r="BO181" s="85"/>
      <c r="BP181" s="85"/>
      <c r="BQ181" s="85"/>
      <c r="BR181" s="84"/>
      <c r="BS181" s="85"/>
      <c r="BT181" s="85"/>
      <c r="BU181" s="198"/>
      <c r="BV181" s="90"/>
      <c r="BW181" s="198"/>
      <c r="BX181" s="90"/>
      <c r="BY181" s="198"/>
      <c r="BZ181" s="90"/>
      <c r="CA181" s="91"/>
    </row>
    <row r="182" spans="1:1199" ht="50.1" customHeight="1" outlineLevel="2" x14ac:dyDescent="0.3">
      <c r="A182" s="103" t="s">
        <v>190</v>
      </c>
      <c r="B182" s="102" t="s">
        <v>197</v>
      </c>
      <c r="C182" s="79" t="s">
        <v>55</v>
      </c>
      <c r="D182" s="81">
        <f t="shared" si="32"/>
        <v>449.24239</v>
      </c>
      <c r="E182" s="82">
        <f t="shared" si="25"/>
        <v>0</v>
      </c>
      <c r="F182" s="83">
        <f t="shared" si="26"/>
        <v>449.24239</v>
      </c>
      <c r="G182" s="84"/>
      <c r="H182" s="85"/>
      <c r="I182" s="85"/>
      <c r="J182" s="84"/>
      <c r="K182" s="85"/>
      <c r="L182" s="85"/>
      <c r="M182" s="85"/>
      <c r="N182" s="85"/>
      <c r="O182" s="82"/>
      <c r="P182" s="83"/>
      <c r="Q182" s="83"/>
      <c r="R182" s="83"/>
      <c r="S182" s="82"/>
      <c r="T182" s="83"/>
      <c r="U182" s="83"/>
      <c r="V182" s="84"/>
      <c r="W182" s="85"/>
      <c r="X182" s="82"/>
      <c r="Y182" s="83"/>
      <c r="Z182" s="84"/>
      <c r="AA182" s="85"/>
      <c r="AB182" s="84"/>
      <c r="AC182" s="85"/>
      <c r="AD182" s="89">
        <f t="shared" si="31"/>
        <v>0</v>
      </c>
      <c r="AE182" s="89"/>
      <c r="AF182" s="186"/>
      <c r="AG182" s="85"/>
      <c r="AH182" s="85"/>
      <c r="AI182" s="85"/>
      <c r="AJ182" s="84"/>
      <c r="AK182" s="85"/>
      <c r="AL182" s="84"/>
      <c r="AM182" s="88"/>
      <c r="AN182" s="84"/>
      <c r="AO182" s="85">
        <v>199.68</v>
      </c>
      <c r="AP182" s="84"/>
      <c r="AQ182" s="83"/>
      <c r="AR182" s="83"/>
      <c r="AS182" s="83"/>
      <c r="AT182" s="85"/>
      <c r="AU182" s="85"/>
      <c r="AV182" s="85"/>
      <c r="AW182" s="88"/>
      <c r="AX182" s="84"/>
      <c r="AY182" s="85"/>
      <c r="AZ182" s="84"/>
      <c r="BA182" s="85"/>
      <c r="BB182" s="88"/>
      <c r="BC182" s="85"/>
      <c r="BD182" s="84"/>
      <c r="BE182" s="88"/>
      <c r="BF182" s="85"/>
      <c r="BG182" s="85"/>
      <c r="BH182" s="85"/>
      <c r="BI182" s="85"/>
      <c r="BJ182" s="85"/>
      <c r="BK182" s="85">
        <v>249.56238999999999</v>
      </c>
      <c r="BL182" s="85"/>
      <c r="BM182" s="85"/>
      <c r="BN182" s="85"/>
      <c r="BO182" s="85"/>
      <c r="BP182" s="85"/>
      <c r="BQ182" s="85"/>
      <c r="BR182" s="84"/>
      <c r="BS182" s="85"/>
      <c r="BT182" s="85"/>
      <c r="BU182" s="198"/>
      <c r="BV182" s="90"/>
      <c r="BW182" s="198"/>
      <c r="BX182" s="90"/>
      <c r="BY182" s="198"/>
      <c r="BZ182" s="90"/>
      <c r="CA182" s="91"/>
    </row>
    <row r="183" spans="1:1199" ht="50.1" customHeight="1" outlineLevel="2" x14ac:dyDescent="0.3">
      <c r="A183" s="103" t="s">
        <v>190</v>
      </c>
      <c r="B183" s="102" t="s">
        <v>198</v>
      </c>
      <c r="C183" s="79" t="s">
        <v>55</v>
      </c>
      <c r="D183" s="81">
        <f t="shared" si="32"/>
        <v>174.72</v>
      </c>
      <c r="E183" s="82">
        <f t="shared" si="25"/>
        <v>0</v>
      </c>
      <c r="F183" s="83">
        <f t="shared" si="26"/>
        <v>174.72</v>
      </c>
      <c r="G183" s="84"/>
      <c r="H183" s="85"/>
      <c r="I183" s="85"/>
      <c r="J183" s="84"/>
      <c r="K183" s="85"/>
      <c r="L183" s="85"/>
      <c r="M183" s="85"/>
      <c r="N183" s="85"/>
      <c r="O183" s="82"/>
      <c r="P183" s="83"/>
      <c r="Q183" s="83"/>
      <c r="R183" s="83"/>
      <c r="S183" s="82"/>
      <c r="T183" s="83"/>
      <c r="U183" s="83"/>
      <c r="V183" s="84"/>
      <c r="W183" s="85"/>
      <c r="X183" s="82"/>
      <c r="Y183" s="83"/>
      <c r="Z183" s="84"/>
      <c r="AA183" s="85"/>
      <c r="AB183" s="84"/>
      <c r="AC183" s="85"/>
      <c r="AD183" s="89">
        <f t="shared" si="31"/>
        <v>0</v>
      </c>
      <c r="AE183" s="89"/>
      <c r="AF183" s="186"/>
      <c r="AG183" s="85"/>
      <c r="AH183" s="85"/>
      <c r="AI183" s="85"/>
      <c r="AJ183" s="84"/>
      <c r="AK183" s="85"/>
      <c r="AL183" s="84"/>
      <c r="AM183" s="88"/>
      <c r="AN183" s="84"/>
      <c r="AO183" s="85">
        <v>174.72</v>
      </c>
      <c r="AP183" s="84"/>
      <c r="AQ183" s="83"/>
      <c r="AR183" s="83"/>
      <c r="AS183" s="83"/>
      <c r="AT183" s="85"/>
      <c r="AU183" s="85"/>
      <c r="AV183" s="85"/>
      <c r="AW183" s="88"/>
      <c r="AX183" s="84"/>
      <c r="AY183" s="85"/>
      <c r="AZ183" s="84"/>
      <c r="BA183" s="85"/>
      <c r="BB183" s="88"/>
      <c r="BC183" s="85"/>
      <c r="BD183" s="84"/>
      <c r="BE183" s="88"/>
      <c r="BF183" s="85"/>
      <c r="BG183" s="85"/>
      <c r="BH183" s="85"/>
      <c r="BI183" s="85"/>
      <c r="BJ183" s="85"/>
      <c r="BK183" s="85"/>
      <c r="BL183" s="85"/>
      <c r="BM183" s="85"/>
      <c r="BN183" s="85"/>
      <c r="BO183" s="85"/>
      <c r="BP183" s="85"/>
      <c r="BQ183" s="85"/>
      <c r="BR183" s="84"/>
      <c r="BS183" s="85"/>
      <c r="BT183" s="85"/>
      <c r="BU183" s="198"/>
      <c r="BV183" s="90"/>
      <c r="BW183" s="198"/>
      <c r="BX183" s="90"/>
      <c r="BY183" s="198"/>
      <c r="BZ183" s="90"/>
      <c r="CA183" s="91"/>
    </row>
    <row r="184" spans="1:1199" ht="50.1" customHeight="1" outlineLevel="2" x14ac:dyDescent="0.3">
      <c r="A184" s="103" t="s">
        <v>190</v>
      </c>
      <c r="B184" s="102" t="s">
        <v>1098</v>
      </c>
      <c r="C184" s="79" t="s">
        <v>55</v>
      </c>
      <c r="D184" s="81">
        <f t="shared" si="32"/>
        <v>3167.78899</v>
      </c>
      <c r="E184" s="82">
        <f t="shared" si="25"/>
        <v>2842.3620000000001</v>
      </c>
      <c r="F184" s="83">
        <f t="shared" si="26"/>
        <v>325.42699000000005</v>
      </c>
      <c r="G184" s="84"/>
      <c r="H184" s="85"/>
      <c r="I184" s="85"/>
      <c r="J184" s="84"/>
      <c r="K184" s="85"/>
      <c r="L184" s="85"/>
      <c r="M184" s="85"/>
      <c r="N184" s="85"/>
      <c r="O184" s="82"/>
      <c r="P184" s="83"/>
      <c r="Q184" s="83"/>
      <c r="R184" s="83"/>
      <c r="S184" s="82"/>
      <c r="T184" s="83"/>
      <c r="U184" s="83"/>
      <c r="V184" s="84"/>
      <c r="W184" s="85"/>
      <c r="X184" s="82"/>
      <c r="Y184" s="83"/>
      <c r="Z184" s="84"/>
      <c r="AA184" s="85"/>
      <c r="AB184" s="84"/>
      <c r="AC184" s="85"/>
      <c r="AD184" s="89"/>
      <c r="AE184" s="89"/>
      <c r="AF184" s="186"/>
      <c r="AG184" s="85"/>
      <c r="AH184" s="85"/>
      <c r="AI184" s="85"/>
      <c r="AJ184" s="84"/>
      <c r="AK184" s="85"/>
      <c r="AL184" s="84"/>
      <c r="AM184" s="88"/>
      <c r="AN184" s="84"/>
      <c r="AO184" s="85"/>
      <c r="AP184" s="84"/>
      <c r="AQ184" s="83"/>
      <c r="AR184" s="83"/>
      <c r="AS184" s="83"/>
      <c r="AT184" s="85"/>
      <c r="AU184" s="85"/>
      <c r="AV184" s="85"/>
      <c r="AW184" s="88"/>
      <c r="AX184" s="84"/>
      <c r="AY184" s="85"/>
      <c r="AZ184" s="84"/>
      <c r="BA184" s="85"/>
      <c r="BB184" s="88"/>
      <c r="BC184" s="85"/>
      <c r="BD184" s="84"/>
      <c r="BE184" s="88"/>
      <c r="BF184" s="85"/>
      <c r="BG184" s="85"/>
      <c r="BH184" s="85"/>
      <c r="BI184" s="85"/>
      <c r="BJ184" s="85"/>
      <c r="BK184" s="85">
        <v>175.82899</v>
      </c>
      <c r="BL184" s="85"/>
      <c r="BM184" s="85"/>
      <c r="BN184" s="85"/>
      <c r="BO184" s="85"/>
      <c r="BP184" s="85"/>
      <c r="BQ184" s="85"/>
      <c r="BR184" s="84"/>
      <c r="BS184" s="85"/>
      <c r="BT184" s="85"/>
      <c r="BU184" s="198"/>
      <c r="BV184" s="90">
        <v>2842.3620000000001</v>
      </c>
      <c r="BW184" s="198">
        <v>149.59800000000001</v>
      </c>
      <c r="BX184" s="90"/>
      <c r="BY184" s="198"/>
      <c r="BZ184" s="90"/>
      <c r="CA184" s="91"/>
    </row>
    <row r="185" spans="1:1199" ht="50.1" customHeight="1" outlineLevel="2" x14ac:dyDescent="0.3">
      <c r="A185" s="103" t="s">
        <v>190</v>
      </c>
      <c r="B185" s="102" t="s">
        <v>199</v>
      </c>
      <c r="C185" s="79" t="s">
        <v>55</v>
      </c>
      <c r="D185" s="81">
        <f t="shared" si="32"/>
        <v>191.36</v>
      </c>
      <c r="E185" s="82">
        <f t="shared" si="25"/>
        <v>0</v>
      </c>
      <c r="F185" s="83">
        <f t="shared" si="26"/>
        <v>191.36</v>
      </c>
      <c r="G185" s="84"/>
      <c r="H185" s="85"/>
      <c r="I185" s="85"/>
      <c r="J185" s="84"/>
      <c r="K185" s="85"/>
      <c r="L185" s="85"/>
      <c r="M185" s="85"/>
      <c r="N185" s="85"/>
      <c r="O185" s="82"/>
      <c r="P185" s="83"/>
      <c r="Q185" s="83"/>
      <c r="R185" s="83"/>
      <c r="S185" s="82"/>
      <c r="T185" s="83"/>
      <c r="U185" s="83"/>
      <c r="V185" s="84"/>
      <c r="W185" s="85"/>
      <c r="X185" s="82"/>
      <c r="Y185" s="83"/>
      <c r="Z185" s="84"/>
      <c r="AA185" s="85"/>
      <c r="AB185" s="84"/>
      <c r="AC185" s="85"/>
      <c r="AD185" s="89">
        <f t="shared" si="31"/>
        <v>0</v>
      </c>
      <c r="AE185" s="89"/>
      <c r="AF185" s="186"/>
      <c r="AG185" s="85"/>
      <c r="AH185" s="85"/>
      <c r="AI185" s="85"/>
      <c r="AJ185" s="84"/>
      <c r="AK185" s="85"/>
      <c r="AL185" s="84"/>
      <c r="AM185" s="88"/>
      <c r="AN185" s="84"/>
      <c r="AO185" s="85">
        <v>191.36</v>
      </c>
      <c r="AP185" s="84"/>
      <c r="AQ185" s="83"/>
      <c r="AR185" s="83"/>
      <c r="AS185" s="83"/>
      <c r="AT185" s="85"/>
      <c r="AU185" s="85"/>
      <c r="AV185" s="85"/>
      <c r="AW185" s="88"/>
      <c r="AX185" s="84"/>
      <c r="AY185" s="85"/>
      <c r="AZ185" s="84"/>
      <c r="BA185" s="85"/>
      <c r="BB185" s="88"/>
      <c r="BC185" s="85"/>
      <c r="BD185" s="84"/>
      <c r="BE185" s="88"/>
      <c r="BF185" s="85"/>
      <c r="BG185" s="85"/>
      <c r="BH185" s="85"/>
      <c r="BI185" s="85"/>
      <c r="BJ185" s="85"/>
      <c r="BK185" s="85"/>
      <c r="BL185" s="85"/>
      <c r="BM185" s="85"/>
      <c r="BN185" s="85"/>
      <c r="BO185" s="85"/>
      <c r="BP185" s="85"/>
      <c r="BQ185" s="85"/>
      <c r="BR185" s="84"/>
      <c r="BS185" s="85"/>
      <c r="BT185" s="85"/>
      <c r="BU185" s="198"/>
      <c r="BV185" s="90"/>
      <c r="BW185" s="198"/>
      <c r="BX185" s="90"/>
      <c r="BY185" s="198"/>
      <c r="BZ185" s="90"/>
      <c r="CA185" s="91"/>
    </row>
    <row r="186" spans="1:1199" ht="50.1" customHeight="1" outlineLevel="2" x14ac:dyDescent="0.3">
      <c r="A186" s="103" t="s">
        <v>190</v>
      </c>
      <c r="B186" s="102" t="s">
        <v>200</v>
      </c>
      <c r="C186" s="79" t="s">
        <v>55</v>
      </c>
      <c r="D186" s="81">
        <f t="shared" si="32"/>
        <v>359.37723</v>
      </c>
      <c r="E186" s="82">
        <f t="shared" si="25"/>
        <v>0</v>
      </c>
      <c r="F186" s="83">
        <f t="shared" si="26"/>
        <v>359.37723</v>
      </c>
      <c r="G186" s="84"/>
      <c r="H186" s="85"/>
      <c r="I186" s="85"/>
      <c r="J186" s="84"/>
      <c r="K186" s="85"/>
      <c r="L186" s="85"/>
      <c r="M186" s="85"/>
      <c r="N186" s="85"/>
      <c r="O186" s="82"/>
      <c r="P186" s="83"/>
      <c r="Q186" s="83"/>
      <c r="R186" s="83"/>
      <c r="S186" s="82"/>
      <c r="T186" s="83"/>
      <c r="U186" s="83"/>
      <c r="V186" s="84"/>
      <c r="W186" s="85"/>
      <c r="X186" s="82"/>
      <c r="Y186" s="83"/>
      <c r="Z186" s="84"/>
      <c r="AA186" s="85"/>
      <c r="AB186" s="84"/>
      <c r="AC186" s="85"/>
      <c r="AD186" s="89">
        <f t="shared" si="31"/>
        <v>0</v>
      </c>
      <c r="AE186" s="89"/>
      <c r="AF186" s="186"/>
      <c r="AG186" s="85"/>
      <c r="AH186" s="85"/>
      <c r="AI186" s="85"/>
      <c r="AJ186" s="84"/>
      <c r="AK186" s="85"/>
      <c r="AL186" s="84"/>
      <c r="AM186" s="88"/>
      <c r="AN186" s="84"/>
      <c r="AO186" s="85">
        <v>249.6</v>
      </c>
      <c r="AP186" s="84"/>
      <c r="AQ186" s="83"/>
      <c r="AR186" s="83"/>
      <c r="AS186" s="83"/>
      <c r="AT186" s="85"/>
      <c r="AU186" s="85"/>
      <c r="AV186" s="85"/>
      <c r="AW186" s="88"/>
      <c r="AX186" s="84"/>
      <c r="AY186" s="85"/>
      <c r="AZ186" s="84"/>
      <c r="BA186" s="85"/>
      <c r="BB186" s="88"/>
      <c r="BC186" s="85"/>
      <c r="BD186" s="84"/>
      <c r="BE186" s="88"/>
      <c r="BF186" s="85"/>
      <c r="BG186" s="85"/>
      <c r="BH186" s="85"/>
      <c r="BI186" s="85"/>
      <c r="BJ186" s="85"/>
      <c r="BK186" s="85">
        <v>109.77723</v>
      </c>
      <c r="BL186" s="85"/>
      <c r="BM186" s="85"/>
      <c r="BN186" s="85"/>
      <c r="BO186" s="85"/>
      <c r="BP186" s="85"/>
      <c r="BQ186" s="85"/>
      <c r="BR186" s="84"/>
      <c r="BS186" s="85"/>
      <c r="BT186" s="85"/>
      <c r="BU186" s="198"/>
      <c r="BV186" s="90"/>
      <c r="BW186" s="198"/>
      <c r="BX186" s="90"/>
      <c r="BY186" s="198"/>
      <c r="BZ186" s="90"/>
      <c r="CA186" s="91"/>
    </row>
    <row r="187" spans="1:1199" ht="50.1" customHeight="1" outlineLevel="2" x14ac:dyDescent="0.3">
      <c r="A187" s="103" t="s">
        <v>190</v>
      </c>
      <c r="B187" s="102" t="s">
        <v>201</v>
      </c>
      <c r="C187" s="79" t="s">
        <v>55</v>
      </c>
      <c r="D187" s="81">
        <f t="shared" si="32"/>
        <v>287.40724</v>
      </c>
      <c r="E187" s="82">
        <f t="shared" si="25"/>
        <v>0</v>
      </c>
      <c r="F187" s="83">
        <f t="shared" si="26"/>
        <v>287.40724</v>
      </c>
      <c r="G187" s="84"/>
      <c r="H187" s="85"/>
      <c r="I187" s="85"/>
      <c r="J187" s="84"/>
      <c r="K187" s="85"/>
      <c r="L187" s="85"/>
      <c r="M187" s="85"/>
      <c r="N187" s="85"/>
      <c r="O187" s="82"/>
      <c r="P187" s="83"/>
      <c r="Q187" s="83"/>
      <c r="R187" s="83"/>
      <c r="S187" s="82"/>
      <c r="T187" s="83"/>
      <c r="U187" s="83"/>
      <c r="V187" s="84"/>
      <c r="W187" s="85"/>
      <c r="X187" s="82"/>
      <c r="Y187" s="83"/>
      <c r="Z187" s="84"/>
      <c r="AA187" s="85"/>
      <c r="AB187" s="84"/>
      <c r="AC187" s="85"/>
      <c r="AD187" s="89">
        <f t="shared" si="31"/>
        <v>0</v>
      </c>
      <c r="AE187" s="89"/>
      <c r="AF187" s="186"/>
      <c r="AG187" s="85"/>
      <c r="AH187" s="85"/>
      <c r="AI187" s="85"/>
      <c r="AJ187" s="84"/>
      <c r="AK187" s="85"/>
      <c r="AL187" s="84"/>
      <c r="AM187" s="88"/>
      <c r="AN187" s="84"/>
      <c r="AO187" s="85"/>
      <c r="AP187" s="84"/>
      <c r="AQ187" s="83"/>
      <c r="AR187" s="83"/>
      <c r="AS187" s="83"/>
      <c r="AT187" s="85"/>
      <c r="AU187" s="85"/>
      <c r="AV187" s="85"/>
      <c r="AW187" s="88"/>
      <c r="AX187" s="84"/>
      <c r="AY187" s="85"/>
      <c r="AZ187" s="84"/>
      <c r="BA187" s="85"/>
      <c r="BB187" s="88"/>
      <c r="BC187" s="85"/>
      <c r="BD187" s="84"/>
      <c r="BE187" s="88"/>
      <c r="BF187" s="85"/>
      <c r="BG187" s="85"/>
      <c r="BH187" s="85"/>
      <c r="BI187" s="85"/>
      <c r="BJ187" s="85"/>
      <c r="BK187" s="85">
        <v>287.40724</v>
      </c>
      <c r="BL187" s="85"/>
      <c r="BM187" s="85"/>
      <c r="BN187" s="85"/>
      <c r="BO187" s="85"/>
      <c r="BP187" s="85"/>
      <c r="BQ187" s="85"/>
      <c r="BR187" s="84"/>
      <c r="BS187" s="85"/>
      <c r="BT187" s="85"/>
      <c r="BU187" s="198"/>
      <c r="BV187" s="90"/>
      <c r="BW187" s="198"/>
      <c r="BX187" s="90"/>
      <c r="BY187" s="198"/>
      <c r="BZ187" s="90"/>
      <c r="CA187" s="91"/>
    </row>
    <row r="188" spans="1:1199" ht="50.1" customHeight="1" outlineLevel="2" x14ac:dyDescent="0.3">
      <c r="A188" s="103" t="s">
        <v>190</v>
      </c>
      <c r="B188" s="108" t="s">
        <v>1030</v>
      </c>
      <c r="C188" s="79"/>
      <c r="D188" s="81">
        <f t="shared" si="32"/>
        <v>300</v>
      </c>
      <c r="E188" s="82">
        <f t="shared" si="25"/>
        <v>0</v>
      </c>
      <c r="F188" s="83">
        <f t="shared" si="26"/>
        <v>300</v>
      </c>
      <c r="G188" s="84"/>
      <c r="H188" s="85"/>
      <c r="I188" s="85"/>
      <c r="J188" s="84"/>
      <c r="K188" s="85"/>
      <c r="L188" s="85"/>
      <c r="M188" s="85"/>
      <c r="N188" s="85"/>
      <c r="O188" s="82"/>
      <c r="P188" s="83"/>
      <c r="Q188" s="83"/>
      <c r="R188" s="83"/>
      <c r="S188" s="82"/>
      <c r="T188" s="83"/>
      <c r="U188" s="83"/>
      <c r="V188" s="84"/>
      <c r="W188" s="85"/>
      <c r="X188" s="82"/>
      <c r="Y188" s="83"/>
      <c r="Z188" s="84"/>
      <c r="AA188" s="85"/>
      <c r="AB188" s="84"/>
      <c r="AC188" s="85"/>
      <c r="AD188" s="89">
        <f t="shared" si="31"/>
        <v>0</v>
      </c>
      <c r="AE188" s="89"/>
      <c r="AF188" s="186"/>
      <c r="AG188" s="85"/>
      <c r="AH188" s="85"/>
      <c r="AI188" s="85"/>
      <c r="AJ188" s="84"/>
      <c r="AK188" s="85"/>
      <c r="AL188" s="84"/>
      <c r="AM188" s="88"/>
      <c r="AN188" s="84"/>
      <c r="AO188" s="85"/>
      <c r="AP188" s="84"/>
      <c r="AQ188" s="83"/>
      <c r="AR188" s="83"/>
      <c r="AS188" s="83"/>
      <c r="AT188" s="85"/>
      <c r="AU188" s="85"/>
      <c r="AV188" s="85"/>
      <c r="AW188" s="88"/>
      <c r="AX188" s="84"/>
      <c r="AY188" s="85"/>
      <c r="AZ188" s="84"/>
      <c r="BA188" s="85"/>
      <c r="BB188" s="88"/>
      <c r="BC188" s="85"/>
      <c r="BD188" s="84"/>
      <c r="BE188" s="88"/>
      <c r="BF188" s="85"/>
      <c r="BG188" s="85"/>
      <c r="BH188" s="85">
        <v>300</v>
      </c>
      <c r="BI188" s="85"/>
      <c r="BJ188" s="85"/>
      <c r="BK188" s="85"/>
      <c r="BL188" s="85"/>
      <c r="BM188" s="85"/>
      <c r="BN188" s="85"/>
      <c r="BO188" s="85"/>
      <c r="BP188" s="85"/>
      <c r="BQ188" s="85"/>
      <c r="BR188" s="84"/>
      <c r="BS188" s="85"/>
      <c r="BT188" s="85"/>
      <c r="BU188" s="198"/>
      <c r="BV188" s="90"/>
      <c r="BW188" s="198"/>
      <c r="BX188" s="90"/>
      <c r="BY188" s="198"/>
      <c r="BZ188" s="90"/>
      <c r="CA188" s="91"/>
    </row>
    <row r="189" spans="1:1199" ht="50.1" customHeight="1" outlineLevel="2" x14ac:dyDescent="0.3">
      <c r="A189" s="103" t="s">
        <v>190</v>
      </c>
      <c r="B189" s="108" t="s">
        <v>202</v>
      </c>
      <c r="C189" s="79"/>
      <c r="D189" s="81">
        <f t="shared" si="32"/>
        <v>300</v>
      </c>
      <c r="E189" s="82">
        <f t="shared" si="25"/>
        <v>0</v>
      </c>
      <c r="F189" s="83">
        <f t="shared" si="26"/>
        <v>300</v>
      </c>
      <c r="G189" s="84"/>
      <c r="H189" s="85"/>
      <c r="I189" s="85"/>
      <c r="J189" s="84"/>
      <c r="K189" s="85"/>
      <c r="L189" s="85"/>
      <c r="M189" s="85"/>
      <c r="N189" s="85"/>
      <c r="O189" s="82"/>
      <c r="P189" s="83"/>
      <c r="Q189" s="83"/>
      <c r="R189" s="83"/>
      <c r="S189" s="82"/>
      <c r="T189" s="83"/>
      <c r="U189" s="83"/>
      <c r="V189" s="84"/>
      <c r="W189" s="85"/>
      <c r="X189" s="82"/>
      <c r="Y189" s="83"/>
      <c r="Z189" s="84"/>
      <c r="AA189" s="85"/>
      <c r="AB189" s="84"/>
      <c r="AC189" s="85"/>
      <c r="AD189" s="89">
        <f t="shared" si="31"/>
        <v>0</v>
      </c>
      <c r="AE189" s="89"/>
      <c r="AF189" s="186"/>
      <c r="AG189" s="85"/>
      <c r="AH189" s="85"/>
      <c r="AI189" s="85"/>
      <c r="AJ189" s="84"/>
      <c r="AK189" s="85"/>
      <c r="AL189" s="84"/>
      <c r="AM189" s="88"/>
      <c r="AN189" s="84"/>
      <c r="AO189" s="85"/>
      <c r="AP189" s="84"/>
      <c r="AQ189" s="83"/>
      <c r="AR189" s="83"/>
      <c r="AS189" s="83"/>
      <c r="AT189" s="85"/>
      <c r="AU189" s="85"/>
      <c r="AV189" s="85"/>
      <c r="AW189" s="88"/>
      <c r="AX189" s="84"/>
      <c r="AY189" s="85"/>
      <c r="AZ189" s="84"/>
      <c r="BA189" s="85"/>
      <c r="BB189" s="88"/>
      <c r="BC189" s="85"/>
      <c r="BD189" s="84"/>
      <c r="BE189" s="88"/>
      <c r="BF189" s="85"/>
      <c r="BG189" s="85"/>
      <c r="BH189" s="85">
        <v>300</v>
      </c>
      <c r="BI189" s="85"/>
      <c r="BJ189" s="85"/>
      <c r="BK189" s="85"/>
      <c r="BL189" s="85"/>
      <c r="BM189" s="85"/>
      <c r="BN189" s="85"/>
      <c r="BO189" s="85"/>
      <c r="BP189" s="85"/>
      <c r="BQ189" s="85"/>
      <c r="BR189" s="84"/>
      <c r="BS189" s="85"/>
      <c r="BT189" s="85"/>
      <c r="BU189" s="198"/>
      <c r="BV189" s="90"/>
      <c r="BW189" s="198"/>
      <c r="BX189" s="90"/>
      <c r="BY189" s="198"/>
      <c r="BZ189" s="90"/>
      <c r="CA189" s="91"/>
    </row>
    <row r="190" spans="1:1199" s="101" customFormat="1" ht="50.1" customHeight="1" outlineLevel="1" x14ac:dyDescent="0.3">
      <c r="A190" s="132" t="s">
        <v>203</v>
      </c>
      <c r="B190" s="133"/>
      <c r="C190" s="134" t="s">
        <v>94</v>
      </c>
      <c r="D190" s="81">
        <f t="shared" ref="D190:AI190" si="33">SUBTOTAL(9,D176:D189)</f>
        <v>6857.7911899999999</v>
      </c>
      <c r="E190" s="81">
        <f t="shared" si="33"/>
        <v>2842.3620000000001</v>
      </c>
      <c r="F190" s="81">
        <f t="shared" si="33"/>
        <v>4015.4291899999998</v>
      </c>
      <c r="G190" s="81">
        <f t="shared" si="33"/>
        <v>0</v>
      </c>
      <c r="H190" s="81">
        <f t="shared" si="33"/>
        <v>0</v>
      </c>
      <c r="I190" s="81">
        <f t="shared" si="33"/>
        <v>0</v>
      </c>
      <c r="J190" s="81">
        <f t="shared" si="33"/>
        <v>0</v>
      </c>
      <c r="K190" s="81">
        <f t="shared" si="33"/>
        <v>0</v>
      </c>
      <c r="L190" s="81">
        <f t="shared" si="33"/>
        <v>0</v>
      </c>
      <c r="M190" s="81">
        <f t="shared" si="33"/>
        <v>0</v>
      </c>
      <c r="N190" s="81">
        <f t="shared" si="33"/>
        <v>0</v>
      </c>
      <c r="O190" s="81">
        <f t="shared" si="33"/>
        <v>0</v>
      </c>
      <c r="P190" s="81">
        <f t="shared" si="33"/>
        <v>0</v>
      </c>
      <c r="Q190" s="81">
        <f t="shared" si="33"/>
        <v>0</v>
      </c>
      <c r="R190" s="81">
        <f t="shared" si="33"/>
        <v>0</v>
      </c>
      <c r="S190" s="81">
        <f t="shared" si="33"/>
        <v>0</v>
      </c>
      <c r="T190" s="81">
        <f t="shared" si="33"/>
        <v>0</v>
      </c>
      <c r="U190" s="81">
        <f t="shared" si="33"/>
        <v>0</v>
      </c>
      <c r="V190" s="81">
        <f t="shared" si="33"/>
        <v>0</v>
      </c>
      <c r="W190" s="81">
        <f t="shared" si="33"/>
        <v>0</v>
      </c>
      <c r="X190" s="81">
        <f t="shared" si="33"/>
        <v>0</v>
      </c>
      <c r="Y190" s="81">
        <f t="shared" si="33"/>
        <v>0</v>
      </c>
      <c r="Z190" s="81">
        <f t="shared" si="33"/>
        <v>0</v>
      </c>
      <c r="AA190" s="81">
        <f t="shared" si="33"/>
        <v>0</v>
      </c>
      <c r="AB190" s="81">
        <f t="shared" si="33"/>
        <v>0</v>
      </c>
      <c r="AC190" s="81">
        <f t="shared" si="33"/>
        <v>0</v>
      </c>
      <c r="AD190" s="81">
        <f t="shared" si="33"/>
        <v>0</v>
      </c>
      <c r="AE190" s="81">
        <f t="shared" si="33"/>
        <v>0</v>
      </c>
      <c r="AF190" s="192">
        <f t="shared" si="33"/>
        <v>0</v>
      </c>
      <c r="AG190" s="81">
        <f t="shared" si="33"/>
        <v>0</v>
      </c>
      <c r="AH190" s="81">
        <f t="shared" si="33"/>
        <v>0</v>
      </c>
      <c r="AI190" s="81">
        <f t="shared" si="33"/>
        <v>0</v>
      </c>
      <c r="AJ190" s="81">
        <f t="shared" ref="AJ190:BO190" si="34">SUBTOTAL(9,AJ176:AJ189)</f>
        <v>0</v>
      </c>
      <c r="AK190" s="81">
        <f t="shared" si="34"/>
        <v>0</v>
      </c>
      <c r="AL190" s="81">
        <f t="shared" si="34"/>
        <v>0</v>
      </c>
      <c r="AM190" s="81">
        <f t="shared" si="34"/>
        <v>0</v>
      </c>
      <c r="AN190" s="81">
        <f t="shared" si="34"/>
        <v>0</v>
      </c>
      <c r="AO190" s="81">
        <f t="shared" si="34"/>
        <v>1905.2800000000002</v>
      </c>
      <c r="AP190" s="81">
        <f t="shared" si="34"/>
        <v>0</v>
      </c>
      <c r="AQ190" s="81">
        <f t="shared" si="34"/>
        <v>0</v>
      </c>
      <c r="AR190" s="81">
        <f t="shared" si="34"/>
        <v>0</v>
      </c>
      <c r="AS190" s="81">
        <f t="shared" si="34"/>
        <v>0</v>
      </c>
      <c r="AT190" s="81">
        <f t="shared" si="34"/>
        <v>0</v>
      </c>
      <c r="AU190" s="81">
        <f t="shared" si="34"/>
        <v>0</v>
      </c>
      <c r="AV190" s="81">
        <f t="shared" si="34"/>
        <v>0</v>
      </c>
      <c r="AW190" s="81">
        <f t="shared" si="34"/>
        <v>0</v>
      </c>
      <c r="AX190" s="81">
        <f t="shared" si="34"/>
        <v>0</v>
      </c>
      <c r="AY190" s="81">
        <f t="shared" si="34"/>
        <v>0</v>
      </c>
      <c r="AZ190" s="81">
        <f t="shared" si="34"/>
        <v>0</v>
      </c>
      <c r="BA190" s="81">
        <f t="shared" si="34"/>
        <v>0</v>
      </c>
      <c r="BB190" s="81">
        <f t="shared" si="34"/>
        <v>0</v>
      </c>
      <c r="BC190" s="81">
        <f t="shared" si="34"/>
        <v>0</v>
      </c>
      <c r="BD190" s="81">
        <f t="shared" si="34"/>
        <v>0</v>
      </c>
      <c r="BE190" s="81">
        <f t="shared" si="34"/>
        <v>0</v>
      </c>
      <c r="BF190" s="81">
        <f t="shared" si="34"/>
        <v>0</v>
      </c>
      <c r="BG190" s="81">
        <f t="shared" si="34"/>
        <v>0</v>
      </c>
      <c r="BH190" s="81">
        <f t="shared" si="34"/>
        <v>600</v>
      </c>
      <c r="BI190" s="81">
        <f t="shared" si="34"/>
        <v>0</v>
      </c>
      <c r="BJ190" s="81">
        <f t="shared" si="34"/>
        <v>0</v>
      </c>
      <c r="BK190" s="81">
        <f t="shared" si="34"/>
        <v>1360.5511899999999</v>
      </c>
      <c r="BL190" s="81">
        <f t="shared" si="34"/>
        <v>0</v>
      </c>
      <c r="BM190" s="81">
        <f t="shared" si="34"/>
        <v>0</v>
      </c>
      <c r="BN190" s="81">
        <f t="shared" si="34"/>
        <v>0</v>
      </c>
      <c r="BO190" s="81">
        <f t="shared" si="34"/>
        <v>0</v>
      </c>
      <c r="BP190" s="81">
        <f t="shared" ref="BP190:CU190" si="35">SUBTOTAL(9,BP176:BP189)</f>
        <v>0</v>
      </c>
      <c r="BQ190" s="81">
        <f t="shared" si="35"/>
        <v>0</v>
      </c>
      <c r="BR190" s="81">
        <f t="shared" si="35"/>
        <v>0</v>
      </c>
      <c r="BS190" s="81">
        <f t="shared" si="35"/>
        <v>0</v>
      </c>
      <c r="BT190" s="81">
        <f t="shared" si="35"/>
        <v>0</v>
      </c>
      <c r="BU190" s="81">
        <f t="shared" si="35"/>
        <v>0</v>
      </c>
      <c r="BV190" s="81">
        <f t="shared" si="35"/>
        <v>2842.3620000000001</v>
      </c>
      <c r="BW190" s="81">
        <f t="shared" si="35"/>
        <v>149.59800000000001</v>
      </c>
      <c r="BX190" s="81">
        <f t="shared" si="35"/>
        <v>0</v>
      </c>
      <c r="BY190" s="81">
        <f t="shared" si="35"/>
        <v>0</v>
      </c>
      <c r="BZ190" s="81">
        <f t="shared" si="35"/>
        <v>0</v>
      </c>
      <c r="CA190" s="81">
        <f t="shared" si="35"/>
        <v>0</v>
      </c>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c r="CX190" s="176"/>
      <c r="CY190" s="176"/>
      <c r="CZ190" s="176"/>
      <c r="DA190" s="176"/>
      <c r="DB190" s="176"/>
      <c r="DC190" s="176"/>
      <c r="DD190" s="176"/>
      <c r="DE190" s="176"/>
      <c r="DF190" s="176"/>
      <c r="DG190" s="176"/>
      <c r="DH190" s="176"/>
      <c r="DI190" s="176"/>
      <c r="DJ190" s="176"/>
      <c r="DK190" s="176"/>
      <c r="DL190" s="176"/>
      <c r="DM190" s="176"/>
      <c r="DN190" s="176"/>
      <c r="DO190" s="176"/>
      <c r="DP190" s="176"/>
      <c r="DQ190" s="176"/>
      <c r="DR190" s="176"/>
      <c r="DS190" s="176"/>
      <c r="DT190" s="176"/>
      <c r="DU190" s="176"/>
      <c r="DV190" s="176"/>
      <c r="DW190" s="176"/>
      <c r="DX190" s="176"/>
      <c r="DY190" s="176"/>
      <c r="DZ190" s="176"/>
      <c r="EA190" s="176"/>
      <c r="EB190" s="176"/>
      <c r="EC190" s="176"/>
      <c r="ED190" s="176"/>
      <c r="EE190" s="176"/>
      <c r="EF190" s="176"/>
      <c r="EG190" s="176"/>
      <c r="EH190" s="176"/>
      <c r="EI190" s="176"/>
      <c r="EJ190" s="176"/>
      <c r="EK190" s="176"/>
      <c r="EL190" s="176"/>
      <c r="EM190" s="176"/>
      <c r="EN190" s="176"/>
      <c r="EO190" s="176"/>
      <c r="EP190" s="176"/>
      <c r="EQ190" s="176"/>
      <c r="ER190" s="176"/>
      <c r="ES190" s="176"/>
      <c r="ET190" s="176"/>
      <c r="EU190" s="176"/>
      <c r="EV190" s="176"/>
      <c r="EW190" s="176"/>
      <c r="EX190" s="176"/>
      <c r="EY190" s="176"/>
      <c r="EZ190" s="176"/>
      <c r="FA190" s="176"/>
      <c r="FB190" s="176"/>
      <c r="FC190" s="176"/>
      <c r="FD190" s="176"/>
      <c r="FE190" s="176"/>
      <c r="FF190" s="176"/>
      <c r="FG190" s="176"/>
      <c r="FH190" s="176"/>
      <c r="FI190" s="176"/>
      <c r="FJ190" s="176"/>
      <c r="FK190" s="176"/>
      <c r="FL190" s="176"/>
      <c r="FM190" s="176"/>
      <c r="FN190" s="176"/>
      <c r="FO190" s="176"/>
      <c r="FP190" s="176"/>
      <c r="FQ190" s="176"/>
      <c r="FR190" s="176"/>
      <c r="FS190" s="176"/>
      <c r="FT190" s="176"/>
      <c r="FU190" s="176"/>
      <c r="FV190" s="176"/>
      <c r="FW190" s="176"/>
      <c r="FX190" s="176"/>
      <c r="FY190" s="176"/>
      <c r="FZ190" s="176"/>
      <c r="GA190" s="176"/>
      <c r="GB190" s="176"/>
      <c r="GC190" s="176"/>
      <c r="GD190" s="176"/>
      <c r="GE190" s="176"/>
      <c r="GF190" s="176"/>
      <c r="GG190" s="176"/>
      <c r="GH190" s="176"/>
      <c r="GI190" s="176"/>
      <c r="GJ190" s="176"/>
      <c r="GK190" s="176"/>
      <c r="GL190" s="176"/>
      <c r="GM190" s="176"/>
      <c r="GN190" s="176"/>
      <c r="GO190" s="176"/>
      <c r="GP190" s="176"/>
      <c r="GQ190" s="176"/>
      <c r="GR190" s="176"/>
      <c r="GS190" s="176"/>
      <c r="GT190" s="176"/>
      <c r="GU190" s="176"/>
      <c r="GV190" s="176"/>
      <c r="GW190" s="176"/>
      <c r="GX190" s="176"/>
      <c r="GY190" s="176"/>
      <c r="GZ190" s="176"/>
      <c r="HA190" s="176"/>
      <c r="HB190" s="176"/>
      <c r="HC190" s="176"/>
      <c r="HD190" s="176"/>
      <c r="HE190" s="176"/>
      <c r="HF190" s="176"/>
      <c r="HG190" s="176"/>
      <c r="HH190" s="176"/>
      <c r="HI190" s="176"/>
      <c r="HJ190" s="176"/>
      <c r="HK190" s="176"/>
      <c r="HL190" s="176"/>
      <c r="HM190" s="176"/>
      <c r="HN190" s="176"/>
      <c r="HO190" s="176"/>
      <c r="HP190" s="176"/>
      <c r="HQ190" s="176"/>
      <c r="HR190" s="176"/>
      <c r="HS190" s="176"/>
      <c r="HT190" s="176"/>
      <c r="HU190" s="176"/>
      <c r="HV190" s="176"/>
      <c r="HW190" s="176"/>
      <c r="HX190" s="176"/>
      <c r="HY190" s="176"/>
      <c r="HZ190" s="176"/>
      <c r="IA190" s="176"/>
      <c r="IB190" s="176"/>
      <c r="IC190" s="176"/>
      <c r="ID190" s="176"/>
      <c r="IE190" s="176"/>
      <c r="IF190" s="176"/>
      <c r="IG190" s="176"/>
      <c r="IH190" s="176"/>
      <c r="II190" s="176"/>
      <c r="IJ190" s="176"/>
      <c r="IK190" s="176"/>
      <c r="IL190" s="176"/>
      <c r="IM190" s="176"/>
      <c r="IN190" s="176"/>
      <c r="IO190" s="176"/>
      <c r="IP190" s="176"/>
      <c r="IQ190" s="176"/>
      <c r="IR190" s="176"/>
      <c r="IS190" s="176"/>
      <c r="IT190" s="176"/>
      <c r="IU190" s="176"/>
      <c r="IV190" s="176"/>
      <c r="IW190" s="176"/>
      <c r="IX190" s="176"/>
      <c r="IY190" s="176"/>
      <c r="IZ190" s="176"/>
      <c r="JA190" s="176"/>
      <c r="JB190" s="176"/>
      <c r="JC190" s="176"/>
      <c r="JD190" s="176"/>
      <c r="JE190" s="176"/>
      <c r="JF190" s="176"/>
      <c r="JG190" s="176"/>
      <c r="JH190" s="176"/>
      <c r="JI190" s="176"/>
      <c r="JJ190" s="176"/>
      <c r="JK190" s="176"/>
      <c r="JL190" s="176"/>
      <c r="JM190" s="176"/>
      <c r="JN190" s="176"/>
      <c r="JO190" s="176"/>
      <c r="JP190" s="176"/>
      <c r="JQ190" s="176"/>
      <c r="JR190" s="176"/>
      <c r="JS190" s="176"/>
      <c r="JT190" s="176"/>
      <c r="JU190" s="176"/>
      <c r="JV190" s="176"/>
      <c r="JW190" s="131"/>
      <c r="JX190" s="131"/>
      <c r="JY190" s="131"/>
      <c r="JZ190" s="131"/>
      <c r="KA190" s="131"/>
      <c r="KB190" s="131"/>
      <c r="KC190" s="131"/>
      <c r="KD190" s="131"/>
      <c r="KE190" s="131"/>
      <c r="KF190" s="131"/>
      <c r="KG190" s="131"/>
      <c r="KH190" s="131"/>
      <c r="KI190" s="131"/>
      <c r="KJ190" s="131"/>
      <c r="KK190" s="131"/>
      <c r="KL190" s="131"/>
      <c r="KM190" s="131"/>
      <c r="KN190" s="131"/>
      <c r="KO190" s="131"/>
      <c r="KP190" s="131"/>
      <c r="KQ190" s="131"/>
      <c r="KR190" s="131"/>
      <c r="KS190" s="131"/>
      <c r="KT190" s="131"/>
      <c r="KU190" s="131"/>
      <c r="KV190" s="131"/>
      <c r="KW190" s="131"/>
      <c r="KX190" s="131"/>
      <c r="KY190" s="131"/>
      <c r="KZ190" s="131"/>
      <c r="LA190" s="131"/>
      <c r="LB190" s="131"/>
      <c r="LC190" s="131"/>
      <c r="LD190" s="131"/>
      <c r="LE190" s="131"/>
      <c r="LF190" s="131"/>
      <c r="LG190" s="131"/>
      <c r="LH190" s="131"/>
      <c r="LI190" s="131"/>
      <c r="LJ190" s="131"/>
      <c r="LK190" s="131"/>
      <c r="LL190" s="131"/>
      <c r="LM190" s="131"/>
      <c r="LN190" s="131"/>
      <c r="LO190" s="131"/>
      <c r="LP190" s="131"/>
      <c r="LQ190" s="131"/>
      <c r="LR190" s="131"/>
      <c r="LS190" s="131"/>
      <c r="LT190" s="131"/>
      <c r="LU190" s="131"/>
      <c r="LV190" s="131"/>
      <c r="LW190" s="131"/>
      <c r="LX190" s="131"/>
      <c r="LY190" s="131"/>
      <c r="LZ190" s="131"/>
      <c r="MA190" s="131"/>
      <c r="MB190" s="131"/>
      <c r="MC190" s="131"/>
      <c r="MD190" s="131"/>
      <c r="ME190" s="131"/>
      <c r="MF190" s="131"/>
      <c r="MG190" s="131"/>
      <c r="MH190" s="131"/>
      <c r="MI190" s="131"/>
      <c r="MJ190" s="131"/>
      <c r="MK190" s="131"/>
      <c r="ML190" s="131"/>
      <c r="MM190" s="131"/>
      <c r="MN190" s="131"/>
      <c r="MO190" s="131"/>
      <c r="MP190" s="131"/>
      <c r="MQ190" s="131"/>
      <c r="MR190" s="131"/>
      <c r="MS190" s="131"/>
      <c r="MT190" s="131"/>
      <c r="MU190" s="131"/>
      <c r="MV190" s="131"/>
      <c r="MW190" s="131"/>
      <c r="MX190" s="131"/>
      <c r="MY190" s="131"/>
      <c r="MZ190" s="131"/>
      <c r="NA190" s="131"/>
      <c r="NB190" s="131"/>
      <c r="NC190" s="131"/>
      <c r="ND190" s="131"/>
      <c r="NE190" s="131"/>
      <c r="NF190" s="131"/>
      <c r="NG190" s="131"/>
      <c r="NH190" s="131"/>
      <c r="NI190" s="131"/>
      <c r="NJ190" s="131"/>
      <c r="NK190" s="131"/>
      <c r="NL190" s="131"/>
      <c r="NM190" s="131"/>
      <c r="NN190" s="131"/>
      <c r="NO190" s="131"/>
      <c r="NP190" s="131"/>
      <c r="NQ190" s="131"/>
      <c r="NR190" s="131"/>
      <c r="NS190" s="131"/>
      <c r="NT190" s="131"/>
      <c r="NU190" s="131"/>
      <c r="NV190" s="131"/>
      <c r="NW190" s="131"/>
      <c r="NX190" s="131"/>
      <c r="NY190" s="131"/>
      <c r="NZ190" s="131"/>
      <c r="OA190" s="131"/>
      <c r="OB190" s="131"/>
      <c r="OC190" s="131"/>
      <c r="OD190" s="131"/>
      <c r="OE190" s="131"/>
      <c r="OF190" s="131"/>
      <c r="OG190" s="131"/>
      <c r="OH190" s="131"/>
      <c r="OI190" s="131"/>
      <c r="OJ190" s="131"/>
      <c r="OK190" s="131"/>
      <c r="OL190" s="131"/>
      <c r="OM190" s="131"/>
      <c r="ON190" s="131"/>
      <c r="OO190" s="131"/>
      <c r="OP190" s="131"/>
      <c r="OQ190" s="131"/>
      <c r="OR190" s="131"/>
      <c r="OS190" s="131"/>
      <c r="OT190" s="131"/>
      <c r="OU190" s="131"/>
      <c r="OV190" s="131"/>
      <c r="OW190" s="131"/>
      <c r="OX190" s="131"/>
      <c r="OY190" s="131"/>
      <c r="OZ190" s="131"/>
      <c r="PA190" s="131"/>
      <c r="PB190" s="131"/>
      <c r="PC190" s="131"/>
      <c r="PD190" s="131"/>
      <c r="PE190" s="131"/>
      <c r="PF190" s="131"/>
      <c r="PG190" s="131"/>
      <c r="PH190" s="131"/>
      <c r="PI190" s="131"/>
      <c r="PJ190" s="131"/>
      <c r="PK190" s="131"/>
      <c r="PL190" s="131"/>
      <c r="PM190" s="131"/>
      <c r="PN190" s="131"/>
      <c r="PO190" s="131"/>
      <c r="PP190" s="131"/>
      <c r="PQ190" s="131"/>
      <c r="PR190" s="131"/>
      <c r="PS190" s="131"/>
      <c r="PT190" s="131"/>
      <c r="PU190" s="131"/>
      <c r="PV190" s="131"/>
      <c r="PW190" s="131"/>
      <c r="PX190" s="131"/>
      <c r="PY190" s="131"/>
      <c r="PZ190" s="131"/>
      <c r="QA190" s="131"/>
      <c r="QB190" s="131"/>
      <c r="QC190" s="131"/>
      <c r="QD190" s="131"/>
      <c r="QE190" s="131"/>
      <c r="QF190" s="131"/>
      <c r="QG190" s="131"/>
      <c r="QH190" s="131"/>
      <c r="QI190" s="131"/>
      <c r="QJ190" s="131"/>
      <c r="QK190" s="131"/>
      <c r="QL190" s="131"/>
      <c r="QM190" s="131"/>
      <c r="QN190" s="131"/>
      <c r="QO190" s="131"/>
      <c r="QP190" s="131"/>
      <c r="QQ190" s="131"/>
      <c r="QR190" s="131"/>
      <c r="QS190" s="131"/>
      <c r="QT190" s="131"/>
      <c r="QU190" s="131"/>
      <c r="QV190" s="131"/>
      <c r="QW190" s="131"/>
      <c r="QX190" s="131"/>
      <c r="QY190" s="131"/>
      <c r="QZ190" s="131"/>
      <c r="RA190" s="131"/>
      <c r="RB190" s="131"/>
      <c r="RC190" s="131"/>
      <c r="RD190" s="131"/>
      <c r="RE190" s="131"/>
      <c r="RF190" s="131"/>
      <c r="RG190" s="131"/>
      <c r="RH190" s="131"/>
      <c r="RI190" s="131"/>
      <c r="RJ190" s="131"/>
      <c r="RK190" s="131"/>
      <c r="RL190" s="131"/>
      <c r="RM190" s="131"/>
      <c r="RN190" s="131"/>
      <c r="RO190" s="131"/>
      <c r="RP190" s="131"/>
      <c r="RQ190" s="131"/>
      <c r="RR190" s="131"/>
      <c r="RS190" s="131"/>
      <c r="RT190" s="131"/>
      <c r="RU190" s="131"/>
      <c r="RV190" s="131"/>
      <c r="RW190" s="131"/>
      <c r="RX190" s="131"/>
      <c r="RY190" s="131"/>
      <c r="RZ190" s="131"/>
      <c r="SA190" s="131"/>
      <c r="SB190" s="131"/>
      <c r="SC190" s="131"/>
      <c r="SD190" s="131"/>
      <c r="SE190" s="131"/>
      <c r="SF190" s="131"/>
      <c r="SG190" s="131"/>
      <c r="SH190" s="131"/>
      <c r="SI190" s="131"/>
      <c r="SJ190" s="131"/>
      <c r="SK190" s="131"/>
      <c r="SL190" s="131"/>
      <c r="SM190" s="131"/>
      <c r="SN190" s="131"/>
      <c r="SO190" s="131"/>
      <c r="SP190" s="131"/>
      <c r="SQ190" s="131"/>
      <c r="SR190" s="131"/>
      <c r="SS190" s="131"/>
      <c r="ST190" s="131"/>
      <c r="SU190" s="131"/>
      <c r="SV190" s="131"/>
      <c r="SW190" s="131"/>
      <c r="SX190" s="131"/>
      <c r="SY190" s="131"/>
      <c r="SZ190" s="131"/>
      <c r="TA190" s="131"/>
      <c r="TB190" s="131"/>
      <c r="TC190" s="131"/>
      <c r="TD190" s="131"/>
      <c r="TE190" s="131"/>
      <c r="TF190" s="131"/>
      <c r="TG190" s="131"/>
      <c r="TH190" s="131"/>
      <c r="TI190" s="131"/>
      <c r="TJ190" s="131"/>
      <c r="TK190" s="131"/>
      <c r="TL190" s="131"/>
      <c r="TM190" s="131"/>
      <c r="TN190" s="131"/>
      <c r="TO190" s="131"/>
      <c r="TP190" s="131"/>
      <c r="TQ190" s="131"/>
      <c r="TR190" s="131"/>
      <c r="TS190" s="131"/>
      <c r="TT190" s="131"/>
      <c r="TU190" s="131"/>
      <c r="TV190" s="131"/>
      <c r="TW190" s="131"/>
      <c r="TX190" s="131"/>
      <c r="TY190" s="131"/>
      <c r="TZ190" s="131"/>
      <c r="UA190" s="131"/>
      <c r="UB190" s="131"/>
      <c r="UC190" s="131"/>
      <c r="UD190" s="131"/>
      <c r="UE190" s="131"/>
      <c r="UF190" s="131"/>
      <c r="UG190" s="131"/>
      <c r="UH190" s="131"/>
      <c r="UI190" s="131"/>
      <c r="UJ190" s="131"/>
      <c r="UK190" s="131"/>
      <c r="UL190" s="131"/>
      <c r="UM190" s="131"/>
      <c r="UN190" s="131"/>
      <c r="UO190" s="131"/>
      <c r="UP190" s="131"/>
      <c r="UQ190" s="131"/>
      <c r="UR190" s="131"/>
      <c r="US190" s="131"/>
      <c r="UT190" s="131"/>
      <c r="UU190" s="131"/>
      <c r="UV190" s="131"/>
      <c r="UW190" s="131"/>
      <c r="UX190" s="131"/>
      <c r="UY190" s="131"/>
      <c r="UZ190" s="131"/>
      <c r="VA190" s="131"/>
      <c r="VB190" s="131"/>
      <c r="VC190" s="131"/>
      <c r="VD190" s="131"/>
      <c r="VE190" s="131"/>
      <c r="VF190" s="131"/>
      <c r="VG190" s="131"/>
      <c r="VH190" s="131"/>
      <c r="VI190" s="131"/>
      <c r="VJ190" s="131"/>
      <c r="VK190" s="131"/>
      <c r="VL190" s="131"/>
      <c r="VM190" s="131"/>
      <c r="VN190" s="131"/>
      <c r="VO190" s="131"/>
      <c r="VP190" s="131"/>
      <c r="VQ190" s="131"/>
      <c r="VR190" s="131"/>
      <c r="VS190" s="131"/>
      <c r="VT190" s="131"/>
      <c r="VU190" s="131"/>
      <c r="VV190" s="131"/>
      <c r="VW190" s="131"/>
      <c r="VX190" s="131"/>
      <c r="VY190" s="131"/>
      <c r="VZ190" s="131"/>
      <c r="WA190" s="131"/>
      <c r="WB190" s="131"/>
      <c r="WC190" s="131"/>
      <c r="WD190" s="131"/>
      <c r="WE190" s="131"/>
      <c r="WF190" s="131"/>
      <c r="WG190" s="131"/>
      <c r="WH190" s="131"/>
      <c r="WI190" s="131"/>
      <c r="WJ190" s="131"/>
      <c r="WK190" s="131"/>
      <c r="WL190" s="131"/>
      <c r="WM190" s="131"/>
      <c r="WN190" s="131"/>
      <c r="WO190" s="131"/>
      <c r="WP190" s="131"/>
      <c r="WQ190" s="131"/>
      <c r="WR190" s="131"/>
      <c r="WS190" s="131"/>
      <c r="WT190" s="131"/>
      <c r="WU190" s="131"/>
      <c r="WV190" s="131"/>
      <c r="WW190" s="131"/>
      <c r="WX190" s="131"/>
      <c r="WY190" s="131"/>
      <c r="WZ190" s="131"/>
      <c r="XA190" s="131"/>
      <c r="XB190" s="131"/>
      <c r="XC190" s="131"/>
      <c r="XD190" s="131"/>
      <c r="XE190" s="131"/>
      <c r="XF190" s="131"/>
      <c r="XG190" s="131"/>
      <c r="XH190" s="131"/>
      <c r="XI190" s="131"/>
      <c r="XJ190" s="131"/>
      <c r="XK190" s="131"/>
      <c r="XL190" s="131"/>
      <c r="XM190" s="131"/>
      <c r="XN190" s="131"/>
      <c r="XO190" s="131"/>
      <c r="XP190" s="131"/>
      <c r="XQ190" s="131"/>
      <c r="XR190" s="131"/>
      <c r="XS190" s="131"/>
      <c r="XT190" s="131"/>
      <c r="XU190" s="131"/>
      <c r="XV190" s="131"/>
      <c r="XW190" s="131"/>
      <c r="XX190" s="131"/>
      <c r="XY190" s="131"/>
      <c r="XZ190" s="131"/>
      <c r="YA190" s="131"/>
      <c r="YB190" s="131"/>
      <c r="YC190" s="131"/>
      <c r="YD190" s="131"/>
      <c r="YE190" s="131"/>
      <c r="YF190" s="131"/>
      <c r="YG190" s="131"/>
      <c r="YH190" s="131"/>
      <c r="YI190" s="131"/>
      <c r="YJ190" s="131"/>
      <c r="YK190" s="131"/>
      <c r="YL190" s="131"/>
      <c r="YM190" s="131"/>
      <c r="YN190" s="131"/>
      <c r="YO190" s="131"/>
      <c r="YP190" s="131"/>
      <c r="YQ190" s="131"/>
      <c r="YR190" s="131"/>
      <c r="YS190" s="131"/>
      <c r="YT190" s="131"/>
      <c r="YU190" s="131"/>
      <c r="YV190" s="131"/>
      <c r="YW190" s="131"/>
      <c r="YX190" s="131"/>
      <c r="YY190" s="131"/>
      <c r="YZ190" s="131"/>
      <c r="ZA190" s="131"/>
      <c r="ZB190" s="131"/>
      <c r="ZC190" s="131"/>
      <c r="ZD190" s="131"/>
      <c r="ZE190" s="131"/>
      <c r="ZF190" s="131"/>
      <c r="ZG190" s="131"/>
      <c r="ZH190" s="131"/>
      <c r="ZI190" s="131"/>
      <c r="ZJ190" s="131"/>
      <c r="ZK190" s="131"/>
      <c r="ZL190" s="131"/>
      <c r="ZM190" s="131"/>
      <c r="ZN190" s="131"/>
      <c r="ZO190" s="131"/>
      <c r="ZP190" s="131"/>
      <c r="ZQ190" s="131"/>
      <c r="ZR190" s="131"/>
      <c r="ZS190" s="131"/>
      <c r="ZT190" s="131"/>
      <c r="ZU190" s="131"/>
      <c r="ZV190" s="131"/>
      <c r="ZW190" s="131"/>
      <c r="ZX190" s="131"/>
      <c r="ZY190" s="131"/>
      <c r="ZZ190" s="131"/>
      <c r="AAA190" s="131"/>
      <c r="AAB190" s="131"/>
      <c r="AAC190" s="131"/>
      <c r="AAD190" s="131"/>
      <c r="AAE190" s="131"/>
      <c r="AAF190" s="131"/>
      <c r="AAG190" s="131"/>
      <c r="AAH190" s="131"/>
      <c r="AAI190" s="131"/>
      <c r="AAJ190" s="131"/>
      <c r="AAK190" s="131"/>
      <c r="AAL190" s="131"/>
      <c r="AAM190" s="131"/>
      <c r="AAN190" s="131"/>
      <c r="AAO190" s="131"/>
      <c r="AAP190" s="131"/>
      <c r="AAQ190" s="131"/>
      <c r="AAR190" s="131"/>
      <c r="AAS190" s="131"/>
      <c r="AAT190" s="131"/>
      <c r="AAU190" s="131"/>
      <c r="AAV190" s="131"/>
      <c r="AAW190" s="131"/>
      <c r="AAX190" s="131"/>
      <c r="AAY190" s="131"/>
      <c r="AAZ190" s="131"/>
      <c r="ABA190" s="131"/>
      <c r="ABB190" s="131"/>
      <c r="ABC190" s="131"/>
      <c r="ABD190" s="131"/>
      <c r="ABE190" s="131"/>
      <c r="ABF190" s="131"/>
      <c r="ABG190" s="131"/>
      <c r="ABH190" s="131"/>
      <c r="ABI190" s="131"/>
      <c r="ABJ190" s="131"/>
      <c r="ABK190" s="131"/>
      <c r="ABL190" s="131"/>
      <c r="ABM190" s="131"/>
      <c r="ABN190" s="131"/>
      <c r="ABO190" s="131"/>
      <c r="ABP190" s="131"/>
      <c r="ABQ190" s="131"/>
      <c r="ABR190" s="131"/>
      <c r="ABS190" s="131"/>
      <c r="ABT190" s="131"/>
      <c r="ABU190" s="131"/>
      <c r="ABV190" s="131"/>
      <c r="ABW190" s="131"/>
      <c r="ABX190" s="131"/>
      <c r="ABY190" s="131"/>
      <c r="ABZ190" s="131"/>
      <c r="ACA190" s="131"/>
      <c r="ACB190" s="131"/>
      <c r="ACC190" s="131"/>
      <c r="ACD190" s="131"/>
      <c r="ACE190" s="131"/>
      <c r="ACF190" s="131"/>
      <c r="ACG190" s="131"/>
      <c r="ACH190" s="131"/>
      <c r="ACI190" s="131"/>
      <c r="ACJ190" s="131"/>
      <c r="ACK190" s="131"/>
      <c r="ACL190" s="131"/>
      <c r="ACM190" s="131"/>
      <c r="ACN190" s="131"/>
      <c r="ACO190" s="131"/>
      <c r="ACP190" s="131"/>
      <c r="ACQ190" s="131"/>
      <c r="ACR190" s="131"/>
      <c r="ACS190" s="131"/>
      <c r="ACT190" s="131"/>
      <c r="ACU190" s="131"/>
      <c r="ACV190" s="131"/>
      <c r="ACW190" s="131"/>
      <c r="ACX190" s="131"/>
      <c r="ACY190" s="131"/>
      <c r="ACZ190" s="131"/>
      <c r="ADA190" s="131"/>
      <c r="ADB190" s="131"/>
      <c r="ADC190" s="131"/>
      <c r="ADD190" s="131"/>
      <c r="ADE190" s="131"/>
      <c r="ADF190" s="131"/>
      <c r="ADG190" s="131"/>
      <c r="ADH190" s="131"/>
      <c r="ADI190" s="131"/>
      <c r="ADJ190" s="131"/>
      <c r="ADK190" s="131"/>
      <c r="ADL190" s="131"/>
      <c r="ADM190" s="131"/>
      <c r="ADN190" s="131"/>
      <c r="ADO190" s="131"/>
      <c r="ADP190" s="131"/>
      <c r="ADQ190" s="131"/>
      <c r="ADR190" s="131"/>
      <c r="ADS190" s="131"/>
      <c r="ADT190" s="131"/>
      <c r="ADU190" s="131"/>
      <c r="ADV190" s="131"/>
      <c r="ADW190" s="131"/>
      <c r="ADX190" s="131"/>
      <c r="ADY190" s="131"/>
      <c r="ADZ190" s="131"/>
      <c r="AEA190" s="131"/>
      <c r="AEB190" s="131"/>
      <c r="AEC190" s="131"/>
      <c r="AED190" s="131"/>
      <c r="AEE190" s="131"/>
      <c r="AEF190" s="131"/>
      <c r="AEG190" s="131"/>
      <c r="AEH190" s="131"/>
      <c r="AEI190" s="131"/>
      <c r="AEJ190" s="131"/>
      <c r="AEK190" s="131"/>
      <c r="AEL190" s="131"/>
      <c r="AEM190" s="131"/>
      <c r="AEN190" s="131"/>
      <c r="AEO190" s="131"/>
      <c r="AEP190" s="131"/>
      <c r="AEQ190" s="131"/>
      <c r="AER190" s="131"/>
      <c r="AES190" s="131"/>
      <c r="AET190" s="131"/>
      <c r="AEU190" s="131"/>
      <c r="AEV190" s="131"/>
      <c r="AEW190" s="131"/>
      <c r="AEX190" s="131"/>
      <c r="AEY190" s="131"/>
      <c r="AEZ190" s="131"/>
      <c r="AFA190" s="131"/>
      <c r="AFB190" s="131"/>
      <c r="AFC190" s="131"/>
      <c r="AFD190" s="131"/>
      <c r="AFE190" s="131"/>
      <c r="AFF190" s="131"/>
      <c r="AFG190" s="131"/>
      <c r="AFH190" s="131"/>
      <c r="AFI190" s="131"/>
      <c r="AFJ190" s="131"/>
      <c r="AFK190" s="131"/>
      <c r="AFL190" s="131"/>
      <c r="AFM190" s="131"/>
      <c r="AFN190" s="131"/>
      <c r="AFO190" s="131"/>
      <c r="AFP190" s="131"/>
      <c r="AFQ190" s="131"/>
      <c r="AFR190" s="131"/>
      <c r="AFS190" s="131"/>
      <c r="AFT190" s="131"/>
      <c r="AFU190" s="131"/>
      <c r="AFV190" s="131"/>
      <c r="AFW190" s="131"/>
      <c r="AFX190" s="131"/>
      <c r="AFY190" s="131"/>
      <c r="AFZ190" s="131"/>
      <c r="AGA190" s="131"/>
      <c r="AGB190" s="131"/>
      <c r="AGC190" s="131"/>
      <c r="AGD190" s="131"/>
      <c r="AGE190" s="131"/>
      <c r="AGF190" s="131"/>
      <c r="AGG190" s="131"/>
      <c r="AGH190" s="131"/>
      <c r="AGI190" s="131"/>
      <c r="AGJ190" s="131"/>
      <c r="AGK190" s="131"/>
      <c r="AGL190" s="131"/>
      <c r="AGM190" s="131"/>
      <c r="AGN190" s="131"/>
      <c r="AGO190" s="131"/>
      <c r="AGP190" s="131"/>
      <c r="AGQ190" s="131"/>
      <c r="AGR190" s="131"/>
      <c r="AGS190" s="131"/>
      <c r="AGT190" s="131"/>
      <c r="AGU190" s="131"/>
      <c r="AGV190" s="131"/>
      <c r="AGW190" s="131"/>
      <c r="AGX190" s="131"/>
      <c r="AGY190" s="131"/>
      <c r="AGZ190" s="131"/>
      <c r="AHA190" s="131"/>
      <c r="AHB190" s="131"/>
      <c r="AHC190" s="131"/>
      <c r="AHD190" s="131"/>
      <c r="AHE190" s="131"/>
      <c r="AHF190" s="131"/>
      <c r="AHG190" s="131"/>
      <c r="AHH190" s="131"/>
      <c r="AHI190" s="131"/>
      <c r="AHJ190" s="131"/>
      <c r="AHK190" s="131"/>
      <c r="AHL190" s="131"/>
      <c r="AHM190" s="131"/>
      <c r="AHN190" s="131"/>
      <c r="AHO190" s="131"/>
      <c r="AHP190" s="131"/>
      <c r="AHQ190" s="131"/>
      <c r="AHR190" s="131"/>
      <c r="AHS190" s="131"/>
      <c r="AHT190" s="131"/>
      <c r="AHU190" s="131"/>
      <c r="AHV190" s="131"/>
      <c r="AHW190" s="131"/>
      <c r="AHX190" s="131"/>
      <c r="AHY190" s="131"/>
      <c r="AHZ190" s="131"/>
      <c r="AIA190" s="131"/>
      <c r="AIB190" s="131"/>
      <c r="AIC190" s="131"/>
      <c r="AID190" s="131"/>
      <c r="AIE190" s="131"/>
      <c r="AIF190" s="131"/>
      <c r="AIG190" s="131"/>
      <c r="AIH190" s="131"/>
      <c r="AII190" s="131"/>
      <c r="AIJ190" s="131"/>
      <c r="AIK190" s="131"/>
      <c r="AIL190" s="131"/>
      <c r="AIM190" s="131"/>
      <c r="AIN190" s="131"/>
      <c r="AIO190" s="131"/>
      <c r="AIP190" s="131"/>
      <c r="AIQ190" s="131"/>
      <c r="AIR190" s="131"/>
      <c r="AIS190" s="131"/>
      <c r="AIT190" s="131"/>
      <c r="AIU190" s="131"/>
      <c r="AIV190" s="131"/>
      <c r="AIW190" s="131"/>
      <c r="AIX190" s="131"/>
      <c r="AIY190" s="131"/>
      <c r="AIZ190" s="131"/>
      <c r="AJA190" s="131"/>
      <c r="AJB190" s="131"/>
      <c r="AJC190" s="131"/>
      <c r="AJD190" s="131"/>
      <c r="AJE190" s="131"/>
      <c r="AJF190" s="131"/>
      <c r="AJG190" s="131"/>
      <c r="AJH190" s="131"/>
      <c r="AJI190" s="131"/>
      <c r="AJJ190" s="131"/>
      <c r="AJK190" s="131"/>
      <c r="AJL190" s="131"/>
      <c r="AJM190" s="131"/>
      <c r="AJN190" s="131"/>
      <c r="AJO190" s="131"/>
      <c r="AJP190" s="131"/>
      <c r="AJQ190" s="131"/>
      <c r="AJR190" s="131"/>
      <c r="AJS190" s="131"/>
      <c r="AJT190" s="131"/>
      <c r="AJU190" s="131"/>
      <c r="AJV190" s="131"/>
      <c r="AJW190" s="131"/>
      <c r="AJX190" s="131"/>
      <c r="AJY190" s="131"/>
      <c r="AJZ190" s="131"/>
      <c r="AKA190" s="131"/>
      <c r="AKB190" s="131"/>
      <c r="AKC190" s="131"/>
      <c r="AKD190" s="131"/>
      <c r="AKE190" s="131"/>
      <c r="AKF190" s="131"/>
      <c r="AKG190" s="131"/>
      <c r="AKH190" s="131"/>
      <c r="AKI190" s="131"/>
      <c r="AKJ190" s="131"/>
      <c r="AKK190" s="131"/>
      <c r="AKL190" s="131"/>
      <c r="AKM190" s="131"/>
      <c r="AKN190" s="131"/>
      <c r="AKO190" s="131"/>
      <c r="AKP190" s="131"/>
      <c r="AKQ190" s="131"/>
      <c r="AKR190" s="131"/>
      <c r="AKS190" s="131"/>
      <c r="AKT190" s="131"/>
      <c r="AKU190" s="131"/>
      <c r="AKV190" s="131"/>
      <c r="AKW190" s="131"/>
      <c r="AKX190" s="131"/>
      <c r="AKY190" s="131"/>
      <c r="AKZ190" s="131"/>
      <c r="ALA190" s="131"/>
      <c r="ALB190" s="131"/>
      <c r="ALC190" s="131"/>
      <c r="ALD190" s="131"/>
      <c r="ALE190" s="131"/>
      <c r="ALF190" s="131"/>
      <c r="ALG190" s="131"/>
      <c r="ALH190" s="131"/>
      <c r="ALI190" s="131"/>
      <c r="ALJ190" s="131"/>
      <c r="ALK190" s="131"/>
      <c r="ALL190" s="131"/>
      <c r="ALM190" s="131"/>
      <c r="ALN190" s="131"/>
      <c r="ALO190" s="131"/>
      <c r="ALP190" s="131"/>
      <c r="ALQ190" s="131"/>
      <c r="ALR190" s="131"/>
      <c r="ALS190" s="131"/>
      <c r="ALT190" s="131"/>
      <c r="ALU190" s="131"/>
      <c r="ALV190" s="131"/>
      <c r="ALW190" s="131"/>
      <c r="ALX190" s="131"/>
      <c r="ALY190" s="131"/>
      <c r="ALZ190" s="131"/>
      <c r="AMA190" s="131"/>
      <c r="AMB190" s="131"/>
      <c r="AMC190" s="131"/>
      <c r="AMD190" s="131"/>
      <c r="AME190" s="131"/>
      <c r="AMF190" s="131"/>
      <c r="AMG190" s="131"/>
      <c r="AMH190" s="131"/>
      <c r="AMI190" s="131"/>
      <c r="AMJ190" s="131"/>
      <c r="AMK190" s="131"/>
      <c r="AML190" s="131"/>
      <c r="AMM190" s="131"/>
      <c r="AMN190" s="131"/>
      <c r="AMO190" s="131"/>
      <c r="AMP190" s="131"/>
      <c r="AMQ190" s="131"/>
      <c r="AMR190" s="131"/>
      <c r="AMS190" s="131"/>
      <c r="AMT190" s="131"/>
      <c r="AMU190" s="131"/>
      <c r="AMV190" s="131"/>
      <c r="AMW190" s="131"/>
      <c r="AMX190" s="131"/>
      <c r="AMY190" s="131"/>
      <c r="AMZ190" s="131"/>
      <c r="ANA190" s="131"/>
      <c r="ANB190" s="131"/>
      <c r="ANC190" s="131"/>
      <c r="AND190" s="131"/>
      <c r="ANE190" s="131"/>
      <c r="ANF190" s="131"/>
      <c r="ANG190" s="131"/>
      <c r="ANH190" s="131"/>
      <c r="ANI190" s="131"/>
      <c r="ANJ190" s="131"/>
      <c r="ANK190" s="131"/>
      <c r="ANL190" s="131"/>
      <c r="ANM190" s="131"/>
      <c r="ANN190" s="131"/>
      <c r="ANO190" s="131"/>
      <c r="ANP190" s="131"/>
      <c r="ANQ190" s="131"/>
      <c r="ANR190" s="131"/>
      <c r="ANS190" s="131"/>
      <c r="ANT190" s="131"/>
      <c r="ANU190" s="131"/>
      <c r="ANV190" s="131"/>
      <c r="ANW190" s="131"/>
      <c r="ANX190" s="131"/>
      <c r="ANY190" s="131"/>
      <c r="ANZ190" s="131"/>
      <c r="AOA190" s="131"/>
      <c r="AOB190" s="131"/>
      <c r="AOC190" s="131"/>
      <c r="AOD190" s="131"/>
      <c r="AOE190" s="131"/>
      <c r="AOF190" s="131"/>
      <c r="AOG190" s="131"/>
      <c r="AOH190" s="131"/>
      <c r="AOI190" s="131"/>
      <c r="AOJ190" s="131"/>
      <c r="AOK190" s="131"/>
      <c r="AOL190" s="131"/>
      <c r="AOM190" s="131"/>
      <c r="AON190" s="131"/>
      <c r="AOO190" s="131"/>
      <c r="AOP190" s="131"/>
      <c r="AOQ190" s="131"/>
      <c r="AOR190" s="131"/>
      <c r="AOS190" s="131"/>
      <c r="AOT190" s="131"/>
      <c r="AOU190" s="131"/>
      <c r="AOV190" s="131"/>
      <c r="AOW190" s="131"/>
      <c r="AOX190" s="131"/>
      <c r="AOY190" s="131"/>
      <c r="AOZ190" s="131"/>
      <c r="APA190" s="131"/>
      <c r="APB190" s="131"/>
      <c r="APC190" s="131"/>
      <c r="APD190" s="131"/>
      <c r="APE190" s="131"/>
      <c r="APF190" s="131"/>
      <c r="APG190" s="131"/>
      <c r="APH190" s="131"/>
      <c r="API190" s="131"/>
      <c r="APJ190" s="131"/>
      <c r="APK190" s="131"/>
      <c r="APL190" s="131"/>
      <c r="APM190" s="131"/>
      <c r="APN190" s="131"/>
      <c r="APO190" s="131"/>
      <c r="APP190" s="131"/>
      <c r="APQ190" s="131"/>
      <c r="APR190" s="131"/>
      <c r="APS190" s="131"/>
      <c r="APT190" s="131"/>
      <c r="APU190" s="131"/>
      <c r="APV190" s="131"/>
      <c r="APW190" s="131"/>
      <c r="APX190" s="131"/>
      <c r="APY190" s="131"/>
      <c r="APZ190" s="131"/>
      <c r="AQA190" s="131"/>
      <c r="AQB190" s="131"/>
      <c r="AQC190" s="131"/>
      <c r="AQD190" s="131"/>
      <c r="AQE190" s="131"/>
      <c r="AQF190" s="131"/>
      <c r="AQG190" s="131"/>
      <c r="AQH190" s="131"/>
      <c r="AQI190" s="131"/>
      <c r="AQJ190" s="131"/>
      <c r="AQK190" s="131"/>
      <c r="AQL190" s="131"/>
      <c r="AQM190" s="131"/>
      <c r="AQN190" s="131"/>
      <c r="AQO190" s="131"/>
      <c r="AQP190" s="131"/>
      <c r="AQQ190" s="131"/>
      <c r="AQR190" s="131"/>
      <c r="AQS190" s="131"/>
      <c r="AQT190" s="131"/>
      <c r="AQU190" s="131"/>
      <c r="AQV190" s="131"/>
      <c r="AQW190" s="131"/>
      <c r="AQX190" s="131"/>
      <c r="AQY190" s="131"/>
      <c r="AQZ190" s="131"/>
      <c r="ARA190" s="131"/>
      <c r="ARB190" s="131"/>
      <c r="ARC190" s="131"/>
      <c r="ARD190" s="131"/>
      <c r="ARE190" s="131"/>
      <c r="ARF190" s="131"/>
      <c r="ARG190" s="131"/>
      <c r="ARH190" s="131"/>
      <c r="ARI190" s="131"/>
      <c r="ARJ190" s="131"/>
      <c r="ARK190" s="131"/>
      <c r="ARL190" s="131"/>
      <c r="ARM190" s="131"/>
      <c r="ARN190" s="131"/>
      <c r="ARO190" s="131"/>
      <c r="ARP190" s="131"/>
      <c r="ARQ190" s="131"/>
      <c r="ARR190" s="131"/>
      <c r="ARS190" s="131"/>
      <c r="ART190" s="131"/>
      <c r="ARU190" s="131"/>
      <c r="ARV190" s="131"/>
      <c r="ARW190" s="131"/>
      <c r="ARX190" s="131"/>
      <c r="ARY190" s="131"/>
      <c r="ARZ190" s="131"/>
      <c r="ASA190" s="131"/>
      <c r="ASB190" s="131"/>
      <c r="ASC190" s="131"/>
      <c r="ASD190" s="131"/>
      <c r="ASE190" s="131"/>
      <c r="ASF190" s="131"/>
      <c r="ASG190" s="131"/>
      <c r="ASH190" s="131"/>
      <c r="ASI190" s="131"/>
      <c r="ASJ190" s="131"/>
      <c r="ASK190" s="131"/>
      <c r="ASL190" s="131"/>
      <c r="ASM190" s="131"/>
      <c r="ASN190" s="131"/>
      <c r="ASO190" s="131"/>
      <c r="ASP190" s="131"/>
      <c r="ASQ190" s="131"/>
      <c r="ASR190" s="131"/>
      <c r="ASS190" s="131"/>
      <c r="AST190" s="131"/>
      <c r="ASU190" s="131"/>
      <c r="ASV190" s="131"/>
      <c r="ASW190" s="131"/>
      <c r="ASX190" s="131"/>
      <c r="ASY190" s="131"/>
      <c r="ASZ190" s="131"/>
      <c r="ATA190" s="131"/>
      <c r="ATB190" s="131"/>
      <c r="ATC190" s="131"/>
    </row>
    <row r="191" spans="1:1199" ht="50.1" customHeight="1" outlineLevel="2" x14ac:dyDescent="0.3">
      <c r="A191" s="106" t="s">
        <v>204</v>
      </c>
      <c r="B191" s="96" t="s">
        <v>205</v>
      </c>
      <c r="C191" s="79" t="s">
        <v>37</v>
      </c>
      <c r="D191" s="81">
        <f t="shared" ref="D191" si="36">E191+F191</f>
        <v>453991.04229000001</v>
      </c>
      <c r="E191" s="82">
        <f t="shared" si="25"/>
        <v>206401.6225</v>
      </c>
      <c r="F191" s="83">
        <f t="shared" si="26"/>
        <v>247589.41979000001</v>
      </c>
      <c r="G191" s="84">
        <v>206401.6225</v>
      </c>
      <c r="H191" s="83">
        <f>208213.69748+353.62612</f>
        <v>208567.3236</v>
      </c>
      <c r="I191" s="83"/>
      <c r="J191" s="84"/>
      <c r="K191" s="85"/>
      <c r="L191" s="85"/>
      <c r="M191" s="85"/>
      <c r="N191" s="85">
        <v>28793.793000000001</v>
      </c>
      <c r="O191" s="82"/>
      <c r="P191" s="83"/>
      <c r="Q191" s="83"/>
      <c r="R191" s="83"/>
      <c r="S191" s="82"/>
      <c r="T191" s="83"/>
      <c r="U191" s="83"/>
      <c r="V191" s="84"/>
      <c r="W191" s="83"/>
      <c r="X191" s="87"/>
      <c r="Y191" s="83">
        <v>93.6</v>
      </c>
      <c r="Z191" s="84"/>
      <c r="AA191" s="85">
        <v>5038.7065899999998</v>
      </c>
      <c r="AB191" s="84"/>
      <c r="AC191" s="85"/>
      <c r="AD191" s="89">
        <f t="shared" si="31"/>
        <v>0</v>
      </c>
      <c r="AE191" s="89"/>
      <c r="AF191" s="186"/>
      <c r="AG191" s="85"/>
      <c r="AH191" s="85"/>
      <c r="AI191" s="85"/>
      <c r="AJ191" s="84"/>
      <c r="AK191" s="85"/>
      <c r="AL191" s="84"/>
      <c r="AM191" s="88"/>
      <c r="AN191" s="84"/>
      <c r="AO191" s="85"/>
      <c r="AP191" s="84"/>
      <c r="AQ191" s="83"/>
      <c r="AR191" s="83"/>
      <c r="AS191" s="83"/>
      <c r="AT191" s="85"/>
      <c r="AU191" s="85"/>
      <c r="AV191" s="85">
        <v>5095.9966000000004</v>
      </c>
      <c r="AW191" s="88"/>
      <c r="AX191" s="84"/>
      <c r="AY191" s="85"/>
      <c r="AZ191" s="84"/>
      <c r="BA191" s="85"/>
      <c r="BB191" s="88"/>
      <c r="BC191" s="85"/>
      <c r="BD191" s="84"/>
      <c r="BE191" s="88"/>
      <c r="BF191" s="85"/>
      <c r="BG191" s="85"/>
      <c r="BH191" s="85"/>
      <c r="BI191" s="85"/>
      <c r="BJ191" s="85"/>
      <c r="BK191" s="85"/>
      <c r="BL191" s="85"/>
      <c r="BM191" s="85"/>
      <c r="BN191" s="85"/>
      <c r="BO191" s="85"/>
      <c r="BP191" s="85"/>
      <c r="BQ191" s="85"/>
      <c r="BR191" s="84"/>
      <c r="BS191" s="85"/>
      <c r="BT191" s="85"/>
      <c r="BU191" s="198"/>
      <c r="BV191" s="90"/>
      <c r="BW191" s="198"/>
      <c r="BX191" s="90"/>
      <c r="BY191" s="198"/>
      <c r="BZ191" s="90"/>
      <c r="CA191" s="91"/>
    </row>
    <row r="192" spans="1:1199" ht="50.1" customHeight="1" outlineLevel="2" x14ac:dyDescent="0.3">
      <c r="A192" s="92" t="s">
        <v>206</v>
      </c>
      <c r="B192" s="96" t="s">
        <v>207</v>
      </c>
      <c r="C192" s="79" t="s">
        <v>37</v>
      </c>
      <c r="D192" s="81">
        <f t="shared" ref="D192:D212" si="37">E192+F192</f>
        <v>9416.4035600000007</v>
      </c>
      <c r="E192" s="82">
        <f t="shared" si="25"/>
        <v>3424.0606900000002</v>
      </c>
      <c r="F192" s="83">
        <f t="shared" si="26"/>
        <v>5992.3428700000004</v>
      </c>
      <c r="G192" s="84"/>
      <c r="H192" s="83"/>
      <c r="I192" s="83"/>
      <c r="J192" s="84"/>
      <c r="K192" s="85"/>
      <c r="L192" s="85"/>
      <c r="M192" s="85"/>
      <c r="N192" s="85"/>
      <c r="O192" s="82"/>
      <c r="P192" s="83"/>
      <c r="Q192" s="83"/>
      <c r="R192" s="83"/>
      <c r="S192" s="82">
        <v>1634.96785</v>
      </c>
      <c r="T192" s="83">
        <v>1514.3024600000001</v>
      </c>
      <c r="U192" s="83"/>
      <c r="V192" s="84">
        <v>255.14500000000001</v>
      </c>
      <c r="W192" s="83">
        <v>445.5</v>
      </c>
      <c r="X192" s="87"/>
      <c r="Y192" s="83">
        <v>772.2</v>
      </c>
      <c r="Z192" s="84"/>
      <c r="AA192" s="85"/>
      <c r="AB192" s="84"/>
      <c r="AC192" s="85"/>
      <c r="AD192" s="89">
        <f t="shared" si="31"/>
        <v>818.35508000000004</v>
      </c>
      <c r="AE192" s="89">
        <v>522.61019999999996</v>
      </c>
      <c r="AF192" s="186">
        <v>295.74488000000002</v>
      </c>
      <c r="AG192" s="85"/>
      <c r="AH192" s="85"/>
      <c r="AI192" s="85"/>
      <c r="AJ192" s="84"/>
      <c r="AK192" s="85"/>
      <c r="AL192" s="84"/>
      <c r="AM192" s="88"/>
      <c r="AN192" s="84"/>
      <c r="AO192" s="85"/>
      <c r="AP192" s="84"/>
      <c r="AQ192" s="83"/>
      <c r="AR192" s="83"/>
      <c r="AS192" s="83"/>
      <c r="AT192" s="85"/>
      <c r="AU192" s="85"/>
      <c r="AV192" s="85">
        <v>718.37184999999999</v>
      </c>
      <c r="AW192" s="88"/>
      <c r="AX192" s="84"/>
      <c r="AY192" s="85"/>
      <c r="AZ192" s="84">
        <v>1533.94784</v>
      </c>
      <c r="BA192" s="85">
        <v>1389.11348</v>
      </c>
      <c r="BB192" s="88"/>
      <c r="BC192" s="85"/>
      <c r="BD192" s="84"/>
      <c r="BE192" s="88"/>
      <c r="BF192" s="85"/>
      <c r="BG192" s="85"/>
      <c r="BH192" s="85"/>
      <c r="BI192" s="85"/>
      <c r="BJ192" s="85"/>
      <c r="BK192" s="85"/>
      <c r="BL192" s="85"/>
      <c r="BM192" s="85"/>
      <c r="BN192" s="85"/>
      <c r="BO192" s="85"/>
      <c r="BP192" s="85"/>
      <c r="BQ192" s="85"/>
      <c r="BR192" s="84"/>
      <c r="BS192" s="85">
        <v>334.5</v>
      </c>
      <c r="BT192" s="85"/>
      <c r="BU192" s="198"/>
      <c r="BV192" s="90"/>
      <c r="BW192" s="198"/>
      <c r="BX192" s="90"/>
      <c r="BY192" s="198"/>
      <c r="BZ192" s="90"/>
      <c r="CA192" s="91"/>
    </row>
    <row r="193" spans="1:79" ht="50.1" customHeight="1" outlineLevel="2" x14ac:dyDescent="0.3">
      <c r="A193" s="106" t="s">
        <v>204</v>
      </c>
      <c r="B193" s="102" t="s">
        <v>208</v>
      </c>
      <c r="C193" s="79" t="s">
        <v>37</v>
      </c>
      <c r="D193" s="81">
        <f t="shared" si="37"/>
        <v>16259.235560000001</v>
      </c>
      <c r="E193" s="82">
        <f t="shared" si="25"/>
        <v>3151.56322</v>
      </c>
      <c r="F193" s="83">
        <f t="shared" si="26"/>
        <v>13107.672340000001</v>
      </c>
      <c r="G193" s="84"/>
      <c r="H193" s="85"/>
      <c r="I193" s="85"/>
      <c r="J193" s="84"/>
      <c r="K193" s="85"/>
      <c r="L193" s="85"/>
      <c r="M193" s="85"/>
      <c r="N193" s="85"/>
      <c r="O193" s="82"/>
      <c r="P193" s="83"/>
      <c r="Q193" s="83"/>
      <c r="R193" s="83"/>
      <c r="S193" s="82"/>
      <c r="T193" s="83"/>
      <c r="U193" s="83"/>
      <c r="V193" s="84">
        <v>131.24709999999999</v>
      </c>
      <c r="W193" s="85">
        <v>229.05</v>
      </c>
      <c r="X193" s="87"/>
      <c r="Y193" s="83">
        <v>468</v>
      </c>
      <c r="Z193" s="84"/>
      <c r="AA193" s="85"/>
      <c r="AB193" s="84"/>
      <c r="AC193" s="85"/>
      <c r="AD193" s="89">
        <f t="shared" si="31"/>
        <v>631.81131000000005</v>
      </c>
      <c r="AE193" s="89">
        <f>52.569+324.8658+36.5347</f>
        <v>413.96949999999998</v>
      </c>
      <c r="AF193" s="186">
        <f>11.98572+178.03064+27.82545</f>
        <v>217.84181000000001</v>
      </c>
      <c r="AG193" s="85"/>
      <c r="AH193" s="85"/>
      <c r="AI193" s="85"/>
      <c r="AJ193" s="84"/>
      <c r="AK193" s="85"/>
      <c r="AL193" s="84"/>
      <c r="AM193" s="88"/>
      <c r="AN193" s="84"/>
      <c r="AO193" s="85"/>
      <c r="AP193" s="84">
        <v>1508.37005</v>
      </c>
      <c r="AQ193" s="83">
        <v>2508.6492400000002</v>
      </c>
      <c r="AR193" s="83"/>
      <c r="AS193" s="83"/>
      <c r="AT193" s="85"/>
      <c r="AU193" s="85"/>
      <c r="AV193" s="85">
        <f>544.65908+1229.35627</f>
        <v>1774.0153500000001</v>
      </c>
      <c r="AW193" s="88"/>
      <c r="AX193" s="84"/>
      <c r="AY193" s="85"/>
      <c r="AZ193" s="84">
        <v>1511.94607</v>
      </c>
      <c r="BA193" s="94">
        <v>1369.1886199999999</v>
      </c>
      <c r="BB193" s="88">
        <v>51.297820000000002</v>
      </c>
      <c r="BC193" s="85"/>
      <c r="BD193" s="84"/>
      <c r="BE193" s="88"/>
      <c r="BF193" s="85"/>
      <c r="BG193" s="85"/>
      <c r="BH193" s="85"/>
      <c r="BI193" s="85"/>
      <c r="BJ193" s="85"/>
      <c r="BK193" s="85"/>
      <c r="BL193" s="85"/>
      <c r="BM193" s="85"/>
      <c r="BN193" s="85"/>
      <c r="BO193" s="85"/>
      <c r="BP193" s="85"/>
      <c r="BQ193" s="85"/>
      <c r="BR193" s="84"/>
      <c r="BS193" s="85">
        <v>5985.5</v>
      </c>
      <c r="BT193" s="85"/>
      <c r="BU193" s="97">
        <v>90.16</v>
      </c>
      <c r="BV193" s="90"/>
      <c r="BW193" s="198"/>
      <c r="BX193" s="90"/>
      <c r="BY193" s="198"/>
      <c r="BZ193" s="90"/>
      <c r="CA193" s="91"/>
    </row>
    <row r="194" spans="1:79" ht="50.1" customHeight="1" outlineLevel="2" x14ac:dyDescent="0.3">
      <c r="A194" s="106" t="s">
        <v>204</v>
      </c>
      <c r="B194" s="102" t="s">
        <v>209</v>
      </c>
      <c r="C194" s="79" t="s">
        <v>37</v>
      </c>
      <c r="D194" s="81">
        <f t="shared" si="37"/>
        <v>2990.2533999999996</v>
      </c>
      <c r="E194" s="82">
        <f t="shared" si="25"/>
        <v>451.36906999999997</v>
      </c>
      <c r="F194" s="83">
        <f t="shared" si="26"/>
        <v>2538.8843299999999</v>
      </c>
      <c r="G194" s="84"/>
      <c r="H194" s="85"/>
      <c r="I194" s="85"/>
      <c r="J194" s="84"/>
      <c r="K194" s="85"/>
      <c r="L194" s="85"/>
      <c r="M194" s="85"/>
      <c r="N194" s="85"/>
      <c r="O194" s="82"/>
      <c r="P194" s="83"/>
      <c r="Q194" s="83"/>
      <c r="R194" s="83"/>
      <c r="S194" s="82"/>
      <c r="T194" s="83"/>
      <c r="U194" s="83"/>
      <c r="V194" s="84">
        <v>34.792499999999997</v>
      </c>
      <c r="W194" s="85">
        <v>60.75</v>
      </c>
      <c r="X194" s="87"/>
      <c r="Y194" s="83">
        <v>239.77199999999999</v>
      </c>
      <c r="Z194" s="84"/>
      <c r="AA194" s="85"/>
      <c r="AB194" s="84"/>
      <c r="AC194" s="85"/>
      <c r="AD194" s="89">
        <f t="shared" si="31"/>
        <v>188.15825000000001</v>
      </c>
      <c r="AE194" s="89">
        <v>120.0591</v>
      </c>
      <c r="AF194" s="186">
        <v>68.099149999999995</v>
      </c>
      <c r="AG194" s="85"/>
      <c r="AH194" s="85"/>
      <c r="AI194" s="85"/>
      <c r="AJ194" s="84"/>
      <c r="AK194" s="85"/>
      <c r="AL194" s="84"/>
      <c r="AM194" s="88"/>
      <c r="AN194" s="84"/>
      <c r="AO194" s="85"/>
      <c r="AP194" s="84">
        <v>93.588930000000005</v>
      </c>
      <c r="AQ194" s="83">
        <v>243.20795000000001</v>
      </c>
      <c r="AR194" s="83"/>
      <c r="AS194" s="83"/>
      <c r="AT194" s="85"/>
      <c r="AU194" s="85"/>
      <c r="AV194" s="85">
        <v>1458.9659999999999</v>
      </c>
      <c r="AW194" s="88"/>
      <c r="AX194" s="84"/>
      <c r="AY194" s="85"/>
      <c r="AZ194" s="84">
        <v>322.98764</v>
      </c>
      <c r="BA194" s="85">
        <v>292.49185</v>
      </c>
      <c r="BB194" s="88"/>
      <c r="BC194" s="85"/>
      <c r="BD194" s="84"/>
      <c r="BE194" s="88"/>
      <c r="BF194" s="85"/>
      <c r="BG194" s="85">
        <v>55.53828</v>
      </c>
      <c r="BH194" s="85"/>
      <c r="BI194" s="85"/>
      <c r="BJ194" s="85"/>
      <c r="BK194" s="85"/>
      <c r="BL194" s="85"/>
      <c r="BM194" s="85"/>
      <c r="BN194" s="85"/>
      <c r="BO194" s="85"/>
      <c r="BP194" s="85"/>
      <c r="BQ194" s="85"/>
      <c r="BR194" s="84"/>
      <c r="BS194" s="85"/>
      <c r="BT194" s="85"/>
      <c r="BU194" s="198"/>
      <c r="BV194" s="90"/>
      <c r="BW194" s="198"/>
      <c r="BX194" s="90"/>
      <c r="BY194" s="198"/>
      <c r="BZ194" s="90"/>
      <c r="CA194" s="91"/>
    </row>
    <row r="195" spans="1:79" ht="50.1" customHeight="1" outlineLevel="2" x14ac:dyDescent="0.3">
      <c r="A195" s="92" t="s">
        <v>206</v>
      </c>
      <c r="B195" s="102" t="s">
        <v>975</v>
      </c>
      <c r="C195" s="79" t="s">
        <v>55</v>
      </c>
      <c r="D195" s="81">
        <f t="shared" si="37"/>
        <v>159.23750000000001</v>
      </c>
      <c r="E195" s="82">
        <f t="shared" si="25"/>
        <v>57.987499999999997</v>
      </c>
      <c r="F195" s="83">
        <f t="shared" si="26"/>
        <v>101.25</v>
      </c>
      <c r="G195" s="84"/>
      <c r="H195" s="85"/>
      <c r="I195" s="85"/>
      <c r="J195" s="84"/>
      <c r="K195" s="85"/>
      <c r="L195" s="85"/>
      <c r="M195" s="85"/>
      <c r="N195" s="85"/>
      <c r="O195" s="82"/>
      <c r="P195" s="83"/>
      <c r="Q195" s="83"/>
      <c r="R195" s="83"/>
      <c r="S195" s="82"/>
      <c r="T195" s="83"/>
      <c r="U195" s="83"/>
      <c r="V195" s="84">
        <v>57.987499999999997</v>
      </c>
      <c r="W195" s="85">
        <v>101.25</v>
      </c>
      <c r="X195" s="87"/>
      <c r="Y195" s="83"/>
      <c r="Z195" s="84"/>
      <c r="AA195" s="85"/>
      <c r="AB195" s="84"/>
      <c r="AC195" s="85"/>
      <c r="AD195" s="89">
        <f t="shared" si="31"/>
        <v>0</v>
      </c>
      <c r="AE195" s="89"/>
      <c r="AF195" s="186"/>
      <c r="AG195" s="85"/>
      <c r="AH195" s="85"/>
      <c r="AI195" s="85"/>
      <c r="AJ195" s="84"/>
      <c r="AK195" s="85"/>
      <c r="AL195" s="84"/>
      <c r="AM195" s="88"/>
      <c r="AN195" s="84"/>
      <c r="AO195" s="85"/>
      <c r="AP195" s="84"/>
      <c r="AQ195" s="83"/>
      <c r="AR195" s="83"/>
      <c r="AS195" s="83"/>
      <c r="AT195" s="85"/>
      <c r="AU195" s="85"/>
      <c r="AV195" s="85"/>
      <c r="AW195" s="88"/>
      <c r="AX195" s="84"/>
      <c r="AY195" s="85"/>
      <c r="AZ195" s="84"/>
      <c r="BA195" s="85"/>
      <c r="BB195" s="88"/>
      <c r="BC195" s="85"/>
      <c r="BD195" s="84"/>
      <c r="BE195" s="88"/>
      <c r="BF195" s="85"/>
      <c r="BG195" s="85"/>
      <c r="BH195" s="85"/>
      <c r="BI195" s="85"/>
      <c r="BJ195" s="85"/>
      <c r="BK195" s="85"/>
      <c r="BL195" s="85"/>
      <c r="BM195" s="85"/>
      <c r="BN195" s="85"/>
      <c r="BO195" s="85"/>
      <c r="BP195" s="85"/>
      <c r="BQ195" s="85"/>
      <c r="BR195" s="84"/>
      <c r="BS195" s="85"/>
      <c r="BT195" s="85"/>
      <c r="BU195" s="198"/>
      <c r="BV195" s="90"/>
      <c r="BW195" s="198"/>
      <c r="BX195" s="90"/>
      <c r="BY195" s="198"/>
      <c r="BZ195" s="90"/>
      <c r="CA195" s="91"/>
    </row>
    <row r="196" spans="1:79" ht="50.1" customHeight="1" outlineLevel="2" x14ac:dyDescent="0.3">
      <c r="A196" s="106" t="s">
        <v>204</v>
      </c>
      <c r="B196" s="102" t="s">
        <v>973</v>
      </c>
      <c r="C196" s="79" t="s">
        <v>55</v>
      </c>
      <c r="D196" s="81">
        <f t="shared" si="37"/>
        <v>23.485190000000003</v>
      </c>
      <c r="E196" s="82">
        <f t="shared" si="25"/>
        <v>6.9436400000000003</v>
      </c>
      <c r="F196" s="83">
        <f t="shared" si="26"/>
        <v>16.541550000000001</v>
      </c>
      <c r="G196" s="84"/>
      <c r="H196" s="85"/>
      <c r="I196" s="85"/>
      <c r="J196" s="84"/>
      <c r="K196" s="85"/>
      <c r="L196" s="85"/>
      <c r="M196" s="85"/>
      <c r="N196" s="85"/>
      <c r="O196" s="82"/>
      <c r="P196" s="83"/>
      <c r="Q196" s="83"/>
      <c r="R196" s="83"/>
      <c r="S196" s="82"/>
      <c r="T196" s="83"/>
      <c r="U196" s="83"/>
      <c r="V196" s="84"/>
      <c r="W196" s="85"/>
      <c r="X196" s="87"/>
      <c r="Y196" s="83"/>
      <c r="Z196" s="84"/>
      <c r="AA196" s="85"/>
      <c r="AB196" s="84"/>
      <c r="AC196" s="85"/>
      <c r="AD196" s="89">
        <f t="shared" si="31"/>
        <v>0</v>
      </c>
      <c r="AE196" s="89"/>
      <c r="AF196" s="186"/>
      <c r="AG196" s="85"/>
      <c r="AH196" s="85"/>
      <c r="AI196" s="85"/>
      <c r="AJ196" s="84"/>
      <c r="AK196" s="85"/>
      <c r="AL196" s="84"/>
      <c r="AM196" s="88"/>
      <c r="AN196" s="84"/>
      <c r="AO196" s="85"/>
      <c r="AP196" s="95">
        <v>6.9436400000000003</v>
      </c>
      <c r="AQ196" s="83">
        <v>16.541550000000001</v>
      </c>
      <c r="AR196" s="83"/>
      <c r="AS196" s="83"/>
      <c r="AT196" s="85"/>
      <c r="AU196" s="85"/>
      <c r="AV196" s="85"/>
      <c r="AW196" s="88"/>
      <c r="AX196" s="84"/>
      <c r="AY196" s="85"/>
      <c r="AZ196" s="84"/>
      <c r="BA196" s="85"/>
      <c r="BB196" s="88"/>
      <c r="BC196" s="85"/>
      <c r="BD196" s="84"/>
      <c r="BE196" s="88"/>
      <c r="BF196" s="85"/>
      <c r="BG196" s="85"/>
      <c r="BH196" s="85"/>
      <c r="BI196" s="85"/>
      <c r="BJ196" s="85"/>
      <c r="BK196" s="85"/>
      <c r="BL196" s="85"/>
      <c r="BM196" s="85"/>
      <c r="BN196" s="85"/>
      <c r="BO196" s="85"/>
      <c r="BP196" s="85"/>
      <c r="BQ196" s="85"/>
      <c r="BR196" s="84"/>
      <c r="BS196" s="85"/>
      <c r="BT196" s="85"/>
      <c r="BU196" s="198"/>
      <c r="BV196" s="90"/>
      <c r="BW196" s="198"/>
      <c r="BX196" s="90"/>
      <c r="BY196" s="198"/>
      <c r="BZ196" s="90"/>
      <c r="CA196" s="91"/>
    </row>
    <row r="197" spans="1:79" ht="50.1" customHeight="1" outlineLevel="2" x14ac:dyDescent="0.3">
      <c r="A197" s="106" t="s">
        <v>204</v>
      </c>
      <c r="B197" s="102" t="s">
        <v>210</v>
      </c>
      <c r="C197" s="79" t="s">
        <v>55</v>
      </c>
      <c r="D197" s="81">
        <f t="shared" si="37"/>
        <v>1923.5346400000001</v>
      </c>
      <c r="E197" s="82">
        <f t="shared" si="25"/>
        <v>985.90788999999995</v>
      </c>
      <c r="F197" s="83">
        <f t="shared" si="26"/>
        <v>937.62675000000013</v>
      </c>
      <c r="G197" s="84"/>
      <c r="H197" s="85"/>
      <c r="I197" s="85"/>
      <c r="J197" s="84">
        <f>287.75819+294.70311</f>
        <v>582.46129999999994</v>
      </c>
      <c r="K197" s="85">
        <f>97.61588+99.65363</f>
        <v>197.26951000000003</v>
      </c>
      <c r="L197" s="85"/>
      <c r="M197" s="85"/>
      <c r="N197" s="85"/>
      <c r="O197" s="82">
        <f>8.21972+0.72148</f>
        <v>8.9412000000000003</v>
      </c>
      <c r="P197" s="83">
        <f>0.43262+0.03797</f>
        <v>0.47059000000000001</v>
      </c>
      <c r="Q197" s="83"/>
      <c r="R197" s="83"/>
      <c r="S197" s="82"/>
      <c r="T197" s="83"/>
      <c r="U197" s="83"/>
      <c r="V197" s="84">
        <v>53.348500000000001</v>
      </c>
      <c r="W197" s="85">
        <v>93.15</v>
      </c>
      <c r="X197" s="87"/>
      <c r="Y197" s="83">
        <v>165.36</v>
      </c>
      <c r="Z197" s="84"/>
      <c r="AA197" s="85"/>
      <c r="AB197" s="84"/>
      <c r="AC197" s="85"/>
      <c r="AD197" s="89">
        <f t="shared" si="31"/>
        <v>141.42500000000001</v>
      </c>
      <c r="AE197" s="89">
        <v>91.809899999999999</v>
      </c>
      <c r="AF197" s="186">
        <v>49.615099999999998</v>
      </c>
      <c r="AG197" s="85"/>
      <c r="AH197" s="85"/>
      <c r="AI197" s="85"/>
      <c r="AJ197" s="84"/>
      <c r="AK197" s="85"/>
      <c r="AL197" s="84"/>
      <c r="AM197" s="88"/>
      <c r="AN197" s="84"/>
      <c r="AO197" s="85"/>
      <c r="AP197" s="84">
        <v>45.475560000000002</v>
      </c>
      <c r="AQ197" s="83">
        <v>72.188249999999996</v>
      </c>
      <c r="AR197" s="83"/>
      <c r="AS197" s="83"/>
      <c r="AT197" s="85"/>
      <c r="AU197" s="85"/>
      <c r="AV197" s="85"/>
      <c r="AW197" s="88"/>
      <c r="AX197" s="84"/>
      <c r="AY197" s="85"/>
      <c r="AZ197" s="84">
        <v>295.68133</v>
      </c>
      <c r="BA197" s="85">
        <v>267.76339999999999</v>
      </c>
      <c r="BB197" s="88"/>
      <c r="BC197" s="85"/>
      <c r="BD197" s="84"/>
      <c r="BE197" s="88"/>
      <c r="BF197" s="85"/>
      <c r="BG197" s="85"/>
      <c r="BH197" s="85"/>
      <c r="BI197" s="85"/>
      <c r="BJ197" s="85"/>
      <c r="BK197" s="85"/>
      <c r="BL197" s="85"/>
      <c r="BM197" s="85"/>
      <c r="BN197" s="85"/>
      <c r="BO197" s="85"/>
      <c r="BP197" s="85"/>
      <c r="BQ197" s="85"/>
      <c r="BR197" s="84"/>
      <c r="BS197" s="85"/>
      <c r="BT197" s="85"/>
      <c r="BU197" s="198"/>
      <c r="BV197" s="90"/>
      <c r="BW197" s="198"/>
      <c r="BX197" s="90"/>
      <c r="BY197" s="198"/>
      <c r="BZ197" s="90"/>
      <c r="CA197" s="91"/>
    </row>
    <row r="198" spans="1:79" ht="50.1" customHeight="1" outlineLevel="2" x14ac:dyDescent="0.3">
      <c r="A198" s="106" t="s">
        <v>204</v>
      </c>
      <c r="B198" s="96" t="s">
        <v>211</v>
      </c>
      <c r="C198" s="79" t="s">
        <v>55</v>
      </c>
      <c r="D198" s="81">
        <f t="shared" si="37"/>
        <v>190.01992999999999</v>
      </c>
      <c r="E198" s="82">
        <f t="shared" si="25"/>
        <v>86.005499999999998</v>
      </c>
      <c r="F198" s="83">
        <f t="shared" si="26"/>
        <v>104.01443</v>
      </c>
      <c r="G198" s="84"/>
      <c r="H198" s="85"/>
      <c r="I198" s="85"/>
      <c r="J198" s="84">
        <v>42.635100000000001</v>
      </c>
      <c r="K198" s="85">
        <v>10.658799999999999</v>
      </c>
      <c r="L198" s="85"/>
      <c r="M198" s="85"/>
      <c r="N198" s="85"/>
      <c r="O198" s="82"/>
      <c r="P198" s="83"/>
      <c r="Q198" s="83"/>
      <c r="R198" s="83"/>
      <c r="S198" s="82"/>
      <c r="T198" s="83"/>
      <c r="U198" s="83"/>
      <c r="V198" s="84"/>
      <c r="W198" s="83"/>
      <c r="X198" s="87"/>
      <c r="Y198" s="83">
        <v>31.2</v>
      </c>
      <c r="Z198" s="84"/>
      <c r="AA198" s="85"/>
      <c r="AB198" s="84"/>
      <c r="AC198" s="85"/>
      <c r="AD198" s="89">
        <f t="shared" si="31"/>
        <v>22.880199999999999</v>
      </c>
      <c r="AE198" s="89">
        <v>14.124599999999999</v>
      </c>
      <c r="AF198" s="186">
        <v>8.7555999999999994</v>
      </c>
      <c r="AG198" s="85"/>
      <c r="AH198" s="85"/>
      <c r="AI198" s="85"/>
      <c r="AJ198" s="84"/>
      <c r="AK198" s="85"/>
      <c r="AL198" s="84"/>
      <c r="AM198" s="88"/>
      <c r="AN198" s="84"/>
      <c r="AO198" s="85"/>
      <c r="AP198" s="84"/>
      <c r="AQ198" s="83"/>
      <c r="AR198" s="83"/>
      <c r="AS198" s="83"/>
      <c r="AT198" s="85"/>
      <c r="AU198" s="85"/>
      <c r="AV198" s="85"/>
      <c r="AW198" s="88"/>
      <c r="AX198" s="84"/>
      <c r="AY198" s="85"/>
      <c r="AZ198" s="84">
        <v>43.370399999999997</v>
      </c>
      <c r="BA198" s="85">
        <v>39.27543</v>
      </c>
      <c r="BB198" s="88"/>
      <c r="BC198" s="85"/>
      <c r="BD198" s="84"/>
      <c r="BE198" s="88"/>
      <c r="BF198" s="85"/>
      <c r="BG198" s="85"/>
      <c r="BH198" s="85"/>
      <c r="BI198" s="85"/>
      <c r="BJ198" s="85"/>
      <c r="BK198" s="85"/>
      <c r="BL198" s="85"/>
      <c r="BM198" s="85"/>
      <c r="BN198" s="85"/>
      <c r="BO198" s="85"/>
      <c r="BP198" s="85"/>
      <c r="BQ198" s="85"/>
      <c r="BR198" s="84"/>
      <c r="BS198" s="85"/>
      <c r="BT198" s="85"/>
      <c r="BU198" s="198"/>
      <c r="BV198" s="90"/>
      <c r="BW198" s="198"/>
      <c r="BX198" s="90"/>
      <c r="BY198" s="198"/>
      <c r="BZ198" s="90"/>
      <c r="CA198" s="91"/>
    </row>
    <row r="199" spans="1:79" ht="50.1" customHeight="1" outlineLevel="2" x14ac:dyDescent="0.3">
      <c r="A199" s="106" t="s">
        <v>204</v>
      </c>
      <c r="B199" s="102" t="s">
        <v>212</v>
      </c>
      <c r="C199" s="79" t="s">
        <v>55</v>
      </c>
      <c r="D199" s="81">
        <f t="shared" si="37"/>
        <v>4527.9213099999997</v>
      </c>
      <c r="E199" s="82">
        <f t="shared" si="25"/>
        <v>838.3749499999999</v>
      </c>
      <c r="F199" s="83">
        <f t="shared" si="26"/>
        <v>3689.5463600000003</v>
      </c>
      <c r="G199" s="84"/>
      <c r="H199" s="85"/>
      <c r="I199" s="85"/>
      <c r="J199" s="84">
        <v>176.59882999999999</v>
      </c>
      <c r="K199" s="85">
        <v>57.749699999999997</v>
      </c>
      <c r="L199" s="85"/>
      <c r="M199" s="85"/>
      <c r="N199" s="85"/>
      <c r="O199" s="82">
        <v>168.51047</v>
      </c>
      <c r="P199" s="83">
        <v>12.191800000000001</v>
      </c>
      <c r="Q199" s="83"/>
      <c r="R199" s="83"/>
      <c r="S199" s="82"/>
      <c r="T199" s="83"/>
      <c r="U199" s="83"/>
      <c r="V199" s="84">
        <v>46.39</v>
      </c>
      <c r="W199" s="83">
        <v>81</v>
      </c>
      <c r="X199" s="87"/>
      <c r="Y199" s="83">
        <v>219.648</v>
      </c>
      <c r="Z199" s="84"/>
      <c r="AA199" s="85"/>
      <c r="AB199" s="84"/>
      <c r="AC199" s="85"/>
      <c r="AD199" s="89">
        <f t="shared" si="31"/>
        <v>167.22373999999999</v>
      </c>
      <c r="AE199" s="89">
        <v>105.9345</v>
      </c>
      <c r="AF199" s="186">
        <v>61.289239999999999</v>
      </c>
      <c r="AG199" s="85"/>
      <c r="AH199" s="85"/>
      <c r="AI199" s="85"/>
      <c r="AJ199" s="84"/>
      <c r="AK199" s="85"/>
      <c r="AL199" s="84"/>
      <c r="AM199" s="88"/>
      <c r="AN199" s="84"/>
      <c r="AO199" s="85"/>
      <c r="AP199" s="84">
        <v>82.166799999999995</v>
      </c>
      <c r="AQ199" s="83">
        <v>108.61897999999999</v>
      </c>
      <c r="AR199" s="83"/>
      <c r="AS199" s="83"/>
      <c r="AT199" s="85"/>
      <c r="AU199" s="85"/>
      <c r="AV199" s="85"/>
      <c r="AW199" s="88"/>
      <c r="AX199" s="84"/>
      <c r="AY199" s="85"/>
      <c r="AZ199" s="84">
        <v>364.70884999999998</v>
      </c>
      <c r="BA199" s="85">
        <v>330.2731</v>
      </c>
      <c r="BB199" s="88">
        <v>80.533929999999998</v>
      </c>
      <c r="BC199" s="85"/>
      <c r="BD199" s="84"/>
      <c r="BE199" s="88"/>
      <c r="BF199" s="85"/>
      <c r="BG199" s="85"/>
      <c r="BH199" s="85"/>
      <c r="BI199" s="85"/>
      <c r="BJ199" s="85"/>
      <c r="BK199" s="85"/>
      <c r="BL199" s="85"/>
      <c r="BM199" s="85"/>
      <c r="BN199" s="85"/>
      <c r="BO199" s="85"/>
      <c r="BP199" s="85"/>
      <c r="BQ199" s="85"/>
      <c r="BR199" s="84"/>
      <c r="BS199" s="85">
        <v>2590.4</v>
      </c>
      <c r="BT199" s="85">
        <v>41.907110000000003</v>
      </c>
      <c r="BU199" s="198"/>
      <c r="BV199" s="90"/>
      <c r="BW199" s="198"/>
      <c r="BX199" s="90"/>
      <c r="BY199" s="198"/>
      <c r="BZ199" s="90"/>
      <c r="CA199" s="91"/>
    </row>
    <row r="200" spans="1:79" ht="50.1" customHeight="1" outlineLevel="2" x14ac:dyDescent="0.3">
      <c r="A200" s="106" t="s">
        <v>204</v>
      </c>
      <c r="B200" s="102" t="s">
        <v>213</v>
      </c>
      <c r="C200" s="79" t="s">
        <v>55</v>
      </c>
      <c r="D200" s="81">
        <f t="shared" si="37"/>
        <v>304.17401000000001</v>
      </c>
      <c r="E200" s="82">
        <f t="shared" si="25"/>
        <v>93.531989999999993</v>
      </c>
      <c r="F200" s="83">
        <f t="shared" si="26"/>
        <v>210.64202</v>
      </c>
      <c r="G200" s="84"/>
      <c r="H200" s="85"/>
      <c r="I200" s="85"/>
      <c r="J200" s="84"/>
      <c r="K200" s="85"/>
      <c r="L200" s="85"/>
      <c r="M200" s="85"/>
      <c r="N200" s="85"/>
      <c r="O200" s="82"/>
      <c r="P200" s="83"/>
      <c r="Q200" s="83"/>
      <c r="R200" s="83"/>
      <c r="S200" s="82"/>
      <c r="T200" s="83"/>
      <c r="U200" s="83"/>
      <c r="V200" s="84"/>
      <c r="W200" s="83"/>
      <c r="X200" s="82"/>
      <c r="Y200" s="83">
        <v>70.2</v>
      </c>
      <c r="Z200" s="84"/>
      <c r="AA200" s="85"/>
      <c r="AB200" s="84"/>
      <c r="AC200" s="85"/>
      <c r="AD200" s="89">
        <f t="shared" si="31"/>
        <v>55.741240000000005</v>
      </c>
      <c r="AE200" s="89">
        <v>35.311500000000002</v>
      </c>
      <c r="AF200" s="186">
        <v>20.429739999999999</v>
      </c>
      <c r="AG200" s="85"/>
      <c r="AH200" s="85"/>
      <c r="AI200" s="85"/>
      <c r="AJ200" s="84"/>
      <c r="AK200" s="85"/>
      <c r="AL200" s="84"/>
      <c r="AM200" s="88"/>
      <c r="AN200" s="84"/>
      <c r="AO200" s="85"/>
      <c r="AP200" s="84"/>
      <c r="AQ200" s="83"/>
      <c r="AR200" s="83"/>
      <c r="AS200" s="83"/>
      <c r="AT200" s="85"/>
      <c r="AU200" s="85"/>
      <c r="AV200" s="85"/>
      <c r="AW200" s="88"/>
      <c r="AX200" s="84"/>
      <c r="AY200" s="85"/>
      <c r="AZ200" s="84">
        <v>93.531989999999993</v>
      </c>
      <c r="BA200" s="85">
        <v>84.700779999999995</v>
      </c>
      <c r="BB200" s="88"/>
      <c r="BC200" s="85"/>
      <c r="BD200" s="84"/>
      <c r="BE200" s="88"/>
      <c r="BF200" s="85"/>
      <c r="BG200" s="85"/>
      <c r="BH200" s="85"/>
      <c r="BI200" s="85"/>
      <c r="BJ200" s="85"/>
      <c r="BK200" s="85"/>
      <c r="BL200" s="85"/>
      <c r="BM200" s="85"/>
      <c r="BN200" s="85"/>
      <c r="BO200" s="85"/>
      <c r="BP200" s="85"/>
      <c r="BQ200" s="85"/>
      <c r="BR200" s="84"/>
      <c r="BS200" s="85"/>
      <c r="BT200" s="85"/>
      <c r="BU200" s="198"/>
      <c r="BV200" s="90"/>
      <c r="BW200" s="198"/>
      <c r="BX200" s="90"/>
      <c r="BY200" s="198"/>
      <c r="BZ200" s="90"/>
      <c r="CA200" s="91"/>
    </row>
    <row r="201" spans="1:79" ht="50.1" customHeight="1" outlineLevel="2" x14ac:dyDescent="0.3">
      <c r="A201" s="106" t="s">
        <v>204</v>
      </c>
      <c r="B201" s="102" t="s">
        <v>214</v>
      </c>
      <c r="C201" s="79" t="s">
        <v>55</v>
      </c>
      <c r="D201" s="81">
        <f t="shared" si="37"/>
        <v>954.94838000000004</v>
      </c>
      <c r="E201" s="82">
        <f t="shared" si="25"/>
        <v>386.33346</v>
      </c>
      <c r="F201" s="83">
        <f t="shared" si="26"/>
        <v>568.61491999999998</v>
      </c>
      <c r="G201" s="84"/>
      <c r="H201" s="85"/>
      <c r="I201" s="85"/>
      <c r="J201" s="84">
        <v>164.40046000000001</v>
      </c>
      <c r="K201" s="85">
        <v>59.78199</v>
      </c>
      <c r="L201" s="85"/>
      <c r="M201" s="85"/>
      <c r="N201" s="85"/>
      <c r="O201" s="82">
        <v>10.40483</v>
      </c>
      <c r="P201" s="83">
        <v>0.69886000000000004</v>
      </c>
      <c r="Q201" s="83"/>
      <c r="R201" s="83"/>
      <c r="S201" s="82"/>
      <c r="T201" s="83"/>
      <c r="U201" s="83"/>
      <c r="V201" s="84"/>
      <c r="W201" s="83"/>
      <c r="X201" s="87"/>
      <c r="Y201" s="83">
        <v>78</v>
      </c>
      <c r="Z201" s="84"/>
      <c r="AA201" s="85"/>
      <c r="AB201" s="84"/>
      <c r="AC201" s="85"/>
      <c r="AD201" s="89">
        <f t="shared" si="31"/>
        <v>53.795560000000002</v>
      </c>
      <c r="AE201" s="89">
        <v>35.311500000000002</v>
      </c>
      <c r="AF201" s="186">
        <v>18.484059999999999</v>
      </c>
      <c r="AG201" s="85"/>
      <c r="AH201" s="85"/>
      <c r="AI201" s="85"/>
      <c r="AJ201" s="84"/>
      <c r="AK201" s="85"/>
      <c r="AL201" s="84"/>
      <c r="AM201" s="88"/>
      <c r="AN201" s="84"/>
      <c r="AO201" s="85"/>
      <c r="AP201" s="84">
        <v>211.52816999999999</v>
      </c>
      <c r="AQ201" s="83">
        <v>376.33850999999999</v>
      </c>
      <c r="AR201" s="83"/>
      <c r="AS201" s="83"/>
      <c r="AT201" s="85"/>
      <c r="AU201" s="85"/>
      <c r="AV201" s="85"/>
      <c r="AW201" s="88"/>
      <c r="AX201" s="84"/>
      <c r="AY201" s="85"/>
      <c r="AZ201" s="84"/>
      <c r="BA201" s="85"/>
      <c r="BB201" s="88"/>
      <c r="BC201" s="85"/>
      <c r="BD201" s="84"/>
      <c r="BE201" s="88"/>
      <c r="BF201" s="85"/>
      <c r="BG201" s="85"/>
      <c r="BH201" s="85"/>
      <c r="BI201" s="85"/>
      <c r="BJ201" s="85"/>
      <c r="BK201" s="85"/>
      <c r="BL201" s="85"/>
      <c r="BM201" s="85"/>
      <c r="BN201" s="85"/>
      <c r="BO201" s="85"/>
      <c r="BP201" s="85"/>
      <c r="BQ201" s="85"/>
      <c r="BR201" s="84"/>
      <c r="BS201" s="85"/>
      <c r="BT201" s="85"/>
      <c r="BU201" s="198"/>
      <c r="BV201" s="90"/>
      <c r="BW201" s="198"/>
      <c r="BX201" s="90"/>
      <c r="BY201" s="198"/>
      <c r="BZ201" s="90"/>
      <c r="CA201" s="91"/>
    </row>
    <row r="202" spans="1:79" ht="50.1" customHeight="1" outlineLevel="2" x14ac:dyDescent="0.3">
      <c r="A202" s="106" t="s">
        <v>204</v>
      </c>
      <c r="B202" s="102" t="s">
        <v>215</v>
      </c>
      <c r="C202" s="79" t="s">
        <v>55</v>
      </c>
      <c r="D202" s="81">
        <f t="shared" si="37"/>
        <v>4371.5431899999994</v>
      </c>
      <c r="E202" s="82">
        <f t="shared" si="25"/>
        <v>3962.9079499999998</v>
      </c>
      <c r="F202" s="83">
        <f t="shared" si="26"/>
        <v>408.63524000000001</v>
      </c>
      <c r="G202" s="84"/>
      <c r="H202" s="85"/>
      <c r="I202" s="85"/>
      <c r="J202" s="84"/>
      <c r="K202" s="85"/>
      <c r="L202" s="85"/>
      <c r="M202" s="85"/>
      <c r="N202" s="85"/>
      <c r="O202" s="82"/>
      <c r="P202" s="83"/>
      <c r="Q202" s="83"/>
      <c r="R202" s="83"/>
      <c r="S202" s="82"/>
      <c r="T202" s="83"/>
      <c r="U202" s="83"/>
      <c r="V202" s="84"/>
      <c r="W202" s="83"/>
      <c r="X202" s="87"/>
      <c r="Y202" s="83">
        <v>28.86</v>
      </c>
      <c r="Z202" s="84"/>
      <c r="AA202" s="85"/>
      <c r="AB202" s="84"/>
      <c r="AC202" s="85"/>
      <c r="AD202" s="89">
        <f t="shared" si="31"/>
        <v>21.907359999999997</v>
      </c>
      <c r="AE202" s="89">
        <v>14.124599999999999</v>
      </c>
      <c r="AF202" s="186">
        <v>7.7827599999999997</v>
      </c>
      <c r="AG202" s="85"/>
      <c r="AH202" s="85"/>
      <c r="AI202" s="85"/>
      <c r="AJ202" s="84"/>
      <c r="AK202" s="85"/>
      <c r="AL202" s="84"/>
      <c r="AM202" s="88"/>
      <c r="AN202" s="84"/>
      <c r="AO202" s="85"/>
      <c r="AP202" s="84">
        <v>42.816319999999997</v>
      </c>
      <c r="AQ202" s="83">
        <v>80.372540000000001</v>
      </c>
      <c r="AR202" s="83"/>
      <c r="AS202" s="83"/>
      <c r="AT202" s="85"/>
      <c r="AU202" s="85"/>
      <c r="AV202" s="85"/>
      <c r="AW202" s="88"/>
      <c r="AX202" s="84"/>
      <c r="AY202" s="85"/>
      <c r="AZ202" s="84">
        <v>46.181629999999998</v>
      </c>
      <c r="BA202" s="85">
        <v>41.821190000000001</v>
      </c>
      <c r="BB202" s="88"/>
      <c r="BC202" s="85"/>
      <c r="BD202" s="84"/>
      <c r="BE202" s="88"/>
      <c r="BF202" s="85"/>
      <c r="BG202" s="85"/>
      <c r="BH202" s="85"/>
      <c r="BI202" s="85"/>
      <c r="BJ202" s="85"/>
      <c r="BK202" s="85"/>
      <c r="BL202" s="85"/>
      <c r="BM202" s="85"/>
      <c r="BN202" s="85"/>
      <c r="BO202" s="85"/>
      <c r="BP202" s="85"/>
      <c r="BQ202" s="85"/>
      <c r="BR202" s="84"/>
      <c r="BS202" s="85"/>
      <c r="BT202" s="85"/>
      <c r="BU202" s="97">
        <v>31.78415</v>
      </c>
      <c r="BV202" s="90"/>
      <c r="BW202" s="198"/>
      <c r="BX202" s="90"/>
      <c r="BY202" s="198"/>
      <c r="BZ202" s="203">
        <v>3873.91</v>
      </c>
      <c r="CA202" s="120">
        <v>203.89</v>
      </c>
    </row>
    <row r="203" spans="1:79" ht="50.1" customHeight="1" outlineLevel="2" x14ac:dyDescent="0.3">
      <c r="A203" s="106" t="s">
        <v>204</v>
      </c>
      <c r="B203" s="80" t="s">
        <v>216</v>
      </c>
      <c r="C203" s="79" t="s">
        <v>55</v>
      </c>
      <c r="D203" s="81">
        <f t="shared" si="37"/>
        <v>41.831890000000001</v>
      </c>
      <c r="E203" s="82">
        <f t="shared" si="25"/>
        <v>12.948829999999999</v>
      </c>
      <c r="F203" s="83">
        <f t="shared" si="26"/>
        <v>28.88306</v>
      </c>
      <c r="G203" s="84"/>
      <c r="H203" s="85"/>
      <c r="I203" s="85"/>
      <c r="J203" s="84"/>
      <c r="K203" s="85"/>
      <c r="L203" s="85"/>
      <c r="M203" s="85"/>
      <c r="N203" s="85"/>
      <c r="O203" s="82"/>
      <c r="P203" s="83"/>
      <c r="Q203" s="83"/>
      <c r="R203" s="83"/>
      <c r="S203" s="82"/>
      <c r="T203" s="83"/>
      <c r="U203" s="83"/>
      <c r="V203" s="84"/>
      <c r="W203" s="83"/>
      <c r="X203" s="87"/>
      <c r="Y203" s="83">
        <v>7.1760000000000002</v>
      </c>
      <c r="Z203" s="84"/>
      <c r="AA203" s="85"/>
      <c r="AB203" s="84"/>
      <c r="AC203" s="85"/>
      <c r="AD203" s="89">
        <f t="shared" si="31"/>
        <v>9.9808400000000006</v>
      </c>
      <c r="AE203" s="89">
        <v>7.0622999999999996</v>
      </c>
      <c r="AF203" s="186">
        <v>2.9185400000000001</v>
      </c>
      <c r="AG203" s="85"/>
      <c r="AH203" s="85"/>
      <c r="AI203" s="85"/>
      <c r="AJ203" s="84"/>
      <c r="AK203" s="85"/>
      <c r="AL203" s="84"/>
      <c r="AM203" s="88"/>
      <c r="AN203" s="84"/>
      <c r="AO203" s="85"/>
      <c r="AP203" s="84"/>
      <c r="AQ203" s="83"/>
      <c r="AR203" s="83"/>
      <c r="AS203" s="83"/>
      <c r="AT203" s="85"/>
      <c r="AU203" s="85"/>
      <c r="AV203" s="85"/>
      <c r="AW203" s="88"/>
      <c r="AX203" s="84"/>
      <c r="AY203" s="85"/>
      <c r="AZ203" s="84">
        <v>12.948829999999999</v>
      </c>
      <c r="BA203" s="85">
        <v>11.72622</v>
      </c>
      <c r="BB203" s="88"/>
      <c r="BC203" s="85"/>
      <c r="BD203" s="84"/>
      <c r="BE203" s="88"/>
      <c r="BF203" s="85"/>
      <c r="BG203" s="85"/>
      <c r="BH203" s="85"/>
      <c r="BI203" s="85"/>
      <c r="BJ203" s="85"/>
      <c r="BK203" s="85"/>
      <c r="BL203" s="85"/>
      <c r="BM203" s="85"/>
      <c r="BN203" s="85"/>
      <c r="BO203" s="85"/>
      <c r="BP203" s="85"/>
      <c r="BQ203" s="85"/>
      <c r="BR203" s="84"/>
      <c r="BS203" s="85"/>
      <c r="BT203" s="85"/>
      <c r="BU203" s="198"/>
      <c r="BV203" s="90"/>
      <c r="BW203" s="198"/>
      <c r="BX203" s="90"/>
      <c r="BY203" s="198"/>
      <c r="BZ203" s="90"/>
      <c r="CA203" s="91"/>
    </row>
    <row r="204" spans="1:79" ht="50.1" customHeight="1" outlineLevel="2" x14ac:dyDescent="0.3">
      <c r="A204" s="106" t="s">
        <v>204</v>
      </c>
      <c r="B204" s="80" t="s">
        <v>217</v>
      </c>
      <c r="C204" s="112" t="s">
        <v>55</v>
      </c>
      <c r="D204" s="81">
        <f t="shared" si="37"/>
        <v>56.71658</v>
      </c>
      <c r="E204" s="82">
        <f t="shared" si="25"/>
        <v>20.864609999999999</v>
      </c>
      <c r="F204" s="83">
        <f t="shared" si="26"/>
        <v>35.851970000000001</v>
      </c>
      <c r="G204" s="84"/>
      <c r="H204" s="85"/>
      <c r="I204" s="85"/>
      <c r="J204" s="84"/>
      <c r="K204" s="85"/>
      <c r="L204" s="85"/>
      <c r="M204" s="85"/>
      <c r="N204" s="85"/>
      <c r="O204" s="82"/>
      <c r="P204" s="83"/>
      <c r="Q204" s="83"/>
      <c r="R204" s="83"/>
      <c r="S204" s="82"/>
      <c r="T204" s="83"/>
      <c r="U204" s="83"/>
      <c r="V204" s="84"/>
      <c r="W204" s="83"/>
      <c r="X204" s="87"/>
      <c r="Y204" s="83"/>
      <c r="Z204" s="84"/>
      <c r="AA204" s="85"/>
      <c r="AB204" s="84"/>
      <c r="AC204" s="85"/>
      <c r="AD204" s="89">
        <f t="shared" si="31"/>
        <v>0</v>
      </c>
      <c r="AE204" s="89"/>
      <c r="AF204" s="186"/>
      <c r="AG204" s="85"/>
      <c r="AH204" s="85"/>
      <c r="AI204" s="85"/>
      <c r="AJ204" s="84"/>
      <c r="AK204" s="85"/>
      <c r="AL204" s="84"/>
      <c r="AM204" s="88"/>
      <c r="AN204" s="84"/>
      <c r="AO204" s="85"/>
      <c r="AP204" s="84">
        <v>20.864609999999999</v>
      </c>
      <c r="AQ204" s="83">
        <v>35.851970000000001</v>
      </c>
      <c r="AR204" s="83"/>
      <c r="AS204" s="83"/>
      <c r="AT204" s="85"/>
      <c r="AU204" s="85"/>
      <c r="AV204" s="85"/>
      <c r="AW204" s="88"/>
      <c r="AX204" s="84"/>
      <c r="AY204" s="85"/>
      <c r="AZ204" s="84"/>
      <c r="BA204" s="85"/>
      <c r="BB204" s="88"/>
      <c r="BC204" s="85"/>
      <c r="BD204" s="84"/>
      <c r="BE204" s="88"/>
      <c r="BF204" s="85"/>
      <c r="BG204" s="85"/>
      <c r="BH204" s="85"/>
      <c r="BI204" s="85"/>
      <c r="BJ204" s="85"/>
      <c r="BK204" s="85"/>
      <c r="BL204" s="85"/>
      <c r="BM204" s="85"/>
      <c r="BN204" s="85"/>
      <c r="BO204" s="85"/>
      <c r="BP204" s="85"/>
      <c r="BQ204" s="85"/>
      <c r="BR204" s="84"/>
      <c r="BS204" s="85"/>
      <c r="BT204" s="85"/>
      <c r="BU204" s="198"/>
      <c r="BV204" s="90"/>
      <c r="BW204" s="198"/>
      <c r="BX204" s="90"/>
      <c r="BY204" s="198"/>
      <c r="BZ204" s="90"/>
      <c r="CA204" s="91"/>
    </row>
    <row r="205" spans="1:79" ht="50.1" customHeight="1" outlineLevel="2" x14ac:dyDescent="0.3">
      <c r="A205" s="106" t="s">
        <v>204</v>
      </c>
      <c r="B205" s="102" t="s">
        <v>218</v>
      </c>
      <c r="C205" s="79" t="s">
        <v>55</v>
      </c>
      <c r="D205" s="81">
        <f t="shared" si="37"/>
        <v>287.08491000000004</v>
      </c>
      <c r="E205" s="82">
        <f t="shared" si="25"/>
        <v>91.623750000000001</v>
      </c>
      <c r="F205" s="83">
        <f t="shared" si="26"/>
        <v>195.46116000000001</v>
      </c>
      <c r="G205" s="84"/>
      <c r="H205" s="85"/>
      <c r="I205" s="85"/>
      <c r="J205" s="84"/>
      <c r="K205" s="85"/>
      <c r="L205" s="85"/>
      <c r="M205" s="85"/>
      <c r="N205" s="85"/>
      <c r="O205" s="82"/>
      <c r="P205" s="83"/>
      <c r="Q205" s="83"/>
      <c r="R205" s="83"/>
      <c r="S205" s="82"/>
      <c r="T205" s="83"/>
      <c r="U205" s="83"/>
      <c r="V205" s="84"/>
      <c r="W205" s="83"/>
      <c r="X205" s="87"/>
      <c r="Y205" s="83">
        <v>57.72</v>
      </c>
      <c r="Z205" s="84"/>
      <c r="AA205" s="85"/>
      <c r="AB205" s="84"/>
      <c r="AC205" s="85"/>
      <c r="AD205" s="89">
        <f t="shared" si="31"/>
        <v>54.7684</v>
      </c>
      <c r="AE205" s="89">
        <v>35.311500000000002</v>
      </c>
      <c r="AF205" s="186">
        <v>19.456900000000001</v>
      </c>
      <c r="AG205" s="85"/>
      <c r="AH205" s="85"/>
      <c r="AI205" s="85"/>
      <c r="AJ205" s="84"/>
      <c r="AK205" s="85"/>
      <c r="AL205" s="84"/>
      <c r="AM205" s="88"/>
      <c r="AN205" s="84"/>
      <c r="AO205" s="85"/>
      <c r="AP205" s="84"/>
      <c r="AQ205" s="83"/>
      <c r="AR205" s="83"/>
      <c r="AS205" s="83"/>
      <c r="AT205" s="85"/>
      <c r="AU205" s="85"/>
      <c r="AV205" s="85"/>
      <c r="AW205" s="88"/>
      <c r="AX205" s="84"/>
      <c r="AY205" s="85"/>
      <c r="AZ205" s="84">
        <v>91.623750000000001</v>
      </c>
      <c r="BA205" s="85">
        <v>82.972759999999994</v>
      </c>
      <c r="BB205" s="88"/>
      <c r="BC205" s="85"/>
      <c r="BD205" s="84"/>
      <c r="BE205" s="88"/>
      <c r="BF205" s="85"/>
      <c r="BG205" s="85"/>
      <c r="BH205" s="85"/>
      <c r="BI205" s="85"/>
      <c r="BJ205" s="85"/>
      <c r="BK205" s="85"/>
      <c r="BL205" s="85"/>
      <c r="BM205" s="85"/>
      <c r="BN205" s="85"/>
      <c r="BO205" s="85"/>
      <c r="BP205" s="85"/>
      <c r="BQ205" s="85"/>
      <c r="BR205" s="84"/>
      <c r="BS205" s="85"/>
      <c r="BT205" s="85"/>
      <c r="BU205" s="198"/>
      <c r="BV205" s="90"/>
      <c r="BW205" s="198"/>
      <c r="BX205" s="90"/>
      <c r="BY205" s="198"/>
      <c r="BZ205" s="90"/>
      <c r="CA205" s="91"/>
    </row>
    <row r="206" spans="1:79" ht="50.1" customHeight="1" outlineLevel="2" x14ac:dyDescent="0.3">
      <c r="A206" s="106" t="s">
        <v>204</v>
      </c>
      <c r="B206" s="102" t="s">
        <v>219</v>
      </c>
      <c r="C206" s="79" t="s">
        <v>55</v>
      </c>
      <c r="D206" s="81">
        <f t="shared" si="37"/>
        <v>1749.1569300000001</v>
      </c>
      <c r="E206" s="82">
        <f t="shared" si="25"/>
        <v>621.97936000000004</v>
      </c>
      <c r="F206" s="83">
        <f t="shared" si="26"/>
        <v>1127.1775700000001</v>
      </c>
      <c r="G206" s="84"/>
      <c r="H206" s="85"/>
      <c r="I206" s="85"/>
      <c r="J206" s="84">
        <v>164.0179</v>
      </c>
      <c r="K206" s="85">
        <v>49.797060000000002</v>
      </c>
      <c r="L206" s="85">
        <v>198.92141000000001</v>
      </c>
      <c r="M206" s="85"/>
      <c r="N206" s="85"/>
      <c r="O206" s="82">
        <v>12.669320000000001</v>
      </c>
      <c r="P206" s="83">
        <v>0.92635000000000001</v>
      </c>
      <c r="Q206" s="83"/>
      <c r="R206" s="83"/>
      <c r="S206" s="82"/>
      <c r="T206" s="83"/>
      <c r="U206" s="83"/>
      <c r="V206" s="84">
        <v>16.236499999999999</v>
      </c>
      <c r="W206" s="85">
        <v>28.35</v>
      </c>
      <c r="X206" s="87"/>
      <c r="Y206" s="83">
        <v>249.6</v>
      </c>
      <c r="Z206" s="84"/>
      <c r="AA206" s="85"/>
      <c r="AB206" s="84"/>
      <c r="AC206" s="85"/>
      <c r="AD206" s="89">
        <f t="shared" si="31"/>
        <v>211.03845999999999</v>
      </c>
      <c r="AE206" s="89">
        <v>134.18369999999999</v>
      </c>
      <c r="AF206" s="186">
        <v>76.854759999999999</v>
      </c>
      <c r="AG206" s="85"/>
      <c r="AH206" s="85"/>
      <c r="AI206" s="85"/>
      <c r="AJ206" s="84"/>
      <c r="AK206" s="85"/>
      <c r="AL206" s="84"/>
      <c r="AM206" s="88"/>
      <c r="AN206" s="84"/>
      <c r="AO206" s="85"/>
      <c r="AP206" s="84"/>
      <c r="AQ206" s="83"/>
      <c r="AR206" s="83"/>
      <c r="AS206" s="83"/>
      <c r="AT206" s="85"/>
      <c r="AU206" s="85"/>
      <c r="AV206" s="85"/>
      <c r="AW206" s="88"/>
      <c r="AX206" s="84"/>
      <c r="AY206" s="85"/>
      <c r="AZ206" s="84">
        <v>429.05563999999998</v>
      </c>
      <c r="BA206" s="85">
        <v>388.54428999999999</v>
      </c>
      <c r="BB206" s="88"/>
      <c r="BC206" s="85"/>
      <c r="BD206" s="84"/>
      <c r="BE206" s="88"/>
      <c r="BF206" s="85"/>
      <c r="BG206" s="85"/>
      <c r="BH206" s="85"/>
      <c r="BI206" s="85"/>
      <c r="BJ206" s="85"/>
      <c r="BK206" s="85"/>
      <c r="BL206" s="85"/>
      <c r="BM206" s="85"/>
      <c r="BN206" s="85"/>
      <c r="BO206" s="85"/>
      <c r="BP206" s="85"/>
      <c r="BQ206" s="85"/>
      <c r="BR206" s="84"/>
      <c r="BS206" s="85"/>
      <c r="BT206" s="85"/>
      <c r="BU206" s="198"/>
      <c r="BV206" s="90"/>
      <c r="BW206" s="198"/>
      <c r="BX206" s="90"/>
      <c r="BY206" s="198"/>
      <c r="BZ206" s="90"/>
      <c r="CA206" s="91"/>
    </row>
    <row r="207" spans="1:79" ht="50.1" customHeight="1" outlineLevel="2" x14ac:dyDescent="0.3">
      <c r="A207" s="106" t="s">
        <v>204</v>
      </c>
      <c r="B207" s="102" t="s">
        <v>220</v>
      </c>
      <c r="C207" s="79" t="s">
        <v>53</v>
      </c>
      <c r="D207" s="81">
        <f t="shared" si="37"/>
        <v>446.44128999999998</v>
      </c>
      <c r="E207" s="82">
        <f t="shared" si="25"/>
        <v>85.90137</v>
      </c>
      <c r="F207" s="83">
        <f t="shared" si="26"/>
        <v>360.53992</v>
      </c>
      <c r="G207" s="84"/>
      <c r="H207" s="85"/>
      <c r="I207" s="85"/>
      <c r="J207" s="84"/>
      <c r="K207" s="85"/>
      <c r="L207" s="85"/>
      <c r="M207" s="85"/>
      <c r="N207" s="85"/>
      <c r="O207" s="82"/>
      <c r="P207" s="83"/>
      <c r="Q207" s="83"/>
      <c r="R207" s="83"/>
      <c r="S207" s="82"/>
      <c r="T207" s="83"/>
      <c r="U207" s="83"/>
      <c r="V207" s="84"/>
      <c r="W207" s="85"/>
      <c r="X207" s="87"/>
      <c r="Y207" s="83"/>
      <c r="Z207" s="84"/>
      <c r="AA207" s="85"/>
      <c r="AB207" s="84"/>
      <c r="AC207" s="85"/>
      <c r="AD207" s="89">
        <f t="shared" si="31"/>
        <v>64.74924</v>
      </c>
      <c r="AE207" s="89">
        <v>42.373800000000003</v>
      </c>
      <c r="AF207" s="186">
        <v>22.375440000000001</v>
      </c>
      <c r="AG207" s="85"/>
      <c r="AH207" s="85"/>
      <c r="AI207" s="85"/>
      <c r="AJ207" s="84"/>
      <c r="AK207" s="85"/>
      <c r="AL207" s="84"/>
      <c r="AM207" s="88"/>
      <c r="AN207" s="84"/>
      <c r="AO207" s="85"/>
      <c r="AP207" s="84"/>
      <c r="AQ207" s="83"/>
      <c r="AR207" s="83"/>
      <c r="AS207" s="83"/>
      <c r="AT207" s="85"/>
      <c r="AU207" s="85"/>
      <c r="AV207" s="85"/>
      <c r="AW207" s="88"/>
      <c r="AX207" s="84"/>
      <c r="AY207" s="85"/>
      <c r="AZ207" s="84">
        <v>85.90137</v>
      </c>
      <c r="BA207" s="85">
        <v>77.790679999999995</v>
      </c>
      <c r="BB207" s="88"/>
      <c r="BC207" s="85"/>
      <c r="BD207" s="84"/>
      <c r="BE207" s="88"/>
      <c r="BF207" s="85"/>
      <c r="BG207" s="85"/>
      <c r="BH207" s="85"/>
      <c r="BI207" s="85"/>
      <c r="BJ207" s="85"/>
      <c r="BK207" s="85"/>
      <c r="BL207" s="85"/>
      <c r="BM207" s="85"/>
      <c r="BN207" s="85"/>
      <c r="BO207" s="85"/>
      <c r="BP207" s="85"/>
      <c r="BQ207" s="85"/>
      <c r="BR207" s="84"/>
      <c r="BS207" s="85">
        <v>218</v>
      </c>
      <c r="BT207" s="85"/>
      <c r="BU207" s="198"/>
      <c r="BV207" s="90"/>
      <c r="BW207" s="198"/>
      <c r="BX207" s="90"/>
      <c r="BY207" s="198"/>
      <c r="BZ207" s="90"/>
      <c r="CA207" s="91"/>
    </row>
    <row r="208" spans="1:79" ht="50.1" customHeight="1" outlineLevel="2" x14ac:dyDescent="0.3">
      <c r="A208" s="106" t="s">
        <v>204</v>
      </c>
      <c r="B208" s="102" t="s">
        <v>221</v>
      </c>
      <c r="C208" s="79" t="s">
        <v>55</v>
      </c>
      <c r="D208" s="81">
        <f t="shared" si="37"/>
        <v>289.59266000000002</v>
      </c>
      <c r="E208" s="82">
        <f t="shared" si="25"/>
        <v>96.362570000000005</v>
      </c>
      <c r="F208" s="83">
        <f t="shared" si="26"/>
        <v>193.23008999999999</v>
      </c>
      <c r="G208" s="84"/>
      <c r="H208" s="85"/>
      <c r="I208" s="85"/>
      <c r="J208" s="84"/>
      <c r="K208" s="85"/>
      <c r="L208" s="85"/>
      <c r="M208" s="85"/>
      <c r="N208" s="85"/>
      <c r="O208" s="82"/>
      <c r="P208" s="83"/>
      <c r="Q208" s="83"/>
      <c r="R208" s="83"/>
      <c r="S208" s="82"/>
      <c r="T208" s="83"/>
      <c r="U208" s="83"/>
      <c r="V208" s="84">
        <v>23.195</v>
      </c>
      <c r="W208" s="85">
        <v>40.5</v>
      </c>
      <c r="X208" s="87"/>
      <c r="Y208" s="83">
        <v>46.8</v>
      </c>
      <c r="Z208" s="84"/>
      <c r="AA208" s="85"/>
      <c r="AB208" s="84"/>
      <c r="AC208" s="85"/>
      <c r="AD208" s="89">
        <f t="shared" si="31"/>
        <v>39.670960000000001</v>
      </c>
      <c r="AE208" s="89">
        <v>21.186900000000001</v>
      </c>
      <c r="AF208" s="186">
        <v>18.484059999999999</v>
      </c>
      <c r="AG208" s="85"/>
      <c r="AH208" s="85"/>
      <c r="AI208" s="85"/>
      <c r="AJ208" s="84"/>
      <c r="AK208" s="85"/>
      <c r="AL208" s="84"/>
      <c r="AM208" s="88"/>
      <c r="AN208" s="84"/>
      <c r="AO208" s="85"/>
      <c r="AP208" s="84"/>
      <c r="AQ208" s="83"/>
      <c r="AR208" s="83"/>
      <c r="AS208" s="83"/>
      <c r="AT208" s="85"/>
      <c r="AU208" s="85"/>
      <c r="AV208" s="85"/>
      <c r="AW208" s="88"/>
      <c r="AX208" s="84"/>
      <c r="AY208" s="85"/>
      <c r="AZ208" s="84">
        <v>73.167569999999998</v>
      </c>
      <c r="BA208" s="85">
        <v>66.259129999999999</v>
      </c>
      <c r="BB208" s="88"/>
      <c r="BC208" s="85"/>
      <c r="BD208" s="84"/>
      <c r="BE208" s="88"/>
      <c r="BF208" s="85"/>
      <c r="BG208" s="85"/>
      <c r="BH208" s="85"/>
      <c r="BI208" s="85"/>
      <c r="BJ208" s="85"/>
      <c r="BK208" s="85"/>
      <c r="BL208" s="85"/>
      <c r="BM208" s="85"/>
      <c r="BN208" s="85"/>
      <c r="BO208" s="85"/>
      <c r="BP208" s="85"/>
      <c r="BQ208" s="85"/>
      <c r="BR208" s="84"/>
      <c r="BS208" s="85"/>
      <c r="BT208" s="85"/>
      <c r="BU208" s="198"/>
      <c r="BV208" s="90"/>
      <c r="BW208" s="198"/>
      <c r="BX208" s="90"/>
      <c r="BY208" s="198"/>
      <c r="BZ208" s="90"/>
      <c r="CA208" s="91"/>
    </row>
    <row r="209" spans="1:1199" ht="50.1" customHeight="1" outlineLevel="2" x14ac:dyDescent="0.3">
      <c r="A209" s="106" t="s">
        <v>204</v>
      </c>
      <c r="B209" s="102" t="s">
        <v>1194</v>
      </c>
      <c r="C209" s="79" t="s">
        <v>55</v>
      </c>
      <c r="D209" s="81">
        <f t="shared" si="37"/>
        <v>3000</v>
      </c>
      <c r="E209" s="82">
        <f t="shared" si="25"/>
        <v>0</v>
      </c>
      <c r="F209" s="83">
        <f t="shared" si="26"/>
        <v>3000</v>
      </c>
      <c r="G209" s="84"/>
      <c r="H209" s="85"/>
      <c r="I209" s="85"/>
      <c r="J209" s="84"/>
      <c r="K209" s="85"/>
      <c r="L209" s="85"/>
      <c r="M209" s="85"/>
      <c r="N209" s="85"/>
      <c r="O209" s="82"/>
      <c r="P209" s="83"/>
      <c r="Q209" s="83"/>
      <c r="R209" s="83"/>
      <c r="S209" s="82"/>
      <c r="T209" s="83"/>
      <c r="U209" s="83"/>
      <c r="V209" s="84"/>
      <c r="W209" s="85"/>
      <c r="X209" s="87"/>
      <c r="Y209" s="83"/>
      <c r="Z209" s="84"/>
      <c r="AA209" s="85"/>
      <c r="AB209" s="84"/>
      <c r="AC209" s="85"/>
      <c r="AD209" s="89"/>
      <c r="AE209" s="89"/>
      <c r="AF209" s="186"/>
      <c r="AG209" s="85"/>
      <c r="AH209" s="85"/>
      <c r="AI209" s="85"/>
      <c r="AJ209" s="84"/>
      <c r="AK209" s="85"/>
      <c r="AL209" s="84"/>
      <c r="AM209" s="88"/>
      <c r="AN209" s="84"/>
      <c r="AO209" s="85"/>
      <c r="AP209" s="84"/>
      <c r="AQ209" s="83"/>
      <c r="AR209" s="83"/>
      <c r="AS209" s="83"/>
      <c r="AT209" s="85"/>
      <c r="AU209" s="85"/>
      <c r="AV209" s="85"/>
      <c r="AW209" s="88"/>
      <c r="AX209" s="84"/>
      <c r="AY209" s="85"/>
      <c r="AZ209" s="84"/>
      <c r="BA209" s="85"/>
      <c r="BB209" s="88"/>
      <c r="BC209" s="85"/>
      <c r="BD209" s="84"/>
      <c r="BE209" s="88"/>
      <c r="BF209" s="85"/>
      <c r="BG209" s="85"/>
      <c r="BH209" s="85"/>
      <c r="BI209" s="85"/>
      <c r="BJ209" s="85"/>
      <c r="BK209" s="85"/>
      <c r="BL209" s="85"/>
      <c r="BM209" s="85"/>
      <c r="BN209" s="85"/>
      <c r="BO209" s="85"/>
      <c r="BP209" s="85"/>
      <c r="BQ209" s="85"/>
      <c r="BR209" s="84"/>
      <c r="BS209" s="85"/>
      <c r="BT209" s="85"/>
      <c r="BU209" s="198"/>
      <c r="BV209" s="90"/>
      <c r="BW209" s="198">
        <v>3000</v>
      </c>
      <c r="BX209" s="90"/>
      <c r="BY209" s="198"/>
      <c r="BZ209" s="90"/>
      <c r="CA209" s="91"/>
    </row>
    <row r="210" spans="1:1199" ht="50.1" customHeight="1" outlineLevel="2" x14ac:dyDescent="0.3">
      <c r="A210" s="106" t="s">
        <v>204</v>
      </c>
      <c r="B210" s="108" t="s">
        <v>1077</v>
      </c>
      <c r="C210" s="79"/>
      <c r="D210" s="81">
        <f t="shared" si="37"/>
        <v>300</v>
      </c>
      <c r="E210" s="82">
        <f t="shared" si="25"/>
        <v>0</v>
      </c>
      <c r="F210" s="83">
        <f t="shared" si="26"/>
        <v>300</v>
      </c>
      <c r="G210" s="84"/>
      <c r="H210" s="85"/>
      <c r="I210" s="85"/>
      <c r="J210" s="84"/>
      <c r="K210" s="85"/>
      <c r="L210" s="85"/>
      <c r="M210" s="85"/>
      <c r="N210" s="85"/>
      <c r="O210" s="82"/>
      <c r="P210" s="83"/>
      <c r="Q210" s="83"/>
      <c r="R210" s="83"/>
      <c r="S210" s="82"/>
      <c r="T210" s="83"/>
      <c r="U210" s="83"/>
      <c r="V210" s="84"/>
      <c r="W210" s="85"/>
      <c r="X210" s="87"/>
      <c r="Y210" s="83"/>
      <c r="Z210" s="84"/>
      <c r="AA210" s="85"/>
      <c r="AB210" s="84"/>
      <c r="AC210" s="85"/>
      <c r="AD210" s="89">
        <f t="shared" si="31"/>
        <v>0</v>
      </c>
      <c r="AE210" s="89"/>
      <c r="AF210" s="186"/>
      <c r="AG210" s="85"/>
      <c r="AH210" s="85"/>
      <c r="AI210" s="85"/>
      <c r="AJ210" s="84"/>
      <c r="AK210" s="85"/>
      <c r="AL210" s="84"/>
      <c r="AM210" s="88"/>
      <c r="AN210" s="84"/>
      <c r="AO210" s="85"/>
      <c r="AP210" s="84"/>
      <c r="AQ210" s="83"/>
      <c r="AR210" s="83"/>
      <c r="AS210" s="83"/>
      <c r="AT210" s="85"/>
      <c r="AU210" s="85"/>
      <c r="AV210" s="85"/>
      <c r="AW210" s="88"/>
      <c r="AX210" s="84"/>
      <c r="AY210" s="85"/>
      <c r="AZ210" s="84"/>
      <c r="BA210" s="85"/>
      <c r="BB210" s="88"/>
      <c r="BC210" s="85"/>
      <c r="BD210" s="84"/>
      <c r="BE210" s="88"/>
      <c r="BF210" s="85"/>
      <c r="BG210" s="85"/>
      <c r="BH210" s="85">
        <v>300</v>
      </c>
      <c r="BI210" s="85"/>
      <c r="BJ210" s="85"/>
      <c r="BK210" s="85"/>
      <c r="BL210" s="85"/>
      <c r="BM210" s="85"/>
      <c r="BN210" s="85"/>
      <c r="BO210" s="85"/>
      <c r="BP210" s="85"/>
      <c r="BQ210" s="85"/>
      <c r="BR210" s="84"/>
      <c r="BS210" s="85"/>
      <c r="BT210" s="85"/>
      <c r="BU210" s="198"/>
      <c r="BV210" s="90"/>
      <c r="BW210" s="198"/>
      <c r="BX210" s="90"/>
      <c r="BY210" s="198"/>
      <c r="BZ210" s="90"/>
      <c r="CA210" s="91"/>
    </row>
    <row r="211" spans="1:1199" ht="50.1" customHeight="1" outlineLevel="2" x14ac:dyDescent="0.3">
      <c r="A211" s="106" t="s">
        <v>204</v>
      </c>
      <c r="B211" s="108" t="s">
        <v>1078</v>
      </c>
      <c r="C211" s="79"/>
      <c r="D211" s="81">
        <f t="shared" si="37"/>
        <v>300</v>
      </c>
      <c r="E211" s="82">
        <f t="shared" si="25"/>
        <v>0</v>
      </c>
      <c r="F211" s="83">
        <f t="shared" si="26"/>
        <v>300</v>
      </c>
      <c r="G211" s="84"/>
      <c r="H211" s="85"/>
      <c r="I211" s="85"/>
      <c r="J211" s="84"/>
      <c r="K211" s="85"/>
      <c r="L211" s="85"/>
      <c r="M211" s="85"/>
      <c r="N211" s="85"/>
      <c r="O211" s="82"/>
      <c r="P211" s="83"/>
      <c r="Q211" s="83"/>
      <c r="R211" s="83"/>
      <c r="S211" s="82"/>
      <c r="T211" s="83"/>
      <c r="U211" s="83"/>
      <c r="V211" s="84"/>
      <c r="W211" s="85"/>
      <c r="X211" s="87"/>
      <c r="Y211" s="83"/>
      <c r="Z211" s="84"/>
      <c r="AA211" s="85"/>
      <c r="AB211" s="84"/>
      <c r="AC211" s="85"/>
      <c r="AD211" s="89">
        <f t="shared" si="31"/>
        <v>0</v>
      </c>
      <c r="AE211" s="89"/>
      <c r="AF211" s="186"/>
      <c r="AG211" s="85"/>
      <c r="AH211" s="85"/>
      <c r="AI211" s="85"/>
      <c r="AJ211" s="84"/>
      <c r="AK211" s="85"/>
      <c r="AL211" s="84"/>
      <c r="AM211" s="88"/>
      <c r="AN211" s="84"/>
      <c r="AO211" s="85"/>
      <c r="AP211" s="84"/>
      <c r="AQ211" s="83"/>
      <c r="AR211" s="83"/>
      <c r="AS211" s="83"/>
      <c r="AT211" s="85"/>
      <c r="AU211" s="85"/>
      <c r="AV211" s="85"/>
      <c r="AW211" s="88"/>
      <c r="AX211" s="84"/>
      <c r="AY211" s="85"/>
      <c r="AZ211" s="84"/>
      <c r="BA211" s="85"/>
      <c r="BB211" s="88"/>
      <c r="BC211" s="85"/>
      <c r="BD211" s="84"/>
      <c r="BE211" s="88"/>
      <c r="BF211" s="85"/>
      <c r="BG211" s="85"/>
      <c r="BH211" s="85">
        <v>300</v>
      </c>
      <c r="BI211" s="85"/>
      <c r="BJ211" s="85"/>
      <c r="BK211" s="85"/>
      <c r="BL211" s="85"/>
      <c r="BM211" s="85"/>
      <c r="BN211" s="85"/>
      <c r="BO211" s="85"/>
      <c r="BP211" s="85"/>
      <c r="BQ211" s="85"/>
      <c r="BR211" s="84"/>
      <c r="BS211" s="85"/>
      <c r="BT211" s="85"/>
      <c r="BU211" s="198"/>
      <c r="BV211" s="90"/>
      <c r="BW211" s="198"/>
      <c r="BX211" s="90"/>
      <c r="BY211" s="198"/>
      <c r="BZ211" s="90"/>
      <c r="CA211" s="91"/>
    </row>
    <row r="212" spans="1:1199" ht="50.1" customHeight="1" outlineLevel="2" x14ac:dyDescent="0.3">
      <c r="A212" s="106" t="s">
        <v>204</v>
      </c>
      <c r="B212" s="108" t="s">
        <v>1071</v>
      </c>
      <c r="C212" s="79"/>
      <c r="D212" s="81">
        <f t="shared" si="37"/>
        <v>300</v>
      </c>
      <c r="E212" s="82">
        <f t="shared" ref="E212:E246" si="38">G212+J212+O212+S212+V212+X212+Z212+AB212+AJ212+AL212+AN212+AP212+AX212+AZ212+BD212+BV212+BX212+BZ212+BR212</f>
        <v>0</v>
      </c>
      <c r="F212" s="83">
        <f t="shared" si="26"/>
        <v>300</v>
      </c>
      <c r="G212" s="84"/>
      <c r="H212" s="85"/>
      <c r="I212" s="85"/>
      <c r="J212" s="84"/>
      <c r="K212" s="85"/>
      <c r="L212" s="85"/>
      <c r="M212" s="85"/>
      <c r="N212" s="85"/>
      <c r="O212" s="82"/>
      <c r="P212" s="83"/>
      <c r="Q212" s="83"/>
      <c r="R212" s="83"/>
      <c r="S212" s="82"/>
      <c r="T212" s="83"/>
      <c r="U212" s="83"/>
      <c r="V212" s="84"/>
      <c r="W212" s="83"/>
      <c r="X212" s="87"/>
      <c r="Y212" s="83"/>
      <c r="Z212" s="84"/>
      <c r="AA212" s="85"/>
      <c r="AB212" s="84"/>
      <c r="AC212" s="85"/>
      <c r="AD212" s="89">
        <f t="shared" si="31"/>
        <v>0</v>
      </c>
      <c r="AE212" s="89"/>
      <c r="AF212" s="186"/>
      <c r="AG212" s="85"/>
      <c r="AH212" s="85"/>
      <c r="AI212" s="85"/>
      <c r="AJ212" s="84"/>
      <c r="AK212" s="85"/>
      <c r="AL212" s="84"/>
      <c r="AM212" s="88"/>
      <c r="AN212" s="84"/>
      <c r="AO212" s="85"/>
      <c r="AP212" s="84"/>
      <c r="AQ212" s="83"/>
      <c r="AR212" s="83"/>
      <c r="AS212" s="83"/>
      <c r="AT212" s="85"/>
      <c r="AU212" s="85"/>
      <c r="AV212" s="85"/>
      <c r="AW212" s="88"/>
      <c r="AX212" s="84"/>
      <c r="AY212" s="85"/>
      <c r="AZ212" s="84"/>
      <c r="BA212" s="85"/>
      <c r="BB212" s="88"/>
      <c r="BC212" s="85"/>
      <c r="BD212" s="84"/>
      <c r="BE212" s="88"/>
      <c r="BF212" s="85"/>
      <c r="BG212" s="85"/>
      <c r="BH212" s="85">
        <v>300</v>
      </c>
      <c r="BI212" s="85"/>
      <c r="BJ212" s="85"/>
      <c r="BK212" s="85"/>
      <c r="BL212" s="85"/>
      <c r="BM212" s="85"/>
      <c r="BN212" s="85"/>
      <c r="BO212" s="85"/>
      <c r="BP212" s="85"/>
      <c r="BQ212" s="85"/>
      <c r="BR212" s="84"/>
      <c r="BS212" s="85"/>
      <c r="BT212" s="85"/>
      <c r="BU212" s="198"/>
      <c r="BV212" s="90"/>
      <c r="BW212" s="198"/>
      <c r="BX212" s="90"/>
      <c r="BY212" s="198"/>
      <c r="BZ212" s="90"/>
      <c r="CA212" s="91"/>
    </row>
    <row r="213" spans="1:1199" s="101" customFormat="1" ht="50.1" customHeight="1" outlineLevel="1" x14ac:dyDescent="0.3">
      <c r="A213" s="228" t="s">
        <v>222</v>
      </c>
      <c r="B213" s="133"/>
      <c r="C213" s="230" t="s">
        <v>94</v>
      </c>
      <c r="D213" s="81">
        <f t="shared" ref="D213:AI213" si="39">SUBTOTAL(9,D191:D212)</f>
        <v>501882.62322000001</v>
      </c>
      <c r="E213" s="81">
        <f t="shared" si="39"/>
        <v>220776.28884999998</v>
      </c>
      <c r="F213" s="81">
        <f t="shared" si="39"/>
        <v>281106.33437000006</v>
      </c>
      <c r="G213" s="81">
        <f t="shared" si="39"/>
        <v>206401.6225</v>
      </c>
      <c r="H213" s="81">
        <f t="shared" si="39"/>
        <v>208567.3236</v>
      </c>
      <c r="I213" s="81">
        <f t="shared" si="39"/>
        <v>0</v>
      </c>
      <c r="J213" s="81">
        <f t="shared" si="39"/>
        <v>1130.1135899999999</v>
      </c>
      <c r="K213" s="81">
        <f t="shared" si="39"/>
        <v>375.25706000000002</v>
      </c>
      <c r="L213" s="81">
        <f t="shared" si="39"/>
        <v>198.92141000000001</v>
      </c>
      <c r="M213" s="81">
        <f t="shared" si="39"/>
        <v>0</v>
      </c>
      <c r="N213" s="81">
        <f t="shared" si="39"/>
        <v>28793.793000000001</v>
      </c>
      <c r="O213" s="81">
        <f t="shared" si="39"/>
        <v>200.52582000000001</v>
      </c>
      <c r="P213" s="81">
        <f t="shared" si="39"/>
        <v>14.287599999999999</v>
      </c>
      <c r="Q213" s="81">
        <f t="shared" si="39"/>
        <v>0</v>
      </c>
      <c r="R213" s="81">
        <f t="shared" si="39"/>
        <v>0</v>
      </c>
      <c r="S213" s="81">
        <f t="shared" si="39"/>
        <v>1634.96785</v>
      </c>
      <c r="T213" s="81">
        <f t="shared" si="39"/>
        <v>1514.3024600000001</v>
      </c>
      <c r="U213" s="81">
        <f t="shared" si="39"/>
        <v>0</v>
      </c>
      <c r="V213" s="81">
        <f t="shared" si="39"/>
        <v>618.34210000000007</v>
      </c>
      <c r="W213" s="81">
        <f t="shared" si="39"/>
        <v>1079.55</v>
      </c>
      <c r="X213" s="81">
        <f t="shared" si="39"/>
        <v>0</v>
      </c>
      <c r="Y213" s="81">
        <f t="shared" si="39"/>
        <v>2528.136</v>
      </c>
      <c r="Z213" s="81">
        <f t="shared" si="39"/>
        <v>0</v>
      </c>
      <c r="AA213" s="81">
        <f t="shared" si="39"/>
        <v>5038.7065899999998</v>
      </c>
      <c r="AB213" s="81">
        <f t="shared" si="39"/>
        <v>0</v>
      </c>
      <c r="AC213" s="81">
        <f t="shared" si="39"/>
        <v>0</v>
      </c>
      <c r="AD213" s="81">
        <f t="shared" si="39"/>
        <v>2481.5056399999999</v>
      </c>
      <c r="AE213" s="81">
        <f t="shared" si="39"/>
        <v>1593.3736000000004</v>
      </c>
      <c r="AF213" s="192">
        <f t="shared" si="39"/>
        <v>888.13204000000019</v>
      </c>
      <c r="AG213" s="81">
        <f t="shared" si="39"/>
        <v>0</v>
      </c>
      <c r="AH213" s="81">
        <f t="shared" si="39"/>
        <v>0</v>
      </c>
      <c r="AI213" s="81">
        <f t="shared" si="39"/>
        <v>0</v>
      </c>
      <c r="AJ213" s="81">
        <f t="shared" ref="AJ213:BO213" si="40">SUBTOTAL(9,AJ191:AJ212)</f>
        <v>0</v>
      </c>
      <c r="AK213" s="81">
        <f t="shared" si="40"/>
        <v>0</v>
      </c>
      <c r="AL213" s="81">
        <f t="shared" si="40"/>
        <v>0</v>
      </c>
      <c r="AM213" s="81">
        <f t="shared" si="40"/>
        <v>0</v>
      </c>
      <c r="AN213" s="81">
        <f t="shared" si="40"/>
        <v>0</v>
      </c>
      <c r="AO213" s="81">
        <f t="shared" si="40"/>
        <v>0</v>
      </c>
      <c r="AP213" s="81">
        <f t="shared" si="40"/>
        <v>2011.7540799999999</v>
      </c>
      <c r="AQ213" s="81">
        <f t="shared" si="40"/>
        <v>3441.7689900000005</v>
      </c>
      <c r="AR213" s="81">
        <f t="shared" si="40"/>
        <v>0</v>
      </c>
      <c r="AS213" s="81">
        <f t="shared" si="40"/>
        <v>0</v>
      </c>
      <c r="AT213" s="81">
        <f t="shared" si="40"/>
        <v>0</v>
      </c>
      <c r="AU213" s="81">
        <f t="shared" si="40"/>
        <v>0</v>
      </c>
      <c r="AV213" s="81">
        <f t="shared" si="40"/>
        <v>9047.3498</v>
      </c>
      <c r="AW213" s="81">
        <f t="shared" si="40"/>
        <v>0</v>
      </c>
      <c r="AX213" s="81">
        <f t="shared" si="40"/>
        <v>0</v>
      </c>
      <c r="AY213" s="81">
        <f t="shared" si="40"/>
        <v>0</v>
      </c>
      <c r="AZ213" s="81">
        <f t="shared" si="40"/>
        <v>4905.0529099999985</v>
      </c>
      <c r="BA213" s="81">
        <f t="shared" si="40"/>
        <v>4441.9209300000002</v>
      </c>
      <c r="BB213" s="81">
        <f t="shared" si="40"/>
        <v>131.83175</v>
      </c>
      <c r="BC213" s="81">
        <f t="shared" si="40"/>
        <v>0</v>
      </c>
      <c r="BD213" s="81">
        <f t="shared" si="40"/>
        <v>0</v>
      </c>
      <c r="BE213" s="81">
        <f t="shared" si="40"/>
        <v>0</v>
      </c>
      <c r="BF213" s="81">
        <f t="shared" si="40"/>
        <v>0</v>
      </c>
      <c r="BG213" s="81">
        <f t="shared" si="40"/>
        <v>55.53828</v>
      </c>
      <c r="BH213" s="81">
        <f t="shared" si="40"/>
        <v>900</v>
      </c>
      <c r="BI213" s="81">
        <f t="shared" si="40"/>
        <v>0</v>
      </c>
      <c r="BJ213" s="81">
        <f t="shared" si="40"/>
        <v>0</v>
      </c>
      <c r="BK213" s="81">
        <f t="shared" si="40"/>
        <v>0</v>
      </c>
      <c r="BL213" s="81">
        <f t="shared" si="40"/>
        <v>0</v>
      </c>
      <c r="BM213" s="81">
        <f t="shared" si="40"/>
        <v>0</v>
      </c>
      <c r="BN213" s="81">
        <f t="shared" si="40"/>
        <v>0</v>
      </c>
      <c r="BO213" s="81">
        <f t="shared" si="40"/>
        <v>0</v>
      </c>
      <c r="BP213" s="81">
        <f t="shared" ref="BP213:CU213" si="41">SUBTOTAL(9,BP191:BP212)</f>
        <v>0</v>
      </c>
      <c r="BQ213" s="81">
        <f t="shared" si="41"/>
        <v>0</v>
      </c>
      <c r="BR213" s="81">
        <f t="shared" si="41"/>
        <v>0</v>
      </c>
      <c r="BS213" s="81">
        <f t="shared" si="41"/>
        <v>9128.4</v>
      </c>
      <c r="BT213" s="81">
        <f t="shared" si="41"/>
        <v>41.907110000000003</v>
      </c>
      <c r="BU213" s="81">
        <f t="shared" si="41"/>
        <v>121.94414999999999</v>
      </c>
      <c r="BV213" s="81">
        <f t="shared" si="41"/>
        <v>0</v>
      </c>
      <c r="BW213" s="81">
        <f t="shared" si="41"/>
        <v>3000</v>
      </c>
      <c r="BX213" s="81">
        <f t="shared" si="41"/>
        <v>0</v>
      </c>
      <c r="BY213" s="81">
        <f t="shared" si="41"/>
        <v>0</v>
      </c>
      <c r="BZ213" s="81">
        <f t="shared" si="41"/>
        <v>3873.91</v>
      </c>
      <c r="CA213" s="81">
        <f t="shared" si="41"/>
        <v>203.89</v>
      </c>
      <c r="CB213" s="176"/>
      <c r="CC213" s="176"/>
      <c r="CD213" s="176"/>
      <c r="CE213" s="176"/>
      <c r="CF213" s="176"/>
      <c r="CG213" s="176"/>
      <c r="CH213" s="176"/>
      <c r="CI213" s="176"/>
      <c r="CJ213" s="176"/>
      <c r="CK213" s="176"/>
      <c r="CL213" s="176"/>
      <c r="CM213" s="176"/>
      <c r="CN213" s="176"/>
      <c r="CO213" s="176"/>
      <c r="CP213" s="176"/>
      <c r="CQ213" s="176"/>
      <c r="CR213" s="176"/>
      <c r="CS213" s="176"/>
      <c r="CT213" s="176"/>
      <c r="CU213" s="176"/>
      <c r="CV213" s="176"/>
      <c r="CW213" s="176"/>
      <c r="CX213" s="176"/>
      <c r="CY213" s="176"/>
      <c r="CZ213" s="176"/>
      <c r="DA213" s="176"/>
      <c r="DB213" s="176"/>
      <c r="DC213" s="176"/>
      <c r="DD213" s="176"/>
      <c r="DE213" s="176"/>
      <c r="DF213" s="176"/>
      <c r="DG213" s="176"/>
      <c r="DH213" s="176"/>
      <c r="DI213" s="176"/>
      <c r="DJ213" s="176"/>
      <c r="DK213" s="176"/>
      <c r="DL213" s="176"/>
      <c r="DM213" s="176"/>
      <c r="DN213" s="176"/>
      <c r="DO213" s="176"/>
      <c r="DP213" s="176"/>
      <c r="DQ213" s="176"/>
      <c r="DR213" s="176"/>
      <c r="DS213" s="176"/>
      <c r="DT213" s="176"/>
      <c r="DU213" s="176"/>
      <c r="DV213" s="176"/>
      <c r="DW213" s="176"/>
      <c r="DX213" s="176"/>
      <c r="DY213" s="176"/>
      <c r="DZ213" s="176"/>
      <c r="EA213" s="176"/>
      <c r="EB213" s="176"/>
      <c r="EC213" s="176"/>
      <c r="ED213" s="176"/>
      <c r="EE213" s="176"/>
      <c r="EF213" s="176"/>
      <c r="EG213" s="176"/>
      <c r="EH213" s="176"/>
      <c r="EI213" s="176"/>
      <c r="EJ213" s="176"/>
      <c r="EK213" s="176"/>
      <c r="EL213" s="176"/>
      <c r="EM213" s="176"/>
      <c r="EN213" s="176"/>
      <c r="EO213" s="176"/>
      <c r="EP213" s="176"/>
      <c r="EQ213" s="176"/>
      <c r="ER213" s="176"/>
      <c r="ES213" s="176"/>
      <c r="ET213" s="176"/>
      <c r="EU213" s="176"/>
      <c r="EV213" s="176"/>
      <c r="EW213" s="176"/>
      <c r="EX213" s="176"/>
      <c r="EY213" s="176"/>
      <c r="EZ213" s="176"/>
      <c r="FA213" s="176"/>
      <c r="FB213" s="176"/>
      <c r="FC213" s="176"/>
      <c r="FD213" s="176"/>
      <c r="FE213" s="176"/>
      <c r="FF213" s="176"/>
      <c r="FG213" s="176"/>
      <c r="FH213" s="176"/>
      <c r="FI213" s="176"/>
      <c r="FJ213" s="176"/>
      <c r="FK213" s="176"/>
      <c r="FL213" s="176"/>
      <c r="FM213" s="176"/>
      <c r="FN213" s="176"/>
      <c r="FO213" s="176"/>
      <c r="FP213" s="176"/>
      <c r="FQ213" s="176"/>
      <c r="FR213" s="176"/>
      <c r="FS213" s="176"/>
      <c r="FT213" s="176"/>
      <c r="FU213" s="176"/>
      <c r="FV213" s="176"/>
      <c r="FW213" s="176"/>
      <c r="FX213" s="176"/>
      <c r="FY213" s="176"/>
      <c r="FZ213" s="176"/>
      <c r="GA213" s="176"/>
      <c r="GB213" s="176"/>
      <c r="GC213" s="176"/>
      <c r="GD213" s="176"/>
      <c r="GE213" s="176"/>
      <c r="GF213" s="176"/>
      <c r="GG213" s="176"/>
      <c r="GH213" s="176"/>
      <c r="GI213" s="176"/>
      <c r="GJ213" s="176"/>
      <c r="GK213" s="176"/>
      <c r="GL213" s="176"/>
      <c r="GM213" s="176"/>
      <c r="GN213" s="176"/>
      <c r="GO213" s="176"/>
      <c r="GP213" s="176"/>
      <c r="GQ213" s="176"/>
      <c r="GR213" s="176"/>
      <c r="GS213" s="176"/>
      <c r="GT213" s="176"/>
      <c r="GU213" s="176"/>
      <c r="GV213" s="176"/>
      <c r="GW213" s="176"/>
      <c r="GX213" s="176"/>
      <c r="GY213" s="176"/>
      <c r="GZ213" s="176"/>
      <c r="HA213" s="176"/>
      <c r="HB213" s="176"/>
      <c r="HC213" s="176"/>
      <c r="HD213" s="176"/>
      <c r="HE213" s="176"/>
      <c r="HF213" s="176"/>
      <c r="HG213" s="176"/>
      <c r="HH213" s="176"/>
      <c r="HI213" s="176"/>
      <c r="HJ213" s="176"/>
      <c r="HK213" s="176"/>
      <c r="HL213" s="176"/>
      <c r="HM213" s="176"/>
      <c r="HN213" s="176"/>
      <c r="HO213" s="176"/>
      <c r="HP213" s="176"/>
      <c r="HQ213" s="176"/>
      <c r="HR213" s="176"/>
      <c r="HS213" s="176"/>
      <c r="HT213" s="176"/>
      <c r="HU213" s="176"/>
      <c r="HV213" s="176"/>
      <c r="HW213" s="176"/>
      <c r="HX213" s="176"/>
      <c r="HY213" s="176"/>
      <c r="HZ213" s="176"/>
      <c r="IA213" s="176"/>
      <c r="IB213" s="176"/>
      <c r="IC213" s="176"/>
      <c r="ID213" s="176"/>
      <c r="IE213" s="176"/>
      <c r="IF213" s="176"/>
      <c r="IG213" s="176"/>
      <c r="IH213" s="176"/>
      <c r="II213" s="176"/>
      <c r="IJ213" s="176"/>
      <c r="IK213" s="176"/>
      <c r="IL213" s="176"/>
      <c r="IM213" s="176"/>
      <c r="IN213" s="176"/>
      <c r="IO213" s="176"/>
      <c r="IP213" s="176"/>
      <c r="IQ213" s="176"/>
      <c r="IR213" s="176"/>
      <c r="IS213" s="176"/>
      <c r="IT213" s="176"/>
      <c r="IU213" s="176"/>
      <c r="IV213" s="176"/>
      <c r="IW213" s="176"/>
      <c r="IX213" s="176"/>
      <c r="IY213" s="176"/>
      <c r="IZ213" s="176"/>
      <c r="JA213" s="176"/>
      <c r="JB213" s="176"/>
      <c r="JC213" s="176"/>
      <c r="JD213" s="176"/>
      <c r="JE213" s="176"/>
      <c r="JF213" s="176"/>
      <c r="JG213" s="176"/>
      <c r="JH213" s="176"/>
      <c r="JI213" s="176"/>
      <c r="JJ213" s="176"/>
      <c r="JK213" s="176"/>
      <c r="JL213" s="176"/>
      <c r="JM213" s="176"/>
      <c r="JN213" s="176"/>
      <c r="JO213" s="176"/>
      <c r="JP213" s="176"/>
      <c r="JQ213" s="176"/>
      <c r="JR213" s="176"/>
      <c r="JS213" s="176"/>
      <c r="JT213" s="176"/>
      <c r="JU213" s="176"/>
      <c r="JV213" s="176"/>
      <c r="JW213" s="131"/>
      <c r="JX213" s="131"/>
      <c r="JY213" s="131"/>
      <c r="JZ213" s="131"/>
      <c r="KA213" s="131"/>
      <c r="KB213" s="131"/>
      <c r="KC213" s="131"/>
      <c r="KD213" s="131"/>
      <c r="KE213" s="131"/>
      <c r="KF213" s="131"/>
      <c r="KG213" s="131"/>
      <c r="KH213" s="131"/>
      <c r="KI213" s="131"/>
      <c r="KJ213" s="131"/>
      <c r="KK213" s="131"/>
      <c r="KL213" s="131"/>
      <c r="KM213" s="131"/>
      <c r="KN213" s="131"/>
      <c r="KO213" s="131"/>
      <c r="KP213" s="131"/>
      <c r="KQ213" s="131"/>
      <c r="KR213" s="131"/>
      <c r="KS213" s="131"/>
      <c r="KT213" s="131"/>
      <c r="KU213" s="131"/>
      <c r="KV213" s="131"/>
      <c r="KW213" s="131"/>
      <c r="KX213" s="131"/>
      <c r="KY213" s="131"/>
      <c r="KZ213" s="131"/>
      <c r="LA213" s="131"/>
      <c r="LB213" s="131"/>
      <c r="LC213" s="131"/>
      <c r="LD213" s="131"/>
      <c r="LE213" s="131"/>
      <c r="LF213" s="131"/>
      <c r="LG213" s="131"/>
      <c r="LH213" s="131"/>
      <c r="LI213" s="131"/>
      <c r="LJ213" s="131"/>
      <c r="LK213" s="131"/>
      <c r="LL213" s="131"/>
      <c r="LM213" s="131"/>
      <c r="LN213" s="131"/>
      <c r="LO213" s="131"/>
      <c r="LP213" s="131"/>
      <c r="LQ213" s="131"/>
      <c r="LR213" s="131"/>
      <c r="LS213" s="131"/>
      <c r="LT213" s="131"/>
      <c r="LU213" s="131"/>
      <c r="LV213" s="131"/>
      <c r="LW213" s="131"/>
      <c r="LX213" s="131"/>
      <c r="LY213" s="131"/>
      <c r="LZ213" s="131"/>
      <c r="MA213" s="131"/>
      <c r="MB213" s="131"/>
      <c r="MC213" s="131"/>
      <c r="MD213" s="131"/>
      <c r="ME213" s="131"/>
      <c r="MF213" s="131"/>
      <c r="MG213" s="131"/>
      <c r="MH213" s="131"/>
      <c r="MI213" s="131"/>
      <c r="MJ213" s="131"/>
      <c r="MK213" s="131"/>
      <c r="ML213" s="131"/>
      <c r="MM213" s="131"/>
      <c r="MN213" s="131"/>
      <c r="MO213" s="131"/>
      <c r="MP213" s="131"/>
      <c r="MQ213" s="131"/>
      <c r="MR213" s="131"/>
      <c r="MS213" s="131"/>
      <c r="MT213" s="131"/>
      <c r="MU213" s="131"/>
      <c r="MV213" s="131"/>
      <c r="MW213" s="131"/>
      <c r="MX213" s="131"/>
      <c r="MY213" s="131"/>
      <c r="MZ213" s="131"/>
      <c r="NA213" s="131"/>
      <c r="NB213" s="131"/>
      <c r="NC213" s="131"/>
      <c r="ND213" s="131"/>
      <c r="NE213" s="131"/>
      <c r="NF213" s="131"/>
      <c r="NG213" s="131"/>
      <c r="NH213" s="131"/>
      <c r="NI213" s="131"/>
      <c r="NJ213" s="131"/>
      <c r="NK213" s="131"/>
      <c r="NL213" s="131"/>
      <c r="NM213" s="131"/>
      <c r="NN213" s="131"/>
      <c r="NO213" s="131"/>
      <c r="NP213" s="131"/>
      <c r="NQ213" s="131"/>
      <c r="NR213" s="131"/>
      <c r="NS213" s="131"/>
      <c r="NT213" s="131"/>
      <c r="NU213" s="131"/>
      <c r="NV213" s="131"/>
      <c r="NW213" s="131"/>
      <c r="NX213" s="131"/>
      <c r="NY213" s="131"/>
      <c r="NZ213" s="131"/>
      <c r="OA213" s="131"/>
      <c r="OB213" s="131"/>
      <c r="OC213" s="131"/>
      <c r="OD213" s="131"/>
      <c r="OE213" s="131"/>
      <c r="OF213" s="131"/>
      <c r="OG213" s="131"/>
      <c r="OH213" s="131"/>
      <c r="OI213" s="131"/>
      <c r="OJ213" s="131"/>
      <c r="OK213" s="131"/>
      <c r="OL213" s="131"/>
      <c r="OM213" s="131"/>
      <c r="ON213" s="131"/>
      <c r="OO213" s="131"/>
      <c r="OP213" s="131"/>
      <c r="OQ213" s="131"/>
      <c r="OR213" s="131"/>
      <c r="OS213" s="131"/>
      <c r="OT213" s="131"/>
      <c r="OU213" s="131"/>
      <c r="OV213" s="131"/>
      <c r="OW213" s="131"/>
      <c r="OX213" s="131"/>
      <c r="OY213" s="131"/>
      <c r="OZ213" s="131"/>
      <c r="PA213" s="131"/>
      <c r="PB213" s="131"/>
      <c r="PC213" s="131"/>
      <c r="PD213" s="131"/>
      <c r="PE213" s="131"/>
      <c r="PF213" s="131"/>
      <c r="PG213" s="131"/>
      <c r="PH213" s="131"/>
      <c r="PI213" s="131"/>
      <c r="PJ213" s="131"/>
      <c r="PK213" s="131"/>
      <c r="PL213" s="131"/>
      <c r="PM213" s="131"/>
      <c r="PN213" s="131"/>
      <c r="PO213" s="131"/>
      <c r="PP213" s="131"/>
      <c r="PQ213" s="131"/>
      <c r="PR213" s="131"/>
      <c r="PS213" s="131"/>
      <c r="PT213" s="131"/>
      <c r="PU213" s="131"/>
      <c r="PV213" s="131"/>
      <c r="PW213" s="131"/>
      <c r="PX213" s="131"/>
      <c r="PY213" s="131"/>
      <c r="PZ213" s="131"/>
      <c r="QA213" s="131"/>
      <c r="QB213" s="131"/>
      <c r="QC213" s="131"/>
      <c r="QD213" s="131"/>
      <c r="QE213" s="131"/>
      <c r="QF213" s="131"/>
      <c r="QG213" s="131"/>
      <c r="QH213" s="131"/>
      <c r="QI213" s="131"/>
      <c r="QJ213" s="131"/>
      <c r="QK213" s="131"/>
      <c r="QL213" s="131"/>
      <c r="QM213" s="131"/>
      <c r="QN213" s="131"/>
      <c r="QO213" s="131"/>
      <c r="QP213" s="131"/>
      <c r="QQ213" s="131"/>
      <c r="QR213" s="131"/>
      <c r="QS213" s="131"/>
      <c r="QT213" s="131"/>
      <c r="QU213" s="131"/>
      <c r="QV213" s="131"/>
      <c r="QW213" s="131"/>
      <c r="QX213" s="131"/>
      <c r="QY213" s="131"/>
      <c r="QZ213" s="131"/>
      <c r="RA213" s="131"/>
      <c r="RB213" s="131"/>
      <c r="RC213" s="131"/>
      <c r="RD213" s="131"/>
      <c r="RE213" s="131"/>
      <c r="RF213" s="131"/>
      <c r="RG213" s="131"/>
      <c r="RH213" s="131"/>
      <c r="RI213" s="131"/>
      <c r="RJ213" s="131"/>
      <c r="RK213" s="131"/>
      <c r="RL213" s="131"/>
      <c r="RM213" s="131"/>
      <c r="RN213" s="131"/>
      <c r="RO213" s="131"/>
      <c r="RP213" s="131"/>
      <c r="RQ213" s="131"/>
      <c r="RR213" s="131"/>
      <c r="RS213" s="131"/>
      <c r="RT213" s="131"/>
      <c r="RU213" s="131"/>
      <c r="RV213" s="131"/>
      <c r="RW213" s="131"/>
      <c r="RX213" s="131"/>
      <c r="RY213" s="131"/>
      <c r="RZ213" s="131"/>
      <c r="SA213" s="131"/>
      <c r="SB213" s="131"/>
      <c r="SC213" s="131"/>
      <c r="SD213" s="131"/>
      <c r="SE213" s="131"/>
      <c r="SF213" s="131"/>
      <c r="SG213" s="131"/>
      <c r="SH213" s="131"/>
      <c r="SI213" s="131"/>
      <c r="SJ213" s="131"/>
      <c r="SK213" s="131"/>
      <c r="SL213" s="131"/>
      <c r="SM213" s="131"/>
      <c r="SN213" s="131"/>
      <c r="SO213" s="131"/>
      <c r="SP213" s="131"/>
      <c r="SQ213" s="131"/>
      <c r="SR213" s="131"/>
      <c r="SS213" s="131"/>
      <c r="ST213" s="131"/>
      <c r="SU213" s="131"/>
      <c r="SV213" s="131"/>
      <c r="SW213" s="131"/>
      <c r="SX213" s="131"/>
      <c r="SY213" s="131"/>
      <c r="SZ213" s="131"/>
      <c r="TA213" s="131"/>
      <c r="TB213" s="131"/>
      <c r="TC213" s="131"/>
      <c r="TD213" s="131"/>
      <c r="TE213" s="131"/>
      <c r="TF213" s="131"/>
      <c r="TG213" s="131"/>
      <c r="TH213" s="131"/>
      <c r="TI213" s="131"/>
      <c r="TJ213" s="131"/>
      <c r="TK213" s="131"/>
      <c r="TL213" s="131"/>
      <c r="TM213" s="131"/>
      <c r="TN213" s="131"/>
      <c r="TO213" s="131"/>
      <c r="TP213" s="131"/>
      <c r="TQ213" s="131"/>
      <c r="TR213" s="131"/>
      <c r="TS213" s="131"/>
      <c r="TT213" s="131"/>
      <c r="TU213" s="131"/>
      <c r="TV213" s="131"/>
      <c r="TW213" s="131"/>
      <c r="TX213" s="131"/>
      <c r="TY213" s="131"/>
      <c r="TZ213" s="131"/>
      <c r="UA213" s="131"/>
      <c r="UB213" s="131"/>
      <c r="UC213" s="131"/>
      <c r="UD213" s="131"/>
      <c r="UE213" s="131"/>
      <c r="UF213" s="131"/>
      <c r="UG213" s="131"/>
      <c r="UH213" s="131"/>
      <c r="UI213" s="131"/>
      <c r="UJ213" s="131"/>
      <c r="UK213" s="131"/>
      <c r="UL213" s="131"/>
      <c r="UM213" s="131"/>
      <c r="UN213" s="131"/>
      <c r="UO213" s="131"/>
      <c r="UP213" s="131"/>
      <c r="UQ213" s="131"/>
      <c r="UR213" s="131"/>
      <c r="US213" s="131"/>
      <c r="UT213" s="131"/>
      <c r="UU213" s="131"/>
      <c r="UV213" s="131"/>
      <c r="UW213" s="131"/>
      <c r="UX213" s="131"/>
      <c r="UY213" s="131"/>
      <c r="UZ213" s="131"/>
      <c r="VA213" s="131"/>
      <c r="VB213" s="131"/>
      <c r="VC213" s="131"/>
      <c r="VD213" s="131"/>
      <c r="VE213" s="131"/>
      <c r="VF213" s="131"/>
      <c r="VG213" s="131"/>
      <c r="VH213" s="131"/>
      <c r="VI213" s="131"/>
      <c r="VJ213" s="131"/>
      <c r="VK213" s="131"/>
      <c r="VL213" s="131"/>
      <c r="VM213" s="131"/>
      <c r="VN213" s="131"/>
      <c r="VO213" s="131"/>
      <c r="VP213" s="131"/>
      <c r="VQ213" s="131"/>
      <c r="VR213" s="131"/>
      <c r="VS213" s="131"/>
      <c r="VT213" s="131"/>
      <c r="VU213" s="131"/>
      <c r="VV213" s="131"/>
      <c r="VW213" s="131"/>
      <c r="VX213" s="131"/>
      <c r="VY213" s="131"/>
      <c r="VZ213" s="131"/>
      <c r="WA213" s="131"/>
      <c r="WB213" s="131"/>
      <c r="WC213" s="131"/>
      <c r="WD213" s="131"/>
      <c r="WE213" s="131"/>
      <c r="WF213" s="131"/>
      <c r="WG213" s="131"/>
      <c r="WH213" s="131"/>
      <c r="WI213" s="131"/>
      <c r="WJ213" s="131"/>
      <c r="WK213" s="131"/>
      <c r="WL213" s="131"/>
      <c r="WM213" s="131"/>
      <c r="WN213" s="131"/>
      <c r="WO213" s="131"/>
      <c r="WP213" s="131"/>
      <c r="WQ213" s="131"/>
      <c r="WR213" s="131"/>
      <c r="WS213" s="131"/>
      <c r="WT213" s="131"/>
      <c r="WU213" s="131"/>
      <c r="WV213" s="131"/>
      <c r="WW213" s="131"/>
      <c r="WX213" s="131"/>
      <c r="WY213" s="131"/>
      <c r="WZ213" s="131"/>
      <c r="XA213" s="131"/>
      <c r="XB213" s="131"/>
      <c r="XC213" s="131"/>
      <c r="XD213" s="131"/>
      <c r="XE213" s="131"/>
      <c r="XF213" s="131"/>
      <c r="XG213" s="131"/>
      <c r="XH213" s="131"/>
      <c r="XI213" s="131"/>
      <c r="XJ213" s="131"/>
      <c r="XK213" s="131"/>
      <c r="XL213" s="131"/>
      <c r="XM213" s="131"/>
      <c r="XN213" s="131"/>
      <c r="XO213" s="131"/>
      <c r="XP213" s="131"/>
      <c r="XQ213" s="131"/>
      <c r="XR213" s="131"/>
      <c r="XS213" s="131"/>
      <c r="XT213" s="131"/>
      <c r="XU213" s="131"/>
      <c r="XV213" s="131"/>
      <c r="XW213" s="131"/>
      <c r="XX213" s="131"/>
      <c r="XY213" s="131"/>
      <c r="XZ213" s="131"/>
      <c r="YA213" s="131"/>
      <c r="YB213" s="131"/>
      <c r="YC213" s="131"/>
      <c r="YD213" s="131"/>
      <c r="YE213" s="131"/>
      <c r="YF213" s="131"/>
      <c r="YG213" s="131"/>
      <c r="YH213" s="131"/>
      <c r="YI213" s="131"/>
      <c r="YJ213" s="131"/>
      <c r="YK213" s="131"/>
      <c r="YL213" s="131"/>
      <c r="YM213" s="131"/>
      <c r="YN213" s="131"/>
      <c r="YO213" s="131"/>
      <c r="YP213" s="131"/>
      <c r="YQ213" s="131"/>
      <c r="YR213" s="131"/>
      <c r="YS213" s="131"/>
      <c r="YT213" s="131"/>
      <c r="YU213" s="131"/>
      <c r="YV213" s="131"/>
      <c r="YW213" s="131"/>
      <c r="YX213" s="131"/>
      <c r="YY213" s="131"/>
      <c r="YZ213" s="131"/>
      <c r="ZA213" s="131"/>
      <c r="ZB213" s="131"/>
      <c r="ZC213" s="131"/>
      <c r="ZD213" s="131"/>
      <c r="ZE213" s="131"/>
      <c r="ZF213" s="131"/>
      <c r="ZG213" s="131"/>
      <c r="ZH213" s="131"/>
      <c r="ZI213" s="131"/>
      <c r="ZJ213" s="131"/>
      <c r="ZK213" s="131"/>
      <c r="ZL213" s="131"/>
      <c r="ZM213" s="131"/>
      <c r="ZN213" s="131"/>
      <c r="ZO213" s="131"/>
      <c r="ZP213" s="131"/>
      <c r="ZQ213" s="131"/>
      <c r="ZR213" s="131"/>
      <c r="ZS213" s="131"/>
      <c r="ZT213" s="131"/>
      <c r="ZU213" s="131"/>
      <c r="ZV213" s="131"/>
      <c r="ZW213" s="131"/>
      <c r="ZX213" s="131"/>
      <c r="ZY213" s="131"/>
      <c r="ZZ213" s="131"/>
      <c r="AAA213" s="131"/>
      <c r="AAB213" s="131"/>
      <c r="AAC213" s="131"/>
      <c r="AAD213" s="131"/>
      <c r="AAE213" s="131"/>
      <c r="AAF213" s="131"/>
      <c r="AAG213" s="131"/>
      <c r="AAH213" s="131"/>
      <c r="AAI213" s="131"/>
      <c r="AAJ213" s="131"/>
      <c r="AAK213" s="131"/>
      <c r="AAL213" s="131"/>
      <c r="AAM213" s="131"/>
      <c r="AAN213" s="131"/>
      <c r="AAO213" s="131"/>
      <c r="AAP213" s="131"/>
      <c r="AAQ213" s="131"/>
      <c r="AAR213" s="131"/>
      <c r="AAS213" s="131"/>
      <c r="AAT213" s="131"/>
      <c r="AAU213" s="131"/>
      <c r="AAV213" s="131"/>
      <c r="AAW213" s="131"/>
      <c r="AAX213" s="131"/>
      <c r="AAY213" s="131"/>
      <c r="AAZ213" s="131"/>
      <c r="ABA213" s="131"/>
      <c r="ABB213" s="131"/>
      <c r="ABC213" s="131"/>
      <c r="ABD213" s="131"/>
      <c r="ABE213" s="131"/>
      <c r="ABF213" s="131"/>
      <c r="ABG213" s="131"/>
      <c r="ABH213" s="131"/>
      <c r="ABI213" s="131"/>
      <c r="ABJ213" s="131"/>
      <c r="ABK213" s="131"/>
      <c r="ABL213" s="131"/>
      <c r="ABM213" s="131"/>
      <c r="ABN213" s="131"/>
      <c r="ABO213" s="131"/>
      <c r="ABP213" s="131"/>
      <c r="ABQ213" s="131"/>
      <c r="ABR213" s="131"/>
      <c r="ABS213" s="131"/>
      <c r="ABT213" s="131"/>
      <c r="ABU213" s="131"/>
      <c r="ABV213" s="131"/>
      <c r="ABW213" s="131"/>
      <c r="ABX213" s="131"/>
      <c r="ABY213" s="131"/>
      <c r="ABZ213" s="131"/>
      <c r="ACA213" s="131"/>
      <c r="ACB213" s="131"/>
      <c r="ACC213" s="131"/>
      <c r="ACD213" s="131"/>
      <c r="ACE213" s="131"/>
      <c r="ACF213" s="131"/>
      <c r="ACG213" s="131"/>
      <c r="ACH213" s="131"/>
      <c r="ACI213" s="131"/>
      <c r="ACJ213" s="131"/>
      <c r="ACK213" s="131"/>
      <c r="ACL213" s="131"/>
      <c r="ACM213" s="131"/>
      <c r="ACN213" s="131"/>
      <c r="ACO213" s="131"/>
      <c r="ACP213" s="131"/>
      <c r="ACQ213" s="131"/>
      <c r="ACR213" s="131"/>
      <c r="ACS213" s="131"/>
      <c r="ACT213" s="131"/>
      <c r="ACU213" s="131"/>
      <c r="ACV213" s="131"/>
      <c r="ACW213" s="131"/>
      <c r="ACX213" s="131"/>
      <c r="ACY213" s="131"/>
      <c r="ACZ213" s="131"/>
      <c r="ADA213" s="131"/>
      <c r="ADB213" s="131"/>
      <c r="ADC213" s="131"/>
      <c r="ADD213" s="131"/>
      <c r="ADE213" s="131"/>
      <c r="ADF213" s="131"/>
      <c r="ADG213" s="131"/>
      <c r="ADH213" s="131"/>
      <c r="ADI213" s="131"/>
      <c r="ADJ213" s="131"/>
      <c r="ADK213" s="131"/>
      <c r="ADL213" s="131"/>
      <c r="ADM213" s="131"/>
      <c r="ADN213" s="131"/>
      <c r="ADO213" s="131"/>
      <c r="ADP213" s="131"/>
      <c r="ADQ213" s="131"/>
      <c r="ADR213" s="131"/>
      <c r="ADS213" s="131"/>
      <c r="ADT213" s="131"/>
      <c r="ADU213" s="131"/>
      <c r="ADV213" s="131"/>
      <c r="ADW213" s="131"/>
      <c r="ADX213" s="131"/>
      <c r="ADY213" s="131"/>
      <c r="ADZ213" s="131"/>
      <c r="AEA213" s="131"/>
      <c r="AEB213" s="131"/>
      <c r="AEC213" s="131"/>
      <c r="AED213" s="131"/>
      <c r="AEE213" s="131"/>
      <c r="AEF213" s="131"/>
      <c r="AEG213" s="131"/>
      <c r="AEH213" s="131"/>
      <c r="AEI213" s="131"/>
      <c r="AEJ213" s="131"/>
      <c r="AEK213" s="131"/>
      <c r="AEL213" s="131"/>
      <c r="AEM213" s="131"/>
      <c r="AEN213" s="131"/>
      <c r="AEO213" s="131"/>
      <c r="AEP213" s="131"/>
      <c r="AEQ213" s="131"/>
      <c r="AER213" s="131"/>
      <c r="AES213" s="131"/>
      <c r="AET213" s="131"/>
      <c r="AEU213" s="131"/>
      <c r="AEV213" s="131"/>
      <c r="AEW213" s="131"/>
      <c r="AEX213" s="131"/>
      <c r="AEY213" s="131"/>
      <c r="AEZ213" s="131"/>
      <c r="AFA213" s="131"/>
      <c r="AFB213" s="131"/>
      <c r="AFC213" s="131"/>
      <c r="AFD213" s="131"/>
      <c r="AFE213" s="131"/>
      <c r="AFF213" s="131"/>
      <c r="AFG213" s="131"/>
      <c r="AFH213" s="131"/>
      <c r="AFI213" s="131"/>
      <c r="AFJ213" s="131"/>
      <c r="AFK213" s="131"/>
      <c r="AFL213" s="131"/>
      <c r="AFM213" s="131"/>
      <c r="AFN213" s="131"/>
      <c r="AFO213" s="131"/>
      <c r="AFP213" s="131"/>
      <c r="AFQ213" s="131"/>
      <c r="AFR213" s="131"/>
      <c r="AFS213" s="131"/>
      <c r="AFT213" s="131"/>
      <c r="AFU213" s="131"/>
      <c r="AFV213" s="131"/>
      <c r="AFW213" s="131"/>
      <c r="AFX213" s="131"/>
      <c r="AFY213" s="131"/>
      <c r="AFZ213" s="131"/>
      <c r="AGA213" s="131"/>
      <c r="AGB213" s="131"/>
      <c r="AGC213" s="131"/>
      <c r="AGD213" s="131"/>
      <c r="AGE213" s="131"/>
      <c r="AGF213" s="131"/>
      <c r="AGG213" s="131"/>
      <c r="AGH213" s="131"/>
      <c r="AGI213" s="131"/>
      <c r="AGJ213" s="131"/>
      <c r="AGK213" s="131"/>
      <c r="AGL213" s="131"/>
      <c r="AGM213" s="131"/>
      <c r="AGN213" s="131"/>
      <c r="AGO213" s="131"/>
      <c r="AGP213" s="131"/>
      <c r="AGQ213" s="131"/>
      <c r="AGR213" s="131"/>
      <c r="AGS213" s="131"/>
      <c r="AGT213" s="131"/>
      <c r="AGU213" s="131"/>
      <c r="AGV213" s="131"/>
      <c r="AGW213" s="131"/>
      <c r="AGX213" s="131"/>
      <c r="AGY213" s="131"/>
      <c r="AGZ213" s="131"/>
      <c r="AHA213" s="131"/>
      <c r="AHB213" s="131"/>
      <c r="AHC213" s="131"/>
      <c r="AHD213" s="131"/>
      <c r="AHE213" s="131"/>
      <c r="AHF213" s="131"/>
      <c r="AHG213" s="131"/>
      <c r="AHH213" s="131"/>
      <c r="AHI213" s="131"/>
      <c r="AHJ213" s="131"/>
      <c r="AHK213" s="131"/>
      <c r="AHL213" s="131"/>
      <c r="AHM213" s="131"/>
      <c r="AHN213" s="131"/>
      <c r="AHO213" s="131"/>
      <c r="AHP213" s="131"/>
      <c r="AHQ213" s="131"/>
      <c r="AHR213" s="131"/>
      <c r="AHS213" s="131"/>
      <c r="AHT213" s="131"/>
      <c r="AHU213" s="131"/>
      <c r="AHV213" s="131"/>
      <c r="AHW213" s="131"/>
      <c r="AHX213" s="131"/>
      <c r="AHY213" s="131"/>
      <c r="AHZ213" s="131"/>
      <c r="AIA213" s="131"/>
      <c r="AIB213" s="131"/>
      <c r="AIC213" s="131"/>
      <c r="AID213" s="131"/>
      <c r="AIE213" s="131"/>
      <c r="AIF213" s="131"/>
      <c r="AIG213" s="131"/>
      <c r="AIH213" s="131"/>
      <c r="AII213" s="131"/>
      <c r="AIJ213" s="131"/>
      <c r="AIK213" s="131"/>
      <c r="AIL213" s="131"/>
      <c r="AIM213" s="131"/>
      <c r="AIN213" s="131"/>
      <c r="AIO213" s="131"/>
      <c r="AIP213" s="131"/>
      <c r="AIQ213" s="131"/>
      <c r="AIR213" s="131"/>
      <c r="AIS213" s="131"/>
      <c r="AIT213" s="131"/>
      <c r="AIU213" s="131"/>
      <c r="AIV213" s="131"/>
      <c r="AIW213" s="131"/>
      <c r="AIX213" s="131"/>
      <c r="AIY213" s="131"/>
      <c r="AIZ213" s="131"/>
      <c r="AJA213" s="131"/>
      <c r="AJB213" s="131"/>
      <c r="AJC213" s="131"/>
      <c r="AJD213" s="131"/>
      <c r="AJE213" s="131"/>
      <c r="AJF213" s="131"/>
      <c r="AJG213" s="131"/>
      <c r="AJH213" s="131"/>
      <c r="AJI213" s="131"/>
      <c r="AJJ213" s="131"/>
      <c r="AJK213" s="131"/>
      <c r="AJL213" s="131"/>
      <c r="AJM213" s="131"/>
      <c r="AJN213" s="131"/>
      <c r="AJO213" s="131"/>
      <c r="AJP213" s="131"/>
      <c r="AJQ213" s="131"/>
      <c r="AJR213" s="131"/>
      <c r="AJS213" s="131"/>
      <c r="AJT213" s="131"/>
      <c r="AJU213" s="131"/>
      <c r="AJV213" s="131"/>
      <c r="AJW213" s="131"/>
      <c r="AJX213" s="131"/>
      <c r="AJY213" s="131"/>
      <c r="AJZ213" s="131"/>
      <c r="AKA213" s="131"/>
      <c r="AKB213" s="131"/>
      <c r="AKC213" s="131"/>
      <c r="AKD213" s="131"/>
      <c r="AKE213" s="131"/>
      <c r="AKF213" s="131"/>
      <c r="AKG213" s="131"/>
      <c r="AKH213" s="131"/>
      <c r="AKI213" s="131"/>
      <c r="AKJ213" s="131"/>
      <c r="AKK213" s="131"/>
      <c r="AKL213" s="131"/>
      <c r="AKM213" s="131"/>
      <c r="AKN213" s="131"/>
      <c r="AKO213" s="131"/>
      <c r="AKP213" s="131"/>
      <c r="AKQ213" s="131"/>
      <c r="AKR213" s="131"/>
      <c r="AKS213" s="131"/>
      <c r="AKT213" s="131"/>
      <c r="AKU213" s="131"/>
      <c r="AKV213" s="131"/>
      <c r="AKW213" s="131"/>
      <c r="AKX213" s="131"/>
      <c r="AKY213" s="131"/>
      <c r="AKZ213" s="131"/>
      <c r="ALA213" s="131"/>
      <c r="ALB213" s="131"/>
      <c r="ALC213" s="131"/>
      <c r="ALD213" s="131"/>
      <c r="ALE213" s="131"/>
      <c r="ALF213" s="131"/>
      <c r="ALG213" s="131"/>
      <c r="ALH213" s="131"/>
      <c r="ALI213" s="131"/>
      <c r="ALJ213" s="131"/>
      <c r="ALK213" s="131"/>
      <c r="ALL213" s="131"/>
      <c r="ALM213" s="131"/>
      <c r="ALN213" s="131"/>
      <c r="ALO213" s="131"/>
      <c r="ALP213" s="131"/>
      <c r="ALQ213" s="131"/>
      <c r="ALR213" s="131"/>
      <c r="ALS213" s="131"/>
      <c r="ALT213" s="131"/>
      <c r="ALU213" s="131"/>
      <c r="ALV213" s="131"/>
      <c r="ALW213" s="131"/>
      <c r="ALX213" s="131"/>
      <c r="ALY213" s="131"/>
      <c r="ALZ213" s="131"/>
      <c r="AMA213" s="131"/>
      <c r="AMB213" s="131"/>
      <c r="AMC213" s="131"/>
      <c r="AMD213" s="131"/>
      <c r="AME213" s="131"/>
      <c r="AMF213" s="131"/>
      <c r="AMG213" s="131"/>
      <c r="AMH213" s="131"/>
      <c r="AMI213" s="131"/>
      <c r="AMJ213" s="131"/>
      <c r="AMK213" s="131"/>
      <c r="AML213" s="131"/>
      <c r="AMM213" s="131"/>
      <c r="AMN213" s="131"/>
      <c r="AMO213" s="131"/>
      <c r="AMP213" s="131"/>
      <c r="AMQ213" s="131"/>
      <c r="AMR213" s="131"/>
      <c r="AMS213" s="131"/>
      <c r="AMT213" s="131"/>
      <c r="AMU213" s="131"/>
      <c r="AMV213" s="131"/>
      <c r="AMW213" s="131"/>
      <c r="AMX213" s="131"/>
      <c r="AMY213" s="131"/>
      <c r="AMZ213" s="131"/>
      <c r="ANA213" s="131"/>
      <c r="ANB213" s="131"/>
      <c r="ANC213" s="131"/>
      <c r="AND213" s="131"/>
      <c r="ANE213" s="131"/>
      <c r="ANF213" s="131"/>
      <c r="ANG213" s="131"/>
      <c r="ANH213" s="131"/>
      <c r="ANI213" s="131"/>
      <c r="ANJ213" s="131"/>
      <c r="ANK213" s="131"/>
      <c r="ANL213" s="131"/>
      <c r="ANM213" s="131"/>
      <c r="ANN213" s="131"/>
      <c r="ANO213" s="131"/>
      <c r="ANP213" s="131"/>
      <c r="ANQ213" s="131"/>
      <c r="ANR213" s="131"/>
      <c r="ANS213" s="131"/>
      <c r="ANT213" s="131"/>
      <c r="ANU213" s="131"/>
      <c r="ANV213" s="131"/>
      <c r="ANW213" s="131"/>
      <c r="ANX213" s="131"/>
      <c r="ANY213" s="131"/>
      <c r="ANZ213" s="131"/>
      <c r="AOA213" s="131"/>
      <c r="AOB213" s="131"/>
      <c r="AOC213" s="131"/>
      <c r="AOD213" s="131"/>
      <c r="AOE213" s="131"/>
      <c r="AOF213" s="131"/>
      <c r="AOG213" s="131"/>
      <c r="AOH213" s="131"/>
      <c r="AOI213" s="131"/>
      <c r="AOJ213" s="131"/>
      <c r="AOK213" s="131"/>
      <c r="AOL213" s="131"/>
      <c r="AOM213" s="131"/>
      <c r="AON213" s="131"/>
      <c r="AOO213" s="131"/>
      <c r="AOP213" s="131"/>
      <c r="AOQ213" s="131"/>
      <c r="AOR213" s="131"/>
      <c r="AOS213" s="131"/>
      <c r="AOT213" s="131"/>
      <c r="AOU213" s="131"/>
      <c r="AOV213" s="131"/>
      <c r="AOW213" s="131"/>
      <c r="AOX213" s="131"/>
      <c r="AOY213" s="131"/>
      <c r="AOZ213" s="131"/>
      <c r="APA213" s="131"/>
      <c r="APB213" s="131"/>
      <c r="APC213" s="131"/>
      <c r="APD213" s="131"/>
      <c r="APE213" s="131"/>
      <c r="APF213" s="131"/>
      <c r="APG213" s="131"/>
      <c r="APH213" s="131"/>
      <c r="API213" s="131"/>
      <c r="APJ213" s="131"/>
      <c r="APK213" s="131"/>
      <c r="APL213" s="131"/>
      <c r="APM213" s="131"/>
      <c r="APN213" s="131"/>
      <c r="APO213" s="131"/>
      <c r="APP213" s="131"/>
      <c r="APQ213" s="131"/>
      <c r="APR213" s="131"/>
      <c r="APS213" s="131"/>
      <c r="APT213" s="131"/>
      <c r="APU213" s="131"/>
      <c r="APV213" s="131"/>
      <c r="APW213" s="131"/>
      <c r="APX213" s="131"/>
      <c r="APY213" s="131"/>
      <c r="APZ213" s="131"/>
      <c r="AQA213" s="131"/>
      <c r="AQB213" s="131"/>
      <c r="AQC213" s="131"/>
      <c r="AQD213" s="131"/>
      <c r="AQE213" s="131"/>
      <c r="AQF213" s="131"/>
      <c r="AQG213" s="131"/>
      <c r="AQH213" s="131"/>
      <c r="AQI213" s="131"/>
      <c r="AQJ213" s="131"/>
      <c r="AQK213" s="131"/>
      <c r="AQL213" s="131"/>
      <c r="AQM213" s="131"/>
      <c r="AQN213" s="131"/>
      <c r="AQO213" s="131"/>
      <c r="AQP213" s="131"/>
      <c r="AQQ213" s="131"/>
      <c r="AQR213" s="131"/>
      <c r="AQS213" s="131"/>
      <c r="AQT213" s="131"/>
      <c r="AQU213" s="131"/>
      <c r="AQV213" s="131"/>
      <c r="AQW213" s="131"/>
      <c r="AQX213" s="131"/>
      <c r="AQY213" s="131"/>
      <c r="AQZ213" s="131"/>
      <c r="ARA213" s="131"/>
      <c r="ARB213" s="131"/>
      <c r="ARC213" s="131"/>
      <c r="ARD213" s="131"/>
      <c r="ARE213" s="131"/>
      <c r="ARF213" s="131"/>
      <c r="ARG213" s="131"/>
      <c r="ARH213" s="131"/>
      <c r="ARI213" s="131"/>
      <c r="ARJ213" s="131"/>
      <c r="ARK213" s="131"/>
      <c r="ARL213" s="131"/>
      <c r="ARM213" s="131"/>
      <c r="ARN213" s="131"/>
      <c r="ARO213" s="131"/>
      <c r="ARP213" s="131"/>
      <c r="ARQ213" s="131"/>
      <c r="ARR213" s="131"/>
      <c r="ARS213" s="131"/>
      <c r="ART213" s="131"/>
      <c r="ARU213" s="131"/>
      <c r="ARV213" s="131"/>
      <c r="ARW213" s="131"/>
      <c r="ARX213" s="131"/>
      <c r="ARY213" s="131"/>
      <c r="ARZ213" s="131"/>
      <c r="ASA213" s="131"/>
      <c r="ASB213" s="131"/>
      <c r="ASC213" s="131"/>
      <c r="ASD213" s="131"/>
      <c r="ASE213" s="131"/>
      <c r="ASF213" s="131"/>
      <c r="ASG213" s="131"/>
      <c r="ASH213" s="131"/>
      <c r="ASI213" s="131"/>
      <c r="ASJ213" s="131"/>
      <c r="ASK213" s="131"/>
      <c r="ASL213" s="131"/>
      <c r="ASM213" s="131"/>
      <c r="ASN213" s="131"/>
      <c r="ASO213" s="131"/>
      <c r="ASP213" s="131"/>
      <c r="ASQ213" s="131"/>
      <c r="ASR213" s="131"/>
      <c r="ASS213" s="131"/>
      <c r="AST213" s="131"/>
      <c r="ASU213" s="131"/>
      <c r="ASV213" s="131"/>
      <c r="ASW213" s="131"/>
      <c r="ASX213" s="131"/>
      <c r="ASY213" s="131"/>
      <c r="ASZ213" s="131"/>
      <c r="ATA213" s="131"/>
      <c r="ATB213" s="131"/>
      <c r="ATC213" s="131"/>
    </row>
    <row r="214" spans="1:1199" ht="50.1" customHeight="1" outlineLevel="2" x14ac:dyDescent="0.3">
      <c r="A214" s="92" t="s">
        <v>223</v>
      </c>
      <c r="B214" s="102" t="s">
        <v>224</v>
      </c>
      <c r="C214" s="79" t="s">
        <v>37</v>
      </c>
      <c r="D214" s="81">
        <f t="shared" ref="D214" si="42">E214+F214</f>
        <v>14000</v>
      </c>
      <c r="E214" s="82">
        <f t="shared" si="38"/>
        <v>0</v>
      </c>
      <c r="F214" s="83">
        <f t="shared" si="26"/>
        <v>14000</v>
      </c>
      <c r="G214" s="84"/>
      <c r="H214" s="85"/>
      <c r="I214" s="85"/>
      <c r="J214" s="98"/>
      <c r="K214" s="97"/>
      <c r="L214" s="83"/>
      <c r="M214" s="83"/>
      <c r="N214" s="97"/>
      <c r="O214" s="98"/>
      <c r="P214" s="97"/>
      <c r="Q214" s="97"/>
      <c r="R214" s="97"/>
      <c r="S214" s="82"/>
      <c r="T214" s="83"/>
      <c r="U214" s="83"/>
      <c r="V214" s="84"/>
      <c r="W214" s="85"/>
      <c r="X214" s="87"/>
      <c r="Y214" s="83"/>
      <c r="Z214" s="98"/>
      <c r="AA214" s="97"/>
      <c r="AB214" s="98"/>
      <c r="AC214" s="97"/>
      <c r="AD214" s="89">
        <f t="shared" si="31"/>
        <v>0</v>
      </c>
      <c r="AE214" s="89"/>
      <c r="AF214" s="186"/>
      <c r="AG214" s="85"/>
      <c r="AH214" s="85"/>
      <c r="AI214" s="85"/>
      <c r="AJ214" s="84"/>
      <c r="AK214" s="85"/>
      <c r="AL214" s="84"/>
      <c r="AM214" s="88"/>
      <c r="AN214" s="84"/>
      <c r="AO214" s="85"/>
      <c r="AP214" s="84"/>
      <c r="AQ214" s="83"/>
      <c r="AR214" s="83"/>
      <c r="AS214" s="83"/>
      <c r="AT214" s="85"/>
      <c r="AU214" s="85">
        <v>14000</v>
      </c>
      <c r="AV214" s="85"/>
      <c r="AW214" s="88"/>
      <c r="AX214" s="84"/>
      <c r="AY214" s="85"/>
      <c r="AZ214" s="84"/>
      <c r="BA214" s="85"/>
      <c r="BB214" s="88"/>
      <c r="BC214" s="85"/>
      <c r="BD214" s="84"/>
      <c r="BE214" s="88"/>
      <c r="BF214" s="85"/>
      <c r="BG214" s="85"/>
      <c r="BH214" s="85"/>
      <c r="BI214" s="85"/>
      <c r="BJ214" s="85"/>
      <c r="BK214" s="85"/>
      <c r="BL214" s="85"/>
      <c r="BM214" s="85"/>
      <c r="BN214" s="85"/>
      <c r="BO214" s="85"/>
      <c r="BP214" s="85"/>
      <c r="BQ214" s="85"/>
      <c r="BR214" s="84"/>
      <c r="BS214" s="85"/>
      <c r="BT214" s="85"/>
      <c r="BU214" s="198"/>
      <c r="BV214" s="90"/>
      <c r="BW214" s="198"/>
      <c r="BX214" s="90"/>
      <c r="BY214" s="198"/>
      <c r="BZ214" s="90"/>
      <c r="CA214" s="91"/>
    </row>
    <row r="215" spans="1:1199" ht="50.1" customHeight="1" outlineLevel="2" x14ac:dyDescent="0.3">
      <c r="A215" s="103" t="s">
        <v>225</v>
      </c>
      <c r="B215" s="102" t="s">
        <v>226</v>
      </c>
      <c r="C215" s="79" t="s">
        <v>37</v>
      </c>
      <c r="D215" s="81">
        <f t="shared" ref="D215:D229" si="43">E215+F215</f>
        <v>9238.6762699999999</v>
      </c>
      <c r="E215" s="82">
        <f t="shared" si="38"/>
        <v>6123.9877699999997</v>
      </c>
      <c r="F215" s="83">
        <f t="shared" si="26"/>
        <v>3114.6885000000002</v>
      </c>
      <c r="G215" s="95"/>
      <c r="H215" s="85"/>
      <c r="I215" s="85"/>
      <c r="J215" s="84">
        <f>0.40427+111.58452</f>
        <v>111.98878999999999</v>
      </c>
      <c r="K215" s="85">
        <f>0.10107+55.79225</f>
        <v>55.893320000000003</v>
      </c>
      <c r="L215" s="85">
        <v>173.08593999999999</v>
      </c>
      <c r="M215" s="85"/>
      <c r="N215" s="85"/>
      <c r="O215" s="82"/>
      <c r="P215" s="83"/>
      <c r="Q215" s="83"/>
      <c r="R215" s="83"/>
      <c r="S215" s="82"/>
      <c r="T215" s="83"/>
      <c r="U215" s="83"/>
      <c r="V215" s="84">
        <v>99.015199999999993</v>
      </c>
      <c r="W215" s="83">
        <v>172.8</v>
      </c>
      <c r="X215" s="87"/>
      <c r="Y215" s="83">
        <v>514.79999999999995</v>
      </c>
      <c r="Z215" s="84"/>
      <c r="AA215" s="85"/>
      <c r="AB215" s="84"/>
      <c r="AC215" s="85"/>
      <c r="AD215" s="89">
        <f t="shared" si="31"/>
        <v>838.02675999999997</v>
      </c>
      <c r="AE215" s="89">
        <f>157.707+310.7412</f>
        <v>468.44819999999999</v>
      </c>
      <c r="AF215" s="186">
        <f>75.18316+127.4427+166.9527</f>
        <v>369.57855999999998</v>
      </c>
      <c r="AG215" s="85"/>
      <c r="AH215" s="85"/>
      <c r="AI215" s="85"/>
      <c r="AJ215" s="84"/>
      <c r="AK215" s="85"/>
      <c r="AL215" s="84"/>
      <c r="AM215" s="88"/>
      <c r="AN215" s="84"/>
      <c r="AO215" s="85"/>
      <c r="AP215" s="84"/>
      <c r="AQ215" s="83"/>
      <c r="AR215" s="83"/>
      <c r="AS215" s="83"/>
      <c r="AT215" s="85"/>
      <c r="AU215" s="85"/>
      <c r="AV215" s="85"/>
      <c r="AW215" s="88"/>
      <c r="AX215" s="84"/>
      <c r="AY215" s="85"/>
      <c r="AZ215" s="84">
        <v>826.82556999999997</v>
      </c>
      <c r="BA215" s="85">
        <v>748.75773000000004</v>
      </c>
      <c r="BB215" s="88">
        <v>271.66975000000002</v>
      </c>
      <c r="BC215" s="85"/>
      <c r="BD215" s="84"/>
      <c r="BE215" s="88"/>
      <c r="BF215" s="85"/>
      <c r="BG215" s="85"/>
      <c r="BH215" s="85"/>
      <c r="BI215" s="85"/>
      <c r="BJ215" s="85"/>
      <c r="BK215" s="85"/>
      <c r="BL215" s="85"/>
      <c r="BM215" s="85"/>
      <c r="BN215" s="85"/>
      <c r="BO215" s="85"/>
      <c r="BP215" s="85"/>
      <c r="BQ215" s="85"/>
      <c r="BR215" s="84">
        <v>5086.1582099999996</v>
      </c>
      <c r="BS215" s="85"/>
      <c r="BT215" s="85">
        <v>339.65499999999997</v>
      </c>
      <c r="BU215" s="198"/>
      <c r="BV215" s="90"/>
      <c r="BW215" s="198"/>
      <c r="BX215" s="90"/>
      <c r="BY215" s="198"/>
      <c r="BZ215" s="90"/>
      <c r="CA215" s="91"/>
    </row>
    <row r="216" spans="1:1199" ht="50.1" customHeight="1" outlineLevel="2" x14ac:dyDescent="0.3">
      <c r="A216" s="106" t="s">
        <v>225</v>
      </c>
      <c r="B216" s="102" t="s">
        <v>228</v>
      </c>
      <c r="C216" s="79" t="s">
        <v>37</v>
      </c>
      <c r="D216" s="81">
        <f t="shared" si="43"/>
        <v>280.51094999999998</v>
      </c>
      <c r="E216" s="82">
        <f t="shared" si="38"/>
        <v>93.085809999999995</v>
      </c>
      <c r="F216" s="83">
        <f t="shared" si="26"/>
        <v>187.42514</v>
      </c>
      <c r="G216" s="84"/>
      <c r="H216" s="85"/>
      <c r="I216" s="85"/>
      <c r="J216" s="84"/>
      <c r="K216" s="85"/>
      <c r="L216" s="85"/>
      <c r="M216" s="85"/>
      <c r="N216" s="85"/>
      <c r="O216" s="82"/>
      <c r="P216" s="83"/>
      <c r="Q216" s="83"/>
      <c r="R216" s="83"/>
      <c r="S216" s="82"/>
      <c r="T216" s="83"/>
      <c r="U216" s="83"/>
      <c r="V216" s="84"/>
      <c r="W216" s="85"/>
      <c r="X216" s="87"/>
      <c r="Y216" s="83">
        <v>48.36</v>
      </c>
      <c r="Z216" s="84"/>
      <c r="AA216" s="85"/>
      <c r="AB216" s="84"/>
      <c r="AC216" s="85"/>
      <c r="AD216" s="89">
        <f t="shared" si="31"/>
        <v>54.7684</v>
      </c>
      <c r="AE216" s="89">
        <v>35.311500000000002</v>
      </c>
      <c r="AF216" s="186">
        <v>19.456900000000001</v>
      </c>
      <c r="AG216" s="85"/>
      <c r="AH216" s="85"/>
      <c r="AI216" s="85"/>
      <c r="AJ216" s="84"/>
      <c r="AK216" s="85"/>
      <c r="AL216" s="84"/>
      <c r="AM216" s="88"/>
      <c r="AN216" s="84"/>
      <c r="AO216" s="85"/>
      <c r="AP216" s="84"/>
      <c r="AQ216" s="83"/>
      <c r="AR216" s="83"/>
      <c r="AS216" s="83"/>
      <c r="AT216" s="85"/>
      <c r="AU216" s="85"/>
      <c r="AV216" s="85"/>
      <c r="AW216" s="88"/>
      <c r="AX216" s="84"/>
      <c r="AY216" s="85"/>
      <c r="AZ216" s="84">
        <v>93.085809999999995</v>
      </c>
      <c r="BA216" s="85">
        <v>84.29674</v>
      </c>
      <c r="BB216" s="88"/>
      <c r="BC216" s="85"/>
      <c r="BD216" s="84"/>
      <c r="BE216" s="88"/>
      <c r="BF216" s="85"/>
      <c r="BG216" s="85"/>
      <c r="BH216" s="85"/>
      <c r="BI216" s="85"/>
      <c r="BJ216" s="85"/>
      <c r="BK216" s="85"/>
      <c r="BL216" s="85"/>
      <c r="BM216" s="85"/>
      <c r="BN216" s="85"/>
      <c r="BO216" s="85"/>
      <c r="BP216" s="85"/>
      <c r="BQ216" s="85"/>
      <c r="BR216" s="84"/>
      <c r="BS216" s="85"/>
      <c r="BT216" s="85"/>
      <c r="BU216" s="198"/>
      <c r="BV216" s="90"/>
      <c r="BW216" s="198"/>
      <c r="BX216" s="90"/>
      <c r="BY216" s="198"/>
      <c r="BZ216" s="90"/>
      <c r="CA216" s="91"/>
    </row>
    <row r="217" spans="1:1199" ht="50.1" customHeight="1" outlineLevel="2" x14ac:dyDescent="0.3">
      <c r="A217" s="106" t="s">
        <v>225</v>
      </c>
      <c r="B217" s="102" t="s">
        <v>229</v>
      </c>
      <c r="C217" s="79" t="s">
        <v>37</v>
      </c>
      <c r="D217" s="81">
        <f t="shared" si="43"/>
        <v>4411.0137300000006</v>
      </c>
      <c r="E217" s="82">
        <f t="shared" si="38"/>
        <v>2779.0827300000001</v>
      </c>
      <c r="F217" s="83">
        <f t="shared" si="26"/>
        <v>1631.931</v>
      </c>
      <c r="G217" s="84"/>
      <c r="H217" s="85"/>
      <c r="I217" s="85"/>
      <c r="J217" s="84"/>
      <c r="K217" s="85"/>
      <c r="L217" s="85"/>
      <c r="M217" s="85"/>
      <c r="N217" s="85"/>
      <c r="O217" s="82"/>
      <c r="P217" s="83"/>
      <c r="Q217" s="83"/>
      <c r="R217" s="83"/>
      <c r="S217" s="82"/>
      <c r="T217" s="83"/>
      <c r="U217" s="83"/>
      <c r="V217" s="84"/>
      <c r="W217" s="85">
        <v>13.04322</v>
      </c>
      <c r="X217" s="87"/>
      <c r="Y217" s="83">
        <v>42.744</v>
      </c>
      <c r="Z217" s="84"/>
      <c r="AA217" s="85"/>
      <c r="AB217" s="84"/>
      <c r="AC217" s="85"/>
      <c r="AD217" s="89">
        <f t="shared" si="31"/>
        <v>0</v>
      </c>
      <c r="AE217" s="89"/>
      <c r="AF217" s="186"/>
      <c r="AG217" s="85"/>
      <c r="AH217" s="85"/>
      <c r="AI217" s="85"/>
      <c r="AJ217" s="84"/>
      <c r="AK217" s="85"/>
      <c r="AL217" s="84"/>
      <c r="AM217" s="88"/>
      <c r="AN217" s="84"/>
      <c r="AO217" s="85"/>
      <c r="AP217" s="84"/>
      <c r="AQ217" s="83"/>
      <c r="AR217" s="83"/>
      <c r="AS217" s="83"/>
      <c r="AT217" s="85"/>
      <c r="AU217" s="85"/>
      <c r="AV217" s="85">
        <v>821.77792999999997</v>
      </c>
      <c r="AW217" s="88"/>
      <c r="AX217" s="84"/>
      <c r="AY217" s="85"/>
      <c r="AZ217" s="84"/>
      <c r="BA217" s="85"/>
      <c r="BB217" s="88">
        <v>60.288159999999998</v>
      </c>
      <c r="BC217" s="85"/>
      <c r="BD217" s="84"/>
      <c r="BE217" s="88"/>
      <c r="BF217" s="85"/>
      <c r="BG217" s="85"/>
      <c r="BH217" s="85"/>
      <c r="BI217" s="85"/>
      <c r="BJ217" s="85"/>
      <c r="BK217" s="85">
        <v>694.07768999999996</v>
      </c>
      <c r="BL217" s="85"/>
      <c r="BM217" s="85"/>
      <c r="BN217" s="85"/>
      <c r="BO217" s="85"/>
      <c r="BP217" s="85"/>
      <c r="BQ217" s="85"/>
      <c r="BR217" s="84">
        <v>2779.0827300000001</v>
      </c>
      <c r="BS217" s="85"/>
      <c r="BT217" s="85"/>
      <c r="BU217" s="198"/>
      <c r="BV217" s="90"/>
      <c r="BW217" s="198"/>
      <c r="BX217" s="90"/>
      <c r="BY217" s="198"/>
      <c r="BZ217" s="90"/>
      <c r="CA217" s="91"/>
    </row>
    <row r="218" spans="1:1199" ht="50.1" customHeight="1" outlineLevel="2" x14ac:dyDescent="0.3">
      <c r="A218" s="106" t="s">
        <v>1254</v>
      </c>
      <c r="B218" s="102" t="s">
        <v>1246</v>
      </c>
      <c r="C218" s="79" t="s">
        <v>37</v>
      </c>
      <c r="D218" s="81">
        <f t="shared" ref="D218" si="44">E218+F218</f>
        <v>946.51720999999998</v>
      </c>
      <c r="E218" s="82">
        <f t="shared" ref="E218" si="45">G218+J218+O218+S218+V218+X218+Z218+AB218+AJ218+AL218+AN218+AP218+AX218+AZ218+BD218+BV218+BX218+BZ218+BR218</f>
        <v>946.51720999999998</v>
      </c>
      <c r="F218" s="83">
        <f t="shared" si="26"/>
        <v>0</v>
      </c>
      <c r="G218" s="84"/>
      <c r="H218" s="85"/>
      <c r="I218" s="85"/>
      <c r="J218" s="84"/>
      <c r="K218" s="85"/>
      <c r="L218" s="85"/>
      <c r="M218" s="85"/>
      <c r="N218" s="85"/>
      <c r="O218" s="82"/>
      <c r="P218" s="83"/>
      <c r="Q218" s="83"/>
      <c r="R218" s="83"/>
      <c r="S218" s="82"/>
      <c r="T218" s="83"/>
      <c r="U218" s="83"/>
      <c r="V218" s="84"/>
      <c r="W218" s="85"/>
      <c r="X218" s="87"/>
      <c r="Y218" s="83"/>
      <c r="Z218" s="84"/>
      <c r="AA218" s="85"/>
      <c r="AB218" s="84"/>
      <c r="AC218" s="85"/>
      <c r="AD218" s="89"/>
      <c r="AE218" s="89"/>
      <c r="AF218" s="186"/>
      <c r="AG218" s="85"/>
      <c r="AH218" s="85"/>
      <c r="AI218" s="85"/>
      <c r="AJ218" s="84"/>
      <c r="AK218" s="85"/>
      <c r="AL218" s="84"/>
      <c r="AM218" s="88"/>
      <c r="AN218" s="84"/>
      <c r="AO218" s="85"/>
      <c r="AP218" s="84"/>
      <c r="AQ218" s="83"/>
      <c r="AR218" s="83"/>
      <c r="AS218" s="83"/>
      <c r="AT218" s="85"/>
      <c r="AU218" s="85"/>
      <c r="AV218" s="85"/>
      <c r="AW218" s="88"/>
      <c r="AX218" s="84"/>
      <c r="AY218" s="85"/>
      <c r="AZ218" s="84"/>
      <c r="BA218" s="85"/>
      <c r="BB218" s="88"/>
      <c r="BC218" s="85"/>
      <c r="BD218" s="84"/>
      <c r="BE218" s="88"/>
      <c r="BF218" s="85"/>
      <c r="BG218" s="85"/>
      <c r="BH218" s="85"/>
      <c r="BI218" s="85"/>
      <c r="BJ218" s="85"/>
      <c r="BK218" s="85"/>
      <c r="BL218" s="85"/>
      <c r="BM218" s="85"/>
      <c r="BN218" s="85"/>
      <c r="BO218" s="85"/>
      <c r="BP218" s="85"/>
      <c r="BQ218" s="85"/>
      <c r="BR218" s="84">
        <v>946.51720999999998</v>
      </c>
      <c r="BS218" s="85"/>
      <c r="BT218" s="85"/>
      <c r="BU218" s="198"/>
      <c r="BV218" s="90"/>
      <c r="BW218" s="198"/>
      <c r="BX218" s="90"/>
      <c r="BY218" s="198"/>
      <c r="BZ218" s="90"/>
      <c r="CA218" s="91"/>
    </row>
    <row r="219" spans="1:1199" ht="50.1" customHeight="1" outlineLevel="2" x14ac:dyDescent="0.3">
      <c r="A219" s="106" t="s">
        <v>225</v>
      </c>
      <c r="B219" s="102" t="s">
        <v>863</v>
      </c>
      <c r="C219" s="79"/>
      <c r="D219" s="81">
        <f t="shared" si="43"/>
        <v>3737.6382399999998</v>
      </c>
      <c r="E219" s="82">
        <f t="shared" si="38"/>
        <v>3550.43824</v>
      </c>
      <c r="F219" s="83">
        <f t="shared" si="26"/>
        <v>187.2</v>
      </c>
      <c r="G219" s="84"/>
      <c r="H219" s="85"/>
      <c r="I219" s="85"/>
      <c r="J219" s="84"/>
      <c r="K219" s="85"/>
      <c r="L219" s="85"/>
      <c r="M219" s="85"/>
      <c r="N219" s="85"/>
      <c r="O219" s="82"/>
      <c r="P219" s="83"/>
      <c r="Q219" s="83"/>
      <c r="R219" s="83"/>
      <c r="S219" s="82"/>
      <c r="T219" s="83"/>
      <c r="U219" s="83"/>
      <c r="V219" s="84"/>
      <c r="W219" s="85"/>
      <c r="X219" s="87"/>
      <c r="Y219" s="83">
        <v>187.2</v>
      </c>
      <c r="Z219" s="84"/>
      <c r="AA219" s="85"/>
      <c r="AB219" s="84"/>
      <c r="AC219" s="85"/>
      <c r="AD219" s="89"/>
      <c r="AE219" s="89"/>
      <c r="AF219" s="186"/>
      <c r="AG219" s="85"/>
      <c r="AH219" s="85"/>
      <c r="AI219" s="85"/>
      <c r="AJ219" s="84"/>
      <c r="AK219" s="85"/>
      <c r="AL219" s="84"/>
      <c r="AM219" s="88"/>
      <c r="AN219" s="84"/>
      <c r="AO219" s="85"/>
      <c r="AP219" s="84"/>
      <c r="AQ219" s="83"/>
      <c r="AR219" s="83"/>
      <c r="AS219" s="83"/>
      <c r="AT219" s="85"/>
      <c r="AU219" s="85"/>
      <c r="AV219" s="85"/>
      <c r="AW219" s="88"/>
      <c r="AX219" s="84"/>
      <c r="AY219" s="85"/>
      <c r="AZ219" s="84"/>
      <c r="BA219" s="85"/>
      <c r="BB219" s="88"/>
      <c r="BC219" s="85"/>
      <c r="BD219" s="84"/>
      <c r="BE219" s="88"/>
      <c r="BF219" s="85"/>
      <c r="BG219" s="85"/>
      <c r="BH219" s="85"/>
      <c r="BI219" s="85"/>
      <c r="BJ219" s="85"/>
      <c r="BK219" s="85"/>
      <c r="BL219" s="85"/>
      <c r="BM219" s="85"/>
      <c r="BN219" s="85"/>
      <c r="BO219" s="85"/>
      <c r="BP219" s="85"/>
      <c r="BQ219" s="85"/>
      <c r="BR219" s="84">
        <v>3550.43824</v>
      </c>
      <c r="BS219" s="85"/>
      <c r="BT219" s="85"/>
      <c r="BU219" s="198"/>
      <c r="BV219" s="90"/>
      <c r="BW219" s="198"/>
      <c r="BX219" s="90"/>
      <c r="BY219" s="198"/>
      <c r="BZ219" s="90"/>
      <c r="CA219" s="91"/>
    </row>
    <row r="220" spans="1:1199" ht="50.1" customHeight="1" outlineLevel="2" x14ac:dyDescent="0.3">
      <c r="A220" s="106" t="s">
        <v>225</v>
      </c>
      <c r="B220" s="102" t="s">
        <v>230</v>
      </c>
      <c r="C220" s="79" t="s">
        <v>55</v>
      </c>
      <c r="D220" s="81">
        <f t="shared" si="43"/>
        <v>237.57261</v>
      </c>
      <c r="E220" s="82">
        <f t="shared" si="38"/>
        <v>237.57261</v>
      </c>
      <c r="F220" s="83">
        <f t="shared" si="26"/>
        <v>0</v>
      </c>
      <c r="G220" s="84"/>
      <c r="H220" s="85"/>
      <c r="I220" s="85"/>
      <c r="J220" s="84"/>
      <c r="K220" s="85"/>
      <c r="L220" s="85"/>
      <c r="M220" s="85"/>
      <c r="N220" s="85"/>
      <c r="O220" s="82"/>
      <c r="P220" s="83"/>
      <c r="Q220" s="83"/>
      <c r="R220" s="83"/>
      <c r="S220" s="82"/>
      <c r="T220" s="83"/>
      <c r="U220" s="83"/>
      <c r="V220" s="84"/>
      <c r="W220" s="85"/>
      <c r="X220" s="87"/>
      <c r="Y220" s="83"/>
      <c r="Z220" s="84"/>
      <c r="AA220" s="85"/>
      <c r="AB220" s="84"/>
      <c r="AC220" s="85"/>
      <c r="AD220" s="89">
        <f t="shared" si="31"/>
        <v>0</v>
      </c>
      <c r="AE220" s="89"/>
      <c r="AF220" s="186"/>
      <c r="AG220" s="85"/>
      <c r="AH220" s="85"/>
      <c r="AI220" s="85"/>
      <c r="AJ220" s="84"/>
      <c r="AK220" s="85"/>
      <c r="AL220" s="84"/>
      <c r="AM220" s="88"/>
      <c r="AN220" s="84"/>
      <c r="AO220" s="85"/>
      <c r="AP220" s="84"/>
      <c r="AQ220" s="83"/>
      <c r="AR220" s="83"/>
      <c r="AS220" s="83"/>
      <c r="AT220" s="85"/>
      <c r="AU220" s="85"/>
      <c r="AV220" s="85"/>
      <c r="AW220" s="88"/>
      <c r="AX220" s="84"/>
      <c r="AY220" s="85"/>
      <c r="AZ220" s="84"/>
      <c r="BA220" s="85"/>
      <c r="BB220" s="88"/>
      <c r="BC220" s="85"/>
      <c r="BD220" s="84"/>
      <c r="BE220" s="88"/>
      <c r="BF220" s="85"/>
      <c r="BG220" s="85"/>
      <c r="BH220" s="85"/>
      <c r="BI220" s="85"/>
      <c r="BJ220" s="85"/>
      <c r="BK220" s="85"/>
      <c r="BL220" s="85"/>
      <c r="BM220" s="85"/>
      <c r="BN220" s="85"/>
      <c r="BO220" s="85"/>
      <c r="BP220" s="85"/>
      <c r="BQ220" s="85"/>
      <c r="BR220" s="84">
        <v>237.57261</v>
      </c>
      <c r="BS220" s="85"/>
      <c r="BT220" s="85"/>
      <c r="BU220" s="198"/>
      <c r="BV220" s="90"/>
      <c r="BW220" s="198"/>
      <c r="BX220" s="90"/>
      <c r="BY220" s="198"/>
      <c r="BZ220" s="90"/>
      <c r="CA220" s="91"/>
    </row>
    <row r="221" spans="1:1199" ht="50.1" customHeight="1" outlineLevel="2" x14ac:dyDescent="0.3">
      <c r="A221" s="106" t="s">
        <v>225</v>
      </c>
      <c r="B221" s="96" t="s">
        <v>231</v>
      </c>
      <c r="C221" s="79" t="s">
        <v>55</v>
      </c>
      <c r="D221" s="81">
        <f t="shared" si="43"/>
        <v>1443.26361</v>
      </c>
      <c r="E221" s="82">
        <f t="shared" si="38"/>
        <v>461.97768000000002</v>
      </c>
      <c r="F221" s="83">
        <f t="shared" si="26"/>
        <v>981.28593000000001</v>
      </c>
      <c r="G221" s="84"/>
      <c r="H221" s="85"/>
      <c r="I221" s="85"/>
      <c r="J221" s="84"/>
      <c r="K221" s="85"/>
      <c r="L221" s="85"/>
      <c r="M221" s="85"/>
      <c r="N221" s="85"/>
      <c r="O221" s="82"/>
      <c r="P221" s="83"/>
      <c r="Q221" s="83"/>
      <c r="R221" s="83"/>
      <c r="S221" s="82"/>
      <c r="T221" s="83"/>
      <c r="U221" s="83"/>
      <c r="V221" s="84"/>
      <c r="W221" s="85"/>
      <c r="X221" s="87"/>
      <c r="Y221" s="83">
        <v>296.39999999999998</v>
      </c>
      <c r="Z221" s="84"/>
      <c r="AA221" s="85"/>
      <c r="AB221" s="84"/>
      <c r="AC221" s="85"/>
      <c r="AD221" s="89">
        <f t="shared" si="31"/>
        <v>266.52731999999997</v>
      </c>
      <c r="AE221" s="89">
        <v>162.43289999999999</v>
      </c>
      <c r="AF221" s="186">
        <v>104.09442</v>
      </c>
      <c r="AG221" s="85"/>
      <c r="AH221" s="85"/>
      <c r="AI221" s="85"/>
      <c r="AJ221" s="84"/>
      <c r="AK221" s="85"/>
      <c r="AL221" s="84"/>
      <c r="AM221" s="88"/>
      <c r="AN221" s="84"/>
      <c r="AO221" s="85"/>
      <c r="AP221" s="84"/>
      <c r="AQ221" s="83"/>
      <c r="AR221" s="83"/>
      <c r="AS221" s="83"/>
      <c r="AT221" s="85"/>
      <c r="AU221" s="85"/>
      <c r="AV221" s="85"/>
      <c r="AW221" s="88"/>
      <c r="AX221" s="84"/>
      <c r="AY221" s="85"/>
      <c r="AZ221" s="84">
        <v>461.97768000000002</v>
      </c>
      <c r="BA221" s="85">
        <v>418.35861</v>
      </c>
      <c r="BB221" s="88"/>
      <c r="BC221" s="85"/>
      <c r="BD221" s="84"/>
      <c r="BE221" s="88"/>
      <c r="BF221" s="85"/>
      <c r="BG221" s="85"/>
      <c r="BH221" s="85"/>
      <c r="BI221" s="85"/>
      <c r="BJ221" s="85"/>
      <c r="BK221" s="85"/>
      <c r="BL221" s="85"/>
      <c r="BM221" s="85"/>
      <c r="BN221" s="85"/>
      <c r="BO221" s="85"/>
      <c r="BP221" s="85"/>
      <c r="BQ221" s="85"/>
      <c r="BR221" s="84"/>
      <c r="BS221" s="85"/>
      <c r="BT221" s="85"/>
      <c r="BU221" s="198"/>
      <c r="BV221" s="90"/>
      <c r="BW221" s="198"/>
      <c r="BX221" s="90"/>
      <c r="BY221" s="198"/>
      <c r="BZ221" s="90"/>
      <c r="CA221" s="91"/>
    </row>
    <row r="222" spans="1:1199" ht="50.1" customHeight="1" outlineLevel="2" x14ac:dyDescent="0.3">
      <c r="A222" s="106" t="s">
        <v>225</v>
      </c>
      <c r="B222" s="102" t="s">
        <v>232</v>
      </c>
      <c r="C222" s="79" t="s">
        <v>55</v>
      </c>
      <c r="D222" s="81">
        <f t="shared" si="43"/>
        <v>227.19293999999999</v>
      </c>
      <c r="E222" s="82">
        <f t="shared" si="38"/>
        <v>62.766820000000003</v>
      </c>
      <c r="F222" s="83">
        <f t="shared" si="26"/>
        <v>164.42612</v>
      </c>
      <c r="G222" s="84"/>
      <c r="H222" s="85"/>
      <c r="I222" s="85"/>
      <c r="J222" s="84"/>
      <c r="K222" s="85"/>
      <c r="L222" s="85"/>
      <c r="M222" s="85"/>
      <c r="N222" s="85"/>
      <c r="O222" s="82"/>
      <c r="P222" s="83"/>
      <c r="Q222" s="83"/>
      <c r="R222" s="83"/>
      <c r="S222" s="82"/>
      <c r="T222" s="83"/>
      <c r="U222" s="83"/>
      <c r="V222" s="84">
        <v>23.195</v>
      </c>
      <c r="W222" s="85">
        <v>40.5</v>
      </c>
      <c r="X222" s="87"/>
      <c r="Y222" s="83">
        <v>31.2</v>
      </c>
      <c r="Z222" s="84"/>
      <c r="AA222" s="85"/>
      <c r="AB222" s="84"/>
      <c r="AC222" s="85"/>
      <c r="AD222" s="89">
        <f t="shared" ref="AD222:AD267" si="46">AE222+AF222</f>
        <v>1.9456899999999999</v>
      </c>
      <c r="AE222" s="89"/>
      <c r="AF222" s="186">
        <v>1.9456899999999999</v>
      </c>
      <c r="AG222" s="85"/>
      <c r="AH222" s="85"/>
      <c r="AI222" s="85"/>
      <c r="AJ222" s="84"/>
      <c r="AK222" s="85"/>
      <c r="AL222" s="84"/>
      <c r="AM222" s="88"/>
      <c r="AN222" s="84"/>
      <c r="AO222" s="85"/>
      <c r="AP222" s="84">
        <v>25.79439</v>
      </c>
      <c r="AQ222" s="83">
        <v>78.30386</v>
      </c>
      <c r="AR222" s="83"/>
      <c r="AS222" s="83"/>
      <c r="AT222" s="85"/>
      <c r="AU222" s="85"/>
      <c r="AV222" s="85"/>
      <c r="AW222" s="88"/>
      <c r="AX222" s="84"/>
      <c r="AY222" s="85"/>
      <c r="AZ222" s="84">
        <v>13.777430000000001</v>
      </c>
      <c r="BA222" s="85">
        <v>12.476570000000001</v>
      </c>
      <c r="BB222" s="88"/>
      <c r="BC222" s="85"/>
      <c r="BD222" s="84"/>
      <c r="BE222" s="88"/>
      <c r="BF222" s="85"/>
      <c r="BG222" s="85"/>
      <c r="BH222" s="85"/>
      <c r="BI222" s="85"/>
      <c r="BJ222" s="85"/>
      <c r="BK222" s="85"/>
      <c r="BL222" s="85"/>
      <c r="BM222" s="85"/>
      <c r="BN222" s="85"/>
      <c r="BO222" s="85"/>
      <c r="BP222" s="85"/>
      <c r="BQ222" s="85"/>
      <c r="BR222" s="84"/>
      <c r="BS222" s="85"/>
      <c r="BT222" s="85"/>
      <c r="BU222" s="198"/>
      <c r="BV222" s="90"/>
      <c r="BW222" s="198"/>
      <c r="BX222" s="90"/>
      <c r="BY222" s="198"/>
      <c r="BZ222" s="90"/>
      <c r="CA222" s="91"/>
    </row>
    <row r="223" spans="1:1199" ht="50.1" customHeight="1" outlineLevel="2" x14ac:dyDescent="0.3">
      <c r="A223" s="106" t="s">
        <v>225</v>
      </c>
      <c r="B223" s="102" t="s">
        <v>233</v>
      </c>
      <c r="C223" s="79" t="s">
        <v>55</v>
      </c>
      <c r="D223" s="81">
        <f t="shared" si="43"/>
        <v>2453.4616799999999</v>
      </c>
      <c r="E223" s="82">
        <f t="shared" si="38"/>
        <v>609.08488</v>
      </c>
      <c r="F223" s="83">
        <f t="shared" si="26"/>
        <v>1844.3768</v>
      </c>
      <c r="G223" s="84"/>
      <c r="H223" s="85"/>
      <c r="I223" s="85"/>
      <c r="J223" s="84"/>
      <c r="K223" s="85"/>
      <c r="L223" s="85"/>
      <c r="M223" s="85"/>
      <c r="N223" s="85"/>
      <c r="O223" s="82"/>
      <c r="P223" s="83"/>
      <c r="Q223" s="83"/>
      <c r="R223" s="83"/>
      <c r="S223" s="82"/>
      <c r="T223" s="83"/>
      <c r="U223" s="83"/>
      <c r="V223" s="84"/>
      <c r="W223" s="85"/>
      <c r="X223" s="87"/>
      <c r="Y223" s="83">
        <v>374.4</v>
      </c>
      <c r="Z223" s="84"/>
      <c r="AA223" s="85"/>
      <c r="AB223" s="84"/>
      <c r="AC223" s="85"/>
      <c r="AD223" s="89">
        <f t="shared" si="46"/>
        <v>640.37100999999996</v>
      </c>
      <c r="AE223" s="89">
        <f>157.707+190.6821</f>
        <v>348.38909999999998</v>
      </c>
      <c r="AF223" s="186">
        <f>55.57016+97.2845+139.12725</f>
        <v>291.98190999999997</v>
      </c>
      <c r="AG223" s="85"/>
      <c r="AH223" s="85"/>
      <c r="AI223" s="85"/>
      <c r="AJ223" s="84"/>
      <c r="AK223" s="85"/>
      <c r="AL223" s="84"/>
      <c r="AM223" s="88"/>
      <c r="AN223" s="84"/>
      <c r="AO223" s="85"/>
      <c r="AP223" s="84"/>
      <c r="AQ223" s="83"/>
      <c r="AR223" s="83"/>
      <c r="AS223" s="83"/>
      <c r="AT223" s="85"/>
      <c r="AU223" s="85"/>
      <c r="AV223" s="85"/>
      <c r="AW223" s="88"/>
      <c r="AX223" s="84"/>
      <c r="AY223" s="85"/>
      <c r="AZ223" s="84">
        <v>609.08488</v>
      </c>
      <c r="BA223" s="85">
        <v>551.57569000000001</v>
      </c>
      <c r="BB223" s="88">
        <v>278.0301</v>
      </c>
      <c r="BC223" s="85"/>
      <c r="BD223" s="84"/>
      <c r="BE223" s="88"/>
      <c r="BF223" s="85"/>
      <c r="BG223" s="85"/>
      <c r="BH223" s="85"/>
      <c r="BI223" s="85"/>
      <c r="BJ223" s="85"/>
      <c r="BK223" s="85"/>
      <c r="BL223" s="85"/>
      <c r="BM223" s="85"/>
      <c r="BN223" s="85"/>
      <c r="BO223" s="85"/>
      <c r="BP223" s="85"/>
      <c r="BQ223" s="85"/>
      <c r="BR223" s="84"/>
      <c r="BS223" s="85"/>
      <c r="BT223" s="85"/>
      <c r="BU223" s="198"/>
      <c r="BV223" s="90"/>
      <c r="BW223" s="198"/>
      <c r="BX223" s="90"/>
      <c r="BY223" s="198"/>
      <c r="BZ223" s="90"/>
      <c r="CA223" s="91"/>
    </row>
    <row r="224" spans="1:1199" ht="50.1" customHeight="1" outlineLevel="2" x14ac:dyDescent="0.3">
      <c r="A224" s="106" t="s">
        <v>225</v>
      </c>
      <c r="B224" s="102" t="s">
        <v>234</v>
      </c>
      <c r="C224" s="79" t="s">
        <v>55</v>
      </c>
      <c r="D224" s="81">
        <f t="shared" si="43"/>
        <v>33.174949999999995</v>
      </c>
      <c r="E224" s="82">
        <f t="shared" si="38"/>
        <v>9.8462099999999992</v>
      </c>
      <c r="F224" s="83">
        <f t="shared" ref="F224:F269" si="47">H224+I224+K224+L224+M224+N224+P224+Q224+R224+T224+U224+W224+Y224+AA224+AC224+AD224+AG224+AH224+AI224+AK224+AM224+AO224+AQ224+AR224+AS224+AT224+AU224+AV224+AW224+AY224+BA224+BB224+BC224+BE224+BF224+BG224+BH224+BI224+BJ224+BK224+BL224+BO224+BP224+BQ224+BS224+BT224+BU224+BW224+BY224+CA224+BM224+BN224</f>
        <v>23.32874</v>
      </c>
      <c r="G224" s="84"/>
      <c r="H224" s="85"/>
      <c r="I224" s="85"/>
      <c r="J224" s="84"/>
      <c r="K224" s="85"/>
      <c r="L224" s="85"/>
      <c r="M224" s="85"/>
      <c r="N224" s="85"/>
      <c r="O224" s="82"/>
      <c r="P224" s="83"/>
      <c r="Q224" s="83"/>
      <c r="R224" s="83"/>
      <c r="S224" s="82"/>
      <c r="T224" s="83"/>
      <c r="U224" s="83"/>
      <c r="V224" s="84"/>
      <c r="W224" s="85"/>
      <c r="X224" s="87"/>
      <c r="Y224" s="83"/>
      <c r="Z224" s="84"/>
      <c r="AA224" s="85"/>
      <c r="AB224" s="84"/>
      <c r="AC224" s="85"/>
      <c r="AD224" s="89">
        <f t="shared" si="46"/>
        <v>0</v>
      </c>
      <c r="AE224" s="89"/>
      <c r="AF224" s="186"/>
      <c r="AG224" s="85"/>
      <c r="AH224" s="85"/>
      <c r="AI224" s="85"/>
      <c r="AJ224" s="84"/>
      <c r="AK224" s="85"/>
      <c r="AL224" s="84"/>
      <c r="AM224" s="88"/>
      <c r="AN224" s="84"/>
      <c r="AO224" s="85"/>
      <c r="AP224" s="84">
        <v>9.8462099999999992</v>
      </c>
      <c r="AQ224" s="83">
        <v>23.32874</v>
      </c>
      <c r="AR224" s="83"/>
      <c r="AS224" s="83"/>
      <c r="AT224" s="85"/>
      <c r="AU224" s="85"/>
      <c r="AV224" s="85"/>
      <c r="AW224" s="88"/>
      <c r="AX224" s="84"/>
      <c r="AY224" s="85"/>
      <c r="AZ224" s="84"/>
      <c r="BA224" s="85"/>
      <c r="BB224" s="88"/>
      <c r="BC224" s="85"/>
      <c r="BD224" s="84"/>
      <c r="BE224" s="88"/>
      <c r="BF224" s="85"/>
      <c r="BG224" s="85"/>
      <c r="BH224" s="85"/>
      <c r="BI224" s="85"/>
      <c r="BJ224" s="85"/>
      <c r="BK224" s="85"/>
      <c r="BL224" s="85"/>
      <c r="BM224" s="85"/>
      <c r="BN224" s="85"/>
      <c r="BO224" s="85"/>
      <c r="BP224" s="85"/>
      <c r="BQ224" s="85"/>
      <c r="BR224" s="84"/>
      <c r="BS224" s="85"/>
      <c r="BT224" s="85"/>
      <c r="BU224" s="198"/>
      <c r="BV224" s="84"/>
      <c r="BW224" s="198"/>
      <c r="BX224" s="90"/>
      <c r="BY224" s="198"/>
      <c r="BZ224" s="90"/>
      <c r="CA224" s="91"/>
    </row>
    <row r="225" spans="1:1199" ht="50.1" customHeight="1" outlineLevel="2" x14ac:dyDescent="0.3">
      <c r="A225" s="106" t="s">
        <v>225</v>
      </c>
      <c r="B225" s="102" t="s">
        <v>235</v>
      </c>
      <c r="C225" s="79" t="s">
        <v>53</v>
      </c>
      <c r="D225" s="81">
        <f t="shared" si="43"/>
        <v>499.62175999999999</v>
      </c>
      <c r="E225" s="82">
        <f t="shared" si="38"/>
        <v>158.77868000000001</v>
      </c>
      <c r="F225" s="83">
        <f t="shared" si="47"/>
        <v>340.84307999999999</v>
      </c>
      <c r="G225" s="84"/>
      <c r="H225" s="85"/>
      <c r="I225" s="85"/>
      <c r="J225" s="84"/>
      <c r="K225" s="85"/>
      <c r="L225" s="85"/>
      <c r="M225" s="85"/>
      <c r="N225" s="85"/>
      <c r="O225" s="82"/>
      <c r="P225" s="83"/>
      <c r="Q225" s="83"/>
      <c r="R225" s="83"/>
      <c r="S225" s="82"/>
      <c r="T225" s="83"/>
      <c r="U225" s="83"/>
      <c r="V225" s="84"/>
      <c r="W225" s="85"/>
      <c r="X225" s="87"/>
      <c r="Y225" s="83">
        <v>97.5</v>
      </c>
      <c r="Z225" s="84"/>
      <c r="AA225" s="85"/>
      <c r="AB225" s="84"/>
      <c r="AC225" s="85"/>
      <c r="AD225" s="89">
        <f t="shared" si="46"/>
        <v>99.555959999999999</v>
      </c>
      <c r="AE225" s="89">
        <v>63.560699999999997</v>
      </c>
      <c r="AF225" s="186">
        <v>35.995260000000002</v>
      </c>
      <c r="AG225" s="85"/>
      <c r="AH225" s="85"/>
      <c r="AI225" s="85"/>
      <c r="AJ225" s="84"/>
      <c r="AK225" s="85"/>
      <c r="AL225" s="84"/>
      <c r="AM225" s="88"/>
      <c r="AN225" s="84"/>
      <c r="AO225" s="85"/>
      <c r="AP225" s="84"/>
      <c r="AQ225" s="83"/>
      <c r="AR225" s="83"/>
      <c r="AS225" s="83"/>
      <c r="AT225" s="85"/>
      <c r="AU225" s="85"/>
      <c r="AV225" s="85"/>
      <c r="AW225" s="88"/>
      <c r="AX225" s="84"/>
      <c r="AY225" s="85"/>
      <c r="AZ225" s="84">
        <v>158.77868000000001</v>
      </c>
      <c r="BA225" s="85">
        <v>143.78711999999999</v>
      </c>
      <c r="BB225" s="88"/>
      <c r="BC225" s="85"/>
      <c r="BD225" s="84"/>
      <c r="BE225" s="88"/>
      <c r="BF225" s="85"/>
      <c r="BG225" s="85"/>
      <c r="BH225" s="85"/>
      <c r="BI225" s="85"/>
      <c r="BJ225" s="85"/>
      <c r="BK225" s="85"/>
      <c r="BL225" s="85"/>
      <c r="BM225" s="85"/>
      <c r="BN225" s="85"/>
      <c r="BO225" s="85"/>
      <c r="BP225" s="85"/>
      <c r="BQ225" s="85"/>
      <c r="BR225" s="84"/>
      <c r="BS225" s="85"/>
      <c r="BT225" s="85"/>
      <c r="BU225" s="198"/>
      <c r="BV225" s="90"/>
      <c r="BW225" s="198"/>
      <c r="BX225" s="90"/>
      <c r="BY225" s="198"/>
      <c r="BZ225" s="90"/>
      <c r="CA225" s="91"/>
    </row>
    <row r="226" spans="1:1199" ht="50.1" customHeight="1" outlineLevel="2" x14ac:dyDescent="0.3">
      <c r="A226" s="106" t="s">
        <v>225</v>
      </c>
      <c r="B226" s="102" t="s">
        <v>236</v>
      </c>
      <c r="C226" s="79" t="s">
        <v>55</v>
      </c>
      <c r="D226" s="81">
        <f t="shared" si="43"/>
        <v>76.215019999999996</v>
      </c>
      <c r="E226" s="82">
        <f t="shared" si="38"/>
        <v>19.492650000000001</v>
      </c>
      <c r="F226" s="83">
        <f t="shared" si="47"/>
        <v>56.722369999999998</v>
      </c>
      <c r="G226" s="84"/>
      <c r="H226" s="85"/>
      <c r="I226" s="85"/>
      <c r="J226" s="84"/>
      <c r="K226" s="85"/>
      <c r="L226" s="85"/>
      <c r="M226" s="85"/>
      <c r="N226" s="85"/>
      <c r="O226" s="82"/>
      <c r="P226" s="83"/>
      <c r="Q226" s="83"/>
      <c r="R226" s="83"/>
      <c r="S226" s="82"/>
      <c r="T226" s="83"/>
      <c r="U226" s="83"/>
      <c r="V226" s="84"/>
      <c r="W226" s="85"/>
      <c r="X226" s="87"/>
      <c r="Y226" s="83"/>
      <c r="Z226" s="84"/>
      <c r="AA226" s="85"/>
      <c r="AB226" s="84"/>
      <c r="AC226" s="85"/>
      <c r="AD226" s="89">
        <f t="shared" si="46"/>
        <v>0</v>
      </c>
      <c r="AE226" s="89"/>
      <c r="AF226" s="186"/>
      <c r="AG226" s="85"/>
      <c r="AH226" s="85"/>
      <c r="AI226" s="85"/>
      <c r="AJ226" s="84"/>
      <c r="AK226" s="85"/>
      <c r="AL226" s="84"/>
      <c r="AM226" s="88"/>
      <c r="AN226" s="84"/>
      <c r="AO226" s="85"/>
      <c r="AP226" s="84">
        <v>19.492650000000001</v>
      </c>
      <c r="AQ226" s="83">
        <v>56.722369999999998</v>
      </c>
      <c r="AR226" s="83"/>
      <c r="AS226" s="83"/>
      <c r="AT226" s="85"/>
      <c r="AU226" s="85"/>
      <c r="AV226" s="85"/>
      <c r="AW226" s="88"/>
      <c r="AX226" s="84"/>
      <c r="AY226" s="85"/>
      <c r="AZ226" s="84"/>
      <c r="BA226" s="85"/>
      <c r="BB226" s="88"/>
      <c r="BC226" s="85"/>
      <c r="BD226" s="84"/>
      <c r="BE226" s="88"/>
      <c r="BF226" s="85"/>
      <c r="BG226" s="85"/>
      <c r="BH226" s="85"/>
      <c r="BI226" s="85"/>
      <c r="BJ226" s="85"/>
      <c r="BK226" s="85"/>
      <c r="BL226" s="85"/>
      <c r="BM226" s="85"/>
      <c r="BN226" s="85"/>
      <c r="BO226" s="85"/>
      <c r="BP226" s="85"/>
      <c r="BQ226" s="85"/>
      <c r="BR226" s="84"/>
      <c r="BS226" s="85"/>
      <c r="BT226" s="85"/>
      <c r="BU226" s="198"/>
      <c r="BV226" s="90"/>
      <c r="BW226" s="198"/>
      <c r="BX226" s="90"/>
      <c r="BY226" s="198"/>
      <c r="BZ226" s="90"/>
      <c r="CA226" s="91"/>
    </row>
    <row r="227" spans="1:1199" ht="50.1" customHeight="1" outlineLevel="2" x14ac:dyDescent="0.3">
      <c r="A227" s="106" t="s">
        <v>225</v>
      </c>
      <c r="B227" s="102" t="s">
        <v>237</v>
      </c>
      <c r="C227" s="79" t="s">
        <v>55</v>
      </c>
      <c r="D227" s="81">
        <f t="shared" si="43"/>
        <v>44.554169999999999</v>
      </c>
      <c r="E227" s="82">
        <f t="shared" si="38"/>
        <v>11.833449999999999</v>
      </c>
      <c r="F227" s="83">
        <f t="shared" si="47"/>
        <v>32.72072</v>
      </c>
      <c r="G227" s="84"/>
      <c r="H227" s="85"/>
      <c r="I227" s="85"/>
      <c r="J227" s="84"/>
      <c r="K227" s="85"/>
      <c r="L227" s="85"/>
      <c r="M227" s="85"/>
      <c r="N227" s="85"/>
      <c r="O227" s="82"/>
      <c r="P227" s="83"/>
      <c r="Q227" s="83"/>
      <c r="R227" s="83"/>
      <c r="S227" s="82"/>
      <c r="T227" s="83"/>
      <c r="U227" s="83"/>
      <c r="V227" s="84"/>
      <c r="W227" s="85"/>
      <c r="X227" s="87"/>
      <c r="Y227" s="83"/>
      <c r="Z227" s="84"/>
      <c r="AA227" s="85"/>
      <c r="AB227" s="84"/>
      <c r="AC227" s="85"/>
      <c r="AD227" s="89">
        <f t="shared" si="46"/>
        <v>0</v>
      </c>
      <c r="AE227" s="83"/>
      <c r="AF227" s="123"/>
      <c r="AG227" s="85"/>
      <c r="AH227" s="85"/>
      <c r="AI227" s="85"/>
      <c r="AJ227" s="84"/>
      <c r="AK227" s="85"/>
      <c r="AL227" s="84"/>
      <c r="AM227" s="85"/>
      <c r="AN227" s="84"/>
      <c r="AO227" s="85"/>
      <c r="AP227" s="84">
        <v>11.833449999999999</v>
      </c>
      <c r="AQ227" s="83">
        <v>32.72072</v>
      </c>
      <c r="AR227" s="83"/>
      <c r="AS227" s="83"/>
      <c r="AT227" s="85"/>
      <c r="AU227" s="85"/>
      <c r="AV227" s="85"/>
      <c r="AW227" s="85"/>
      <c r="AX227" s="84"/>
      <c r="AY227" s="85"/>
      <c r="AZ227" s="84"/>
      <c r="BA227" s="85"/>
      <c r="BB227" s="85"/>
      <c r="BC227" s="85"/>
      <c r="BD227" s="85"/>
      <c r="BE227" s="85"/>
      <c r="BF227" s="85"/>
      <c r="BG227" s="85"/>
      <c r="BH227" s="85"/>
      <c r="BI227" s="85"/>
      <c r="BJ227" s="85"/>
      <c r="BK227" s="85"/>
      <c r="BL227" s="85"/>
      <c r="BM227" s="85"/>
      <c r="BN227" s="85"/>
      <c r="BO227" s="85"/>
      <c r="BP227" s="85"/>
      <c r="BQ227" s="85"/>
      <c r="BR227" s="84"/>
      <c r="BS227" s="85"/>
      <c r="BT227" s="85"/>
      <c r="BU227" s="198"/>
      <c r="BV227" s="90"/>
      <c r="BW227" s="198"/>
      <c r="BX227" s="90"/>
      <c r="BY227" s="198"/>
      <c r="BZ227" s="90"/>
      <c r="CA227" s="91"/>
    </row>
    <row r="228" spans="1:1199" ht="50.1" customHeight="1" outlineLevel="2" x14ac:dyDescent="0.3">
      <c r="A228" s="106" t="s">
        <v>225</v>
      </c>
      <c r="B228" s="102" t="s">
        <v>1152</v>
      </c>
      <c r="C228" s="79" t="s">
        <v>55</v>
      </c>
      <c r="D228" s="81">
        <f t="shared" si="43"/>
        <v>85.922920000000005</v>
      </c>
      <c r="E228" s="82">
        <f t="shared" si="38"/>
        <v>0</v>
      </c>
      <c r="F228" s="83">
        <f t="shared" si="47"/>
        <v>85.922920000000005</v>
      </c>
      <c r="G228" s="84"/>
      <c r="H228" s="85"/>
      <c r="I228" s="85"/>
      <c r="J228" s="84"/>
      <c r="K228" s="85"/>
      <c r="L228" s="85"/>
      <c r="M228" s="85"/>
      <c r="N228" s="85"/>
      <c r="O228" s="82"/>
      <c r="P228" s="83"/>
      <c r="Q228" s="83"/>
      <c r="R228" s="83"/>
      <c r="S228" s="82"/>
      <c r="T228" s="83"/>
      <c r="U228" s="83"/>
      <c r="V228" s="84"/>
      <c r="W228" s="85"/>
      <c r="X228" s="87"/>
      <c r="Y228" s="83">
        <v>31.2</v>
      </c>
      <c r="Z228" s="84"/>
      <c r="AA228" s="85"/>
      <c r="AB228" s="84"/>
      <c r="AC228" s="85"/>
      <c r="AD228" s="89"/>
      <c r="AE228" s="83"/>
      <c r="AF228" s="123"/>
      <c r="AG228" s="85"/>
      <c r="AH228" s="85"/>
      <c r="AI228" s="85"/>
      <c r="AJ228" s="84"/>
      <c r="AK228" s="85"/>
      <c r="AL228" s="84"/>
      <c r="AM228" s="85"/>
      <c r="AN228" s="84"/>
      <c r="AO228" s="85"/>
      <c r="AP228" s="84"/>
      <c r="AQ228" s="83"/>
      <c r="AR228" s="83"/>
      <c r="AS228" s="83"/>
      <c r="AT228" s="85"/>
      <c r="AU228" s="85"/>
      <c r="AV228" s="85"/>
      <c r="AW228" s="85"/>
      <c r="AX228" s="84"/>
      <c r="AY228" s="85"/>
      <c r="AZ228" s="84"/>
      <c r="BA228" s="85"/>
      <c r="BB228" s="85"/>
      <c r="BC228" s="85"/>
      <c r="BD228" s="85"/>
      <c r="BE228" s="85"/>
      <c r="BF228" s="85"/>
      <c r="BG228" s="85"/>
      <c r="BH228" s="85"/>
      <c r="BI228" s="85"/>
      <c r="BJ228" s="85"/>
      <c r="BK228" s="85">
        <v>54.722920000000002</v>
      </c>
      <c r="BL228" s="85"/>
      <c r="BM228" s="85"/>
      <c r="BN228" s="85"/>
      <c r="BO228" s="85"/>
      <c r="BP228" s="85"/>
      <c r="BQ228" s="85"/>
      <c r="BR228" s="84"/>
      <c r="BS228" s="85"/>
      <c r="BT228" s="85"/>
      <c r="BU228" s="198"/>
      <c r="BV228" s="90"/>
      <c r="BW228" s="198"/>
      <c r="BX228" s="90"/>
      <c r="BY228" s="198"/>
      <c r="BZ228" s="90"/>
      <c r="CA228" s="91"/>
    </row>
    <row r="229" spans="1:1199" ht="50.1" customHeight="1" outlineLevel="2" x14ac:dyDescent="0.3">
      <c r="A229" s="106" t="s">
        <v>225</v>
      </c>
      <c r="B229" s="108" t="s">
        <v>238</v>
      </c>
      <c r="C229" s="79"/>
      <c r="D229" s="81">
        <f t="shared" si="43"/>
        <v>29.827439999999999</v>
      </c>
      <c r="E229" s="82">
        <f t="shared" si="38"/>
        <v>0</v>
      </c>
      <c r="F229" s="83">
        <f t="shared" si="47"/>
        <v>29.827439999999999</v>
      </c>
      <c r="G229" s="84"/>
      <c r="H229" s="85"/>
      <c r="I229" s="85"/>
      <c r="J229" s="84"/>
      <c r="K229" s="85"/>
      <c r="L229" s="85"/>
      <c r="M229" s="85"/>
      <c r="N229" s="85"/>
      <c r="O229" s="82"/>
      <c r="P229" s="83"/>
      <c r="Q229" s="83"/>
      <c r="R229" s="83"/>
      <c r="S229" s="82"/>
      <c r="T229" s="83"/>
      <c r="U229" s="83"/>
      <c r="V229" s="84"/>
      <c r="W229" s="85"/>
      <c r="X229" s="87"/>
      <c r="Y229" s="83"/>
      <c r="Z229" s="84"/>
      <c r="AA229" s="85"/>
      <c r="AB229" s="84"/>
      <c r="AC229" s="85"/>
      <c r="AD229" s="89">
        <f t="shared" si="46"/>
        <v>0</v>
      </c>
      <c r="AE229" s="89"/>
      <c r="AF229" s="186"/>
      <c r="AG229" s="85"/>
      <c r="AH229" s="85"/>
      <c r="AI229" s="85"/>
      <c r="AJ229" s="84"/>
      <c r="AK229" s="85"/>
      <c r="AL229" s="84"/>
      <c r="AM229" s="88"/>
      <c r="AN229" s="84"/>
      <c r="AO229" s="85"/>
      <c r="AP229" s="84"/>
      <c r="AQ229" s="83"/>
      <c r="AR229" s="83"/>
      <c r="AS229" s="83"/>
      <c r="AT229" s="85"/>
      <c r="AU229" s="85"/>
      <c r="AV229" s="85"/>
      <c r="AW229" s="88"/>
      <c r="AX229" s="84"/>
      <c r="AY229" s="85"/>
      <c r="AZ229" s="84"/>
      <c r="BA229" s="85"/>
      <c r="BB229" s="88"/>
      <c r="BC229" s="85"/>
      <c r="BD229" s="84"/>
      <c r="BE229" s="88"/>
      <c r="BF229" s="85"/>
      <c r="BG229" s="85"/>
      <c r="BH229" s="85"/>
      <c r="BI229" s="85">
        <v>29.827439999999999</v>
      </c>
      <c r="BJ229" s="85"/>
      <c r="BK229" s="85"/>
      <c r="BL229" s="85"/>
      <c r="BM229" s="85"/>
      <c r="BN229" s="85"/>
      <c r="BO229" s="85"/>
      <c r="BP229" s="85"/>
      <c r="BQ229" s="85"/>
      <c r="BR229" s="84"/>
      <c r="BS229" s="85"/>
      <c r="BT229" s="85"/>
      <c r="BU229" s="198"/>
      <c r="BV229" s="90"/>
      <c r="BW229" s="198"/>
      <c r="BX229" s="90"/>
      <c r="BY229" s="198"/>
      <c r="BZ229" s="90"/>
      <c r="CA229" s="91"/>
    </row>
    <row r="230" spans="1:1199" s="101" customFormat="1" ht="50.1" customHeight="1" outlineLevel="1" x14ac:dyDescent="0.3">
      <c r="A230" s="132" t="s">
        <v>239</v>
      </c>
      <c r="B230" s="133"/>
      <c r="C230" s="134" t="s">
        <v>94</v>
      </c>
      <c r="D230" s="114">
        <f t="shared" ref="D230:AI230" si="48">SUBTOTAL(9,D214:D229)</f>
        <v>37745.16350000001</v>
      </c>
      <c r="E230" s="114">
        <f t="shared" si="48"/>
        <v>15064.464739999998</v>
      </c>
      <c r="F230" s="114">
        <f t="shared" si="48"/>
        <v>22680.698760000007</v>
      </c>
      <c r="G230" s="114">
        <f t="shared" si="48"/>
        <v>0</v>
      </c>
      <c r="H230" s="114">
        <f t="shared" si="48"/>
        <v>0</v>
      </c>
      <c r="I230" s="114">
        <f t="shared" si="48"/>
        <v>0</v>
      </c>
      <c r="J230" s="114">
        <f t="shared" si="48"/>
        <v>111.98878999999999</v>
      </c>
      <c r="K230" s="114">
        <f t="shared" si="48"/>
        <v>55.893320000000003</v>
      </c>
      <c r="L230" s="114">
        <f t="shared" si="48"/>
        <v>173.08593999999999</v>
      </c>
      <c r="M230" s="114">
        <f t="shared" si="48"/>
        <v>0</v>
      </c>
      <c r="N230" s="114">
        <f t="shared" si="48"/>
        <v>0</v>
      </c>
      <c r="O230" s="114">
        <f t="shared" si="48"/>
        <v>0</v>
      </c>
      <c r="P230" s="114">
        <f t="shared" si="48"/>
        <v>0</v>
      </c>
      <c r="Q230" s="114">
        <f t="shared" si="48"/>
        <v>0</v>
      </c>
      <c r="R230" s="114">
        <f t="shared" si="48"/>
        <v>0</v>
      </c>
      <c r="S230" s="114">
        <f t="shared" si="48"/>
        <v>0</v>
      </c>
      <c r="T230" s="114">
        <f t="shared" si="48"/>
        <v>0</v>
      </c>
      <c r="U230" s="114">
        <f t="shared" si="48"/>
        <v>0</v>
      </c>
      <c r="V230" s="114">
        <f t="shared" si="48"/>
        <v>122.21019999999999</v>
      </c>
      <c r="W230" s="114">
        <f t="shared" si="48"/>
        <v>226.34322</v>
      </c>
      <c r="X230" s="114">
        <f t="shared" si="48"/>
        <v>0</v>
      </c>
      <c r="Y230" s="114">
        <f t="shared" si="48"/>
        <v>1623.8039999999999</v>
      </c>
      <c r="Z230" s="114">
        <f t="shared" si="48"/>
        <v>0</v>
      </c>
      <c r="AA230" s="114">
        <f t="shared" si="48"/>
        <v>0</v>
      </c>
      <c r="AB230" s="114">
        <f t="shared" si="48"/>
        <v>0</v>
      </c>
      <c r="AC230" s="114">
        <f t="shared" si="48"/>
        <v>0</v>
      </c>
      <c r="AD230" s="114">
        <f t="shared" si="48"/>
        <v>1901.19514</v>
      </c>
      <c r="AE230" s="114">
        <f t="shared" si="48"/>
        <v>1078.1424</v>
      </c>
      <c r="AF230" s="191">
        <f t="shared" si="48"/>
        <v>823.05273999999997</v>
      </c>
      <c r="AG230" s="114">
        <f t="shared" si="48"/>
        <v>0</v>
      </c>
      <c r="AH230" s="114">
        <f t="shared" si="48"/>
        <v>0</v>
      </c>
      <c r="AI230" s="114">
        <f t="shared" si="48"/>
        <v>0</v>
      </c>
      <c r="AJ230" s="114">
        <f t="shared" ref="AJ230:BO230" si="49">SUBTOTAL(9,AJ214:AJ229)</f>
        <v>0</v>
      </c>
      <c r="AK230" s="114">
        <f t="shared" si="49"/>
        <v>0</v>
      </c>
      <c r="AL230" s="114">
        <f t="shared" si="49"/>
        <v>0</v>
      </c>
      <c r="AM230" s="114">
        <f t="shared" si="49"/>
        <v>0</v>
      </c>
      <c r="AN230" s="114">
        <f t="shared" si="49"/>
        <v>0</v>
      </c>
      <c r="AO230" s="114">
        <f t="shared" si="49"/>
        <v>0</v>
      </c>
      <c r="AP230" s="114">
        <f t="shared" si="49"/>
        <v>66.966700000000003</v>
      </c>
      <c r="AQ230" s="114">
        <f t="shared" si="49"/>
        <v>191.07568999999998</v>
      </c>
      <c r="AR230" s="114">
        <f t="shared" si="49"/>
        <v>0</v>
      </c>
      <c r="AS230" s="114">
        <f t="shared" si="49"/>
        <v>0</v>
      </c>
      <c r="AT230" s="114">
        <f t="shared" si="49"/>
        <v>0</v>
      </c>
      <c r="AU230" s="114">
        <f t="shared" si="49"/>
        <v>14000</v>
      </c>
      <c r="AV230" s="114">
        <f t="shared" si="49"/>
        <v>821.77792999999997</v>
      </c>
      <c r="AW230" s="114">
        <f t="shared" si="49"/>
        <v>0</v>
      </c>
      <c r="AX230" s="114">
        <f t="shared" si="49"/>
        <v>0</v>
      </c>
      <c r="AY230" s="114">
        <f t="shared" si="49"/>
        <v>0</v>
      </c>
      <c r="AZ230" s="114">
        <f t="shared" si="49"/>
        <v>2163.5300499999998</v>
      </c>
      <c r="BA230" s="114">
        <f t="shared" si="49"/>
        <v>1959.2524600000002</v>
      </c>
      <c r="BB230" s="114">
        <f t="shared" si="49"/>
        <v>609.98801000000003</v>
      </c>
      <c r="BC230" s="114">
        <f t="shared" si="49"/>
        <v>0</v>
      </c>
      <c r="BD230" s="114">
        <f t="shared" si="49"/>
        <v>0</v>
      </c>
      <c r="BE230" s="114">
        <f t="shared" si="49"/>
        <v>0</v>
      </c>
      <c r="BF230" s="114">
        <f t="shared" si="49"/>
        <v>0</v>
      </c>
      <c r="BG230" s="114">
        <f t="shared" si="49"/>
        <v>0</v>
      </c>
      <c r="BH230" s="114">
        <f t="shared" si="49"/>
        <v>0</v>
      </c>
      <c r="BI230" s="114">
        <f t="shared" si="49"/>
        <v>29.827439999999999</v>
      </c>
      <c r="BJ230" s="114">
        <f t="shared" si="49"/>
        <v>0</v>
      </c>
      <c r="BK230" s="114">
        <f t="shared" si="49"/>
        <v>748.80061000000001</v>
      </c>
      <c r="BL230" s="114">
        <f t="shared" si="49"/>
        <v>0</v>
      </c>
      <c r="BM230" s="114">
        <f t="shared" si="49"/>
        <v>0</v>
      </c>
      <c r="BN230" s="114">
        <f t="shared" si="49"/>
        <v>0</v>
      </c>
      <c r="BO230" s="114">
        <f t="shared" si="49"/>
        <v>0</v>
      </c>
      <c r="BP230" s="114">
        <f t="shared" ref="BP230:CU230" si="50">SUBTOTAL(9,BP214:BP229)</f>
        <v>0</v>
      </c>
      <c r="BQ230" s="114">
        <f t="shared" si="50"/>
        <v>0</v>
      </c>
      <c r="BR230" s="114">
        <f t="shared" si="50"/>
        <v>12599.768999999998</v>
      </c>
      <c r="BS230" s="114">
        <f t="shared" si="50"/>
        <v>0</v>
      </c>
      <c r="BT230" s="114">
        <f t="shared" si="50"/>
        <v>339.65499999999997</v>
      </c>
      <c r="BU230" s="114">
        <f t="shared" si="50"/>
        <v>0</v>
      </c>
      <c r="BV230" s="114">
        <f t="shared" si="50"/>
        <v>0</v>
      </c>
      <c r="BW230" s="114">
        <f t="shared" si="50"/>
        <v>0</v>
      </c>
      <c r="BX230" s="114">
        <f t="shared" si="50"/>
        <v>0</v>
      </c>
      <c r="BY230" s="114">
        <f t="shared" si="50"/>
        <v>0</v>
      </c>
      <c r="BZ230" s="114">
        <f t="shared" si="50"/>
        <v>0</v>
      </c>
      <c r="CA230" s="114">
        <f t="shared" si="50"/>
        <v>0</v>
      </c>
      <c r="CB230" s="176"/>
      <c r="CC230" s="176"/>
      <c r="CD230" s="176"/>
      <c r="CE230" s="176"/>
      <c r="CF230" s="176"/>
      <c r="CG230" s="176"/>
      <c r="CH230" s="176"/>
      <c r="CI230" s="176"/>
      <c r="CJ230" s="176"/>
      <c r="CK230" s="176"/>
      <c r="CL230" s="176"/>
      <c r="CM230" s="176"/>
      <c r="CN230" s="176"/>
      <c r="CO230" s="176"/>
      <c r="CP230" s="176"/>
      <c r="CQ230" s="176"/>
      <c r="CR230" s="176"/>
      <c r="CS230" s="176"/>
      <c r="CT230" s="176"/>
      <c r="CU230" s="176"/>
      <c r="CV230" s="176"/>
      <c r="CW230" s="176"/>
      <c r="CX230" s="176"/>
      <c r="CY230" s="176"/>
      <c r="CZ230" s="176"/>
      <c r="DA230" s="176"/>
      <c r="DB230" s="176"/>
      <c r="DC230" s="176"/>
      <c r="DD230" s="176"/>
      <c r="DE230" s="176"/>
      <c r="DF230" s="176"/>
      <c r="DG230" s="176"/>
      <c r="DH230" s="176"/>
      <c r="DI230" s="176"/>
      <c r="DJ230" s="176"/>
      <c r="DK230" s="176"/>
      <c r="DL230" s="176"/>
      <c r="DM230" s="176"/>
      <c r="DN230" s="176"/>
      <c r="DO230" s="176"/>
      <c r="DP230" s="176"/>
      <c r="DQ230" s="176"/>
      <c r="DR230" s="176"/>
      <c r="DS230" s="176"/>
      <c r="DT230" s="176"/>
      <c r="DU230" s="176"/>
      <c r="DV230" s="176"/>
      <c r="DW230" s="176"/>
      <c r="DX230" s="176"/>
      <c r="DY230" s="176"/>
      <c r="DZ230" s="176"/>
      <c r="EA230" s="176"/>
      <c r="EB230" s="176"/>
      <c r="EC230" s="176"/>
      <c r="ED230" s="176"/>
      <c r="EE230" s="176"/>
      <c r="EF230" s="176"/>
      <c r="EG230" s="176"/>
      <c r="EH230" s="176"/>
      <c r="EI230" s="176"/>
      <c r="EJ230" s="176"/>
      <c r="EK230" s="176"/>
      <c r="EL230" s="176"/>
      <c r="EM230" s="176"/>
      <c r="EN230" s="176"/>
      <c r="EO230" s="176"/>
      <c r="EP230" s="176"/>
      <c r="EQ230" s="176"/>
      <c r="ER230" s="176"/>
      <c r="ES230" s="176"/>
      <c r="ET230" s="176"/>
      <c r="EU230" s="176"/>
      <c r="EV230" s="176"/>
      <c r="EW230" s="176"/>
      <c r="EX230" s="176"/>
      <c r="EY230" s="176"/>
      <c r="EZ230" s="176"/>
      <c r="FA230" s="176"/>
      <c r="FB230" s="176"/>
      <c r="FC230" s="176"/>
      <c r="FD230" s="176"/>
      <c r="FE230" s="176"/>
      <c r="FF230" s="176"/>
      <c r="FG230" s="176"/>
      <c r="FH230" s="176"/>
      <c r="FI230" s="176"/>
      <c r="FJ230" s="176"/>
      <c r="FK230" s="176"/>
      <c r="FL230" s="176"/>
      <c r="FM230" s="176"/>
      <c r="FN230" s="176"/>
      <c r="FO230" s="176"/>
      <c r="FP230" s="176"/>
      <c r="FQ230" s="176"/>
      <c r="FR230" s="176"/>
      <c r="FS230" s="176"/>
      <c r="FT230" s="176"/>
      <c r="FU230" s="176"/>
      <c r="FV230" s="176"/>
      <c r="FW230" s="176"/>
      <c r="FX230" s="176"/>
      <c r="FY230" s="176"/>
      <c r="FZ230" s="176"/>
      <c r="GA230" s="176"/>
      <c r="GB230" s="176"/>
      <c r="GC230" s="176"/>
      <c r="GD230" s="176"/>
      <c r="GE230" s="176"/>
      <c r="GF230" s="176"/>
      <c r="GG230" s="176"/>
      <c r="GH230" s="176"/>
      <c r="GI230" s="176"/>
      <c r="GJ230" s="176"/>
      <c r="GK230" s="176"/>
      <c r="GL230" s="176"/>
      <c r="GM230" s="176"/>
      <c r="GN230" s="176"/>
      <c r="GO230" s="176"/>
      <c r="GP230" s="176"/>
      <c r="GQ230" s="176"/>
      <c r="GR230" s="176"/>
      <c r="GS230" s="176"/>
      <c r="GT230" s="176"/>
      <c r="GU230" s="176"/>
      <c r="GV230" s="176"/>
      <c r="GW230" s="176"/>
      <c r="GX230" s="176"/>
      <c r="GY230" s="176"/>
      <c r="GZ230" s="176"/>
      <c r="HA230" s="176"/>
      <c r="HB230" s="176"/>
      <c r="HC230" s="176"/>
      <c r="HD230" s="176"/>
      <c r="HE230" s="176"/>
      <c r="HF230" s="176"/>
      <c r="HG230" s="176"/>
      <c r="HH230" s="176"/>
      <c r="HI230" s="176"/>
      <c r="HJ230" s="176"/>
      <c r="HK230" s="176"/>
      <c r="HL230" s="176"/>
      <c r="HM230" s="176"/>
      <c r="HN230" s="176"/>
      <c r="HO230" s="176"/>
      <c r="HP230" s="176"/>
      <c r="HQ230" s="176"/>
      <c r="HR230" s="176"/>
      <c r="HS230" s="176"/>
      <c r="HT230" s="176"/>
      <c r="HU230" s="176"/>
      <c r="HV230" s="176"/>
      <c r="HW230" s="176"/>
      <c r="HX230" s="176"/>
      <c r="HY230" s="176"/>
      <c r="HZ230" s="176"/>
      <c r="IA230" s="176"/>
      <c r="IB230" s="176"/>
      <c r="IC230" s="176"/>
      <c r="ID230" s="176"/>
      <c r="IE230" s="176"/>
      <c r="IF230" s="176"/>
      <c r="IG230" s="176"/>
      <c r="IH230" s="176"/>
      <c r="II230" s="176"/>
      <c r="IJ230" s="176"/>
      <c r="IK230" s="176"/>
      <c r="IL230" s="176"/>
      <c r="IM230" s="176"/>
      <c r="IN230" s="176"/>
      <c r="IO230" s="176"/>
      <c r="IP230" s="176"/>
      <c r="IQ230" s="176"/>
      <c r="IR230" s="176"/>
      <c r="IS230" s="176"/>
      <c r="IT230" s="176"/>
      <c r="IU230" s="176"/>
      <c r="IV230" s="176"/>
      <c r="IW230" s="176"/>
      <c r="IX230" s="176"/>
      <c r="IY230" s="176"/>
      <c r="IZ230" s="176"/>
      <c r="JA230" s="176"/>
      <c r="JB230" s="176"/>
      <c r="JC230" s="176"/>
      <c r="JD230" s="176"/>
      <c r="JE230" s="176"/>
      <c r="JF230" s="176"/>
      <c r="JG230" s="176"/>
      <c r="JH230" s="176"/>
      <c r="JI230" s="176"/>
      <c r="JJ230" s="176"/>
      <c r="JK230" s="176"/>
      <c r="JL230" s="176"/>
      <c r="JM230" s="176"/>
      <c r="JN230" s="176"/>
      <c r="JO230" s="176"/>
      <c r="JP230" s="176"/>
      <c r="JQ230" s="176"/>
      <c r="JR230" s="176"/>
      <c r="JS230" s="176"/>
      <c r="JT230" s="176"/>
      <c r="JU230" s="176"/>
      <c r="JV230" s="176"/>
      <c r="JW230" s="131"/>
      <c r="JX230" s="131"/>
      <c r="JY230" s="131"/>
      <c r="JZ230" s="131"/>
      <c r="KA230" s="131"/>
      <c r="KB230" s="131"/>
      <c r="KC230" s="131"/>
      <c r="KD230" s="131"/>
      <c r="KE230" s="131"/>
      <c r="KF230" s="131"/>
      <c r="KG230" s="131"/>
      <c r="KH230" s="131"/>
      <c r="KI230" s="131"/>
      <c r="KJ230" s="131"/>
      <c r="KK230" s="131"/>
      <c r="KL230" s="131"/>
      <c r="KM230" s="131"/>
      <c r="KN230" s="131"/>
      <c r="KO230" s="131"/>
      <c r="KP230" s="131"/>
      <c r="KQ230" s="131"/>
      <c r="KR230" s="131"/>
      <c r="KS230" s="131"/>
      <c r="KT230" s="131"/>
      <c r="KU230" s="131"/>
      <c r="KV230" s="131"/>
      <c r="KW230" s="131"/>
      <c r="KX230" s="131"/>
      <c r="KY230" s="131"/>
      <c r="KZ230" s="131"/>
      <c r="LA230" s="131"/>
      <c r="LB230" s="131"/>
      <c r="LC230" s="131"/>
      <c r="LD230" s="131"/>
      <c r="LE230" s="131"/>
      <c r="LF230" s="131"/>
      <c r="LG230" s="131"/>
      <c r="LH230" s="131"/>
      <c r="LI230" s="131"/>
      <c r="LJ230" s="131"/>
      <c r="LK230" s="131"/>
      <c r="LL230" s="131"/>
      <c r="LM230" s="131"/>
      <c r="LN230" s="131"/>
      <c r="LO230" s="131"/>
      <c r="LP230" s="131"/>
      <c r="LQ230" s="131"/>
      <c r="LR230" s="131"/>
      <c r="LS230" s="131"/>
      <c r="LT230" s="131"/>
      <c r="LU230" s="131"/>
      <c r="LV230" s="131"/>
      <c r="LW230" s="131"/>
      <c r="LX230" s="131"/>
      <c r="LY230" s="131"/>
      <c r="LZ230" s="131"/>
      <c r="MA230" s="131"/>
      <c r="MB230" s="131"/>
      <c r="MC230" s="131"/>
      <c r="MD230" s="131"/>
      <c r="ME230" s="131"/>
      <c r="MF230" s="131"/>
      <c r="MG230" s="131"/>
      <c r="MH230" s="131"/>
      <c r="MI230" s="131"/>
      <c r="MJ230" s="131"/>
      <c r="MK230" s="131"/>
      <c r="ML230" s="131"/>
      <c r="MM230" s="131"/>
      <c r="MN230" s="131"/>
      <c r="MO230" s="131"/>
      <c r="MP230" s="131"/>
      <c r="MQ230" s="131"/>
      <c r="MR230" s="131"/>
      <c r="MS230" s="131"/>
      <c r="MT230" s="131"/>
      <c r="MU230" s="131"/>
      <c r="MV230" s="131"/>
      <c r="MW230" s="131"/>
      <c r="MX230" s="131"/>
      <c r="MY230" s="131"/>
      <c r="MZ230" s="131"/>
      <c r="NA230" s="131"/>
      <c r="NB230" s="131"/>
      <c r="NC230" s="131"/>
      <c r="ND230" s="131"/>
      <c r="NE230" s="131"/>
      <c r="NF230" s="131"/>
      <c r="NG230" s="131"/>
      <c r="NH230" s="131"/>
      <c r="NI230" s="131"/>
      <c r="NJ230" s="131"/>
      <c r="NK230" s="131"/>
      <c r="NL230" s="131"/>
      <c r="NM230" s="131"/>
      <c r="NN230" s="131"/>
      <c r="NO230" s="131"/>
      <c r="NP230" s="131"/>
      <c r="NQ230" s="131"/>
      <c r="NR230" s="131"/>
      <c r="NS230" s="131"/>
      <c r="NT230" s="131"/>
      <c r="NU230" s="131"/>
      <c r="NV230" s="131"/>
      <c r="NW230" s="131"/>
      <c r="NX230" s="131"/>
      <c r="NY230" s="131"/>
      <c r="NZ230" s="131"/>
      <c r="OA230" s="131"/>
      <c r="OB230" s="131"/>
      <c r="OC230" s="131"/>
      <c r="OD230" s="131"/>
      <c r="OE230" s="131"/>
      <c r="OF230" s="131"/>
      <c r="OG230" s="131"/>
      <c r="OH230" s="131"/>
      <c r="OI230" s="131"/>
      <c r="OJ230" s="131"/>
      <c r="OK230" s="131"/>
      <c r="OL230" s="131"/>
      <c r="OM230" s="131"/>
      <c r="ON230" s="131"/>
      <c r="OO230" s="131"/>
      <c r="OP230" s="131"/>
      <c r="OQ230" s="131"/>
      <c r="OR230" s="131"/>
      <c r="OS230" s="131"/>
      <c r="OT230" s="131"/>
      <c r="OU230" s="131"/>
      <c r="OV230" s="131"/>
      <c r="OW230" s="131"/>
      <c r="OX230" s="131"/>
      <c r="OY230" s="131"/>
      <c r="OZ230" s="131"/>
      <c r="PA230" s="131"/>
      <c r="PB230" s="131"/>
      <c r="PC230" s="131"/>
      <c r="PD230" s="131"/>
      <c r="PE230" s="131"/>
      <c r="PF230" s="131"/>
      <c r="PG230" s="131"/>
      <c r="PH230" s="131"/>
      <c r="PI230" s="131"/>
      <c r="PJ230" s="131"/>
      <c r="PK230" s="131"/>
      <c r="PL230" s="131"/>
      <c r="PM230" s="131"/>
      <c r="PN230" s="131"/>
      <c r="PO230" s="131"/>
      <c r="PP230" s="131"/>
      <c r="PQ230" s="131"/>
      <c r="PR230" s="131"/>
      <c r="PS230" s="131"/>
      <c r="PT230" s="131"/>
      <c r="PU230" s="131"/>
      <c r="PV230" s="131"/>
      <c r="PW230" s="131"/>
      <c r="PX230" s="131"/>
      <c r="PY230" s="131"/>
      <c r="PZ230" s="131"/>
      <c r="QA230" s="131"/>
      <c r="QB230" s="131"/>
      <c r="QC230" s="131"/>
      <c r="QD230" s="131"/>
      <c r="QE230" s="131"/>
      <c r="QF230" s="131"/>
      <c r="QG230" s="131"/>
      <c r="QH230" s="131"/>
      <c r="QI230" s="131"/>
      <c r="QJ230" s="131"/>
      <c r="QK230" s="131"/>
      <c r="QL230" s="131"/>
      <c r="QM230" s="131"/>
      <c r="QN230" s="131"/>
      <c r="QO230" s="131"/>
      <c r="QP230" s="131"/>
      <c r="QQ230" s="131"/>
      <c r="QR230" s="131"/>
      <c r="QS230" s="131"/>
      <c r="QT230" s="131"/>
      <c r="QU230" s="131"/>
      <c r="QV230" s="131"/>
      <c r="QW230" s="131"/>
      <c r="QX230" s="131"/>
      <c r="QY230" s="131"/>
      <c r="QZ230" s="131"/>
      <c r="RA230" s="131"/>
      <c r="RB230" s="131"/>
      <c r="RC230" s="131"/>
      <c r="RD230" s="131"/>
      <c r="RE230" s="131"/>
      <c r="RF230" s="131"/>
      <c r="RG230" s="131"/>
      <c r="RH230" s="131"/>
      <c r="RI230" s="131"/>
      <c r="RJ230" s="131"/>
      <c r="RK230" s="131"/>
      <c r="RL230" s="131"/>
      <c r="RM230" s="131"/>
      <c r="RN230" s="131"/>
      <c r="RO230" s="131"/>
      <c r="RP230" s="131"/>
      <c r="RQ230" s="131"/>
      <c r="RR230" s="131"/>
      <c r="RS230" s="131"/>
      <c r="RT230" s="131"/>
      <c r="RU230" s="131"/>
      <c r="RV230" s="131"/>
      <c r="RW230" s="131"/>
      <c r="RX230" s="131"/>
      <c r="RY230" s="131"/>
      <c r="RZ230" s="131"/>
      <c r="SA230" s="131"/>
      <c r="SB230" s="131"/>
      <c r="SC230" s="131"/>
      <c r="SD230" s="131"/>
      <c r="SE230" s="131"/>
      <c r="SF230" s="131"/>
      <c r="SG230" s="131"/>
      <c r="SH230" s="131"/>
      <c r="SI230" s="131"/>
      <c r="SJ230" s="131"/>
      <c r="SK230" s="131"/>
      <c r="SL230" s="131"/>
      <c r="SM230" s="131"/>
      <c r="SN230" s="131"/>
      <c r="SO230" s="131"/>
      <c r="SP230" s="131"/>
      <c r="SQ230" s="131"/>
      <c r="SR230" s="131"/>
      <c r="SS230" s="131"/>
      <c r="ST230" s="131"/>
      <c r="SU230" s="131"/>
      <c r="SV230" s="131"/>
      <c r="SW230" s="131"/>
      <c r="SX230" s="131"/>
      <c r="SY230" s="131"/>
      <c r="SZ230" s="131"/>
      <c r="TA230" s="131"/>
      <c r="TB230" s="131"/>
      <c r="TC230" s="131"/>
      <c r="TD230" s="131"/>
      <c r="TE230" s="131"/>
      <c r="TF230" s="131"/>
      <c r="TG230" s="131"/>
      <c r="TH230" s="131"/>
      <c r="TI230" s="131"/>
      <c r="TJ230" s="131"/>
      <c r="TK230" s="131"/>
      <c r="TL230" s="131"/>
      <c r="TM230" s="131"/>
      <c r="TN230" s="131"/>
      <c r="TO230" s="131"/>
      <c r="TP230" s="131"/>
      <c r="TQ230" s="131"/>
      <c r="TR230" s="131"/>
      <c r="TS230" s="131"/>
      <c r="TT230" s="131"/>
      <c r="TU230" s="131"/>
      <c r="TV230" s="131"/>
      <c r="TW230" s="131"/>
      <c r="TX230" s="131"/>
      <c r="TY230" s="131"/>
      <c r="TZ230" s="131"/>
      <c r="UA230" s="131"/>
      <c r="UB230" s="131"/>
      <c r="UC230" s="131"/>
      <c r="UD230" s="131"/>
      <c r="UE230" s="131"/>
      <c r="UF230" s="131"/>
      <c r="UG230" s="131"/>
      <c r="UH230" s="131"/>
      <c r="UI230" s="131"/>
      <c r="UJ230" s="131"/>
      <c r="UK230" s="131"/>
      <c r="UL230" s="131"/>
      <c r="UM230" s="131"/>
      <c r="UN230" s="131"/>
      <c r="UO230" s="131"/>
      <c r="UP230" s="131"/>
      <c r="UQ230" s="131"/>
      <c r="UR230" s="131"/>
      <c r="US230" s="131"/>
      <c r="UT230" s="131"/>
      <c r="UU230" s="131"/>
      <c r="UV230" s="131"/>
      <c r="UW230" s="131"/>
      <c r="UX230" s="131"/>
      <c r="UY230" s="131"/>
      <c r="UZ230" s="131"/>
      <c r="VA230" s="131"/>
      <c r="VB230" s="131"/>
      <c r="VC230" s="131"/>
      <c r="VD230" s="131"/>
      <c r="VE230" s="131"/>
      <c r="VF230" s="131"/>
      <c r="VG230" s="131"/>
      <c r="VH230" s="131"/>
      <c r="VI230" s="131"/>
      <c r="VJ230" s="131"/>
      <c r="VK230" s="131"/>
      <c r="VL230" s="131"/>
      <c r="VM230" s="131"/>
      <c r="VN230" s="131"/>
      <c r="VO230" s="131"/>
      <c r="VP230" s="131"/>
      <c r="VQ230" s="131"/>
      <c r="VR230" s="131"/>
      <c r="VS230" s="131"/>
      <c r="VT230" s="131"/>
      <c r="VU230" s="131"/>
      <c r="VV230" s="131"/>
      <c r="VW230" s="131"/>
      <c r="VX230" s="131"/>
      <c r="VY230" s="131"/>
      <c r="VZ230" s="131"/>
      <c r="WA230" s="131"/>
      <c r="WB230" s="131"/>
      <c r="WC230" s="131"/>
      <c r="WD230" s="131"/>
      <c r="WE230" s="131"/>
      <c r="WF230" s="131"/>
      <c r="WG230" s="131"/>
      <c r="WH230" s="131"/>
      <c r="WI230" s="131"/>
      <c r="WJ230" s="131"/>
      <c r="WK230" s="131"/>
      <c r="WL230" s="131"/>
      <c r="WM230" s="131"/>
      <c r="WN230" s="131"/>
      <c r="WO230" s="131"/>
      <c r="WP230" s="131"/>
      <c r="WQ230" s="131"/>
      <c r="WR230" s="131"/>
      <c r="WS230" s="131"/>
      <c r="WT230" s="131"/>
      <c r="WU230" s="131"/>
      <c r="WV230" s="131"/>
      <c r="WW230" s="131"/>
      <c r="WX230" s="131"/>
      <c r="WY230" s="131"/>
      <c r="WZ230" s="131"/>
      <c r="XA230" s="131"/>
      <c r="XB230" s="131"/>
      <c r="XC230" s="131"/>
      <c r="XD230" s="131"/>
      <c r="XE230" s="131"/>
      <c r="XF230" s="131"/>
      <c r="XG230" s="131"/>
      <c r="XH230" s="131"/>
      <c r="XI230" s="131"/>
      <c r="XJ230" s="131"/>
      <c r="XK230" s="131"/>
      <c r="XL230" s="131"/>
      <c r="XM230" s="131"/>
      <c r="XN230" s="131"/>
      <c r="XO230" s="131"/>
      <c r="XP230" s="131"/>
      <c r="XQ230" s="131"/>
      <c r="XR230" s="131"/>
      <c r="XS230" s="131"/>
      <c r="XT230" s="131"/>
      <c r="XU230" s="131"/>
      <c r="XV230" s="131"/>
      <c r="XW230" s="131"/>
      <c r="XX230" s="131"/>
      <c r="XY230" s="131"/>
      <c r="XZ230" s="131"/>
      <c r="YA230" s="131"/>
      <c r="YB230" s="131"/>
      <c r="YC230" s="131"/>
      <c r="YD230" s="131"/>
      <c r="YE230" s="131"/>
      <c r="YF230" s="131"/>
      <c r="YG230" s="131"/>
      <c r="YH230" s="131"/>
      <c r="YI230" s="131"/>
      <c r="YJ230" s="131"/>
      <c r="YK230" s="131"/>
      <c r="YL230" s="131"/>
      <c r="YM230" s="131"/>
      <c r="YN230" s="131"/>
      <c r="YO230" s="131"/>
      <c r="YP230" s="131"/>
      <c r="YQ230" s="131"/>
      <c r="YR230" s="131"/>
      <c r="YS230" s="131"/>
      <c r="YT230" s="131"/>
      <c r="YU230" s="131"/>
      <c r="YV230" s="131"/>
      <c r="YW230" s="131"/>
      <c r="YX230" s="131"/>
      <c r="YY230" s="131"/>
      <c r="YZ230" s="131"/>
      <c r="ZA230" s="131"/>
      <c r="ZB230" s="131"/>
      <c r="ZC230" s="131"/>
      <c r="ZD230" s="131"/>
      <c r="ZE230" s="131"/>
      <c r="ZF230" s="131"/>
      <c r="ZG230" s="131"/>
      <c r="ZH230" s="131"/>
      <c r="ZI230" s="131"/>
      <c r="ZJ230" s="131"/>
      <c r="ZK230" s="131"/>
      <c r="ZL230" s="131"/>
      <c r="ZM230" s="131"/>
      <c r="ZN230" s="131"/>
      <c r="ZO230" s="131"/>
      <c r="ZP230" s="131"/>
      <c r="ZQ230" s="131"/>
      <c r="ZR230" s="131"/>
      <c r="ZS230" s="131"/>
      <c r="ZT230" s="131"/>
      <c r="ZU230" s="131"/>
      <c r="ZV230" s="131"/>
      <c r="ZW230" s="131"/>
      <c r="ZX230" s="131"/>
      <c r="ZY230" s="131"/>
      <c r="ZZ230" s="131"/>
      <c r="AAA230" s="131"/>
      <c r="AAB230" s="131"/>
      <c r="AAC230" s="131"/>
      <c r="AAD230" s="131"/>
      <c r="AAE230" s="131"/>
      <c r="AAF230" s="131"/>
      <c r="AAG230" s="131"/>
      <c r="AAH230" s="131"/>
      <c r="AAI230" s="131"/>
      <c r="AAJ230" s="131"/>
      <c r="AAK230" s="131"/>
      <c r="AAL230" s="131"/>
      <c r="AAM230" s="131"/>
      <c r="AAN230" s="131"/>
      <c r="AAO230" s="131"/>
      <c r="AAP230" s="131"/>
      <c r="AAQ230" s="131"/>
      <c r="AAR230" s="131"/>
      <c r="AAS230" s="131"/>
      <c r="AAT230" s="131"/>
      <c r="AAU230" s="131"/>
      <c r="AAV230" s="131"/>
      <c r="AAW230" s="131"/>
      <c r="AAX230" s="131"/>
      <c r="AAY230" s="131"/>
      <c r="AAZ230" s="131"/>
      <c r="ABA230" s="131"/>
      <c r="ABB230" s="131"/>
      <c r="ABC230" s="131"/>
      <c r="ABD230" s="131"/>
      <c r="ABE230" s="131"/>
      <c r="ABF230" s="131"/>
      <c r="ABG230" s="131"/>
      <c r="ABH230" s="131"/>
      <c r="ABI230" s="131"/>
      <c r="ABJ230" s="131"/>
      <c r="ABK230" s="131"/>
      <c r="ABL230" s="131"/>
      <c r="ABM230" s="131"/>
      <c r="ABN230" s="131"/>
      <c r="ABO230" s="131"/>
      <c r="ABP230" s="131"/>
      <c r="ABQ230" s="131"/>
      <c r="ABR230" s="131"/>
      <c r="ABS230" s="131"/>
      <c r="ABT230" s="131"/>
      <c r="ABU230" s="131"/>
      <c r="ABV230" s="131"/>
      <c r="ABW230" s="131"/>
      <c r="ABX230" s="131"/>
      <c r="ABY230" s="131"/>
      <c r="ABZ230" s="131"/>
      <c r="ACA230" s="131"/>
      <c r="ACB230" s="131"/>
      <c r="ACC230" s="131"/>
      <c r="ACD230" s="131"/>
      <c r="ACE230" s="131"/>
      <c r="ACF230" s="131"/>
      <c r="ACG230" s="131"/>
      <c r="ACH230" s="131"/>
      <c r="ACI230" s="131"/>
      <c r="ACJ230" s="131"/>
      <c r="ACK230" s="131"/>
      <c r="ACL230" s="131"/>
      <c r="ACM230" s="131"/>
      <c r="ACN230" s="131"/>
      <c r="ACO230" s="131"/>
      <c r="ACP230" s="131"/>
      <c r="ACQ230" s="131"/>
      <c r="ACR230" s="131"/>
      <c r="ACS230" s="131"/>
      <c r="ACT230" s="131"/>
      <c r="ACU230" s="131"/>
      <c r="ACV230" s="131"/>
      <c r="ACW230" s="131"/>
      <c r="ACX230" s="131"/>
      <c r="ACY230" s="131"/>
      <c r="ACZ230" s="131"/>
      <c r="ADA230" s="131"/>
      <c r="ADB230" s="131"/>
      <c r="ADC230" s="131"/>
      <c r="ADD230" s="131"/>
      <c r="ADE230" s="131"/>
      <c r="ADF230" s="131"/>
      <c r="ADG230" s="131"/>
      <c r="ADH230" s="131"/>
      <c r="ADI230" s="131"/>
      <c r="ADJ230" s="131"/>
      <c r="ADK230" s="131"/>
      <c r="ADL230" s="131"/>
      <c r="ADM230" s="131"/>
      <c r="ADN230" s="131"/>
      <c r="ADO230" s="131"/>
      <c r="ADP230" s="131"/>
      <c r="ADQ230" s="131"/>
      <c r="ADR230" s="131"/>
      <c r="ADS230" s="131"/>
      <c r="ADT230" s="131"/>
      <c r="ADU230" s="131"/>
      <c r="ADV230" s="131"/>
      <c r="ADW230" s="131"/>
      <c r="ADX230" s="131"/>
      <c r="ADY230" s="131"/>
      <c r="ADZ230" s="131"/>
      <c r="AEA230" s="131"/>
      <c r="AEB230" s="131"/>
      <c r="AEC230" s="131"/>
      <c r="AED230" s="131"/>
      <c r="AEE230" s="131"/>
      <c r="AEF230" s="131"/>
      <c r="AEG230" s="131"/>
      <c r="AEH230" s="131"/>
      <c r="AEI230" s="131"/>
      <c r="AEJ230" s="131"/>
      <c r="AEK230" s="131"/>
      <c r="AEL230" s="131"/>
      <c r="AEM230" s="131"/>
      <c r="AEN230" s="131"/>
      <c r="AEO230" s="131"/>
      <c r="AEP230" s="131"/>
      <c r="AEQ230" s="131"/>
      <c r="AER230" s="131"/>
      <c r="AES230" s="131"/>
      <c r="AET230" s="131"/>
      <c r="AEU230" s="131"/>
      <c r="AEV230" s="131"/>
      <c r="AEW230" s="131"/>
      <c r="AEX230" s="131"/>
      <c r="AEY230" s="131"/>
      <c r="AEZ230" s="131"/>
      <c r="AFA230" s="131"/>
      <c r="AFB230" s="131"/>
      <c r="AFC230" s="131"/>
      <c r="AFD230" s="131"/>
      <c r="AFE230" s="131"/>
      <c r="AFF230" s="131"/>
      <c r="AFG230" s="131"/>
      <c r="AFH230" s="131"/>
      <c r="AFI230" s="131"/>
      <c r="AFJ230" s="131"/>
      <c r="AFK230" s="131"/>
      <c r="AFL230" s="131"/>
      <c r="AFM230" s="131"/>
      <c r="AFN230" s="131"/>
      <c r="AFO230" s="131"/>
      <c r="AFP230" s="131"/>
      <c r="AFQ230" s="131"/>
      <c r="AFR230" s="131"/>
      <c r="AFS230" s="131"/>
      <c r="AFT230" s="131"/>
      <c r="AFU230" s="131"/>
      <c r="AFV230" s="131"/>
      <c r="AFW230" s="131"/>
      <c r="AFX230" s="131"/>
      <c r="AFY230" s="131"/>
      <c r="AFZ230" s="131"/>
      <c r="AGA230" s="131"/>
      <c r="AGB230" s="131"/>
      <c r="AGC230" s="131"/>
      <c r="AGD230" s="131"/>
      <c r="AGE230" s="131"/>
      <c r="AGF230" s="131"/>
      <c r="AGG230" s="131"/>
      <c r="AGH230" s="131"/>
      <c r="AGI230" s="131"/>
      <c r="AGJ230" s="131"/>
      <c r="AGK230" s="131"/>
      <c r="AGL230" s="131"/>
      <c r="AGM230" s="131"/>
      <c r="AGN230" s="131"/>
      <c r="AGO230" s="131"/>
      <c r="AGP230" s="131"/>
      <c r="AGQ230" s="131"/>
      <c r="AGR230" s="131"/>
      <c r="AGS230" s="131"/>
      <c r="AGT230" s="131"/>
      <c r="AGU230" s="131"/>
      <c r="AGV230" s="131"/>
      <c r="AGW230" s="131"/>
      <c r="AGX230" s="131"/>
      <c r="AGY230" s="131"/>
      <c r="AGZ230" s="131"/>
      <c r="AHA230" s="131"/>
      <c r="AHB230" s="131"/>
      <c r="AHC230" s="131"/>
      <c r="AHD230" s="131"/>
      <c r="AHE230" s="131"/>
      <c r="AHF230" s="131"/>
      <c r="AHG230" s="131"/>
      <c r="AHH230" s="131"/>
      <c r="AHI230" s="131"/>
      <c r="AHJ230" s="131"/>
      <c r="AHK230" s="131"/>
      <c r="AHL230" s="131"/>
      <c r="AHM230" s="131"/>
      <c r="AHN230" s="131"/>
      <c r="AHO230" s="131"/>
      <c r="AHP230" s="131"/>
      <c r="AHQ230" s="131"/>
      <c r="AHR230" s="131"/>
      <c r="AHS230" s="131"/>
      <c r="AHT230" s="131"/>
      <c r="AHU230" s="131"/>
      <c r="AHV230" s="131"/>
      <c r="AHW230" s="131"/>
      <c r="AHX230" s="131"/>
      <c r="AHY230" s="131"/>
      <c r="AHZ230" s="131"/>
      <c r="AIA230" s="131"/>
      <c r="AIB230" s="131"/>
      <c r="AIC230" s="131"/>
      <c r="AID230" s="131"/>
      <c r="AIE230" s="131"/>
      <c r="AIF230" s="131"/>
      <c r="AIG230" s="131"/>
      <c r="AIH230" s="131"/>
      <c r="AII230" s="131"/>
      <c r="AIJ230" s="131"/>
      <c r="AIK230" s="131"/>
      <c r="AIL230" s="131"/>
      <c r="AIM230" s="131"/>
      <c r="AIN230" s="131"/>
      <c r="AIO230" s="131"/>
      <c r="AIP230" s="131"/>
      <c r="AIQ230" s="131"/>
      <c r="AIR230" s="131"/>
      <c r="AIS230" s="131"/>
      <c r="AIT230" s="131"/>
      <c r="AIU230" s="131"/>
      <c r="AIV230" s="131"/>
      <c r="AIW230" s="131"/>
      <c r="AIX230" s="131"/>
      <c r="AIY230" s="131"/>
      <c r="AIZ230" s="131"/>
      <c r="AJA230" s="131"/>
      <c r="AJB230" s="131"/>
      <c r="AJC230" s="131"/>
      <c r="AJD230" s="131"/>
      <c r="AJE230" s="131"/>
      <c r="AJF230" s="131"/>
      <c r="AJG230" s="131"/>
      <c r="AJH230" s="131"/>
      <c r="AJI230" s="131"/>
      <c r="AJJ230" s="131"/>
      <c r="AJK230" s="131"/>
      <c r="AJL230" s="131"/>
      <c r="AJM230" s="131"/>
      <c r="AJN230" s="131"/>
      <c r="AJO230" s="131"/>
      <c r="AJP230" s="131"/>
      <c r="AJQ230" s="131"/>
      <c r="AJR230" s="131"/>
      <c r="AJS230" s="131"/>
      <c r="AJT230" s="131"/>
      <c r="AJU230" s="131"/>
      <c r="AJV230" s="131"/>
      <c r="AJW230" s="131"/>
      <c r="AJX230" s="131"/>
      <c r="AJY230" s="131"/>
      <c r="AJZ230" s="131"/>
      <c r="AKA230" s="131"/>
      <c r="AKB230" s="131"/>
      <c r="AKC230" s="131"/>
      <c r="AKD230" s="131"/>
      <c r="AKE230" s="131"/>
      <c r="AKF230" s="131"/>
      <c r="AKG230" s="131"/>
      <c r="AKH230" s="131"/>
      <c r="AKI230" s="131"/>
      <c r="AKJ230" s="131"/>
      <c r="AKK230" s="131"/>
      <c r="AKL230" s="131"/>
      <c r="AKM230" s="131"/>
      <c r="AKN230" s="131"/>
      <c r="AKO230" s="131"/>
      <c r="AKP230" s="131"/>
      <c r="AKQ230" s="131"/>
      <c r="AKR230" s="131"/>
      <c r="AKS230" s="131"/>
      <c r="AKT230" s="131"/>
      <c r="AKU230" s="131"/>
      <c r="AKV230" s="131"/>
      <c r="AKW230" s="131"/>
      <c r="AKX230" s="131"/>
      <c r="AKY230" s="131"/>
      <c r="AKZ230" s="131"/>
      <c r="ALA230" s="131"/>
      <c r="ALB230" s="131"/>
      <c r="ALC230" s="131"/>
      <c r="ALD230" s="131"/>
      <c r="ALE230" s="131"/>
      <c r="ALF230" s="131"/>
      <c r="ALG230" s="131"/>
      <c r="ALH230" s="131"/>
      <c r="ALI230" s="131"/>
      <c r="ALJ230" s="131"/>
      <c r="ALK230" s="131"/>
      <c r="ALL230" s="131"/>
      <c r="ALM230" s="131"/>
      <c r="ALN230" s="131"/>
      <c r="ALO230" s="131"/>
      <c r="ALP230" s="131"/>
      <c r="ALQ230" s="131"/>
      <c r="ALR230" s="131"/>
      <c r="ALS230" s="131"/>
      <c r="ALT230" s="131"/>
      <c r="ALU230" s="131"/>
      <c r="ALV230" s="131"/>
      <c r="ALW230" s="131"/>
      <c r="ALX230" s="131"/>
      <c r="ALY230" s="131"/>
      <c r="ALZ230" s="131"/>
      <c r="AMA230" s="131"/>
      <c r="AMB230" s="131"/>
      <c r="AMC230" s="131"/>
      <c r="AMD230" s="131"/>
      <c r="AME230" s="131"/>
      <c r="AMF230" s="131"/>
      <c r="AMG230" s="131"/>
      <c r="AMH230" s="131"/>
      <c r="AMI230" s="131"/>
      <c r="AMJ230" s="131"/>
      <c r="AMK230" s="131"/>
      <c r="AML230" s="131"/>
      <c r="AMM230" s="131"/>
      <c r="AMN230" s="131"/>
      <c r="AMO230" s="131"/>
      <c r="AMP230" s="131"/>
      <c r="AMQ230" s="131"/>
      <c r="AMR230" s="131"/>
      <c r="AMS230" s="131"/>
      <c r="AMT230" s="131"/>
      <c r="AMU230" s="131"/>
      <c r="AMV230" s="131"/>
      <c r="AMW230" s="131"/>
      <c r="AMX230" s="131"/>
      <c r="AMY230" s="131"/>
      <c r="AMZ230" s="131"/>
      <c r="ANA230" s="131"/>
      <c r="ANB230" s="131"/>
      <c r="ANC230" s="131"/>
      <c r="AND230" s="131"/>
      <c r="ANE230" s="131"/>
      <c r="ANF230" s="131"/>
      <c r="ANG230" s="131"/>
      <c r="ANH230" s="131"/>
      <c r="ANI230" s="131"/>
      <c r="ANJ230" s="131"/>
      <c r="ANK230" s="131"/>
      <c r="ANL230" s="131"/>
      <c r="ANM230" s="131"/>
      <c r="ANN230" s="131"/>
      <c r="ANO230" s="131"/>
      <c r="ANP230" s="131"/>
      <c r="ANQ230" s="131"/>
      <c r="ANR230" s="131"/>
      <c r="ANS230" s="131"/>
      <c r="ANT230" s="131"/>
      <c r="ANU230" s="131"/>
      <c r="ANV230" s="131"/>
      <c r="ANW230" s="131"/>
      <c r="ANX230" s="131"/>
      <c r="ANY230" s="131"/>
      <c r="ANZ230" s="131"/>
      <c r="AOA230" s="131"/>
      <c r="AOB230" s="131"/>
      <c r="AOC230" s="131"/>
      <c r="AOD230" s="131"/>
      <c r="AOE230" s="131"/>
      <c r="AOF230" s="131"/>
      <c r="AOG230" s="131"/>
      <c r="AOH230" s="131"/>
      <c r="AOI230" s="131"/>
      <c r="AOJ230" s="131"/>
      <c r="AOK230" s="131"/>
      <c r="AOL230" s="131"/>
      <c r="AOM230" s="131"/>
      <c r="AON230" s="131"/>
      <c r="AOO230" s="131"/>
      <c r="AOP230" s="131"/>
      <c r="AOQ230" s="131"/>
      <c r="AOR230" s="131"/>
      <c r="AOS230" s="131"/>
      <c r="AOT230" s="131"/>
      <c r="AOU230" s="131"/>
      <c r="AOV230" s="131"/>
      <c r="AOW230" s="131"/>
      <c r="AOX230" s="131"/>
      <c r="AOY230" s="131"/>
      <c r="AOZ230" s="131"/>
      <c r="APA230" s="131"/>
      <c r="APB230" s="131"/>
      <c r="APC230" s="131"/>
      <c r="APD230" s="131"/>
      <c r="APE230" s="131"/>
      <c r="APF230" s="131"/>
      <c r="APG230" s="131"/>
      <c r="APH230" s="131"/>
      <c r="API230" s="131"/>
      <c r="APJ230" s="131"/>
      <c r="APK230" s="131"/>
      <c r="APL230" s="131"/>
      <c r="APM230" s="131"/>
      <c r="APN230" s="131"/>
      <c r="APO230" s="131"/>
      <c r="APP230" s="131"/>
      <c r="APQ230" s="131"/>
      <c r="APR230" s="131"/>
      <c r="APS230" s="131"/>
      <c r="APT230" s="131"/>
      <c r="APU230" s="131"/>
      <c r="APV230" s="131"/>
      <c r="APW230" s="131"/>
      <c r="APX230" s="131"/>
      <c r="APY230" s="131"/>
      <c r="APZ230" s="131"/>
      <c r="AQA230" s="131"/>
      <c r="AQB230" s="131"/>
      <c r="AQC230" s="131"/>
      <c r="AQD230" s="131"/>
      <c r="AQE230" s="131"/>
      <c r="AQF230" s="131"/>
      <c r="AQG230" s="131"/>
      <c r="AQH230" s="131"/>
      <c r="AQI230" s="131"/>
      <c r="AQJ230" s="131"/>
      <c r="AQK230" s="131"/>
      <c r="AQL230" s="131"/>
      <c r="AQM230" s="131"/>
      <c r="AQN230" s="131"/>
      <c r="AQO230" s="131"/>
      <c r="AQP230" s="131"/>
      <c r="AQQ230" s="131"/>
      <c r="AQR230" s="131"/>
      <c r="AQS230" s="131"/>
      <c r="AQT230" s="131"/>
      <c r="AQU230" s="131"/>
      <c r="AQV230" s="131"/>
      <c r="AQW230" s="131"/>
      <c r="AQX230" s="131"/>
      <c r="AQY230" s="131"/>
      <c r="AQZ230" s="131"/>
      <c r="ARA230" s="131"/>
      <c r="ARB230" s="131"/>
      <c r="ARC230" s="131"/>
      <c r="ARD230" s="131"/>
      <c r="ARE230" s="131"/>
      <c r="ARF230" s="131"/>
      <c r="ARG230" s="131"/>
      <c r="ARH230" s="131"/>
      <c r="ARI230" s="131"/>
      <c r="ARJ230" s="131"/>
      <c r="ARK230" s="131"/>
      <c r="ARL230" s="131"/>
      <c r="ARM230" s="131"/>
      <c r="ARN230" s="131"/>
      <c r="ARO230" s="131"/>
      <c r="ARP230" s="131"/>
      <c r="ARQ230" s="131"/>
      <c r="ARR230" s="131"/>
      <c r="ARS230" s="131"/>
      <c r="ART230" s="131"/>
      <c r="ARU230" s="131"/>
      <c r="ARV230" s="131"/>
      <c r="ARW230" s="131"/>
      <c r="ARX230" s="131"/>
      <c r="ARY230" s="131"/>
      <c r="ARZ230" s="131"/>
      <c r="ASA230" s="131"/>
      <c r="ASB230" s="131"/>
      <c r="ASC230" s="131"/>
      <c r="ASD230" s="131"/>
      <c r="ASE230" s="131"/>
      <c r="ASF230" s="131"/>
      <c r="ASG230" s="131"/>
      <c r="ASH230" s="131"/>
      <c r="ASI230" s="131"/>
      <c r="ASJ230" s="131"/>
      <c r="ASK230" s="131"/>
      <c r="ASL230" s="131"/>
      <c r="ASM230" s="131"/>
      <c r="ASN230" s="131"/>
      <c r="ASO230" s="131"/>
      <c r="ASP230" s="131"/>
      <c r="ASQ230" s="131"/>
      <c r="ASR230" s="131"/>
      <c r="ASS230" s="131"/>
      <c r="AST230" s="131"/>
      <c r="ASU230" s="131"/>
      <c r="ASV230" s="131"/>
      <c r="ASW230" s="131"/>
      <c r="ASX230" s="131"/>
      <c r="ASY230" s="131"/>
      <c r="ASZ230" s="131"/>
      <c r="ATA230" s="131"/>
      <c r="ATB230" s="131"/>
      <c r="ATC230" s="131"/>
    </row>
    <row r="231" spans="1:1199" ht="50.1" customHeight="1" outlineLevel="2" x14ac:dyDescent="0.3">
      <c r="A231" s="103" t="s">
        <v>240</v>
      </c>
      <c r="B231" s="96" t="s">
        <v>1178</v>
      </c>
      <c r="C231" s="79" t="s">
        <v>55</v>
      </c>
      <c r="D231" s="81">
        <f t="shared" ref="D231" si="51">E231+F231</f>
        <v>2373.7079999999996</v>
      </c>
      <c r="E231" s="82">
        <f t="shared" si="38"/>
        <v>2255.0225999999998</v>
      </c>
      <c r="F231" s="83">
        <f t="shared" si="47"/>
        <v>118.6854</v>
      </c>
      <c r="G231" s="84"/>
      <c r="H231" s="85"/>
      <c r="I231" s="85"/>
      <c r="J231" s="84"/>
      <c r="K231" s="85"/>
      <c r="L231" s="85"/>
      <c r="M231" s="85"/>
      <c r="N231" s="85"/>
      <c r="O231" s="82"/>
      <c r="P231" s="83"/>
      <c r="Q231" s="83"/>
      <c r="R231" s="83"/>
      <c r="S231" s="82"/>
      <c r="T231" s="83"/>
      <c r="U231" s="83"/>
      <c r="V231" s="84"/>
      <c r="W231" s="85"/>
      <c r="X231" s="82"/>
      <c r="Y231" s="83"/>
      <c r="Z231" s="84"/>
      <c r="AA231" s="85"/>
      <c r="AB231" s="84"/>
      <c r="AC231" s="85"/>
      <c r="AD231" s="89"/>
      <c r="AE231" s="89"/>
      <c r="AF231" s="186"/>
      <c r="AG231" s="85"/>
      <c r="AH231" s="85"/>
      <c r="AI231" s="85"/>
      <c r="AJ231" s="84"/>
      <c r="AK231" s="85"/>
      <c r="AL231" s="84"/>
      <c r="AM231" s="88"/>
      <c r="AN231" s="84"/>
      <c r="AO231" s="85"/>
      <c r="AP231" s="84"/>
      <c r="AQ231" s="83"/>
      <c r="AR231" s="83"/>
      <c r="AS231" s="83"/>
      <c r="AT231" s="85"/>
      <c r="AU231" s="85"/>
      <c r="AV231" s="85"/>
      <c r="AW231" s="88"/>
      <c r="AX231" s="84"/>
      <c r="AY231" s="85"/>
      <c r="AZ231" s="86"/>
      <c r="BA231" s="91"/>
      <c r="BB231" s="88"/>
      <c r="BC231" s="85"/>
      <c r="BD231" s="84"/>
      <c r="BE231" s="88"/>
      <c r="BF231" s="85"/>
      <c r="BG231" s="85"/>
      <c r="BH231" s="85"/>
      <c r="BI231" s="85"/>
      <c r="BJ231" s="85"/>
      <c r="BK231" s="85"/>
      <c r="BL231" s="85"/>
      <c r="BM231" s="85"/>
      <c r="BN231" s="85"/>
      <c r="BO231" s="85"/>
      <c r="BP231" s="85"/>
      <c r="BQ231" s="85"/>
      <c r="BR231" s="84"/>
      <c r="BS231" s="85"/>
      <c r="BT231" s="85"/>
      <c r="BU231" s="198"/>
      <c r="BV231" s="90">
        <v>2255.0225999999998</v>
      </c>
      <c r="BW231" s="198">
        <v>118.6854</v>
      </c>
      <c r="BX231" s="90"/>
      <c r="BY231" s="198"/>
      <c r="BZ231" s="90"/>
      <c r="CA231" s="91"/>
    </row>
    <row r="232" spans="1:1199" s="101" customFormat="1" ht="50.1" customHeight="1" outlineLevel="1" x14ac:dyDescent="0.3">
      <c r="A232" s="132" t="s">
        <v>241</v>
      </c>
      <c r="B232" s="133"/>
      <c r="C232" s="134" t="s">
        <v>94</v>
      </c>
      <c r="D232" s="114">
        <f>SUBTOTAL(9,D231:D231)</f>
        <v>2373.7079999999996</v>
      </c>
      <c r="E232" s="114">
        <f t="shared" ref="E232:F232" si="52">SUBTOTAL(9,E231:E231)</f>
        <v>2255.0225999999998</v>
      </c>
      <c r="F232" s="114">
        <f t="shared" si="52"/>
        <v>118.6854</v>
      </c>
      <c r="G232" s="114" t="e">
        <f>SUBTOTAL(9,#REF!)</f>
        <v>#REF!</v>
      </c>
      <c r="H232" s="114" t="e">
        <f>SUBTOTAL(9,#REF!)</f>
        <v>#REF!</v>
      </c>
      <c r="I232" s="114" t="e">
        <f>SUBTOTAL(9,#REF!)</f>
        <v>#REF!</v>
      </c>
      <c r="J232" s="114" t="e">
        <f>SUBTOTAL(9,#REF!)</f>
        <v>#REF!</v>
      </c>
      <c r="K232" s="114" t="e">
        <f>SUBTOTAL(9,#REF!)</f>
        <v>#REF!</v>
      </c>
      <c r="L232" s="114" t="e">
        <f>SUBTOTAL(9,#REF!)</f>
        <v>#REF!</v>
      </c>
      <c r="M232" s="114" t="e">
        <f>SUBTOTAL(9,#REF!)</f>
        <v>#REF!</v>
      </c>
      <c r="N232" s="114" t="e">
        <f>SUBTOTAL(9,#REF!)</f>
        <v>#REF!</v>
      </c>
      <c r="O232" s="114" t="e">
        <f>SUBTOTAL(9,#REF!)</f>
        <v>#REF!</v>
      </c>
      <c r="P232" s="114" t="e">
        <f>SUBTOTAL(9,#REF!)</f>
        <v>#REF!</v>
      </c>
      <c r="Q232" s="114" t="e">
        <f>SUBTOTAL(9,#REF!)</f>
        <v>#REF!</v>
      </c>
      <c r="R232" s="114" t="e">
        <f>SUBTOTAL(9,#REF!)</f>
        <v>#REF!</v>
      </c>
      <c r="S232" s="114" t="e">
        <f>SUBTOTAL(9,#REF!)</f>
        <v>#REF!</v>
      </c>
      <c r="T232" s="114" t="e">
        <f>SUBTOTAL(9,#REF!)</f>
        <v>#REF!</v>
      </c>
      <c r="U232" s="114" t="e">
        <f>SUBTOTAL(9,#REF!)</f>
        <v>#REF!</v>
      </c>
      <c r="V232" s="114" t="e">
        <f>SUBTOTAL(9,#REF!)</f>
        <v>#REF!</v>
      </c>
      <c r="W232" s="114" t="e">
        <f>SUBTOTAL(9,#REF!)</f>
        <v>#REF!</v>
      </c>
      <c r="X232" s="114" t="e">
        <f>SUBTOTAL(9,#REF!)</f>
        <v>#REF!</v>
      </c>
      <c r="Y232" s="114" t="e">
        <f>SUBTOTAL(9,#REF!)</f>
        <v>#REF!</v>
      </c>
      <c r="Z232" s="114" t="e">
        <f>SUBTOTAL(9,#REF!)</f>
        <v>#REF!</v>
      </c>
      <c r="AA232" s="114" t="e">
        <f>SUBTOTAL(9,#REF!)</f>
        <v>#REF!</v>
      </c>
      <c r="AB232" s="114" t="e">
        <f>SUBTOTAL(9,#REF!)</f>
        <v>#REF!</v>
      </c>
      <c r="AC232" s="114" t="e">
        <f>SUBTOTAL(9,#REF!)</f>
        <v>#REF!</v>
      </c>
      <c r="AD232" s="114" t="e">
        <f>SUBTOTAL(9,#REF!)</f>
        <v>#REF!</v>
      </c>
      <c r="AE232" s="114" t="e">
        <f>SUBTOTAL(9,#REF!)</f>
        <v>#REF!</v>
      </c>
      <c r="AF232" s="191" t="e">
        <f>SUBTOTAL(9,#REF!)</f>
        <v>#REF!</v>
      </c>
      <c r="AG232" s="114" t="e">
        <f>SUBTOTAL(9,#REF!)</f>
        <v>#REF!</v>
      </c>
      <c r="AH232" s="114" t="e">
        <f>SUBTOTAL(9,#REF!)</f>
        <v>#REF!</v>
      </c>
      <c r="AI232" s="114" t="e">
        <f>SUBTOTAL(9,#REF!)</f>
        <v>#REF!</v>
      </c>
      <c r="AJ232" s="114" t="e">
        <f>SUBTOTAL(9,#REF!)</f>
        <v>#REF!</v>
      </c>
      <c r="AK232" s="114" t="e">
        <f>SUBTOTAL(9,#REF!)</f>
        <v>#REF!</v>
      </c>
      <c r="AL232" s="114" t="e">
        <f>SUBTOTAL(9,#REF!)</f>
        <v>#REF!</v>
      </c>
      <c r="AM232" s="114" t="e">
        <f>SUBTOTAL(9,#REF!)</f>
        <v>#REF!</v>
      </c>
      <c r="AN232" s="114" t="e">
        <f>SUBTOTAL(9,#REF!)</f>
        <v>#REF!</v>
      </c>
      <c r="AO232" s="114" t="e">
        <f>SUBTOTAL(9,#REF!)</f>
        <v>#REF!</v>
      </c>
      <c r="AP232" s="114" t="e">
        <f>SUBTOTAL(9,#REF!)</f>
        <v>#REF!</v>
      </c>
      <c r="AQ232" s="114" t="e">
        <f>SUBTOTAL(9,#REF!)</f>
        <v>#REF!</v>
      </c>
      <c r="AR232" s="114" t="e">
        <f>SUBTOTAL(9,#REF!)</f>
        <v>#REF!</v>
      </c>
      <c r="AS232" s="114" t="e">
        <f>SUBTOTAL(9,#REF!)</f>
        <v>#REF!</v>
      </c>
      <c r="AT232" s="114" t="e">
        <f>SUBTOTAL(9,#REF!)</f>
        <v>#REF!</v>
      </c>
      <c r="AU232" s="114" t="e">
        <f>SUBTOTAL(9,#REF!)</f>
        <v>#REF!</v>
      </c>
      <c r="AV232" s="114" t="e">
        <f>SUBTOTAL(9,#REF!)</f>
        <v>#REF!</v>
      </c>
      <c r="AW232" s="114" t="e">
        <f>SUBTOTAL(9,#REF!)</f>
        <v>#REF!</v>
      </c>
      <c r="AX232" s="114" t="e">
        <f>SUBTOTAL(9,#REF!)</f>
        <v>#REF!</v>
      </c>
      <c r="AY232" s="114" t="e">
        <f>SUBTOTAL(9,#REF!)</f>
        <v>#REF!</v>
      </c>
      <c r="AZ232" s="114" t="e">
        <f>SUBTOTAL(9,#REF!)</f>
        <v>#REF!</v>
      </c>
      <c r="BA232" s="114" t="e">
        <f>SUBTOTAL(9,#REF!)</f>
        <v>#REF!</v>
      </c>
      <c r="BB232" s="114" t="e">
        <f>SUBTOTAL(9,#REF!)</f>
        <v>#REF!</v>
      </c>
      <c r="BC232" s="114" t="e">
        <f>SUBTOTAL(9,#REF!)</f>
        <v>#REF!</v>
      </c>
      <c r="BD232" s="114" t="e">
        <f>SUBTOTAL(9,#REF!)</f>
        <v>#REF!</v>
      </c>
      <c r="BE232" s="114" t="e">
        <f>SUBTOTAL(9,#REF!)</f>
        <v>#REF!</v>
      </c>
      <c r="BF232" s="114" t="e">
        <f>SUBTOTAL(9,#REF!)</f>
        <v>#REF!</v>
      </c>
      <c r="BG232" s="114" t="e">
        <f>SUBTOTAL(9,#REF!)</f>
        <v>#REF!</v>
      </c>
      <c r="BH232" s="114" t="e">
        <f>SUBTOTAL(9,#REF!)</f>
        <v>#REF!</v>
      </c>
      <c r="BI232" s="114" t="e">
        <f>SUBTOTAL(9,#REF!)</f>
        <v>#REF!</v>
      </c>
      <c r="BJ232" s="114" t="e">
        <f>SUBTOTAL(9,#REF!)</f>
        <v>#REF!</v>
      </c>
      <c r="BK232" s="114" t="e">
        <f>SUBTOTAL(9,#REF!)</f>
        <v>#REF!</v>
      </c>
      <c r="BL232" s="114" t="e">
        <f>SUBTOTAL(9,#REF!)</f>
        <v>#REF!</v>
      </c>
      <c r="BM232" s="114" t="e">
        <f>SUBTOTAL(9,#REF!)</f>
        <v>#REF!</v>
      </c>
      <c r="BN232" s="114" t="e">
        <f>SUBTOTAL(9,#REF!)</f>
        <v>#REF!</v>
      </c>
      <c r="BO232" s="114" t="e">
        <f>SUBTOTAL(9,#REF!)</f>
        <v>#REF!</v>
      </c>
      <c r="BP232" s="114" t="e">
        <f>SUBTOTAL(9,#REF!)</f>
        <v>#REF!</v>
      </c>
      <c r="BQ232" s="114" t="e">
        <f>SUBTOTAL(9,#REF!)</f>
        <v>#REF!</v>
      </c>
      <c r="BR232" s="114" t="e">
        <f>SUBTOTAL(9,#REF!)</f>
        <v>#REF!</v>
      </c>
      <c r="BS232" s="114" t="e">
        <f>SUBTOTAL(9,#REF!)</f>
        <v>#REF!</v>
      </c>
      <c r="BT232" s="114" t="e">
        <f>SUBTOTAL(9,#REF!)</f>
        <v>#REF!</v>
      </c>
      <c r="BU232" s="114" t="e">
        <f>SUBTOTAL(9,#REF!)</f>
        <v>#REF!</v>
      </c>
      <c r="BV232" s="114">
        <f>SUBTOTAL(9,BV231:BV231)</f>
        <v>2255.0225999999998</v>
      </c>
      <c r="BW232" s="114">
        <f>SUBTOTAL(9,BW231:BW231)</f>
        <v>118.6854</v>
      </c>
      <c r="BX232" s="114" t="e">
        <f>SUBTOTAL(9,#REF!)</f>
        <v>#REF!</v>
      </c>
      <c r="BY232" s="114" t="e">
        <f>SUBTOTAL(9,#REF!)</f>
        <v>#REF!</v>
      </c>
      <c r="BZ232" s="114" t="e">
        <f>SUBTOTAL(9,#REF!)</f>
        <v>#REF!</v>
      </c>
      <c r="CA232" s="114" t="e">
        <f>SUBTOTAL(9,#REF!)</f>
        <v>#REF!</v>
      </c>
      <c r="CB232" s="176"/>
      <c r="CC232" s="176"/>
      <c r="CD232" s="176"/>
      <c r="CE232" s="176"/>
      <c r="CF232" s="176"/>
      <c r="CG232" s="176"/>
      <c r="CH232" s="176"/>
      <c r="CI232" s="176"/>
      <c r="CJ232" s="176"/>
      <c r="CK232" s="176"/>
      <c r="CL232" s="176"/>
      <c r="CM232" s="176"/>
      <c r="CN232" s="176"/>
      <c r="CO232" s="176"/>
      <c r="CP232" s="176"/>
      <c r="CQ232" s="176"/>
      <c r="CR232" s="176"/>
      <c r="CS232" s="176"/>
      <c r="CT232" s="176"/>
      <c r="CU232" s="176"/>
      <c r="CV232" s="176"/>
      <c r="CW232" s="176"/>
      <c r="CX232" s="176"/>
      <c r="CY232" s="176"/>
      <c r="CZ232" s="176"/>
      <c r="DA232" s="176"/>
      <c r="DB232" s="176"/>
      <c r="DC232" s="176"/>
      <c r="DD232" s="176"/>
      <c r="DE232" s="176"/>
      <c r="DF232" s="176"/>
      <c r="DG232" s="176"/>
      <c r="DH232" s="176"/>
      <c r="DI232" s="176"/>
      <c r="DJ232" s="176"/>
      <c r="DK232" s="176"/>
      <c r="DL232" s="176"/>
      <c r="DM232" s="176"/>
      <c r="DN232" s="176"/>
      <c r="DO232" s="176"/>
      <c r="DP232" s="176"/>
      <c r="DQ232" s="176"/>
      <c r="DR232" s="176"/>
      <c r="DS232" s="176"/>
      <c r="DT232" s="176"/>
      <c r="DU232" s="176"/>
      <c r="DV232" s="176"/>
      <c r="DW232" s="176"/>
      <c r="DX232" s="176"/>
      <c r="DY232" s="176"/>
      <c r="DZ232" s="176"/>
      <c r="EA232" s="176"/>
      <c r="EB232" s="176"/>
      <c r="EC232" s="176"/>
      <c r="ED232" s="176"/>
      <c r="EE232" s="176"/>
      <c r="EF232" s="176"/>
      <c r="EG232" s="176"/>
      <c r="EH232" s="176"/>
      <c r="EI232" s="176"/>
      <c r="EJ232" s="176"/>
      <c r="EK232" s="176"/>
      <c r="EL232" s="176"/>
      <c r="EM232" s="176"/>
      <c r="EN232" s="176"/>
      <c r="EO232" s="176"/>
      <c r="EP232" s="176"/>
      <c r="EQ232" s="176"/>
      <c r="ER232" s="176"/>
      <c r="ES232" s="176"/>
      <c r="ET232" s="176"/>
      <c r="EU232" s="176"/>
      <c r="EV232" s="176"/>
      <c r="EW232" s="176"/>
      <c r="EX232" s="176"/>
      <c r="EY232" s="176"/>
      <c r="EZ232" s="176"/>
      <c r="FA232" s="176"/>
      <c r="FB232" s="176"/>
      <c r="FC232" s="176"/>
      <c r="FD232" s="176"/>
      <c r="FE232" s="176"/>
      <c r="FF232" s="176"/>
      <c r="FG232" s="176"/>
      <c r="FH232" s="176"/>
      <c r="FI232" s="176"/>
      <c r="FJ232" s="176"/>
      <c r="FK232" s="176"/>
      <c r="FL232" s="176"/>
      <c r="FM232" s="176"/>
      <c r="FN232" s="176"/>
      <c r="FO232" s="176"/>
      <c r="FP232" s="176"/>
      <c r="FQ232" s="176"/>
      <c r="FR232" s="176"/>
      <c r="FS232" s="176"/>
      <c r="FT232" s="176"/>
      <c r="FU232" s="176"/>
      <c r="FV232" s="176"/>
      <c r="FW232" s="176"/>
      <c r="FX232" s="176"/>
      <c r="FY232" s="176"/>
      <c r="FZ232" s="176"/>
      <c r="GA232" s="176"/>
      <c r="GB232" s="176"/>
      <c r="GC232" s="176"/>
      <c r="GD232" s="176"/>
      <c r="GE232" s="176"/>
      <c r="GF232" s="176"/>
      <c r="GG232" s="176"/>
      <c r="GH232" s="176"/>
      <c r="GI232" s="176"/>
      <c r="GJ232" s="176"/>
      <c r="GK232" s="176"/>
      <c r="GL232" s="176"/>
      <c r="GM232" s="176"/>
      <c r="GN232" s="176"/>
      <c r="GO232" s="176"/>
      <c r="GP232" s="176"/>
      <c r="GQ232" s="176"/>
      <c r="GR232" s="176"/>
      <c r="GS232" s="176"/>
      <c r="GT232" s="176"/>
      <c r="GU232" s="176"/>
      <c r="GV232" s="176"/>
      <c r="GW232" s="176"/>
      <c r="GX232" s="176"/>
      <c r="GY232" s="176"/>
      <c r="GZ232" s="176"/>
      <c r="HA232" s="176"/>
      <c r="HB232" s="176"/>
      <c r="HC232" s="176"/>
      <c r="HD232" s="176"/>
      <c r="HE232" s="176"/>
      <c r="HF232" s="176"/>
      <c r="HG232" s="176"/>
      <c r="HH232" s="176"/>
      <c r="HI232" s="176"/>
      <c r="HJ232" s="176"/>
      <c r="HK232" s="176"/>
      <c r="HL232" s="176"/>
      <c r="HM232" s="176"/>
      <c r="HN232" s="176"/>
      <c r="HO232" s="176"/>
      <c r="HP232" s="176"/>
      <c r="HQ232" s="176"/>
      <c r="HR232" s="176"/>
      <c r="HS232" s="176"/>
      <c r="HT232" s="176"/>
      <c r="HU232" s="176"/>
      <c r="HV232" s="176"/>
      <c r="HW232" s="176"/>
      <c r="HX232" s="176"/>
      <c r="HY232" s="176"/>
      <c r="HZ232" s="176"/>
      <c r="IA232" s="176"/>
      <c r="IB232" s="176"/>
      <c r="IC232" s="176"/>
      <c r="ID232" s="176"/>
      <c r="IE232" s="176"/>
      <c r="IF232" s="176"/>
      <c r="IG232" s="176"/>
      <c r="IH232" s="176"/>
      <c r="II232" s="176"/>
      <c r="IJ232" s="176"/>
      <c r="IK232" s="176"/>
      <c r="IL232" s="176"/>
      <c r="IM232" s="176"/>
      <c r="IN232" s="176"/>
      <c r="IO232" s="176"/>
      <c r="IP232" s="176"/>
      <c r="IQ232" s="176"/>
      <c r="IR232" s="176"/>
      <c r="IS232" s="176"/>
      <c r="IT232" s="176"/>
      <c r="IU232" s="176"/>
      <c r="IV232" s="176"/>
      <c r="IW232" s="176"/>
      <c r="IX232" s="176"/>
      <c r="IY232" s="176"/>
      <c r="IZ232" s="176"/>
      <c r="JA232" s="176"/>
      <c r="JB232" s="176"/>
      <c r="JC232" s="176"/>
      <c r="JD232" s="176"/>
      <c r="JE232" s="176"/>
      <c r="JF232" s="176"/>
      <c r="JG232" s="176"/>
      <c r="JH232" s="176"/>
      <c r="JI232" s="176"/>
      <c r="JJ232" s="176"/>
      <c r="JK232" s="176"/>
      <c r="JL232" s="176"/>
      <c r="JM232" s="176"/>
      <c r="JN232" s="176"/>
      <c r="JO232" s="176"/>
      <c r="JP232" s="176"/>
      <c r="JQ232" s="176"/>
      <c r="JR232" s="176"/>
      <c r="JS232" s="176"/>
      <c r="JT232" s="176"/>
      <c r="JU232" s="176"/>
      <c r="JV232" s="176"/>
      <c r="JW232" s="131"/>
      <c r="JX232" s="131"/>
      <c r="JY232" s="131"/>
      <c r="JZ232" s="131"/>
      <c r="KA232" s="131"/>
      <c r="KB232" s="131"/>
      <c r="KC232" s="131"/>
      <c r="KD232" s="131"/>
      <c r="KE232" s="131"/>
      <c r="KF232" s="131"/>
      <c r="KG232" s="131"/>
      <c r="KH232" s="131"/>
      <c r="KI232" s="131"/>
      <c r="KJ232" s="131"/>
      <c r="KK232" s="131"/>
      <c r="KL232" s="131"/>
      <c r="KM232" s="131"/>
      <c r="KN232" s="131"/>
      <c r="KO232" s="131"/>
      <c r="KP232" s="131"/>
      <c r="KQ232" s="131"/>
      <c r="KR232" s="131"/>
      <c r="KS232" s="131"/>
      <c r="KT232" s="131"/>
      <c r="KU232" s="131"/>
      <c r="KV232" s="131"/>
      <c r="KW232" s="131"/>
      <c r="KX232" s="131"/>
      <c r="KY232" s="131"/>
      <c r="KZ232" s="131"/>
      <c r="LA232" s="131"/>
      <c r="LB232" s="131"/>
      <c r="LC232" s="131"/>
      <c r="LD232" s="131"/>
      <c r="LE232" s="131"/>
      <c r="LF232" s="131"/>
      <c r="LG232" s="131"/>
      <c r="LH232" s="131"/>
      <c r="LI232" s="131"/>
      <c r="LJ232" s="131"/>
      <c r="LK232" s="131"/>
      <c r="LL232" s="131"/>
      <c r="LM232" s="131"/>
      <c r="LN232" s="131"/>
      <c r="LO232" s="131"/>
      <c r="LP232" s="131"/>
      <c r="LQ232" s="131"/>
      <c r="LR232" s="131"/>
      <c r="LS232" s="131"/>
      <c r="LT232" s="131"/>
      <c r="LU232" s="131"/>
      <c r="LV232" s="131"/>
      <c r="LW232" s="131"/>
      <c r="LX232" s="131"/>
      <c r="LY232" s="131"/>
      <c r="LZ232" s="131"/>
      <c r="MA232" s="131"/>
      <c r="MB232" s="131"/>
      <c r="MC232" s="131"/>
      <c r="MD232" s="131"/>
      <c r="ME232" s="131"/>
      <c r="MF232" s="131"/>
      <c r="MG232" s="131"/>
      <c r="MH232" s="131"/>
      <c r="MI232" s="131"/>
      <c r="MJ232" s="131"/>
      <c r="MK232" s="131"/>
      <c r="ML232" s="131"/>
      <c r="MM232" s="131"/>
      <c r="MN232" s="131"/>
      <c r="MO232" s="131"/>
      <c r="MP232" s="131"/>
      <c r="MQ232" s="131"/>
      <c r="MR232" s="131"/>
      <c r="MS232" s="131"/>
      <c r="MT232" s="131"/>
      <c r="MU232" s="131"/>
      <c r="MV232" s="131"/>
      <c r="MW232" s="131"/>
      <c r="MX232" s="131"/>
      <c r="MY232" s="131"/>
      <c r="MZ232" s="131"/>
      <c r="NA232" s="131"/>
      <c r="NB232" s="131"/>
      <c r="NC232" s="131"/>
      <c r="ND232" s="131"/>
      <c r="NE232" s="131"/>
      <c r="NF232" s="131"/>
      <c r="NG232" s="131"/>
      <c r="NH232" s="131"/>
      <c r="NI232" s="131"/>
      <c r="NJ232" s="131"/>
      <c r="NK232" s="131"/>
      <c r="NL232" s="131"/>
      <c r="NM232" s="131"/>
      <c r="NN232" s="131"/>
      <c r="NO232" s="131"/>
      <c r="NP232" s="131"/>
      <c r="NQ232" s="131"/>
      <c r="NR232" s="131"/>
      <c r="NS232" s="131"/>
      <c r="NT232" s="131"/>
      <c r="NU232" s="131"/>
      <c r="NV232" s="131"/>
      <c r="NW232" s="131"/>
      <c r="NX232" s="131"/>
      <c r="NY232" s="131"/>
      <c r="NZ232" s="131"/>
      <c r="OA232" s="131"/>
      <c r="OB232" s="131"/>
      <c r="OC232" s="131"/>
      <c r="OD232" s="131"/>
      <c r="OE232" s="131"/>
      <c r="OF232" s="131"/>
      <c r="OG232" s="131"/>
      <c r="OH232" s="131"/>
      <c r="OI232" s="131"/>
      <c r="OJ232" s="131"/>
      <c r="OK232" s="131"/>
      <c r="OL232" s="131"/>
      <c r="OM232" s="131"/>
      <c r="ON232" s="131"/>
      <c r="OO232" s="131"/>
      <c r="OP232" s="131"/>
      <c r="OQ232" s="131"/>
      <c r="OR232" s="131"/>
      <c r="OS232" s="131"/>
      <c r="OT232" s="131"/>
      <c r="OU232" s="131"/>
      <c r="OV232" s="131"/>
      <c r="OW232" s="131"/>
      <c r="OX232" s="131"/>
      <c r="OY232" s="131"/>
      <c r="OZ232" s="131"/>
      <c r="PA232" s="131"/>
      <c r="PB232" s="131"/>
      <c r="PC232" s="131"/>
      <c r="PD232" s="131"/>
      <c r="PE232" s="131"/>
      <c r="PF232" s="131"/>
      <c r="PG232" s="131"/>
      <c r="PH232" s="131"/>
      <c r="PI232" s="131"/>
      <c r="PJ232" s="131"/>
      <c r="PK232" s="131"/>
      <c r="PL232" s="131"/>
      <c r="PM232" s="131"/>
      <c r="PN232" s="131"/>
      <c r="PO232" s="131"/>
      <c r="PP232" s="131"/>
      <c r="PQ232" s="131"/>
      <c r="PR232" s="131"/>
      <c r="PS232" s="131"/>
      <c r="PT232" s="131"/>
      <c r="PU232" s="131"/>
      <c r="PV232" s="131"/>
      <c r="PW232" s="131"/>
      <c r="PX232" s="131"/>
      <c r="PY232" s="131"/>
      <c r="PZ232" s="131"/>
      <c r="QA232" s="131"/>
      <c r="QB232" s="131"/>
      <c r="QC232" s="131"/>
      <c r="QD232" s="131"/>
      <c r="QE232" s="131"/>
      <c r="QF232" s="131"/>
      <c r="QG232" s="131"/>
      <c r="QH232" s="131"/>
      <c r="QI232" s="131"/>
      <c r="QJ232" s="131"/>
      <c r="QK232" s="131"/>
      <c r="QL232" s="131"/>
      <c r="QM232" s="131"/>
      <c r="QN232" s="131"/>
      <c r="QO232" s="131"/>
      <c r="QP232" s="131"/>
      <c r="QQ232" s="131"/>
      <c r="QR232" s="131"/>
      <c r="QS232" s="131"/>
      <c r="QT232" s="131"/>
      <c r="QU232" s="131"/>
      <c r="QV232" s="131"/>
      <c r="QW232" s="131"/>
      <c r="QX232" s="131"/>
      <c r="QY232" s="131"/>
      <c r="QZ232" s="131"/>
      <c r="RA232" s="131"/>
      <c r="RB232" s="131"/>
      <c r="RC232" s="131"/>
      <c r="RD232" s="131"/>
      <c r="RE232" s="131"/>
      <c r="RF232" s="131"/>
      <c r="RG232" s="131"/>
      <c r="RH232" s="131"/>
      <c r="RI232" s="131"/>
      <c r="RJ232" s="131"/>
      <c r="RK232" s="131"/>
      <c r="RL232" s="131"/>
      <c r="RM232" s="131"/>
      <c r="RN232" s="131"/>
      <c r="RO232" s="131"/>
      <c r="RP232" s="131"/>
      <c r="RQ232" s="131"/>
      <c r="RR232" s="131"/>
      <c r="RS232" s="131"/>
      <c r="RT232" s="131"/>
      <c r="RU232" s="131"/>
      <c r="RV232" s="131"/>
      <c r="RW232" s="131"/>
      <c r="RX232" s="131"/>
      <c r="RY232" s="131"/>
      <c r="RZ232" s="131"/>
      <c r="SA232" s="131"/>
      <c r="SB232" s="131"/>
      <c r="SC232" s="131"/>
      <c r="SD232" s="131"/>
      <c r="SE232" s="131"/>
      <c r="SF232" s="131"/>
      <c r="SG232" s="131"/>
      <c r="SH232" s="131"/>
      <c r="SI232" s="131"/>
      <c r="SJ232" s="131"/>
      <c r="SK232" s="131"/>
      <c r="SL232" s="131"/>
      <c r="SM232" s="131"/>
      <c r="SN232" s="131"/>
      <c r="SO232" s="131"/>
      <c r="SP232" s="131"/>
      <c r="SQ232" s="131"/>
      <c r="SR232" s="131"/>
      <c r="SS232" s="131"/>
      <c r="ST232" s="131"/>
      <c r="SU232" s="131"/>
      <c r="SV232" s="131"/>
      <c r="SW232" s="131"/>
      <c r="SX232" s="131"/>
      <c r="SY232" s="131"/>
      <c r="SZ232" s="131"/>
      <c r="TA232" s="131"/>
      <c r="TB232" s="131"/>
      <c r="TC232" s="131"/>
      <c r="TD232" s="131"/>
      <c r="TE232" s="131"/>
      <c r="TF232" s="131"/>
      <c r="TG232" s="131"/>
      <c r="TH232" s="131"/>
      <c r="TI232" s="131"/>
      <c r="TJ232" s="131"/>
      <c r="TK232" s="131"/>
      <c r="TL232" s="131"/>
      <c r="TM232" s="131"/>
      <c r="TN232" s="131"/>
      <c r="TO232" s="131"/>
      <c r="TP232" s="131"/>
      <c r="TQ232" s="131"/>
      <c r="TR232" s="131"/>
      <c r="TS232" s="131"/>
      <c r="TT232" s="131"/>
      <c r="TU232" s="131"/>
      <c r="TV232" s="131"/>
      <c r="TW232" s="131"/>
      <c r="TX232" s="131"/>
      <c r="TY232" s="131"/>
      <c r="TZ232" s="131"/>
      <c r="UA232" s="131"/>
      <c r="UB232" s="131"/>
      <c r="UC232" s="131"/>
      <c r="UD232" s="131"/>
      <c r="UE232" s="131"/>
      <c r="UF232" s="131"/>
      <c r="UG232" s="131"/>
      <c r="UH232" s="131"/>
      <c r="UI232" s="131"/>
      <c r="UJ232" s="131"/>
      <c r="UK232" s="131"/>
      <c r="UL232" s="131"/>
      <c r="UM232" s="131"/>
      <c r="UN232" s="131"/>
      <c r="UO232" s="131"/>
      <c r="UP232" s="131"/>
      <c r="UQ232" s="131"/>
      <c r="UR232" s="131"/>
      <c r="US232" s="131"/>
      <c r="UT232" s="131"/>
      <c r="UU232" s="131"/>
      <c r="UV232" s="131"/>
      <c r="UW232" s="131"/>
      <c r="UX232" s="131"/>
      <c r="UY232" s="131"/>
      <c r="UZ232" s="131"/>
      <c r="VA232" s="131"/>
      <c r="VB232" s="131"/>
      <c r="VC232" s="131"/>
      <c r="VD232" s="131"/>
      <c r="VE232" s="131"/>
      <c r="VF232" s="131"/>
      <c r="VG232" s="131"/>
      <c r="VH232" s="131"/>
      <c r="VI232" s="131"/>
      <c r="VJ232" s="131"/>
      <c r="VK232" s="131"/>
      <c r="VL232" s="131"/>
      <c r="VM232" s="131"/>
      <c r="VN232" s="131"/>
      <c r="VO232" s="131"/>
      <c r="VP232" s="131"/>
      <c r="VQ232" s="131"/>
      <c r="VR232" s="131"/>
      <c r="VS232" s="131"/>
      <c r="VT232" s="131"/>
      <c r="VU232" s="131"/>
      <c r="VV232" s="131"/>
      <c r="VW232" s="131"/>
      <c r="VX232" s="131"/>
      <c r="VY232" s="131"/>
      <c r="VZ232" s="131"/>
      <c r="WA232" s="131"/>
      <c r="WB232" s="131"/>
      <c r="WC232" s="131"/>
      <c r="WD232" s="131"/>
      <c r="WE232" s="131"/>
      <c r="WF232" s="131"/>
      <c r="WG232" s="131"/>
      <c r="WH232" s="131"/>
      <c r="WI232" s="131"/>
      <c r="WJ232" s="131"/>
      <c r="WK232" s="131"/>
      <c r="WL232" s="131"/>
      <c r="WM232" s="131"/>
      <c r="WN232" s="131"/>
      <c r="WO232" s="131"/>
      <c r="WP232" s="131"/>
      <c r="WQ232" s="131"/>
      <c r="WR232" s="131"/>
      <c r="WS232" s="131"/>
      <c r="WT232" s="131"/>
      <c r="WU232" s="131"/>
      <c r="WV232" s="131"/>
      <c r="WW232" s="131"/>
      <c r="WX232" s="131"/>
      <c r="WY232" s="131"/>
      <c r="WZ232" s="131"/>
      <c r="XA232" s="131"/>
      <c r="XB232" s="131"/>
      <c r="XC232" s="131"/>
      <c r="XD232" s="131"/>
      <c r="XE232" s="131"/>
      <c r="XF232" s="131"/>
      <c r="XG232" s="131"/>
      <c r="XH232" s="131"/>
      <c r="XI232" s="131"/>
      <c r="XJ232" s="131"/>
      <c r="XK232" s="131"/>
      <c r="XL232" s="131"/>
      <c r="XM232" s="131"/>
      <c r="XN232" s="131"/>
      <c r="XO232" s="131"/>
      <c r="XP232" s="131"/>
      <c r="XQ232" s="131"/>
      <c r="XR232" s="131"/>
      <c r="XS232" s="131"/>
      <c r="XT232" s="131"/>
      <c r="XU232" s="131"/>
      <c r="XV232" s="131"/>
      <c r="XW232" s="131"/>
      <c r="XX232" s="131"/>
      <c r="XY232" s="131"/>
      <c r="XZ232" s="131"/>
      <c r="YA232" s="131"/>
      <c r="YB232" s="131"/>
      <c r="YC232" s="131"/>
      <c r="YD232" s="131"/>
      <c r="YE232" s="131"/>
      <c r="YF232" s="131"/>
      <c r="YG232" s="131"/>
      <c r="YH232" s="131"/>
      <c r="YI232" s="131"/>
      <c r="YJ232" s="131"/>
      <c r="YK232" s="131"/>
      <c r="YL232" s="131"/>
      <c r="YM232" s="131"/>
      <c r="YN232" s="131"/>
      <c r="YO232" s="131"/>
      <c r="YP232" s="131"/>
      <c r="YQ232" s="131"/>
      <c r="YR232" s="131"/>
      <c r="YS232" s="131"/>
      <c r="YT232" s="131"/>
      <c r="YU232" s="131"/>
      <c r="YV232" s="131"/>
      <c r="YW232" s="131"/>
      <c r="YX232" s="131"/>
      <c r="YY232" s="131"/>
      <c r="YZ232" s="131"/>
      <c r="ZA232" s="131"/>
      <c r="ZB232" s="131"/>
      <c r="ZC232" s="131"/>
      <c r="ZD232" s="131"/>
      <c r="ZE232" s="131"/>
      <c r="ZF232" s="131"/>
      <c r="ZG232" s="131"/>
      <c r="ZH232" s="131"/>
      <c r="ZI232" s="131"/>
      <c r="ZJ232" s="131"/>
      <c r="ZK232" s="131"/>
      <c r="ZL232" s="131"/>
      <c r="ZM232" s="131"/>
      <c r="ZN232" s="131"/>
      <c r="ZO232" s="131"/>
      <c r="ZP232" s="131"/>
      <c r="ZQ232" s="131"/>
      <c r="ZR232" s="131"/>
      <c r="ZS232" s="131"/>
      <c r="ZT232" s="131"/>
      <c r="ZU232" s="131"/>
      <c r="ZV232" s="131"/>
      <c r="ZW232" s="131"/>
      <c r="ZX232" s="131"/>
      <c r="ZY232" s="131"/>
      <c r="ZZ232" s="131"/>
      <c r="AAA232" s="131"/>
      <c r="AAB232" s="131"/>
      <c r="AAC232" s="131"/>
      <c r="AAD232" s="131"/>
      <c r="AAE232" s="131"/>
      <c r="AAF232" s="131"/>
      <c r="AAG232" s="131"/>
      <c r="AAH232" s="131"/>
      <c r="AAI232" s="131"/>
      <c r="AAJ232" s="131"/>
      <c r="AAK232" s="131"/>
      <c r="AAL232" s="131"/>
      <c r="AAM232" s="131"/>
      <c r="AAN232" s="131"/>
      <c r="AAO232" s="131"/>
      <c r="AAP232" s="131"/>
      <c r="AAQ232" s="131"/>
      <c r="AAR232" s="131"/>
      <c r="AAS232" s="131"/>
      <c r="AAT232" s="131"/>
      <c r="AAU232" s="131"/>
      <c r="AAV232" s="131"/>
      <c r="AAW232" s="131"/>
      <c r="AAX232" s="131"/>
      <c r="AAY232" s="131"/>
      <c r="AAZ232" s="131"/>
      <c r="ABA232" s="131"/>
      <c r="ABB232" s="131"/>
      <c r="ABC232" s="131"/>
      <c r="ABD232" s="131"/>
      <c r="ABE232" s="131"/>
      <c r="ABF232" s="131"/>
      <c r="ABG232" s="131"/>
      <c r="ABH232" s="131"/>
      <c r="ABI232" s="131"/>
      <c r="ABJ232" s="131"/>
      <c r="ABK232" s="131"/>
      <c r="ABL232" s="131"/>
      <c r="ABM232" s="131"/>
      <c r="ABN232" s="131"/>
      <c r="ABO232" s="131"/>
      <c r="ABP232" s="131"/>
      <c r="ABQ232" s="131"/>
      <c r="ABR232" s="131"/>
      <c r="ABS232" s="131"/>
      <c r="ABT232" s="131"/>
      <c r="ABU232" s="131"/>
      <c r="ABV232" s="131"/>
      <c r="ABW232" s="131"/>
      <c r="ABX232" s="131"/>
      <c r="ABY232" s="131"/>
      <c r="ABZ232" s="131"/>
      <c r="ACA232" s="131"/>
      <c r="ACB232" s="131"/>
      <c r="ACC232" s="131"/>
      <c r="ACD232" s="131"/>
      <c r="ACE232" s="131"/>
      <c r="ACF232" s="131"/>
      <c r="ACG232" s="131"/>
      <c r="ACH232" s="131"/>
      <c r="ACI232" s="131"/>
      <c r="ACJ232" s="131"/>
      <c r="ACK232" s="131"/>
      <c r="ACL232" s="131"/>
      <c r="ACM232" s="131"/>
      <c r="ACN232" s="131"/>
      <c r="ACO232" s="131"/>
      <c r="ACP232" s="131"/>
      <c r="ACQ232" s="131"/>
      <c r="ACR232" s="131"/>
      <c r="ACS232" s="131"/>
      <c r="ACT232" s="131"/>
      <c r="ACU232" s="131"/>
      <c r="ACV232" s="131"/>
      <c r="ACW232" s="131"/>
      <c r="ACX232" s="131"/>
      <c r="ACY232" s="131"/>
      <c r="ACZ232" s="131"/>
      <c r="ADA232" s="131"/>
      <c r="ADB232" s="131"/>
      <c r="ADC232" s="131"/>
      <c r="ADD232" s="131"/>
      <c r="ADE232" s="131"/>
      <c r="ADF232" s="131"/>
      <c r="ADG232" s="131"/>
      <c r="ADH232" s="131"/>
      <c r="ADI232" s="131"/>
      <c r="ADJ232" s="131"/>
      <c r="ADK232" s="131"/>
      <c r="ADL232" s="131"/>
      <c r="ADM232" s="131"/>
      <c r="ADN232" s="131"/>
      <c r="ADO232" s="131"/>
      <c r="ADP232" s="131"/>
      <c r="ADQ232" s="131"/>
      <c r="ADR232" s="131"/>
      <c r="ADS232" s="131"/>
      <c r="ADT232" s="131"/>
      <c r="ADU232" s="131"/>
      <c r="ADV232" s="131"/>
      <c r="ADW232" s="131"/>
      <c r="ADX232" s="131"/>
      <c r="ADY232" s="131"/>
      <c r="ADZ232" s="131"/>
      <c r="AEA232" s="131"/>
      <c r="AEB232" s="131"/>
      <c r="AEC232" s="131"/>
      <c r="AED232" s="131"/>
      <c r="AEE232" s="131"/>
      <c r="AEF232" s="131"/>
      <c r="AEG232" s="131"/>
      <c r="AEH232" s="131"/>
      <c r="AEI232" s="131"/>
      <c r="AEJ232" s="131"/>
      <c r="AEK232" s="131"/>
      <c r="AEL232" s="131"/>
      <c r="AEM232" s="131"/>
      <c r="AEN232" s="131"/>
      <c r="AEO232" s="131"/>
      <c r="AEP232" s="131"/>
      <c r="AEQ232" s="131"/>
      <c r="AER232" s="131"/>
      <c r="AES232" s="131"/>
      <c r="AET232" s="131"/>
      <c r="AEU232" s="131"/>
      <c r="AEV232" s="131"/>
      <c r="AEW232" s="131"/>
      <c r="AEX232" s="131"/>
      <c r="AEY232" s="131"/>
      <c r="AEZ232" s="131"/>
      <c r="AFA232" s="131"/>
      <c r="AFB232" s="131"/>
      <c r="AFC232" s="131"/>
      <c r="AFD232" s="131"/>
      <c r="AFE232" s="131"/>
      <c r="AFF232" s="131"/>
      <c r="AFG232" s="131"/>
      <c r="AFH232" s="131"/>
      <c r="AFI232" s="131"/>
      <c r="AFJ232" s="131"/>
      <c r="AFK232" s="131"/>
      <c r="AFL232" s="131"/>
      <c r="AFM232" s="131"/>
      <c r="AFN232" s="131"/>
      <c r="AFO232" s="131"/>
      <c r="AFP232" s="131"/>
      <c r="AFQ232" s="131"/>
      <c r="AFR232" s="131"/>
      <c r="AFS232" s="131"/>
      <c r="AFT232" s="131"/>
      <c r="AFU232" s="131"/>
      <c r="AFV232" s="131"/>
      <c r="AFW232" s="131"/>
      <c r="AFX232" s="131"/>
      <c r="AFY232" s="131"/>
      <c r="AFZ232" s="131"/>
      <c r="AGA232" s="131"/>
      <c r="AGB232" s="131"/>
      <c r="AGC232" s="131"/>
      <c r="AGD232" s="131"/>
      <c r="AGE232" s="131"/>
      <c r="AGF232" s="131"/>
      <c r="AGG232" s="131"/>
      <c r="AGH232" s="131"/>
      <c r="AGI232" s="131"/>
      <c r="AGJ232" s="131"/>
      <c r="AGK232" s="131"/>
      <c r="AGL232" s="131"/>
      <c r="AGM232" s="131"/>
      <c r="AGN232" s="131"/>
      <c r="AGO232" s="131"/>
      <c r="AGP232" s="131"/>
      <c r="AGQ232" s="131"/>
      <c r="AGR232" s="131"/>
      <c r="AGS232" s="131"/>
      <c r="AGT232" s="131"/>
      <c r="AGU232" s="131"/>
      <c r="AGV232" s="131"/>
      <c r="AGW232" s="131"/>
      <c r="AGX232" s="131"/>
      <c r="AGY232" s="131"/>
      <c r="AGZ232" s="131"/>
      <c r="AHA232" s="131"/>
      <c r="AHB232" s="131"/>
      <c r="AHC232" s="131"/>
      <c r="AHD232" s="131"/>
      <c r="AHE232" s="131"/>
      <c r="AHF232" s="131"/>
      <c r="AHG232" s="131"/>
      <c r="AHH232" s="131"/>
      <c r="AHI232" s="131"/>
      <c r="AHJ232" s="131"/>
      <c r="AHK232" s="131"/>
      <c r="AHL232" s="131"/>
      <c r="AHM232" s="131"/>
      <c r="AHN232" s="131"/>
      <c r="AHO232" s="131"/>
      <c r="AHP232" s="131"/>
      <c r="AHQ232" s="131"/>
      <c r="AHR232" s="131"/>
      <c r="AHS232" s="131"/>
      <c r="AHT232" s="131"/>
      <c r="AHU232" s="131"/>
      <c r="AHV232" s="131"/>
      <c r="AHW232" s="131"/>
      <c r="AHX232" s="131"/>
      <c r="AHY232" s="131"/>
      <c r="AHZ232" s="131"/>
      <c r="AIA232" s="131"/>
      <c r="AIB232" s="131"/>
      <c r="AIC232" s="131"/>
      <c r="AID232" s="131"/>
      <c r="AIE232" s="131"/>
      <c r="AIF232" s="131"/>
      <c r="AIG232" s="131"/>
      <c r="AIH232" s="131"/>
      <c r="AII232" s="131"/>
      <c r="AIJ232" s="131"/>
      <c r="AIK232" s="131"/>
      <c r="AIL232" s="131"/>
      <c r="AIM232" s="131"/>
      <c r="AIN232" s="131"/>
      <c r="AIO232" s="131"/>
      <c r="AIP232" s="131"/>
      <c r="AIQ232" s="131"/>
      <c r="AIR232" s="131"/>
      <c r="AIS232" s="131"/>
      <c r="AIT232" s="131"/>
      <c r="AIU232" s="131"/>
      <c r="AIV232" s="131"/>
      <c r="AIW232" s="131"/>
      <c r="AIX232" s="131"/>
      <c r="AIY232" s="131"/>
      <c r="AIZ232" s="131"/>
      <c r="AJA232" s="131"/>
      <c r="AJB232" s="131"/>
      <c r="AJC232" s="131"/>
      <c r="AJD232" s="131"/>
      <c r="AJE232" s="131"/>
      <c r="AJF232" s="131"/>
      <c r="AJG232" s="131"/>
      <c r="AJH232" s="131"/>
      <c r="AJI232" s="131"/>
      <c r="AJJ232" s="131"/>
      <c r="AJK232" s="131"/>
      <c r="AJL232" s="131"/>
      <c r="AJM232" s="131"/>
      <c r="AJN232" s="131"/>
      <c r="AJO232" s="131"/>
      <c r="AJP232" s="131"/>
      <c r="AJQ232" s="131"/>
      <c r="AJR232" s="131"/>
      <c r="AJS232" s="131"/>
      <c r="AJT232" s="131"/>
      <c r="AJU232" s="131"/>
      <c r="AJV232" s="131"/>
      <c r="AJW232" s="131"/>
      <c r="AJX232" s="131"/>
      <c r="AJY232" s="131"/>
      <c r="AJZ232" s="131"/>
      <c r="AKA232" s="131"/>
      <c r="AKB232" s="131"/>
      <c r="AKC232" s="131"/>
      <c r="AKD232" s="131"/>
      <c r="AKE232" s="131"/>
      <c r="AKF232" s="131"/>
      <c r="AKG232" s="131"/>
      <c r="AKH232" s="131"/>
      <c r="AKI232" s="131"/>
      <c r="AKJ232" s="131"/>
      <c r="AKK232" s="131"/>
      <c r="AKL232" s="131"/>
      <c r="AKM232" s="131"/>
      <c r="AKN232" s="131"/>
      <c r="AKO232" s="131"/>
      <c r="AKP232" s="131"/>
      <c r="AKQ232" s="131"/>
      <c r="AKR232" s="131"/>
      <c r="AKS232" s="131"/>
      <c r="AKT232" s="131"/>
      <c r="AKU232" s="131"/>
      <c r="AKV232" s="131"/>
      <c r="AKW232" s="131"/>
      <c r="AKX232" s="131"/>
      <c r="AKY232" s="131"/>
      <c r="AKZ232" s="131"/>
      <c r="ALA232" s="131"/>
      <c r="ALB232" s="131"/>
      <c r="ALC232" s="131"/>
      <c r="ALD232" s="131"/>
      <c r="ALE232" s="131"/>
      <c r="ALF232" s="131"/>
      <c r="ALG232" s="131"/>
      <c r="ALH232" s="131"/>
      <c r="ALI232" s="131"/>
      <c r="ALJ232" s="131"/>
      <c r="ALK232" s="131"/>
      <c r="ALL232" s="131"/>
      <c r="ALM232" s="131"/>
      <c r="ALN232" s="131"/>
      <c r="ALO232" s="131"/>
      <c r="ALP232" s="131"/>
      <c r="ALQ232" s="131"/>
      <c r="ALR232" s="131"/>
      <c r="ALS232" s="131"/>
      <c r="ALT232" s="131"/>
      <c r="ALU232" s="131"/>
      <c r="ALV232" s="131"/>
      <c r="ALW232" s="131"/>
      <c r="ALX232" s="131"/>
      <c r="ALY232" s="131"/>
      <c r="ALZ232" s="131"/>
      <c r="AMA232" s="131"/>
      <c r="AMB232" s="131"/>
      <c r="AMC232" s="131"/>
      <c r="AMD232" s="131"/>
      <c r="AME232" s="131"/>
      <c r="AMF232" s="131"/>
      <c r="AMG232" s="131"/>
      <c r="AMH232" s="131"/>
      <c r="AMI232" s="131"/>
      <c r="AMJ232" s="131"/>
      <c r="AMK232" s="131"/>
      <c r="AML232" s="131"/>
      <c r="AMM232" s="131"/>
      <c r="AMN232" s="131"/>
      <c r="AMO232" s="131"/>
      <c r="AMP232" s="131"/>
      <c r="AMQ232" s="131"/>
      <c r="AMR232" s="131"/>
      <c r="AMS232" s="131"/>
      <c r="AMT232" s="131"/>
      <c r="AMU232" s="131"/>
      <c r="AMV232" s="131"/>
      <c r="AMW232" s="131"/>
      <c r="AMX232" s="131"/>
      <c r="AMY232" s="131"/>
      <c r="AMZ232" s="131"/>
      <c r="ANA232" s="131"/>
      <c r="ANB232" s="131"/>
      <c r="ANC232" s="131"/>
      <c r="AND232" s="131"/>
      <c r="ANE232" s="131"/>
      <c r="ANF232" s="131"/>
      <c r="ANG232" s="131"/>
      <c r="ANH232" s="131"/>
      <c r="ANI232" s="131"/>
      <c r="ANJ232" s="131"/>
      <c r="ANK232" s="131"/>
      <c r="ANL232" s="131"/>
      <c r="ANM232" s="131"/>
      <c r="ANN232" s="131"/>
      <c r="ANO232" s="131"/>
      <c r="ANP232" s="131"/>
      <c r="ANQ232" s="131"/>
      <c r="ANR232" s="131"/>
      <c r="ANS232" s="131"/>
      <c r="ANT232" s="131"/>
      <c r="ANU232" s="131"/>
      <c r="ANV232" s="131"/>
      <c r="ANW232" s="131"/>
      <c r="ANX232" s="131"/>
      <c r="ANY232" s="131"/>
      <c r="ANZ232" s="131"/>
      <c r="AOA232" s="131"/>
      <c r="AOB232" s="131"/>
      <c r="AOC232" s="131"/>
      <c r="AOD232" s="131"/>
      <c r="AOE232" s="131"/>
      <c r="AOF232" s="131"/>
      <c r="AOG232" s="131"/>
      <c r="AOH232" s="131"/>
      <c r="AOI232" s="131"/>
      <c r="AOJ232" s="131"/>
      <c r="AOK232" s="131"/>
      <c r="AOL232" s="131"/>
      <c r="AOM232" s="131"/>
      <c r="AON232" s="131"/>
      <c r="AOO232" s="131"/>
      <c r="AOP232" s="131"/>
      <c r="AOQ232" s="131"/>
      <c r="AOR232" s="131"/>
      <c r="AOS232" s="131"/>
      <c r="AOT232" s="131"/>
      <c r="AOU232" s="131"/>
      <c r="AOV232" s="131"/>
      <c r="AOW232" s="131"/>
      <c r="AOX232" s="131"/>
      <c r="AOY232" s="131"/>
      <c r="AOZ232" s="131"/>
      <c r="APA232" s="131"/>
      <c r="APB232" s="131"/>
      <c r="APC232" s="131"/>
      <c r="APD232" s="131"/>
      <c r="APE232" s="131"/>
      <c r="APF232" s="131"/>
      <c r="APG232" s="131"/>
      <c r="APH232" s="131"/>
      <c r="API232" s="131"/>
      <c r="APJ232" s="131"/>
      <c r="APK232" s="131"/>
      <c r="APL232" s="131"/>
      <c r="APM232" s="131"/>
      <c r="APN232" s="131"/>
      <c r="APO232" s="131"/>
      <c r="APP232" s="131"/>
      <c r="APQ232" s="131"/>
      <c r="APR232" s="131"/>
      <c r="APS232" s="131"/>
      <c r="APT232" s="131"/>
      <c r="APU232" s="131"/>
      <c r="APV232" s="131"/>
      <c r="APW232" s="131"/>
      <c r="APX232" s="131"/>
      <c r="APY232" s="131"/>
      <c r="APZ232" s="131"/>
      <c r="AQA232" s="131"/>
      <c r="AQB232" s="131"/>
      <c r="AQC232" s="131"/>
      <c r="AQD232" s="131"/>
      <c r="AQE232" s="131"/>
      <c r="AQF232" s="131"/>
      <c r="AQG232" s="131"/>
      <c r="AQH232" s="131"/>
      <c r="AQI232" s="131"/>
      <c r="AQJ232" s="131"/>
      <c r="AQK232" s="131"/>
      <c r="AQL232" s="131"/>
      <c r="AQM232" s="131"/>
      <c r="AQN232" s="131"/>
      <c r="AQO232" s="131"/>
      <c r="AQP232" s="131"/>
      <c r="AQQ232" s="131"/>
      <c r="AQR232" s="131"/>
      <c r="AQS232" s="131"/>
      <c r="AQT232" s="131"/>
      <c r="AQU232" s="131"/>
      <c r="AQV232" s="131"/>
      <c r="AQW232" s="131"/>
      <c r="AQX232" s="131"/>
      <c r="AQY232" s="131"/>
      <c r="AQZ232" s="131"/>
      <c r="ARA232" s="131"/>
      <c r="ARB232" s="131"/>
      <c r="ARC232" s="131"/>
      <c r="ARD232" s="131"/>
      <c r="ARE232" s="131"/>
      <c r="ARF232" s="131"/>
      <c r="ARG232" s="131"/>
      <c r="ARH232" s="131"/>
      <c r="ARI232" s="131"/>
      <c r="ARJ232" s="131"/>
      <c r="ARK232" s="131"/>
      <c r="ARL232" s="131"/>
      <c r="ARM232" s="131"/>
      <c r="ARN232" s="131"/>
      <c r="ARO232" s="131"/>
      <c r="ARP232" s="131"/>
      <c r="ARQ232" s="131"/>
      <c r="ARR232" s="131"/>
      <c r="ARS232" s="131"/>
      <c r="ART232" s="131"/>
      <c r="ARU232" s="131"/>
      <c r="ARV232" s="131"/>
      <c r="ARW232" s="131"/>
      <c r="ARX232" s="131"/>
      <c r="ARY232" s="131"/>
      <c r="ARZ232" s="131"/>
      <c r="ASA232" s="131"/>
      <c r="ASB232" s="131"/>
      <c r="ASC232" s="131"/>
      <c r="ASD232" s="131"/>
      <c r="ASE232" s="131"/>
      <c r="ASF232" s="131"/>
      <c r="ASG232" s="131"/>
      <c r="ASH232" s="131"/>
      <c r="ASI232" s="131"/>
      <c r="ASJ232" s="131"/>
      <c r="ASK232" s="131"/>
      <c r="ASL232" s="131"/>
      <c r="ASM232" s="131"/>
      <c r="ASN232" s="131"/>
      <c r="ASO232" s="131"/>
      <c r="ASP232" s="131"/>
      <c r="ASQ232" s="131"/>
      <c r="ASR232" s="131"/>
      <c r="ASS232" s="131"/>
      <c r="AST232" s="131"/>
      <c r="ASU232" s="131"/>
      <c r="ASV232" s="131"/>
      <c r="ASW232" s="131"/>
      <c r="ASX232" s="131"/>
      <c r="ASY232" s="131"/>
      <c r="ASZ232" s="131"/>
      <c r="ATA232" s="131"/>
      <c r="ATB232" s="131"/>
      <c r="ATC232" s="131"/>
    </row>
    <row r="233" spans="1:1199" ht="50.1" customHeight="1" outlineLevel="2" x14ac:dyDescent="0.3">
      <c r="A233" s="106" t="s">
        <v>242</v>
      </c>
      <c r="B233" s="80" t="s">
        <v>243</v>
      </c>
      <c r="C233" s="79" t="s">
        <v>55</v>
      </c>
      <c r="D233" s="81">
        <f t="shared" ref="D233:D239" si="53">E233+F233</f>
        <v>297.18931000000003</v>
      </c>
      <c r="E233" s="82">
        <f t="shared" si="38"/>
        <v>26.586030000000001</v>
      </c>
      <c r="F233" s="83">
        <f t="shared" si="47"/>
        <v>270.60328000000004</v>
      </c>
      <c r="G233" s="84"/>
      <c r="H233" s="85"/>
      <c r="I233" s="85"/>
      <c r="J233" s="84"/>
      <c r="K233" s="85"/>
      <c r="L233" s="85"/>
      <c r="M233" s="85"/>
      <c r="N233" s="85"/>
      <c r="O233" s="82"/>
      <c r="P233" s="83"/>
      <c r="Q233" s="83"/>
      <c r="R233" s="83"/>
      <c r="S233" s="82"/>
      <c r="T233" s="83"/>
      <c r="U233" s="83"/>
      <c r="V233" s="84"/>
      <c r="W233" s="85"/>
      <c r="X233" s="82"/>
      <c r="Y233" s="83">
        <v>18.72</v>
      </c>
      <c r="Z233" s="84"/>
      <c r="AA233" s="85"/>
      <c r="AB233" s="84"/>
      <c r="AC233" s="85"/>
      <c r="AD233" s="89">
        <f t="shared" si="46"/>
        <v>0</v>
      </c>
      <c r="AE233" s="89"/>
      <c r="AF233" s="186"/>
      <c r="AG233" s="85"/>
      <c r="AH233" s="85"/>
      <c r="AI233" s="85"/>
      <c r="AJ233" s="84"/>
      <c r="AK233" s="85"/>
      <c r="AL233" s="84"/>
      <c r="AM233" s="88"/>
      <c r="AN233" s="84"/>
      <c r="AO233" s="85"/>
      <c r="AP233" s="84"/>
      <c r="AQ233" s="83"/>
      <c r="AR233" s="83"/>
      <c r="AS233" s="83"/>
      <c r="AT233" s="85"/>
      <c r="AU233" s="85"/>
      <c r="AV233" s="85"/>
      <c r="AW233" s="88"/>
      <c r="AX233" s="84"/>
      <c r="AY233" s="85"/>
      <c r="AZ233" s="84">
        <v>26.586030000000001</v>
      </c>
      <c r="BA233" s="85">
        <v>24.075849999999999</v>
      </c>
      <c r="BB233" s="88"/>
      <c r="BC233" s="85"/>
      <c r="BD233" s="84"/>
      <c r="BE233" s="88"/>
      <c r="BF233" s="85"/>
      <c r="BG233" s="85"/>
      <c r="BH233" s="85"/>
      <c r="BI233" s="85"/>
      <c r="BJ233" s="85"/>
      <c r="BK233" s="85">
        <v>227.80743000000001</v>
      </c>
      <c r="BL233" s="85"/>
      <c r="BM233" s="85"/>
      <c r="BN233" s="85"/>
      <c r="BO233" s="85"/>
      <c r="BP233" s="85"/>
      <c r="BQ233" s="85"/>
      <c r="BR233" s="84"/>
      <c r="BS233" s="85"/>
      <c r="BT233" s="85"/>
      <c r="BU233" s="198"/>
      <c r="BV233" s="90"/>
      <c r="BW233" s="198"/>
      <c r="BX233" s="90"/>
      <c r="BY233" s="198"/>
      <c r="BZ233" s="90"/>
      <c r="CA233" s="91"/>
    </row>
    <row r="234" spans="1:1199" ht="50.1" customHeight="1" outlineLevel="2" x14ac:dyDescent="0.3">
      <c r="A234" s="106" t="s">
        <v>242</v>
      </c>
      <c r="B234" s="80" t="s">
        <v>244</v>
      </c>
      <c r="C234" s="79" t="s">
        <v>55</v>
      </c>
      <c r="D234" s="81">
        <f t="shared" si="53"/>
        <v>128.4889</v>
      </c>
      <c r="E234" s="82">
        <f t="shared" si="38"/>
        <v>24.353490000000001</v>
      </c>
      <c r="F234" s="83">
        <f t="shared" si="47"/>
        <v>104.13540999999999</v>
      </c>
      <c r="G234" s="84"/>
      <c r="H234" s="85"/>
      <c r="I234" s="85"/>
      <c r="J234" s="84"/>
      <c r="K234" s="85"/>
      <c r="L234" s="85">
        <v>66.481359999999995</v>
      </c>
      <c r="M234" s="85"/>
      <c r="N234" s="85"/>
      <c r="O234" s="82"/>
      <c r="P234" s="83"/>
      <c r="Q234" s="83"/>
      <c r="R234" s="83"/>
      <c r="S234" s="82"/>
      <c r="T234" s="83"/>
      <c r="U234" s="83"/>
      <c r="V234" s="84"/>
      <c r="W234" s="85"/>
      <c r="X234" s="82"/>
      <c r="Y234" s="83">
        <v>15.6</v>
      </c>
      <c r="Z234" s="84"/>
      <c r="AA234" s="85"/>
      <c r="AB234" s="84"/>
      <c r="AC234" s="85"/>
      <c r="AD234" s="89">
        <f t="shared" si="46"/>
        <v>0</v>
      </c>
      <c r="AE234" s="89"/>
      <c r="AF234" s="186"/>
      <c r="AG234" s="85"/>
      <c r="AH234" s="85"/>
      <c r="AI234" s="85"/>
      <c r="AJ234" s="84"/>
      <c r="AK234" s="85"/>
      <c r="AL234" s="84"/>
      <c r="AM234" s="88"/>
      <c r="AN234" s="84"/>
      <c r="AO234" s="85"/>
      <c r="AP234" s="84"/>
      <c r="AQ234" s="83"/>
      <c r="AR234" s="83"/>
      <c r="AS234" s="83"/>
      <c r="AT234" s="85"/>
      <c r="AU234" s="85"/>
      <c r="AV234" s="85"/>
      <c r="AW234" s="88"/>
      <c r="AX234" s="84"/>
      <c r="AY234" s="85"/>
      <c r="AZ234" s="84">
        <v>24.353490000000001</v>
      </c>
      <c r="BA234" s="85">
        <v>22.05405</v>
      </c>
      <c r="BB234" s="88"/>
      <c r="BC234" s="85"/>
      <c r="BD234" s="84"/>
      <c r="BE234" s="88"/>
      <c r="BF234" s="85"/>
      <c r="BG234" s="85"/>
      <c r="BH234" s="85"/>
      <c r="BI234" s="85"/>
      <c r="BJ234" s="85"/>
      <c r="BK234" s="85"/>
      <c r="BL234" s="85"/>
      <c r="BM234" s="85"/>
      <c r="BN234" s="85"/>
      <c r="BO234" s="85"/>
      <c r="BP234" s="85"/>
      <c r="BQ234" s="85"/>
      <c r="BR234" s="84"/>
      <c r="BS234" s="85"/>
      <c r="BT234" s="85"/>
      <c r="BU234" s="198"/>
      <c r="BV234" s="90"/>
      <c r="BW234" s="198"/>
      <c r="BX234" s="90"/>
      <c r="BY234" s="198"/>
      <c r="BZ234" s="90"/>
      <c r="CA234" s="91"/>
    </row>
    <row r="235" spans="1:1199" ht="50.1" customHeight="1" outlineLevel="2" x14ac:dyDescent="0.3">
      <c r="A235" s="106" t="s">
        <v>242</v>
      </c>
      <c r="B235" s="80" t="s">
        <v>245</v>
      </c>
      <c r="C235" s="112" t="s">
        <v>55</v>
      </c>
      <c r="D235" s="81">
        <f t="shared" si="53"/>
        <v>47.34</v>
      </c>
      <c r="E235" s="82">
        <f t="shared" si="38"/>
        <v>0</v>
      </c>
      <c r="F235" s="83">
        <f t="shared" si="47"/>
        <v>47.34</v>
      </c>
      <c r="G235" s="84"/>
      <c r="H235" s="85"/>
      <c r="I235" s="85"/>
      <c r="J235" s="84"/>
      <c r="K235" s="85"/>
      <c r="L235" s="85"/>
      <c r="M235" s="85"/>
      <c r="N235" s="85"/>
      <c r="O235" s="82"/>
      <c r="P235" s="83"/>
      <c r="Q235" s="83"/>
      <c r="R235" s="83"/>
      <c r="S235" s="82"/>
      <c r="T235" s="83"/>
      <c r="U235" s="83"/>
      <c r="V235" s="84"/>
      <c r="W235" s="85"/>
      <c r="X235" s="82"/>
      <c r="Y235" s="83"/>
      <c r="Z235" s="84"/>
      <c r="AA235" s="85"/>
      <c r="AB235" s="84"/>
      <c r="AC235" s="85"/>
      <c r="AD235" s="89">
        <f t="shared" si="46"/>
        <v>0</v>
      </c>
      <c r="AE235" s="89"/>
      <c r="AF235" s="186"/>
      <c r="AG235" s="85"/>
      <c r="AH235" s="85"/>
      <c r="AI235" s="85"/>
      <c r="AJ235" s="84"/>
      <c r="AK235" s="85"/>
      <c r="AL235" s="84"/>
      <c r="AM235" s="88"/>
      <c r="AN235" s="84"/>
      <c r="AO235" s="85"/>
      <c r="AP235" s="84"/>
      <c r="AQ235" s="83"/>
      <c r="AR235" s="83"/>
      <c r="AS235" s="83"/>
      <c r="AT235" s="85"/>
      <c r="AU235" s="85"/>
      <c r="AV235" s="85"/>
      <c r="AW235" s="88"/>
      <c r="AX235" s="84"/>
      <c r="AY235" s="85"/>
      <c r="AZ235" s="84"/>
      <c r="BA235" s="85"/>
      <c r="BB235" s="88"/>
      <c r="BC235" s="85"/>
      <c r="BD235" s="84"/>
      <c r="BE235" s="88"/>
      <c r="BF235" s="85"/>
      <c r="BG235" s="85">
        <v>47.34</v>
      </c>
      <c r="BH235" s="85"/>
      <c r="BI235" s="85"/>
      <c r="BJ235" s="85"/>
      <c r="BK235" s="85"/>
      <c r="BL235" s="85"/>
      <c r="BM235" s="85"/>
      <c r="BN235" s="85"/>
      <c r="BO235" s="85"/>
      <c r="BP235" s="85"/>
      <c r="BQ235" s="85"/>
      <c r="BR235" s="84"/>
      <c r="BS235" s="85"/>
      <c r="BT235" s="85"/>
      <c r="BU235" s="198"/>
      <c r="BV235" s="90"/>
      <c r="BW235" s="198"/>
      <c r="BX235" s="90"/>
      <c r="BY235" s="198"/>
      <c r="BZ235" s="90"/>
      <c r="CA235" s="91"/>
    </row>
    <row r="236" spans="1:1199" ht="50.1" customHeight="1" outlineLevel="2" x14ac:dyDescent="0.3">
      <c r="A236" s="106" t="s">
        <v>242</v>
      </c>
      <c r="B236" s="80" t="s">
        <v>246</v>
      </c>
      <c r="C236" s="79" t="s">
        <v>55</v>
      </c>
      <c r="D236" s="81">
        <f t="shared" si="53"/>
        <v>82.988100000000003</v>
      </c>
      <c r="E236" s="82">
        <f t="shared" si="38"/>
        <v>0</v>
      </c>
      <c r="F236" s="83">
        <f t="shared" si="47"/>
        <v>82.988100000000003</v>
      </c>
      <c r="G236" s="84"/>
      <c r="H236" s="85"/>
      <c r="I236" s="85"/>
      <c r="J236" s="84"/>
      <c r="K236" s="85"/>
      <c r="L236" s="85"/>
      <c r="M236" s="85"/>
      <c r="N236" s="85"/>
      <c r="O236" s="82"/>
      <c r="P236" s="83"/>
      <c r="Q236" s="83"/>
      <c r="R236" s="83"/>
      <c r="S236" s="82"/>
      <c r="T236" s="83"/>
      <c r="U236" s="83"/>
      <c r="V236" s="84"/>
      <c r="W236" s="85"/>
      <c r="X236" s="82"/>
      <c r="Y236" s="83"/>
      <c r="Z236" s="84"/>
      <c r="AA236" s="85"/>
      <c r="AB236" s="84"/>
      <c r="AC236" s="85"/>
      <c r="AD236" s="89">
        <f t="shared" si="46"/>
        <v>0</v>
      </c>
      <c r="AE236" s="89"/>
      <c r="AF236" s="186"/>
      <c r="AG236" s="85"/>
      <c r="AH236" s="85"/>
      <c r="AI236" s="85"/>
      <c r="AJ236" s="84"/>
      <c r="AK236" s="85"/>
      <c r="AL236" s="84"/>
      <c r="AM236" s="88"/>
      <c r="AN236" s="84"/>
      <c r="AO236" s="85"/>
      <c r="AP236" s="84"/>
      <c r="AQ236" s="83"/>
      <c r="AR236" s="83"/>
      <c r="AS236" s="83"/>
      <c r="AT236" s="85"/>
      <c r="AU236" s="85"/>
      <c r="AV236" s="85"/>
      <c r="AW236" s="88"/>
      <c r="AX236" s="84"/>
      <c r="AY236" s="85"/>
      <c r="AZ236" s="84"/>
      <c r="BA236" s="85"/>
      <c r="BB236" s="88"/>
      <c r="BC236" s="85"/>
      <c r="BD236" s="84"/>
      <c r="BE236" s="88"/>
      <c r="BF236" s="85"/>
      <c r="BG236" s="85"/>
      <c r="BH236" s="85"/>
      <c r="BI236" s="85"/>
      <c r="BJ236" s="85"/>
      <c r="BK236" s="85">
        <v>82.988100000000003</v>
      </c>
      <c r="BL236" s="85"/>
      <c r="BM236" s="85"/>
      <c r="BN236" s="85"/>
      <c r="BO236" s="85"/>
      <c r="BP236" s="85"/>
      <c r="BQ236" s="85"/>
      <c r="BR236" s="84"/>
      <c r="BS236" s="85"/>
      <c r="BT236" s="85"/>
      <c r="BU236" s="198"/>
      <c r="BV236" s="90"/>
      <c r="BW236" s="198"/>
      <c r="BX236" s="90"/>
      <c r="BY236" s="198"/>
      <c r="BZ236" s="90"/>
      <c r="CA236" s="91"/>
    </row>
    <row r="237" spans="1:1199" ht="50.1" customHeight="1" outlineLevel="2" x14ac:dyDescent="0.3">
      <c r="A237" s="106" t="s">
        <v>242</v>
      </c>
      <c r="B237" s="96" t="s">
        <v>1176</v>
      </c>
      <c r="C237" s="79" t="s">
        <v>55</v>
      </c>
      <c r="D237" s="81">
        <f t="shared" si="53"/>
        <v>3000</v>
      </c>
      <c r="E237" s="82">
        <f t="shared" si="38"/>
        <v>2850</v>
      </c>
      <c r="F237" s="83">
        <f t="shared" si="47"/>
        <v>150</v>
      </c>
      <c r="G237" s="84"/>
      <c r="H237" s="85"/>
      <c r="I237" s="85"/>
      <c r="J237" s="84"/>
      <c r="K237" s="85"/>
      <c r="L237" s="85"/>
      <c r="M237" s="85"/>
      <c r="N237" s="85"/>
      <c r="O237" s="82"/>
      <c r="P237" s="83"/>
      <c r="Q237" s="83"/>
      <c r="R237" s="83"/>
      <c r="S237" s="82"/>
      <c r="T237" s="83"/>
      <c r="U237" s="83"/>
      <c r="V237" s="84"/>
      <c r="W237" s="85"/>
      <c r="X237" s="82"/>
      <c r="Y237" s="83"/>
      <c r="Z237" s="84"/>
      <c r="AA237" s="85"/>
      <c r="AB237" s="84"/>
      <c r="AC237" s="85"/>
      <c r="AD237" s="89"/>
      <c r="AE237" s="89"/>
      <c r="AF237" s="186"/>
      <c r="AG237" s="85"/>
      <c r="AH237" s="85"/>
      <c r="AI237" s="85"/>
      <c r="AJ237" s="84"/>
      <c r="AK237" s="85"/>
      <c r="AL237" s="84"/>
      <c r="AM237" s="88"/>
      <c r="AN237" s="84"/>
      <c r="AO237" s="85"/>
      <c r="AP237" s="84"/>
      <c r="AQ237" s="83"/>
      <c r="AR237" s="83"/>
      <c r="AS237" s="83"/>
      <c r="AT237" s="85"/>
      <c r="AU237" s="85"/>
      <c r="AV237" s="85"/>
      <c r="AW237" s="88"/>
      <c r="AX237" s="84"/>
      <c r="AY237" s="85"/>
      <c r="AZ237" s="84"/>
      <c r="BA237" s="85"/>
      <c r="BB237" s="88"/>
      <c r="BC237" s="85"/>
      <c r="BD237" s="84"/>
      <c r="BE237" s="88"/>
      <c r="BF237" s="85"/>
      <c r="BG237" s="85"/>
      <c r="BH237" s="85"/>
      <c r="BI237" s="85"/>
      <c r="BJ237" s="85"/>
      <c r="BK237" s="85"/>
      <c r="BL237" s="85"/>
      <c r="BM237" s="85"/>
      <c r="BN237" s="85"/>
      <c r="BO237" s="85"/>
      <c r="BP237" s="85"/>
      <c r="BQ237" s="85"/>
      <c r="BR237" s="84"/>
      <c r="BS237" s="85"/>
      <c r="BT237" s="85"/>
      <c r="BU237" s="198"/>
      <c r="BV237" s="90">
        <v>2850</v>
      </c>
      <c r="BW237" s="198">
        <v>150</v>
      </c>
      <c r="BX237" s="90"/>
      <c r="BY237" s="198"/>
      <c r="BZ237" s="90"/>
      <c r="CA237" s="91"/>
    </row>
    <row r="238" spans="1:1199" ht="50.1" customHeight="1" outlineLevel="2" x14ac:dyDescent="0.3">
      <c r="A238" s="106" t="s">
        <v>242</v>
      </c>
      <c r="B238" s="111" t="s">
        <v>1072</v>
      </c>
      <c r="C238" s="79"/>
      <c r="D238" s="81">
        <f t="shared" si="53"/>
        <v>300</v>
      </c>
      <c r="E238" s="82">
        <f t="shared" si="38"/>
        <v>0</v>
      </c>
      <c r="F238" s="83">
        <f t="shared" si="47"/>
        <v>300</v>
      </c>
      <c r="G238" s="84"/>
      <c r="H238" s="85"/>
      <c r="I238" s="85"/>
      <c r="J238" s="84"/>
      <c r="K238" s="85"/>
      <c r="L238" s="85"/>
      <c r="M238" s="85"/>
      <c r="N238" s="85"/>
      <c r="O238" s="82"/>
      <c r="P238" s="83"/>
      <c r="Q238" s="83"/>
      <c r="R238" s="83"/>
      <c r="S238" s="82"/>
      <c r="T238" s="83"/>
      <c r="U238" s="83"/>
      <c r="V238" s="84"/>
      <c r="W238" s="85"/>
      <c r="X238" s="82"/>
      <c r="Y238" s="83"/>
      <c r="Z238" s="84"/>
      <c r="AA238" s="85"/>
      <c r="AB238" s="84"/>
      <c r="AC238" s="85"/>
      <c r="AD238" s="89"/>
      <c r="AE238" s="89"/>
      <c r="AF238" s="186"/>
      <c r="AG238" s="85"/>
      <c r="AH238" s="85"/>
      <c r="AI238" s="85"/>
      <c r="AJ238" s="84"/>
      <c r="AK238" s="85"/>
      <c r="AL238" s="84"/>
      <c r="AM238" s="88"/>
      <c r="AN238" s="84"/>
      <c r="AO238" s="85"/>
      <c r="AP238" s="84"/>
      <c r="AQ238" s="83"/>
      <c r="AR238" s="83"/>
      <c r="AS238" s="83"/>
      <c r="AT238" s="85"/>
      <c r="AU238" s="85"/>
      <c r="AV238" s="85"/>
      <c r="AW238" s="88"/>
      <c r="AX238" s="84"/>
      <c r="AY238" s="85"/>
      <c r="AZ238" s="84"/>
      <c r="BA238" s="85"/>
      <c r="BB238" s="88"/>
      <c r="BC238" s="85"/>
      <c r="BD238" s="84"/>
      <c r="BE238" s="88"/>
      <c r="BF238" s="85"/>
      <c r="BG238" s="85"/>
      <c r="BH238" s="85">
        <v>300</v>
      </c>
      <c r="BI238" s="85"/>
      <c r="BJ238" s="85"/>
      <c r="BK238" s="85"/>
      <c r="BL238" s="85"/>
      <c r="BM238" s="85"/>
      <c r="BN238" s="85"/>
      <c r="BO238" s="85"/>
      <c r="BP238" s="85"/>
      <c r="BQ238" s="85"/>
      <c r="BR238" s="84"/>
      <c r="BS238" s="85"/>
      <c r="BT238" s="85"/>
      <c r="BU238" s="198"/>
      <c r="BV238" s="90"/>
      <c r="BW238" s="198"/>
      <c r="BX238" s="90"/>
      <c r="BY238" s="198"/>
      <c r="BZ238" s="90"/>
      <c r="CA238" s="91"/>
    </row>
    <row r="239" spans="1:1199" ht="50.1" customHeight="1" outlineLevel="2" x14ac:dyDescent="0.3">
      <c r="A239" s="106" t="s">
        <v>242</v>
      </c>
      <c r="B239" s="231" t="s">
        <v>247</v>
      </c>
      <c r="C239" s="79"/>
      <c r="D239" s="81">
        <f t="shared" si="53"/>
        <v>55.914000000000001</v>
      </c>
      <c r="E239" s="82">
        <f t="shared" si="38"/>
        <v>0</v>
      </c>
      <c r="F239" s="83">
        <f t="shared" si="47"/>
        <v>55.914000000000001</v>
      </c>
      <c r="G239" s="84"/>
      <c r="H239" s="85"/>
      <c r="I239" s="85"/>
      <c r="J239" s="84"/>
      <c r="K239" s="85"/>
      <c r="L239" s="85"/>
      <c r="M239" s="85"/>
      <c r="N239" s="85"/>
      <c r="O239" s="82"/>
      <c r="P239" s="83"/>
      <c r="Q239" s="83"/>
      <c r="R239" s="83"/>
      <c r="S239" s="82"/>
      <c r="T239" s="83"/>
      <c r="U239" s="83"/>
      <c r="V239" s="84"/>
      <c r="W239" s="85"/>
      <c r="X239" s="82"/>
      <c r="Y239" s="83"/>
      <c r="Z239" s="84"/>
      <c r="AA239" s="85"/>
      <c r="AB239" s="84"/>
      <c r="AC239" s="85"/>
      <c r="AD239" s="89">
        <f t="shared" si="46"/>
        <v>0</v>
      </c>
      <c r="AE239" s="89"/>
      <c r="AF239" s="186"/>
      <c r="AG239" s="85"/>
      <c r="AH239" s="85"/>
      <c r="AI239" s="85"/>
      <c r="AJ239" s="84"/>
      <c r="AK239" s="85"/>
      <c r="AL239" s="84"/>
      <c r="AM239" s="88"/>
      <c r="AN239" s="84"/>
      <c r="AO239" s="85"/>
      <c r="AP239" s="84"/>
      <c r="AQ239" s="83"/>
      <c r="AR239" s="83"/>
      <c r="AS239" s="83"/>
      <c r="AT239" s="85"/>
      <c r="AU239" s="85"/>
      <c r="AV239" s="85"/>
      <c r="AW239" s="88"/>
      <c r="AX239" s="84"/>
      <c r="AY239" s="85"/>
      <c r="AZ239" s="84"/>
      <c r="BA239" s="85"/>
      <c r="BB239" s="88"/>
      <c r="BC239" s="85"/>
      <c r="BD239" s="84"/>
      <c r="BE239" s="88"/>
      <c r="BF239" s="85"/>
      <c r="BG239" s="85"/>
      <c r="BH239" s="85"/>
      <c r="BI239" s="85">
        <v>55.914000000000001</v>
      </c>
      <c r="BJ239" s="85"/>
      <c r="BK239" s="85"/>
      <c r="BL239" s="85"/>
      <c r="BM239" s="85"/>
      <c r="BN239" s="85"/>
      <c r="BO239" s="85"/>
      <c r="BP239" s="85"/>
      <c r="BQ239" s="85"/>
      <c r="BR239" s="84"/>
      <c r="BS239" s="85"/>
      <c r="BT239" s="85"/>
      <c r="BU239" s="198"/>
      <c r="BV239" s="90"/>
      <c r="BW239" s="198"/>
      <c r="BX239" s="90"/>
      <c r="BY239" s="198"/>
      <c r="BZ239" s="90"/>
      <c r="CA239" s="91"/>
    </row>
    <row r="240" spans="1:1199" s="101" customFormat="1" ht="50.1" customHeight="1" outlineLevel="1" x14ac:dyDescent="0.3">
      <c r="A240" s="228" t="s">
        <v>248</v>
      </c>
      <c r="B240" s="229"/>
      <c r="C240" s="134" t="s">
        <v>94</v>
      </c>
      <c r="D240" s="114">
        <f t="shared" ref="D240:AI240" si="54">SUBTOTAL(9,D233:D239)</f>
        <v>3911.9203100000004</v>
      </c>
      <c r="E240" s="114">
        <f t="shared" si="54"/>
        <v>2900.9395199999999</v>
      </c>
      <c r="F240" s="114">
        <f t="shared" si="54"/>
        <v>1010.9807900000001</v>
      </c>
      <c r="G240" s="114">
        <f t="shared" si="54"/>
        <v>0</v>
      </c>
      <c r="H240" s="114">
        <f t="shared" si="54"/>
        <v>0</v>
      </c>
      <c r="I240" s="114">
        <f t="shared" si="54"/>
        <v>0</v>
      </c>
      <c r="J240" s="114">
        <f t="shared" si="54"/>
        <v>0</v>
      </c>
      <c r="K240" s="114">
        <f t="shared" si="54"/>
        <v>0</v>
      </c>
      <c r="L240" s="114">
        <f t="shared" si="54"/>
        <v>66.481359999999995</v>
      </c>
      <c r="M240" s="114">
        <f t="shared" si="54"/>
        <v>0</v>
      </c>
      <c r="N240" s="114">
        <f t="shared" si="54"/>
        <v>0</v>
      </c>
      <c r="O240" s="114">
        <f t="shared" si="54"/>
        <v>0</v>
      </c>
      <c r="P240" s="114">
        <f t="shared" si="54"/>
        <v>0</v>
      </c>
      <c r="Q240" s="114">
        <f t="shared" si="54"/>
        <v>0</v>
      </c>
      <c r="R240" s="114">
        <f t="shared" si="54"/>
        <v>0</v>
      </c>
      <c r="S240" s="114">
        <f t="shared" si="54"/>
        <v>0</v>
      </c>
      <c r="T240" s="114">
        <f t="shared" si="54"/>
        <v>0</v>
      </c>
      <c r="U240" s="114">
        <f t="shared" si="54"/>
        <v>0</v>
      </c>
      <c r="V240" s="114">
        <f t="shared" si="54"/>
        <v>0</v>
      </c>
      <c r="W240" s="114">
        <f t="shared" si="54"/>
        <v>0</v>
      </c>
      <c r="X240" s="114">
        <f t="shared" si="54"/>
        <v>0</v>
      </c>
      <c r="Y240" s="114">
        <f t="shared" si="54"/>
        <v>34.32</v>
      </c>
      <c r="Z240" s="114">
        <f t="shared" si="54"/>
        <v>0</v>
      </c>
      <c r="AA240" s="114">
        <f t="shared" si="54"/>
        <v>0</v>
      </c>
      <c r="AB240" s="114">
        <f t="shared" si="54"/>
        <v>0</v>
      </c>
      <c r="AC240" s="114">
        <f t="shared" si="54"/>
        <v>0</v>
      </c>
      <c r="AD240" s="114">
        <f t="shared" si="54"/>
        <v>0</v>
      </c>
      <c r="AE240" s="114">
        <f t="shared" si="54"/>
        <v>0</v>
      </c>
      <c r="AF240" s="191">
        <f t="shared" si="54"/>
        <v>0</v>
      </c>
      <c r="AG240" s="114">
        <f t="shared" si="54"/>
        <v>0</v>
      </c>
      <c r="AH240" s="114">
        <f t="shared" si="54"/>
        <v>0</v>
      </c>
      <c r="AI240" s="114">
        <f t="shared" si="54"/>
        <v>0</v>
      </c>
      <c r="AJ240" s="114">
        <f t="shared" ref="AJ240:BO240" si="55">SUBTOTAL(9,AJ233:AJ239)</f>
        <v>0</v>
      </c>
      <c r="AK240" s="114">
        <f t="shared" si="55"/>
        <v>0</v>
      </c>
      <c r="AL240" s="114">
        <f t="shared" si="55"/>
        <v>0</v>
      </c>
      <c r="AM240" s="114">
        <f t="shared" si="55"/>
        <v>0</v>
      </c>
      <c r="AN240" s="114">
        <f t="shared" si="55"/>
        <v>0</v>
      </c>
      <c r="AO240" s="114">
        <f t="shared" si="55"/>
        <v>0</v>
      </c>
      <c r="AP240" s="114">
        <f t="shared" si="55"/>
        <v>0</v>
      </c>
      <c r="AQ240" s="114">
        <f t="shared" si="55"/>
        <v>0</v>
      </c>
      <c r="AR240" s="114">
        <f t="shared" si="55"/>
        <v>0</v>
      </c>
      <c r="AS240" s="114">
        <f t="shared" si="55"/>
        <v>0</v>
      </c>
      <c r="AT240" s="114">
        <f t="shared" si="55"/>
        <v>0</v>
      </c>
      <c r="AU240" s="114">
        <f t="shared" si="55"/>
        <v>0</v>
      </c>
      <c r="AV240" s="114">
        <f t="shared" si="55"/>
        <v>0</v>
      </c>
      <c r="AW240" s="114">
        <f t="shared" si="55"/>
        <v>0</v>
      </c>
      <c r="AX240" s="114">
        <f t="shared" si="55"/>
        <v>0</v>
      </c>
      <c r="AY240" s="114">
        <f t="shared" si="55"/>
        <v>0</v>
      </c>
      <c r="AZ240" s="114">
        <f t="shared" si="55"/>
        <v>50.939520000000002</v>
      </c>
      <c r="BA240" s="114">
        <f t="shared" si="55"/>
        <v>46.129899999999999</v>
      </c>
      <c r="BB240" s="114">
        <f t="shared" si="55"/>
        <v>0</v>
      </c>
      <c r="BC240" s="114">
        <f t="shared" si="55"/>
        <v>0</v>
      </c>
      <c r="BD240" s="114">
        <f t="shared" si="55"/>
        <v>0</v>
      </c>
      <c r="BE240" s="114">
        <f t="shared" si="55"/>
        <v>0</v>
      </c>
      <c r="BF240" s="114">
        <f t="shared" si="55"/>
        <v>0</v>
      </c>
      <c r="BG240" s="114">
        <f t="shared" si="55"/>
        <v>47.34</v>
      </c>
      <c r="BH240" s="114">
        <f t="shared" si="55"/>
        <v>300</v>
      </c>
      <c r="BI240" s="114">
        <f t="shared" si="55"/>
        <v>55.914000000000001</v>
      </c>
      <c r="BJ240" s="114">
        <f t="shared" si="55"/>
        <v>0</v>
      </c>
      <c r="BK240" s="114">
        <f t="shared" si="55"/>
        <v>310.79552999999999</v>
      </c>
      <c r="BL240" s="114">
        <f t="shared" si="55"/>
        <v>0</v>
      </c>
      <c r="BM240" s="114">
        <f t="shared" si="55"/>
        <v>0</v>
      </c>
      <c r="BN240" s="114">
        <f t="shared" si="55"/>
        <v>0</v>
      </c>
      <c r="BO240" s="114">
        <f t="shared" si="55"/>
        <v>0</v>
      </c>
      <c r="BP240" s="114">
        <f t="shared" ref="BP240:CU240" si="56">SUBTOTAL(9,BP233:BP239)</f>
        <v>0</v>
      </c>
      <c r="BQ240" s="114">
        <f t="shared" si="56"/>
        <v>0</v>
      </c>
      <c r="BR240" s="114">
        <f t="shared" si="56"/>
        <v>0</v>
      </c>
      <c r="BS240" s="114">
        <f t="shared" si="56"/>
        <v>0</v>
      </c>
      <c r="BT240" s="114">
        <f t="shared" si="56"/>
        <v>0</v>
      </c>
      <c r="BU240" s="114">
        <f t="shared" si="56"/>
        <v>0</v>
      </c>
      <c r="BV240" s="114">
        <f t="shared" si="56"/>
        <v>2850</v>
      </c>
      <c r="BW240" s="114">
        <f t="shared" si="56"/>
        <v>150</v>
      </c>
      <c r="BX240" s="114">
        <f t="shared" si="56"/>
        <v>0</v>
      </c>
      <c r="BY240" s="114">
        <f t="shared" si="56"/>
        <v>0</v>
      </c>
      <c r="BZ240" s="114">
        <f t="shared" si="56"/>
        <v>0</v>
      </c>
      <c r="CA240" s="114">
        <f t="shared" si="56"/>
        <v>0</v>
      </c>
      <c r="CB240" s="176"/>
      <c r="CC240" s="176"/>
      <c r="CD240" s="176"/>
      <c r="CE240" s="176"/>
      <c r="CF240" s="176"/>
      <c r="CG240" s="176"/>
      <c r="CH240" s="176"/>
      <c r="CI240" s="176"/>
      <c r="CJ240" s="176"/>
      <c r="CK240" s="176"/>
      <c r="CL240" s="176"/>
      <c r="CM240" s="176"/>
      <c r="CN240" s="176"/>
      <c r="CO240" s="176"/>
      <c r="CP240" s="176"/>
      <c r="CQ240" s="176"/>
      <c r="CR240" s="176"/>
      <c r="CS240" s="176"/>
      <c r="CT240" s="176"/>
      <c r="CU240" s="176"/>
      <c r="CV240" s="176"/>
      <c r="CW240" s="176"/>
      <c r="CX240" s="176"/>
      <c r="CY240" s="176"/>
      <c r="CZ240" s="176"/>
      <c r="DA240" s="176"/>
      <c r="DB240" s="176"/>
      <c r="DC240" s="176"/>
      <c r="DD240" s="176"/>
      <c r="DE240" s="176"/>
      <c r="DF240" s="176"/>
      <c r="DG240" s="176"/>
      <c r="DH240" s="176"/>
      <c r="DI240" s="176"/>
      <c r="DJ240" s="176"/>
      <c r="DK240" s="176"/>
      <c r="DL240" s="176"/>
      <c r="DM240" s="176"/>
      <c r="DN240" s="176"/>
      <c r="DO240" s="176"/>
      <c r="DP240" s="176"/>
      <c r="DQ240" s="176"/>
      <c r="DR240" s="176"/>
      <c r="DS240" s="176"/>
      <c r="DT240" s="176"/>
      <c r="DU240" s="176"/>
      <c r="DV240" s="176"/>
      <c r="DW240" s="176"/>
      <c r="DX240" s="176"/>
      <c r="DY240" s="176"/>
      <c r="DZ240" s="176"/>
      <c r="EA240" s="176"/>
      <c r="EB240" s="176"/>
      <c r="EC240" s="176"/>
      <c r="ED240" s="176"/>
      <c r="EE240" s="176"/>
      <c r="EF240" s="176"/>
      <c r="EG240" s="176"/>
      <c r="EH240" s="176"/>
      <c r="EI240" s="176"/>
      <c r="EJ240" s="176"/>
      <c r="EK240" s="176"/>
      <c r="EL240" s="176"/>
      <c r="EM240" s="176"/>
      <c r="EN240" s="176"/>
      <c r="EO240" s="176"/>
      <c r="EP240" s="176"/>
      <c r="EQ240" s="176"/>
      <c r="ER240" s="176"/>
      <c r="ES240" s="176"/>
      <c r="ET240" s="176"/>
      <c r="EU240" s="176"/>
      <c r="EV240" s="176"/>
      <c r="EW240" s="176"/>
      <c r="EX240" s="176"/>
      <c r="EY240" s="176"/>
      <c r="EZ240" s="176"/>
      <c r="FA240" s="176"/>
      <c r="FB240" s="176"/>
      <c r="FC240" s="176"/>
      <c r="FD240" s="176"/>
      <c r="FE240" s="176"/>
      <c r="FF240" s="176"/>
      <c r="FG240" s="176"/>
      <c r="FH240" s="176"/>
      <c r="FI240" s="176"/>
      <c r="FJ240" s="176"/>
      <c r="FK240" s="176"/>
      <c r="FL240" s="176"/>
      <c r="FM240" s="176"/>
      <c r="FN240" s="176"/>
      <c r="FO240" s="176"/>
      <c r="FP240" s="176"/>
      <c r="FQ240" s="176"/>
      <c r="FR240" s="176"/>
      <c r="FS240" s="176"/>
      <c r="FT240" s="176"/>
      <c r="FU240" s="176"/>
      <c r="FV240" s="176"/>
      <c r="FW240" s="176"/>
      <c r="FX240" s="176"/>
      <c r="FY240" s="176"/>
      <c r="FZ240" s="176"/>
      <c r="GA240" s="176"/>
      <c r="GB240" s="176"/>
      <c r="GC240" s="176"/>
      <c r="GD240" s="176"/>
      <c r="GE240" s="176"/>
      <c r="GF240" s="176"/>
      <c r="GG240" s="176"/>
      <c r="GH240" s="176"/>
      <c r="GI240" s="176"/>
      <c r="GJ240" s="176"/>
      <c r="GK240" s="176"/>
      <c r="GL240" s="176"/>
      <c r="GM240" s="176"/>
      <c r="GN240" s="176"/>
      <c r="GO240" s="176"/>
      <c r="GP240" s="176"/>
      <c r="GQ240" s="176"/>
      <c r="GR240" s="176"/>
      <c r="GS240" s="176"/>
      <c r="GT240" s="176"/>
      <c r="GU240" s="176"/>
      <c r="GV240" s="176"/>
      <c r="GW240" s="176"/>
      <c r="GX240" s="176"/>
      <c r="GY240" s="176"/>
      <c r="GZ240" s="176"/>
      <c r="HA240" s="176"/>
      <c r="HB240" s="176"/>
      <c r="HC240" s="176"/>
      <c r="HD240" s="176"/>
      <c r="HE240" s="176"/>
      <c r="HF240" s="176"/>
      <c r="HG240" s="176"/>
      <c r="HH240" s="176"/>
      <c r="HI240" s="176"/>
      <c r="HJ240" s="176"/>
      <c r="HK240" s="176"/>
      <c r="HL240" s="176"/>
      <c r="HM240" s="176"/>
      <c r="HN240" s="176"/>
      <c r="HO240" s="176"/>
      <c r="HP240" s="176"/>
      <c r="HQ240" s="176"/>
      <c r="HR240" s="176"/>
      <c r="HS240" s="176"/>
      <c r="HT240" s="176"/>
      <c r="HU240" s="176"/>
      <c r="HV240" s="176"/>
      <c r="HW240" s="176"/>
      <c r="HX240" s="176"/>
      <c r="HY240" s="176"/>
      <c r="HZ240" s="176"/>
      <c r="IA240" s="176"/>
      <c r="IB240" s="176"/>
      <c r="IC240" s="176"/>
      <c r="ID240" s="176"/>
      <c r="IE240" s="176"/>
      <c r="IF240" s="176"/>
      <c r="IG240" s="176"/>
      <c r="IH240" s="176"/>
      <c r="II240" s="176"/>
      <c r="IJ240" s="176"/>
      <c r="IK240" s="176"/>
      <c r="IL240" s="176"/>
      <c r="IM240" s="176"/>
      <c r="IN240" s="176"/>
      <c r="IO240" s="176"/>
      <c r="IP240" s="176"/>
      <c r="IQ240" s="176"/>
      <c r="IR240" s="176"/>
      <c r="IS240" s="176"/>
      <c r="IT240" s="176"/>
      <c r="IU240" s="176"/>
      <c r="IV240" s="176"/>
      <c r="IW240" s="176"/>
      <c r="IX240" s="176"/>
      <c r="IY240" s="176"/>
      <c r="IZ240" s="176"/>
      <c r="JA240" s="176"/>
      <c r="JB240" s="176"/>
      <c r="JC240" s="176"/>
      <c r="JD240" s="176"/>
      <c r="JE240" s="176"/>
      <c r="JF240" s="176"/>
      <c r="JG240" s="176"/>
      <c r="JH240" s="176"/>
      <c r="JI240" s="176"/>
      <c r="JJ240" s="176"/>
      <c r="JK240" s="176"/>
      <c r="JL240" s="176"/>
      <c r="JM240" s="176"/>
      <c r="JN240" s="176"/>
      <c r="JO240" s="176"/>
      <c r="JP240" s="176"/>
      <c r="JQ240" s="176"/>
      <c r="JR240" s="176"/>
      <c r="JS240" s="176"/>
      <c r="JT240" s="176"/>
      <c r="JU240" s="176"/>
      <c r="JV240" s="176"/>
      <c r="JW240" s="131"/>
      <c r="JX240" s="131"/>
      <c r="JY240" s="131"/>
      <c r="JZ240" s="131"/>
      <c r="KA240" s="131"/>
      <c r="KB240" s="131"/>
      <c r="KC240" s="131"/>
      <c r="KD240" s="131"/>
      <c r="KE240" s="131"/>
      <c r="KF240" s="131"/>
      <c r="KG240" s="131"/>
      <c r="KH240" s="131"/>
      <c r="KI240" s="131"/>
      <c r="KJ240" s="131"/>
      <c r="KK240" s="131"/>
      <c r="KL240" s="131"/>
      <c r="KM240" s="131"/>
      <c r="KN240" s="131"/>
      <c r="KO240" s="131"/>
      <c r="KP240" s="131"/>
      <c r="KQ240" s="131"/>
      <c r="KR240" s="131"/>
      <c r="KS240" s="131"/>
      <c r="KT240" s="131"/>
      <c r="KU240" s="131"/>
      <c r="KV240" s="131"/>
      <c r="KW240" s="131"/>
      <c r="KX240" s="131"/>
      <c r="KY240" s="131"/>
      <c r="KZ240" s="131"/>
      <c r="LA240" s="131"/>
      <c r="LB240" s="131"/>
      <c r="LC240" s="131"/>
      <c r="LD240" s="131"/>
      <c r="LE240" s="131"/>
      <c r="LF240" s="131"/>
      <c r="LG240" s="131"/>
      <c r="LH240" s="131"/>
      <c r="LI240" s="131"/>
      <c r="LJ240" s="131"/>
      <c r="LK240" s="131"/>
      <c r="LL240" s="131"/>
      <c r="LM240" s="131"/>
      <c r="LN240" s="131"/>
      <c r="LO240" s="131"/>
      <c r="LP240" s="131"/>
      <c r="LQ240" s="131"/>
      <c r="LR240" s="131"/>
      <c r="LS240" s="131"/>
      <c r="LT240" s="131"/>
      <c r="LU240" s="131"/>
      <c r="LV240" s="131"/>
      <c r="LW240" s="131"/>
      <c r="LX240" s="131"/>
      <c r="LY240" s="131"/>
      <c r="LZ240" s="131"/>
      <c r="MA240" s="131"/>
      <c r="MB240" s="131"/>
      <c r="MC240" s="131"/>
      <c r="MD240" s="131"/>
      <c r="ME240" s="131"/>
      <c r="MF240" s="131"/>
      <c r="MG240" s="131"/>
      <c r="MH240" s="131"/>
      <c r="MI240" s="131"/>
      <c r="MJ240" s="131"/>
      <c r="MK240" s="131"/>
      <c r="ML240" s="131"/>
      <c r="MM240" s="131"/>
      <c r="MN240" s="131"/>
      <c r="MO240" s="131"/>
      <c r="MP240" s="131"/>
      <c r="MQ240" s="131"/>
      <c r="MR240" s="131"/>
      <c r="MS240" s="131"/>
      <c r="MT240" s="131"/>
      <c r="MU240" s="131"/>
      <c r="MV240" s="131"/>
      <c r="MW240" s="131"/>
      <c r="MX240" s="131"/>
      <c r="MY240" s="131"/>
      <c r="MZ240" s="131"/>
      <c r="NA240" s="131"/>
      <c r="NB240" s="131"/>
      <c r="NC240" s="131"/>
      <c r="ND240" s="131"/>
      <c r="NE240" s="131"/>
      <c r="NF240" s="131"/>
      <c r="NG240" s="131"/>
      <c r="NH240" s="131"/>
      <c r="NI240" s="131"/>
      <c r="NJ240" s="131"/>
      <c r="NK240" s="131"/>
      <c r="NL240" s="131"/>
      <c r="NM240" s="131"/>
      <c r="NN240" s="131"/>
      <c r="NO240" s="131"/>
      <c r="NP240" s="131"/>
      <c r="NQ240" s="131"/>
      <c r="NR240" s="131"/>
      <c r="NS240" s="131"/>
      <c r="NT240" s="131"/>
      <c r="NU240" s="131"/>
      <c r="NV240" s="131"/>
      <c r="NW240" s="131"/>
      <c r="NX240" s="131"/>
      <c r="NY240" s="131"/>
      <c r="NZ240" s="131"/>
      <c r="OA240" s="131"/>
      <c r="OB240" s="131"/>
      <c r="OC240" s="131"/>
      <c r="OD240" s="131"/>
      <c r="OE240" s="131"/>
      <c r="OF240" s="131"/>
      <c r="OG240" s="131"/>
      <c r="OH240" s="131"/>
      <c r="OI240" s="131"/>
      <c r="OJ240" s="131"/>
      <c r="OK240" s="131"/>
      <c r="OL240" s="131"/>
      <c r="OM240" s="131"/>
      <c r="ON240" s="131"/>
      <c r="OO240" s="131"/>
      <c r="OP240" s="131"/>
      <c r="OQ240" s="131"/>
      <c r="OR240" s="131"/>
      <c r="OS240" s="131"/>
      <c r="OT240" s="131"/>
      <c r="OU240" s="131"/>
      <c r="OV240" s="131"/>
      <c r="OW240" s="131"/>
      <c r="OX240" s="131"/>
      <c r="OY240" s="131"/>
      <c r="OZ240" s="131"/>
      <c r="PA240" s="131"/>
      <c r="PB240" s="131"/>
      <c r="PC240" s="131"/>
      <c r="PD240" s="131"/>
      <c r="PE240" s="131"/>
      <c r="PF240" s="131"/>
      <c r="PG240" s="131"/>
      <c r="PH240" s="131"/>
      <c r="PI240" s="131"/>
      <c r="PJ240" s="131"/>
      <c r="PK240" s="131"/>
      <c r="PL240" s="131"/>
      <c r="PM240" s="131"/>
      <c r="PN240" s="131"/>
      <c r="PO240" s="131"/>
      <c r="PP240" s="131"/>
      <c r="PQ240" s="131"/>
      <c r="PR240" s="131"/>
      <c r="PS240" s="131"/>
      <c r="PT240" s="131"/>
      <c r="PU240" s="131"/>
      <c r="PV240" s="131"/>
      <c r="PW240" s="131"/>
      <c r="PX240" s="131"/>
      <c r="PY240" s="131"/>
      <c r="PZ240" s="131"/>
      <c r="QA240" s="131"/>
      <c r="QB240" s="131"/>
      <c r="QC240" s="131"/>
      <c r="QD240" s="131"/>
      <c r="QE240" s="131"/>
      <c r="QF240" s="131"/>
      <c r="QG240" s="131"/>
      <c r="QH240" s="131"/>
      <c r="QI240" s="131"/>
      <c r="QJ240" s="131"/>
      <c r="QK240" s="131"/>
      <c r="QL240" s="131"/>
      <c r="QM240" s="131"/>
      <c r="QN240" s="131"/>
      <c r="QO240" s="131"/>
      <c r="QP240" s="131"/>
      <c r="QQ240" s="131"/>
      <c r="QR240" s="131"/>
      <c r="QS240" s="131"/>
      <c r="QT240" s="131"/>
      <c r="QU240" s="131"/>
      <c r="QV240" s="131"/>
      <c r="QW240" s="131"/>
      <c r="QX240" s="131"/>
      <c r="QY240" s="131"/>
      <c r="QZ240" s="131"/>
      <c r="RA240" s="131"/>
      <c r="RB240" s="131"/>
      <c r="RC240" s="131"/>
      <c r="RD240" s="131"/>
      <c r="RE240" s="131"/>
      <c r="RF240" s="131"/>
      <c r="RG240" s="131"/>
      <c r="RH240" s="131"/>
      <c r="RI240" s="131"/>
      <c r="RJ240" s="131"/>
      <c r="RK240" s="131"/>
      <c r="RL240" s="131"/>
      <c r="RM240" s="131"/>
      <c r="RN240" s="131"/>
      <c r="RO240" s="131"/>
      <c r="RP240" s="131"/>
      <c r="RQ240" s="131"/>
      <c r="RR240" s="131"/>
      <c r="RS240" s="131"/>
      <c r="RT240" s="131"/>
      <c r="RU240" s="131"/>
      <c r="RV240" s="131"/>
      <c r="RW240" s="131"/>
      <c r="RX240" s="131"/>
      <c r="RY240" s="131"/>
      <c r="RZ240" s="131"/>
      <c r="SA240" s="131"/>
      <c r="SB240" s="131"/>
      <c r="SC240" s="131"/>
      <c r="SD240" s="131"/>
      <c r="SE240" s="131"/>
      <c r="SF240" s="131"/>
      <c r="SG240" s="131"/>
      <c r="SH240" s="131"/>
      <c r="SI240" s="131"/>
      <c r="SJ240" s="131"/>
      <c r="SK240" s="131"/>
      <c r="SL240" s="131"/>
      <c r="SM240" s="131"/>
      <c r="SN240" s="131"/>
      <c r="SO240" s="131"/>
      <c r="SP240" s="131"/>
      <c r="SQ240" s="131"/>
      <c r="SR240" s="131"/>
      <c r="SS240" s="131"/>
      <c r="ST240" s="131"/>
      <c r="SU240" s="131"/>
      <c r="SV240" s="131"/>
      <c r="SW240" s="131"/>
      <c r="SX240" s="131"/>
      <c r="SY240" s="131"/>
      <c r="SZ240" s="131"/>
      <c r="TA240" s="131"/>
      <c r="TB240" s="131"/>
      <c r="TC240" s="131"/>
      <c r="TD240" s="131"/>
      <c r="TE240" s="131"/>
      <c r="TF240" s="131"/>
      <c r="TG240" s="131"/>
      <c r="TH240" s="131"/>
      <c r="TI240" s="131"/>
      <c r="TJ240" s="131"/>
      <c r="TK240" s="131"/>
      <c r="TL240" s="131"/>
      <c r="TM240" s="131"/>
      <c r="TN240" s="131"/>
      <c r="TO240" s="131"/>
      <c r="TP240" s="131"/>
      <c r="TQ240" s="131"/>
      <c r="TR240" s="131"/>
      <c r="TS240" s="131"/>
      <c r="TT240" s="131"/>
      <c r="TU240" s="131"/>
      <c r="TV240" s="131"/>
      <c r="TW240" s="131"/>
      <c r="TX240" s="131"/>
      <c r="TY240" s="131"/>
      <c r="TZ240" s="131"/>
      <c r="UA240" s="131"/>
      <c r="UB240" s="131"/>
      <c r="UC240" s="131"/>
      <c r="UD240" s="131"/>
      <c r="UE240" s="131"/>
      <c r="UF240" s="131"/>
      <c r="UG240" s="131"/>
      <c r="UH240" s="131"/>
      <c r="UI240" s="131"/>
      <c r="UJ240" s="131"/>
      <c r="UK240" s="131"/>
      <c r="UL240" s="131"/>
      <c r="UM240" s="131"/>
      <c r="UN240" s="131"/>
      <c r="UO240" s="131"/>
      <c r="UP240" s="131"/>
      <c r="UQ240" s="131"/>
      <c r="UR240" s="131"/>
      <c r="US240" s="131"/>
      <c r="UT240" s="131"/>
      <c r="UU240" s="131"/>
      <c r="UV240" s="131"/>
      <c r="UW240" s="131"/>
      <c r="UX240" s="131"/>
      <c r="UY240" s="131"/>
      <c r="UZ240" s="131"/>
      <c r="VA240" s="131"/>
      <c r="VB240" s="131"/>
      <c r="VC240" s="131"/>
      <c r="VD240" s="131"/>
      <c r="VE240" s="131"/>
      <c r="VF240" s="131"/>
      <c r="VG240" s="131"/>
      <c r="VH240" s="131"/>
      <c r="VI240" s="131"/>
      <c r="VJ240" s="131"/>
      <c r="VK240" s="131"/>
      <c r="VL240" s="131"/>
      <c r="VM240" s="131"/>
      <c r="VN240" s="131"/>
      <c r="VO240" s="131"/>
      <c r="VP240" s="131"/>
      <c r="VQ240" s="131"/>
      <c r="VR240" s="131"/>
      <c r="VS240" s="131"/>
      <c r="VT240" s="131"/>
      <c r="VU240" s="131"/>
      <c r="VV240" s="131"/>
      <c r="VW240" s="131"/>
      <c r="VX240" s="131"/>
      <c r="VY240" s="131"/>
      <c r="VZ240" s="131"/>
      <c r="WA240" s="131"/>
      <c r="WB240" s="131"/>
      <c r="WC240" s="131"/>
      <c r="WD240" s="131"/>
      <c r="WE240" s="131"/>
      <c r="WF240" s="131"/>
      <c r="WG240" s="131"/>
      <c r="WH240" s="131"/>
      <c r="WI240" s="131"/>
      <c r="WJ240" s="131"/>
      <c r="WK240" s="131"/>
      <c r="WL240" s="131"/>
      <c r="WM240" s="131"/>
      <c r="WN240" s="131"/>
      <c r="WO240" s="131"/>
      <c r="WP240" s="131"/>
      <c r="WQ240" s="131"/>
      <c r="WR240" s="131"/>
      <c r="WS240" s="131"/>
      <c r="WT240" s="131"/>
      <c r="WU240" s="131"/>
      <c r="WV240" s="131"/>
      <c r="WW240" s="131"/>
      <c r="WX240" s="131"/>
      <c r="WY240" s="131"/>
      <c r="WZ240" s="131"/>
      <c r="XA240" s="131"/>
      <c r="XB240" s="131"/>
      <c r="XC240" s="131"/>
      <c r="XD240" s="131"/>
      <c r="XE240" s="131"/>
      <c r="XF240" s="131"/>
      <c r="XG240" s="131"/>
      <c r="XH240" s="131"/>
      <c r="XI240" s="131"/>
      <c r="XJ240" s="131"/>
      <c r="XK240" s="131"/>
      <c r="XL240" s="131"/>
      <c r="XM240" s="131"/>
      <c r="XN240" s="131"/>
      <c r="XO240" s="131"/>
      <c r="XP240" s="131"/>
      <c r="XQ240" s="131"/>
      <c r="XR240" s="131"/>
      <c r="XS240" s="131"/>
      <c r="XT240" s="131"/>
      <c r="XU240" s="131"/>
      <c r="XV240" s="131"/>
      <c r="XW240" s="131"/>
      <c r="XX240" s="131"/>
      <c r="XY240" s="131"/>
      <c r="XZ240" s="131"/>
      <c r="YA240" s="131"/>
      <c r="YB240" s="131"/>
      <c r="YC240" s="131"/>
      <c r="YD240" s="131"/>
      <c r="YE240" s="131"/>
      <c r="YF240" s="131"/>
      <c r="YG240" s="131"/>
      <c r="YH240" s="131"/>
      <c r="YI240" s="131"/>
      <c r="YJ240" s="131"/>
      <c r="YK240" s="131"/>
      <c r="YL240" s="131"/>
      <c r="YM240" s="131"/>
      <c r="YN240" s="131"/>
      <c r="YO240" s="131"/>
      <c r="YP240" s="131"/>
      <c r="YQ240" s="131"/>
      <c r="YR240" s="131"/>
      <c r="YS240" s="131"/>
      <c r="YT240" s="131"/>
      <c r="YU240" s="131"/>
      <c r="YV240" s="131"/>
      <c r="YW240" s="131"/>
      <c r="YX240" s="131"/>
      <c r="YY240" s="131"/>
      <c r="YZ240" s="131"/>
      <c r="ZA240" s="131"/>
      <c r="ZB240" s="131"/>
      <c r="ZC240" s="131"/>
      <c r="ZD240" s="131"/>
      <c r="ZE240" s="131"/>
      <c r="ZF240" s="131"/>
      <c r="ZG240" s="131"/>
      <c r="ZH240" s="131"/>
      <c r="ZI240" s="131"/>
      <c r="ZJ240" s="131"/>
      <c r="ZK240" s="131"/>
      <c r="ZL240" s="131"/>
      <c r="ZM240" s="131"/>
      <c r="ZN240" s="131"/>
      <c r="ZO240" s="131"/>
      <c r="ZP240" s="131"/>
      <c r="ZQ240" s="131"/>
      <c r="ZR240" s="131"/>
      <c r="ZS240" s="131"/>
      <c r="ZT240" s="131"/>
      <c r="ZU240" s="131"/>
      <c r="ZV240" s="131"/>
      <c r="ZW240" s="131"/>
      <c r="ZX240" s="131"/>
      <c r="ZY240" s="131"/>
      <c r="ZZ240" s="131"/>
      <c r="AAA240" s="131"/>
      <c r="AAB240" s="131"/>
      <c r="AAC240" s="131"/>
      <c r="AAD240" s="131"/>
      <c r="AAE240" s="131"/>
      <c r="AAF240" s="131"/>
      <c r="AAG240" s="131"/>
      <c r="AAH240" s="131"/>
      <c r="AAI240" s="131"/>
      <c r="AAJ240" s="131"/>
      <c r="AAK240" s="131"/>
      <c r="AAL240" s="131"/>
      <c r="AAM240" s="131"/>
      <c r="AAN240" s="131"/>
      <c r="AAO240" s="131"/>
      <c r="AAP240" s="131"/>
      <c r="AAQ240" s="131"/>
      <c r="AAR240" s="131"/>
      <c r="AAS240" s="131"/>
      <c r="AAT240" s="131"/>
      <c r="AAU240" s="131"/>
      <c r="AAV240" s="131"/>
      <c r="AAW240" s="131"/>
      <c r="AAX240" s="131"/>
      <c r="AAY240" s="131"/>
      <c r="AAZ240" s="131"/>
      <c r="ABA240" s="131"/>
      <c r="ABB240" s="131"/>
      <c r="ABC240" s="131"/>
      <c r="ABD240" s="131"/>
      <c r="ABE240" s="131"/>
      <c r="ABF240" s="131"/>
      <c r="ABG240" s="131"/>
      <c r="ABH240" s="131"/>
      <c r="ABI240" s="131"/>
      <c r="ABJ240" s="131"/>
      <c r="ABK240" s="131"/>
      <c r="ABL240" s="131"/>
      <c r="ABM240" s="131"/>
      <c r="ABN240" s="131"/>
      <c r="ABO240" s="131"/>
      <c r="ABP240" s="131"/>
      <c r="ABQ240" s="131"/>
      <c r="ABR240" s="131"/>
      <c r="ABS240" s="131"/>
      <c r="ABT240" s="131"/>
      <c r="ABU240" s="131"/>
      <c r="ABV240" s="131"/>
      <c r="ABW240" s="131"/>
      <c r="ABX240" s="131"/>
      <c r="ABY240" s="131"/>
      <c r="ABZ240" s="131"/>
      <c r="ACA240" s="131"/>
      <c r="ACB240" s="131"/>
      <c r="ACC240" s="131"/>
      <c r="ACD240" s="131"/>
      <c r="ACE240" s="131"/>
      <c r="ACF240" s="131"/>
      <c r="ACG240" s="131"/>
      <c r="ACH240" s="131"/>
      <c r="ACI240" s="131"/>
      <c r="ACJ240" s="131"/>
      <c r="ACK240" s="131"/>
      <c r="ACL240" s="131"/>
      <c r="ACM240" s="131"/>
      <c r="ACN240" s="131"/>
      <c r="ACO240" s="131"/>
      <c r="ACP240" s="131"/>
      <c r="ACQ240" s="131"/>
      <c r="ACR240" s="131"/>
      <c r="ACS240" s="131"/>
      <c r="ACT240" s="131"/>
      <c r="ACU240" s="131"/>
      <c r="ACV240" s="131"/>
      <c r="ACW240" s="131"/>
      <c r="ACX240" s="131"/>
      <c r="ACY240" s="131"/>
      <c r="ACZ240" s="131"/>
      <c r="ADA240" s="131"/>
      <c r="ADB240" s="131"/>
      <c r="ADC240" s="131"/>
      <c r="ADD240" s="131"/>
      <c r="ADE240" s="131"/>
      <c r="ADF240" s="131"/>
      <c r="ADG240" s="131"/>
      <c r="ADH240" s="131"/>
      <c r="ADI240" s="131"/>
      <c r="ADJ240" s="131"/>
      <c r="ADK240" s="131"/>
      <c r="ADL240" s="131"/>
      <c r="ADM240" s="131"/>
      <c r="ADN240" s="131"/>
      <c r="ADO240" s="131"/>
      <c r="ADP240" s="131"/>
      <c r="ADQ240" s="131"/>
      <c r="ADR240" s="131"/>
      <c r="ADS240" s="131"/>
      <c r="ADT240" s="131"/>
      <c r="ADU240" s="131"/>
      <c r="ADV240" s="131"/>
      <c r="ADW240" s="131"/>
      <c r="ADX240" s="131"/>
      <c r="ADY240" s="131"/>
      <c r="ADZ240" s="131"/>
      <c r="AEA240" s="131"/>
      <c r="AEB240" s="131"/>
      <c r="AEC240" s="131"/>
      <c r="AED240" s="131"/>
      <c r="AEE240" s="131"/>
      <c r="AEF240" s="131"/>
      <c r="AEG240" s="131"/>
      <c r="AEH240" s="131"/>
      <c r="AEI240" s="131"/>
      <c r="AEJ240" s="131"/>
      <c r="AEK240" s="131"/>
      <c r="AEL240" s="131"/>
      <c r="AEM240" s="131"/>
      <c r="AEN240" s="131"/>
      <c r="AEO240" s="131"/>
      <c r="AEP240" s="131"/>
      <c r="AEQ240" s="131"/>
      <c r="AER240" s="131"/>
      <c r="AES240" s="131"/>
      <c r="AET240" s="131"/>
      <c r="AEU240" s="131"/>
      <c r="AEV240" s="131"/>
      <c r="AEW240" s="131"/>
      <c r="AEX240" s="131"/>
      <c r="AEY240" s="131"/>
      <c r="AEZ240" s="131"/>
      <c r="AFA240" s="131"/>
      <c r="AFB240" s="131"/>
      <c r="AFC240" s="131"/>
      <c r="AFD240" s="131"/>
      <c r="AFE240" s="131"/>
      <c r="AFF240" s="131"/>
      <c r="AFG240" s="131"/>
      <c r="AFH240" s="131"/>
      <c r="AFI240" s="131"/>
      <c r="AFJ240" s="131"/>
      <c r="AFK240" s="131"/>
      <c r="AFL240" s="131"/>
      <c r="AFM240" s="131"/>
      <c r="AFN240" s="131"/>
      <c r="AFO240" s="131"/>
      <c r="AFP240" s="131"/>
      <c r="AFQ240" s="131"/>
      <c r="AFR240" s="131"/>
      <c r="AFS240" s="131"/>
      <c r="AFT240" s="131"/>
      <c r="AFU240" s="131"/>
      <c r="AFV240" s="131"/>
      <c r="AFW240" s="131"/>
      <c r="AFX240" s="131"/>
      <c r="AFY240" s="131"/>
      <c r="AFZ240" s="131"/>
      <c r="AGA240" s="131"/>
      <c r="AGB240" s="131"/>
      <c r="AGC240" s="131"/>
      <c r="AGD240" s="131"/>
      <c r="AGE240" s="131"/>
      <c r="AGF240" s="131"/>
      <c r="AGG240" s="131"/>
      <c r="AGH240" s="131"/>
      <c r="AGI240" s="131"/>
      <c r="AGJ240" s="131"/>
      <c r="AGK240" s="131"/>
      <c r="AGL240" s="131"/>
      <c r="AGM240" s="131"/>
      <c r="AGN240" s="131"/>
      <c r="AGO240" s="131"/>
      <c r="AGP240" s="131"/>
      <c r="AGQ240" s="131"/>
      <c r="AGR240" s="131"/>
      <c r="AGS240" s="131"/>
      <c r="AGT240" s="131"/>
      <c r="AGU240" s="131"/>
      <c r="AGV240" s="131"/>
      <c r="AGW240" s="131"/>
      <c r="AGX240" s="131"/>
      <c r="AGY240" s="131"/>
      <c r="AGZ240" s="131"/>
      <c r="AHA240" s="131"/>
      <c r="AHB240" s="131"/>
      <c r="AHC240" s="131"/>
      <c r="AHD240" s="131"/>
      <c r="AHE240" s="131"/>
      <c r="AHF240" s="131"/>
      <c r="AHG240" s="131"/>
      <c r="AHH240" s="131"/>
      <c r="AHI240" s="131"/>
      <c r="AHJ240" s="131"/>
      <c r="AHK240" s="131"/>
      <c r="AHL240" s="131"/>
      <c r="AHM240" s="131"/>
      <c r="AHN240" s="131"/>
      <c r="AHO240" s="131"/>
      <c r="AHP240" s="131"/>
      <c r="AHQ240" s="131"/>
      <c r="AHR240" s="131"/>
      <c r="AHS240" s="131"/>
      <c r="AHT240" s="131"/>
      <c r="AHU240" s="131"/>
      <c r="AHV240" s="131"/>
      <c r="AHW240" s="131"/>
      <c r="AHX240" s="131"/>
      <c r="AHY240" s="131"/>
      <c r="AHZ240" s="131"/>
      <c r="AIA240" s="131"/>
      <c r="AIB240" s="131"/>
      <c r="AIC240" s="131"/>
      <c r="AID240" s="131"/>
      <c r="AIE240" s="131"/>
      <c r="AIF240" s="131"/>
      <c r="AIG240" s="131"/>
      <c r="AIH240" s="131"/>
      <c r="AII240" s="131"/>
      <c r="AIJ240" s="131"/>
      <c r="AIK240" s="131"/>
      <c r="AIL240" s="131"/>
      <c r="AIM240" s="131"/>
      <c r="AIN240" s="131"/>
      <c r="AIO240" s="131"/>
      <c r="AIP240" s="131"/>
      <c r="AIQ240" s="131"/>
      <c r="AIR240" s="131"/>
      <c r="AIS240" s="131"/>
      <c r="AIT240" s="131"/>
      <c r="AIU240" s="131"/>
      <c r="AIV240" s="131"/>
      <c r="AIW240" s="131"/>
      <c r="AIX240" s="131"/>
      <c r="AIY240" s="131"/>
      <c r="AIZ240" s="131"/>
      <c r="AJA240" s="131"/>
      <c r="AJB240" s="131"/>
      <c r="AJC240" s="131"/>
      <c r="AJD240" s="131"/>
      <c r="AJE240" s="131"/>
      <c r="AJF240" s="131"/>
      <c r="AJG240" s="131"/>
      <c r="AJH240" s="131"/>
      <c r="AJI240" s="131"/>
      <c r="AJJ240" s="131"/>
      <c r="AJK240" s="131"/>
      <c r="AJL240" s="131"/>
      <c r="AJM240" s="131"/>
      <c r="AJN240" s="131"/>
      <c r="AJO240" s="131"/>
      <c r="AJP240" s="131"/>
      <c r="AJQ240" s="131"/>
      <c r="AJR240" s="131"/>
      <c r="AJS240" s="131"/>
      <c r="AJT240" s="131"/>
      <c r="AJU240" s="131"/>
      <c r="AJV240" s="131"/>
      <c r="AJW240" s="131"/>
      <c r="AJX240" s="131"/>
      <c r="AJY240" s="131"/>
      <c r="AJZ240" s="131"/>
      <c r="AKA240" s="131"/>
      <c r="AKB240" s="131"/>
      <c r="AKC240" s="131"/>
      <c r="AKD240" s="131"/>
      <c r="AKE240" s="131"/>
      <c r="AKF240" s="131"/>
      <c r="AKG240" s="131"/>
      <c r="AKH240" s="131"/>
      <c r="AKI240" s="131"/>
      <c r="AKJ240" s="131"/>
      <c r="AKK240" s="131"/>
      <c r="AKL240" s="131"/>
      <c r="AKM240" s="131"/>
      <c r="AKN240" s="131"/>
      <c r="AKO240" s="131"/>
      <c r="AKP240" s="131"/>
      <c r="AKQ240" s="131"/>
      <c r="AKR240" s="131"/>
      <c r="AKS240" s="131"/>
      <c r="AKT240" s="131"/>
      <c r="AKU240" s="131"/>
      <c r="AKV240" s="131"/>
      <c r="AKW240" s="131"/>
      <c r="AKX240" s="131"/>
      <c r="AKY240" s="131"/>
      <c r="AKZ240" s="131"/>
      <c r="ALA240" s="131"/>
      <c r="ALB240" s="131"/>
      <c r="ALC240" s="131"/>
      <c r="ALD240" s="131"/>
      <c r="ALE240" s="131"/>
      <c r="ALF240" s="131"/>
      <c r="ALG240" s="131"/>
      <c r="ALH240" s="131"/>
      <c r="ALI240" s="131"/>
      <c r="ALJ240" s="131"/>
      <c r="ALK240" s="131"/>
      <c r="ALL240" s="131"/>
      <c r="ALM240" s="131"/>
      <c r="ALN240" s="131"/>
      <c r="ALO240" s="131"/>
      <c r="ALP240" s="131"/>
      <c r="ALQ240" s="131"/>
      <c r="ALR240" s="131"/>
      <c r="ALS240" s="131"/>
      <c r="ALT240" s="131"/>
      <c r="ALU240" s="131"/>
      <c r="ALV240" s="131"/>
      <c r="ALW240" s="131"/>
      <c r="ALX240" s="131"/>
      <c r="ALY240" s="131"/>
      <c r="ALZ240" s="131"/>
      <c r="AMA240" s="131"/>
      <c r="AMB240" s="131"/>
      <c r="AMC240" s="131"/>
      <c r="AMD240" s="131"/>
      <c r="AME240" s="131"/>
      <c r="AMF240" s="131"/>
      <c r="AMG240" s="131"/>
      <c r="AMH240" s="131"/>
      <c r="AMI240" s="131"/>
      <c r="AMJ240" s="131"/>
      <c r="AMK240" s="131"/>
      <c r="AML240" s="131"/>
      <c r="AMM240" s="131"/>
      <c r="AMN240" s="131"/>
      <c r="AMO240" s="131"/>
      <c r="AMP240" s="131"/>
      <c r="AMQ240" s="131"/>
      <c r="AMR240" s="131"/>
      <c r="AMS240" s="131"/>
      <c r="AMT240" s="131"/>
      <c r="AMU240" s="131"/>
      <c r="AMV240" s="131"/>
      <c r="AMW240" s="131"/>
      <c r="AMX240" s="131"/>
      <c r="AMY240" s="131"/>
      <c r="AMZ240" s="131"/>
      <c r="ANA240" s="131"/>
      <c r="ANB240" s="131"/>
      <c r="ANC240" s="131"/>
      <c r="AND240" s="131"/>
      <c r="ANE240" s="131"/>
      <c r="ANF240" s="131"/>
      <c r="ANG240" s="131"/>
      <c r="ANH240" s="131"/>
      <c r="ANI240" s="131"/>
      <c r="ANJ240" s="131"/>
      <c r="ANK240" s="131"/>
      <c r="ANL240" s="131"/>
      <c r="ANM240" s="131"/>
      <c r="ANN240" s="131"/>
      <c r="ANO240" s="131"/>
      <c r="ANP240" s="131"/>
      <c r="ANQ240" s="131"/>
      <c r="ANR240" s="131"/>
      <c r="ANS240" s="131"/>
      <c r="ANT240" s="131"/>
      <c r="ANU240" s="131"/>
      <c r="ANV240" s="131"/>
      <c r="ANW240" s="131"/>
      <c r="ANX240" s="131"/>
      <c r="ANY240" s="131"/>
      <c r="ANZ240" s="131"/>
      <c r="AOA240" s="131"/>
      <c r="AOB240" s="131"/>
      <c r="AOC240" s="131"/>
      <c r="AOD240" s="131"/>
      <c r="AOE240" s="131"/>
      <c r="AOF240" s="131"/>
      <c r="AOG240" s="131"/>
      <c r="AOH240" s="131"/>
      <c r="AOI240" s="131"/>
      <c r="AOJ240" s="131"/>
      <c r="AOK240" s="131"/>
      <c r="AOL240" s="131"/>
      <c r="AOM240" s="131"/>
      <c r="AON240" s="131"/>
      <c r="AOO240" s="131"/>
      <c r="AOP240" s="131"/>
      <c r="AOQ240" s="131"/>
      <c r="AOR240" s="131"/>
      <c r="AOS240" s="131"/>
      <c r="AOT240" s="131"/>
      <c r="AOU240" s="131"/>
      <c r="AOV240" s="131"/>
      <c r="AOW240" s="131"/>
      <c r="AOX240" s="131"/>
      <c r="AOY240" s="131"/>
      <c r="AOZ240" s="131"/>
      <c r="APA240" s="131"/>
      <c r="APB240" s="131"/>
      <c r="APC240" s="131"/>
      <c r="APD240" s="131"/>
      <c r="APE240" s="131"/>
      <c r="APF240" s="131"/>
      <c r="APG240" s="131"/>
      <c r="APH240" s="131"/>
      <c r="API240" s="131"/>
      <c r="APJ240" s="131"/>
      <c r="APK240" s="131"/>
      <c r="APL240" s="131"/>
      <c r="APM240" s="131"/>
      <c r="APN240" s="131"/>
      <c r="APO240" s="131"/>
      <c r="APP240" s="131"/>
      <c r="APQ240" s="131"/>
      <c r="APR240" s="131"/>
      <c r="APS240" s="131"/>
      <c r="APT240" s="131"/>
      <c r="APU240" s="131"/>
      <c r="APV240" s="131"/>
      <c r="APW240" s="131"/>
      <c r="APX240" s="131"/>
      <c r="APY240" s="131"/>
      <c r="APZ240" s="131"/>
      <c r="AQA240" s="131"/>
      <c r="AQB240" s="131"/>
      <c r="AQC240" s="131"/>
      <c r="AQD240" s="131"/>
      <c r="AQE240" s="131"/>
      <c r="AQF240" s="131"/>
      <c r="AQG240" s="131"/>
      <c r="AQH240" s="131"/>
      <c r="AQI240" s="131"/>
      <c r="AQJ240" s="131"/>
      <c r="AQK240" s="131"/>
      <c r="AQL240" s="131"/>
      <c r="AQM240" s="131"/>
      <c r="AQN240" s="131"/>
      <c r="AQO240" s="131"/>
      <c r="AQP240" s="131"/>
      <c r="AQQ240" s="131"/>
      <c r="AQR240" s="131"/>
      <c r="AQS240" s="131"/>
      <c r="AQT240" s="131"/>
      <c r="AQU240" s="131"/>
      <c r="AQV240" s="131"/>
      <c r="AQW240" s="131"/>
      <c r="AQX240" s="131"/>
      <c r="AQY240" s="131"/>
      <c r="AQZ240" s="131"/>
      <c r="ARA240" s="131"/>
      <c r="ARB240" s="131"/>
      <c r="ARC240" s="131"/>
      <c r="ARD240" s="131"/>
      <c r="ARE240" s="131"/>
      <c r="ARF240" s="131"/>
      <c r="ARG240" s="131"/>
      <c r="ARH240" s="131"/>
      <c r="ARI240" s="131"/>
      <c r="ARJ240" s="131"/>
      <c r="ARK240" s="131"/>
      <c r="ARL240" s="131"/>
      <c r="ARM240" s="131"/>
      <c r="ARN240" s="131"/>
      <c r="ARO240" s="131"/>
      <c r="ARP240" s="131"/>
      <c r="ARQ240" s="131"/>
      <c r="ARR240" s="131"/>
      <c r="ARS240" s="131"/>
      <c r="ART240" s="131"/>
      <c r="ARU240" s="131"/>
      <c r="ARV240" s="131"/>
      <c r="ARW240" s="131"/>
      <c r="ARX240" s="131"/>
      <c r="ARY240" s="131"/>
      <c r="ARZ240" s="131"/>
      <c r="ASA240" s="131"/>
      <c r="ASB240" s="131"/>
      <c r="ASC240" s="131"/>
      <c r="ASD240" s="131"/>
      <c r="ASE240" s="131"/>
      <c r="ASF240" s="131"/>
      <c r="ASG240" s="131"/>
      <c r="ASH240" s="131"/>
      <c r="ASI240" s="131"/>
      <c r="ASJ240" s="131"/>
      <c r="ASK240" s="131"/>
      <c r="ASL240" s="131"/>
      <c r="ASM240" s="131"/>
      <c r="ASN240" s="131"/>
      <c r="ASO240" s="131"/>
      <c r="ASP240" s="131"/>
      <c r="ASQ240" s="131"/>
      <c r="ASR240" s="131"/>
      <c r="ASS240" s="131"/>
      <c r="AST240" s="131"/>
      <c r="ASU240" s="131"/>
      <c r="ASV240" s="131"/>
      <c r="ASW240" s="131"/>
      <c r="ASX240" s="131"/>
      <c r="ASY240" s="131"/>
      <c r="ASZ240" s="131"/>
      <c r="ATA240" s="131"/>
      <c r="ATB240" s="131"/>
      <c r="ATC240" s="131"/>
    </row>
    <row r="241" spans="1:79" ht="50.1" customHeight="1" outlineLevel="2" x14ac:dyDescent="0.3">
      <c r="A241" s="103" t="s">
        <v>249</v>
      </c>
      <c r="B241" s="102" t="s">
        <v>250</v>
      </c>
      <c r="C241" s="79" t="s">
        <v>37</v>
      </c>
      <c r="D241" s="81">
        <f t="shared" ref="D241" si="57">E241+F241</f>
        <v>8599.6358600000003</v>
      </c>
      <c r="E241" s="82">
        <f t="shared" si="38"/>
        <v>1010.18299</v>
      </c>
      <c r="F241" s="83">
        <f t="shared" si="47"/>
        <v>7589.4528700000001</v>
      </c>
      <c r="G241" s="84"/>
      <c r="H241" s="85"/>
      <c r="I241" s="85"/>
      <c r="J241" s="84"/>
      <c r="K241" s="85"/>
      <c r="L241" s="85"/>
      <c r="M241" s="85"/>
      <c r="N241" s="85"/>
      <c r="O241" s="82"/>
      <c r="P241" s="83"/>
      <c r="Q241" s="83">
        <v>303.14582000000001</v>
      </c>
      <c r="R241" s="83"/>
      <c r="S241" s="82">
        <v>3.93716</v>
      </c>
      <c r="T241" s="83">
        <v>4.1161099999999999</v>
      </c>
      <c r="U241" s="83"/>
      <c r="V241" s="84">
        <v>92.78</v>
      </c>
      <c r="W241" s="85">
        <v>162</v>
      </c>
      <c r="X241" s="87"/>
      <c r="Y241" s="83">
        <v>624</v>
      </c>
      <c r="Z241" s="84"/>
      <c r="AA241" s="85"/>
      <c r="AB241" s="84"/>
      <c r="AC241" s="85"/>
      <c r="AD241" s="89">
        <f t="shared" si="46"/>
        <v>550.35014999999999</v>
      </c>
      <c r="AE241" s="89">
        <v>346.05270000000002</v>
      </c>
      <c r="AF241" s="186">
        <v>204.29745</v>
      </c>
      <c r="AG241" s="85"/>
      <c r="AH241" s="85"/>
      <c r="AI241" s="85"/>
      <c r="AJ241" s="84"/>
      <c r="AK241" s="85"/>
      <c r="AL241" s="84"/>
      <c r="AM241" s="88"/>
      <c r="AN241" s="84"/>
      <c r="AO241" s="85"/>
      <c r="AP241" s="84"/>
      <c r="AQ241" s="83"/>
      <c r="AR241" s="83"/>
      <c r="AS241" s="83"/>
      <c r="AT241" s="85"/>
      <c r="AU241" s="85"/>
      <c r="AV241" s="85">
        <f>1094.79265+2826.13095</f>
        <v>3920.9236000000001</v>
      </c>
      <c r="AW241" s="88"/>
      <c r="AX241" s="84"/>
      <c r="AY241" s="85"/>
      <c r="AZ241" s="84">
        <v>913.46582999999998</v>
      </c>
      <c r="BA241" s="85">
        <v>827.21718999999996</v>
      </c>
      <c r="BB241" s="88"/>
      <c r="BC241" s="85"/>
      <c r="BD241" s="84"/>
      <c r="BE241" s="88"/>
      <c r="BF241" s="85"/>
      <c r="BG241" s="85"/>
      <c r="BH241" s="85"/>
      <c r="BI241" s="85"/>
      <c r="BJ241" s="85"/>
      <c r="BK241" s="85"/>
      <c r="BL241" s="85"/>
      <c r="BM241" s="85"/>
      <c r="BN241" s="85"/>
      <c r="BO241" s="85"/>
      <c r="BP241" s="85"/>
      <c r="BQ241" s="85"/>
      <c r="BR241" s="84"/>
      <c r="BS241" s="85">
        <v>1130.4000000000001</v>
      </c>
      <c r="BT241" s="85">
        <v>67.3</v>
      </c>
      <c r="BU241" s="198"/>
      <c r="BV241" s="90"/>
      <c r="BW241" s="198"/>
      <c r="BX241" s="90"/>
      <c r="BY241" s="198"/>
      <c r="BZ241" s="90"/>
      <c r="CA241" s="91"/>
    </row>
    <row r="242" spans="1:79" ht="50.1" customHeight="1" outlineLevel="2" x14ac:dyDescent="0.3">
      <c r="A242" s="103" t="s">
        <v>249</v>
      </c>
      <c r="B242" s="102" t="s">
        <v>251</v>
      </c>
      <c r="C242" s="79" t="s">
        <v>37</v>
      </c>
      <c r="D242" s="81">
        <f t="shared" ref="D242:D293" si="58">E242+F242</f>
        <v>770.81745999999998</v>
      </c>
      <c r="E242" s="82">
        <f t="shared" si="38"/>
        <v>243.62537999999998</v>
      </c>
      <c r="F242" s="83">
        <f t="shared" si="47"/>
        <v>527.19208000000003</v>
      </c>
      <c r="G242" s="84"/>
      <c r="H242" s="85"/>
      <c r="I242" s="85"/>
      <c r="J242" s="84"/>
      <c r="K242" s="85"/>
      <c r="L242" s="85">
        <v>47.724159999999998</v>
      </c>
      <c r="M242" s="85"/>
      <c r="N242" s="85"/>
      <c r="O242" s="82"/>
      <c r="P242" s="83"/>
      <c r="Q242" s="83"/>
      <c r="R242" s="83"/>
      <c r="S242" s="82"/>
      <c r="T242" s="83"/>
      <c r="U242" s="83"/>
      <c r="V242" s="84">
        <v>34.792499999999997</v>
      </c>
      <c r="W242" s="85">
        <v>60.75</v>
      </c>
      <c r="X242" s="87"/>
      <c r="Y242" s="83">
        <v>113.256</v>
      </c>
      <c r="Z242" s="84"/>
      <c r="AA242" s="85"/>
      <c r="AB242" s="84"/>
      <c r="AC242" s="85"/>
      <c r="AD242" s="89">
        <f t="shared" si="46"/>
        <v>116.34672</v>
      </c>
      <c r="AE242" s="89">
        <v>70.623000000000005</v>
      </c>
      <c r="AF242" s="187">
        <v>45.72372</v>
      </c>
      <c r="AG242" s="85"/>
      <c r="AH242" s="85"/>
      <c r="AI242" s="85"/>
      <c r="AJ242" s="84"/>
      <c r="AK242" s="85"/>
      <c r="AL242" s="84"/>
      <c r="AM242" s="88"/>
      <c r="AN242" s="84"/>
      <c r="AO242" s="85"/>
      <c r="AP242" s="84"/>
      <c r="AQ242" s="83"/>
      <c r="AR242" s="83"/>
      <c r="AS242" s="83"/>
      <c r="AT242" s="85"/>
      <c r="AU242" s="85"/>
      <c r="AV242" s="85"/>
      <c r="AW242" s="88"/>
      <c r="AX242" s="84"/>
      <c r="AY242" s="85"/>
      <c r="AZ242" s="84">
        <v>208.83287999999999</v>
      </c>
      <c r="BA242" s="85">
        <v>189.11519999999999</v>
      </c>
      <c r="BB242" s="88"/>
      <c r="BC242" s="85"/>
      <c r="BD242" s="84"/>
      <c r="BE242" s="88"/>
      <c r="BF242" s="85"/>
      <c r="BG242" s="85"/>
      <c r="BH242" s="85"/>
      <c r="BI242" s="85"/>
      <c r="BJ242" s="85"/>
      <c r="BK242" s="85"/>
      <c r="BL242" s="85"/>
      <c r="BM242" s="85"/>
      <c r="BN242" s="85"/>
      <c r="BO242" s="85"/>
      <c r="BP242" s="85"/>
      <c r="BQ242" s="85"/>
      <c r="BR242" s="84"/>
      <c r="BS242" s="85"/>
      <c r="BT242" s="85"/>
      <c r="BU242" s="198"/>
      <c r="BV242" s="90"/>
      <c r="BW242" s="198"/>
      <c r="BX242" s="90"/>
      <c r="BY242" s="198"/>
      <c r="BZ242" s="90"/>
      <c r="CA242" s="91"/>
    </row>
    <row r="243" spans="1:79" ht="50.1" customHeight="1" outlineLevel="2" x14ac:dyDescent="0.3">
      <c r="A243" s="103" t="s">
        <v>249</v>
      </c>
      <c r="B243" s="102" t="s">
        <v>115</v>
      </c>
      <c r="C243" s="79" t="s">
        <v>37</v>
      </c>
      <c r="D243" s="81">
        <f t="shared" si="58"/>
        <v>954.49813999999992</v>
      </c>
      <c r="E243" s="82">
        <f t="shared" si="38"/>
        <v>214.11241999999999</v>
      </c>
      <c r="F243" s="83">
        <f t="shared" si="47"/>
        <v>740.38571999999999</v>
      </c>
      <c r="G243" s="84"/>
      <c r="H243" s="85"/>
      <c r="I243" s="85"/>
      <c r="J243" s="84"/>
      <c r="K243" s="85"/>
      <c r="L243" s="85"/>
      <c r="M243" s="85"/>
      <c r="N243" s="85"/>
      <c r="O243" s="82"/>
      <c r="P243" s="83"/>
      <c r="Q243" s="83"/>
      <c r="R243" s="83"/>
      <c r="S243" s="82"/>
      <c r="T243" s="83"/>
      <c r="U243" s="83"/>
      <c r="V243" s="84"/>
      <c r="W243" s="85"/>
      <c r="X243" s="87"/>
      <c r="Y243" s="83">
        <v>129.012</v>
      </c>
      <c r="Z243" s="84"/>
      <c r="AA243" s="85"/>
      <c r="AB243" s="84"/>
      <c r="AC243" s="85"/>
      <c r="AD243" s="89">
        <f t="shared" si="46"/>
        <v>113.42818</v>
      </c>
      <c r="AE243" s="89">
        <v>70.623000000000005</v>
      </c>
      <c r="AF243" s="186">
        <v>42.80518</v>
      </c>
      <c r="AG243" s="85"/>
      <c r="AH243" s="85"/>
      <c r="AI243" s="85"/>
      <c r="AJ243" s="84"/>
      <c r="AK243" s="85"/>
      <c r="AL243" s="84"/>
      <c r="AM243" s="88"/>
      <c r="AN243" s="84"/>
      <c r="AO243" s="85"/>
      <c r="AP243" s="84"/>
      <c r="AQ243" s="83"/>
      <c r="AR243" s="83"/>
      <c r="AS243" s="83"/>
      <c r="AT243" s="85"/>
      <c r="AU243" s="85"/>
      <c r="AV243" s="85"/>
      <c r="AW243" s="88"/>
      <c r="AX243" s="84"/>
      <c r="AY243" s="85"/>
      <c r="AZ243" s="84">
        <v>214.11241999999999</v>
      </c>
      <c r="BA243" s="85">
        <v>193.89621</v>
      </c>
      <c r="BB243" s="88"/>
      <c r="BC243" s="85"/>
      <c r="BD243" s="84"/>
      <c r="BE243" s="88"/>
      <c r="BF243" s="85"/>
      <c r="BG243" s="85"/>
      <c r="BH243" s="85"/>
      <c r="BI243" s="85"/>
      <c r="BJ243" s="85"/>
      <c r="BK243" s="85">
        <v>304.04933</v>
      </c>
      <c r="BL243" s="85"/>
      <c r="BM243" s="85"/>
      <c r="BN243" s="85"/>
      <c r="BO243" s="85"/>
      <c r="BP243" s="85"/>
      <c r="BQ243" s="85"/>
      <c r="BR243" s="84"/>
      <c r="BS243" s="85"/>
      <c r="BT243" s="85"/>
      <c r="BU243" s="198"/>
      <c r="BV243" s="90"/>
      <c r="BW243" s="198"/>
      <c r="BX243" s="90"/>
      <c r="BY243" s="198"/>
      <c r="BZ243" s="90"/>
      <c r="CA243" s="91"/>
    </row>
    <row r="244" spans="1:79" ht="50.1" customHeight="1" outlineLevel="2" x14ac:dyDescent="0.3">
      <c r="A244" s="103" t="s">
        <v>249</v>
      </c>
      <c r="B244" s="102" t="s">
        <v>252</v>
      </c>
      <c r="C244" s="79" t="s">
        <v>37</v>
      </c>
      <c r="D244" s="81">
        <f t="shared" si="58"/>
        <v>3161.2247600000001</v>
      </c>
      <c r="E244" s="82">
        <f t="shared" si="38"/>
        <v>1015.3105</v>
      </c>
      <c r="F244" s="83">
        <f t="shared" si="47"/>
        <v>2145.91426</v>
      </c>
      <c r="G244" s="84"/>
      <c r="H244" s="85"/>
      <c r="I244" s="85"/>
      <c r="J244" s="84"/>
      <c r="K244" s="85"/>
      <c r="L244" s="85"/>
      <c r="M244" s="85"/>
      <c r="N244" s="85"/>
      <c r="O244" s="82"/>
      <c r="P244" s="83"/>
      <c r="Q244" s="83"/>
      <c r="R244" s="83"/>
      <c r="S244" s="82"/>
      <c r="T244" s="83"/>
      <c r="U244" s="83"/>
      <c r="V244" s="84">
        <v>85.8215</v>
      </c>
      <c r="W244" s="85">
        <v>149.85</v>
      </c>
      <c r="X244" s="87"/>
      <c r="Y244" s="83">
        <v>546</v>
      </c>
      <c r="Z244" s="84"/>
      <c r="AA244" s="85"/>
      <c r="AB244" s="84"/>
      <c r="AC244" s="85"/>
      <c r="AD244" s="89">
        <f t="shared" si="46"/>
        <v>539.14408000000003</v>
      </c>
      <c r="AE244" s="89">
        <v>331.92809999999997</v>
      </c>
      <c r="AF244" s="186">
        <v>207.21598</v>
      </c>
      <c r="AG244" s="85"/>
      <c r="AH244" s="85"/>
      <c r="AI244" s="85"/>
      <c r="AJ244" s="84"/>
      <c r="AK244" s="85"/>
      <c r="AL244" s="84"/>
      <c r="AM244" s="88"/>
      <c r="AN244" s="84"/>
      <c r="AO244" s="85"/>
      <c r="AP244" s="84"/>
      <c r="AQ244" s="83"/>
      <c r="AR244" s="83"/>
      <c r="AS244" s="83"/>
      <c r="AT244" s="85"/>
      <c r="AU244" s="85"/>
      <c r="AV244" s="85"/>
      <c r="AW244" s="88"/>
      <c r="AX244" s="84"/>
      <c r="AY244" s="85"/>
      <c r="AZ244" s="84">
        <v>929.48900000000003</v>
      </c>
      <c r="BA244" s="85">
        <v>841.72850000000005</v>
      </c>
      <c r="BB244" s="88"/>
      <c r="BC244" s="85"/>
      <c r="BD244" s="84"/>
      <c r="BE244" s="88"/>
      <c r="BF244" s="85"/>
      <c r="BG244" s="85">
        <v>69.191680000000005</v>
      </c>
      <c r="BH244" s="85"/>
      <c r="BI244" s="85"/>
      <c r="BJ244" s="85"/>
      <c r="BK244" s="85"/>
      <c r="BL244" s="85"/>
      <c r="BM244" s="85"/>
      <c r="BN244" s="85"/>
      <c r="BO244" s="85"/>
      <c r="BP244" s="85"/>
      <c r="BQ244" s="85"/>
      <c r="BR244" s="84"/>
      <c r="BS244" s="85"/>
      <c r="BT244" s="85"/>
      <c r="BU244" s="198"/>
      <c r="BV244" s="90"/>
      <c r="BW244" s="198"/>
      <c r="BX244" s="90"/>
      <c r="BY244" s="198"/>
      <c r="BZ244" s="90"/>
      <c r="CA244" s="91"/>
    </row>
    <row r="245" spans="1:79" ht="50.1" customHeight="1" outlineLevel="2" x14ac:dyDescent="0.3">
      <c r="A245" s="103" t="s">
        <v>249</v>
      </c>
      <c r="B245" s="102" t="s">
        <v>253</v>
      </c>
      <c r="C245" s="79" t="s">
        <v>37</v>
      </c>
      <c r="D245" s="81">
        <f t="shared" si="58"/>
        <v>27.948180000000001</v>
      </c>
      <c r="E245" s="82">
        <f t="shared" si="38"/>
        <v>10.736980000000001</v>
      </c>
      <c r="F245" s="83">
        <f t="shared" si="47"/>
        <v>17.211200000000002</v>
      </c>
      <c r="G245" s="84"/>
      <c r="H245" s="85"/>
      <c r="I245" s="85"/>
      <c r="J245" s="84"/>
      <c r="K245" s="85"/>
      <c r="L245" s="85"/>
      <c r="M245" s="85"/>
      <c r="N245" s="85"/>
      <c r="O245" s="82"/>
      <c r="P245" s="83"/>
      <c r="Q245" s="83"/>
      <c r="R245" s="83"/>
      <c r="S245" s="82"/>
      <c r="T245" s="83"/>
      <c r="U245" s="83"/>
      <c r="V245" s="84"/>
      <c r="W245" s="85"/>
      <c r="X245" s="87"/>
      <c r="Y245" s="83">
        <v>7.4880000000000004</v>
      </c>
      <c r="Z245" s="84"/>
      <c r="AA245" s="85"/>
      <c r="AB245" s="84"/>
      <c r="AC245" s="85"/>
      <c r="AD245" s="89">
        <f t="shared" si="46"/>
        <v>0</v>
      </c>
      <c r="AE245" s="89"/>
      <c r="AF245" s="186"/>
      <c r="AG245" s="85"/>
      <c r="AH245" s="85"/>
      <c r="AI245" s="85"/>
      <c r="AJ245" s="84"/>
      <c r="AK245" s="85"/>
      <c r="AL245" s="84"/>
      <c r="AM245" s="88"/>
      <c r="AN245" s="84"/>
      <c r="AO245" s="85"/>
      <c r="AP245" s="84"/>
      <c r="AQ245" s="83"/>
      <c r="AR245" s="83"/>
      <c r="AS245" s="83"/>
      <c r="AT245" s="85"/>
      <c r="AU245" s="85"/>
      <c r="AV245" s="85"/>
      <c r="AW245" s="88"/>
      <c r="AX245" s="84"/>
      <c r="AY245" s="85"/>
      <c r="AZ245" s="84">
        <v>10.736980000000001</v>
      </c>
      <c r="BA245" s="85">
        <v>9.7232000000000003</v>
      </c>
      <c r="BB245" s="88"/>
      <c r="BC245" s="85"/>
      <c r="BD245" s="84"/>
      <c r="BE245" s="88"/>
      <c r="BF245" s="85"/>
      <c r="BG245" s="85"/>
      <c r="BH245" s="85"/>
      <c r="BI245" s="85"/>
      <c r="BJ245" s="85"/>
      <c r="BK245" s="85"/>
      <c r="BL245" s="85"/>
      <c r="BM245" s="85"/>
      <c r="BN245" s="85"/>
      <c r="BO245" s="85"/>
      <c r="BP245" s="85"/>
      <c r="BQ245" s="85"/>
      <c r="BR245" s="84"/>
      <c r="BS245" s="85"/>
      <c r="BT245" s="85"/>
      <c r="BU245" s="198"/>
      <c r="BV245" s="90"/>
      <c r="BW245" s="198"/>
      <c r="BX245" s="90"/>
      <c r="BY245" s="198"/>
      <c r="BZ245" s="90"/>
      <c r="CA245" s="91"/>
    </row>
    <row r="246" spans="1:79" ht="50.1" customHeight="1" outlineLevel="2" x14ac:dyDescent="0.3">
      <c r="A246" s="103" t="s">
        <v>249</v>
      </c>
      <c r="B246" s="102" t="s">
        <v>254</v>
      </c>
      <c r="C246" s="79" t="s">
        <v>37</v>
      </c>
      <c r="D246" s="81">
        <f t="shared" si="58"/>
        <v>1473.3716999999999</v>
      </c>
      <c r="E246" s="82">
        <f t="shared" si="38"/>
        <v>304.12708000000003</v>
      </c>
      <c r="F246" s="83">
        <f t="shared" si="47"/>
        <v>1169.2446199999999</v>
      </c>
      <c r="G246" s="84"/>
      <c r="H246" s="85"/>
      <c r="I246" s="85"/>
      <c r="J246" s="84"/>
      <c r="K246" s="85"/>
      <c r="L246" s="85">
        <v>156.13753</v>
      </c>
      <c r="M246" s="85"/>
      <c r="N246" s="85"/>
      <c r="O246" s="82"/>
      <c r="P246" s="83"/>
      <c r="Q246" s="83"/>
      <c r="R246" s="83"/>
      <c r="S246" s="82"/>
      <c r="T246" s="83"/>
      <c r="U246" s="83"/>
      <c r="V246" s="84">
        <v>33.630130000000001</v>
      </c>
      <c r="W246" s="85">
        <v>56.43703</v>
      </c>
      <c r="X246" s="87"/>
      <c r="Y246" s="83">
        <v>291.72000000000003</v>
      </c>
      <c r="Z246" s="84"/>
      <c r="AA246" s="85"/>
      <c r="AB246" s="84"/>
      <c r="AC246" s="85"/>
      <c r="AD246" s="89">
        <f t="shared" si="46"/>
        <v>126.79355000000001</v>
      </c>
      <c r="AE246" s="89">
        <v>40.832900000000002</v>
      </c>
      <c r="AF246" s="186">
        <f>3.26883+82.69182</f>
        <v>85.960650000000001</v>
      </c>
      <c r="AG246" s="85"/>
      <c r="AH246" s="85"/>
      <c r="AI246" s="85"/>
      <c r="AJ246" s="84"/>
      <c r="AK246" s="85"/>
      <c r="AL246" s="84"/>
      <c r="AM246" s="88"/>
      <c r="AN246" s="84"/>
      <c r="AO246" s="85"/>
      <c r="AP246" s="84"/>
      <c r="AQ246" s="83"/>
      <c r="AR246" s="83"/>
      <c r="AS246" s="83"/>
      <c r="AT246" s="85"/>
      <c r="AU246" s="85"/>
      <c r="AV246" s="88">
        <v>293.19945000000001</v>
      </c>
      <c r="AW246" s="88"/>
      <c r="AX246" s="84"/>
      <c r="AY246" s="85"/>
      <c r="AZ246" s="84">
        <v>270.49695000000003</v>
      </c>
      <c r="BA246" s="85">
        <v>244.95706000000001</v>
      </c>
      <c r="BB246" s="88"/>
      <c r="BC246" s="85"/>
      <c r="BD246" s="84"/>
      <c r="BE246" s="88"/>
      <c r="BF246" s="85"/>
      <c r="BG246" s="85"/>
      <c r="BH246" s="85"/>
      <c r="BI246" s="85"/>
      <c r="BJ246" s="85"/>
      <c r="BK246" s="85"/>
      <c r="BL246" s="85"/>
      <c r="BM246" s="85"/>
      <c r="BN246" s="85"/>
      <c r="BO246" s="85"/>
      <c r="BP246" s="85"/>
      <c r="BQ246" s="85"/>
      <c r="BR246" s="84"/>
      <c r="BS246" s="85"/>
      <c r="BT246" s="85"/>
      <c r="BU246" s="198"/>
      <c r="BV246" s="90"/>
      <c r="BW246" s="198"/>
      <c r="BX246" s="90"/>
      <c r="BY246" s="198"/>
      <c r="BZ246" s="90"/>
      <c r="CA246" s="91"/>
    </row>
    <row r="247" spans="1:79" ht="50.1" customHeight="1" outlineLevel="2" x14ac:dyDescent="0.3">
      <c r="A247" s="103" t="s">
        <v>249</v>
      </c>
      <c r="B247" s="102" t="s">
        <v>255</v>
      </c>
      <c r="C247" s="79" t="s">
        <v>37</v>
      </c>
      <c r="D247" s="81">
        <f t="shared" si="58"/>
        <v>703.34676000000002</v>
      </c>
      <c r="E247" s="82">
        <f t="shared" ref="E247:E299" si="59">G247+J247+O247+S247+V247+X247+Z247+AB247+AJ247+AL247+AN247+AP247+AX247+AZ247+BD247+BV247+BX247+BZ247+BR247</f>
        <v>259.48522000000003</v>
      </c>
      <c r="F247" s="83">
        <f t="shared" si="47"/>
        <v>443.86153999999999</v>
      </c>
      <c r="G247" s="84"/>
      <c r="H247" s="85"/>
      <c r="I247" s="85"/>
      <c r="J247" s="84">
        <v>16.404070000000001</v>
      </c>
      <c r="K247" s="85">
        <v>5.3556100000000004</v>
      </c>
      <c r="L247" s="85"/>
      <c r="M247" s="85"/>
      <c r="N247" s="85"/>
      <c r="O247" s="82"/>
      <c r="P247" s="83"/>
      <c r="Q247" s="83"/>
      <c r="R247" s="83"/>
      <c r="S247" s="82"/>
      <c r="T247" s="83"/>
      <c r="U247" s="83"/>
      <c r="V247" s="84"/>
      <c r="W247" s="85"/>
      <c r="X247" s="87"/>
      <c r="Y247" s="83">
        <v>139.77600000000001</v>
      </c>
      <c r="Z247" s="84"/>
      <c r="AA247" s="85"/>
      <c r="AB247" s="84"/>
      <c r="AC247" s="85"/>
      <c r="AD247" s="89">
        <f t="shared" si="46"/>
        <v>0</v>
      </c>
      <c r="AE247" s="89"/>
      <c r="AF247" s="186"/>
      <c r="AG247" s="85"/>
      <c r="AH247" s="85"/>
      <c r="AI247" s="85"/>
      <c r="AJ247" s="84"/>
      <c r="AK247" s="85"/>
      <c r="AL247" s="84"/>
      <c r="AM247" s="88"/>
      <c r="AN247" s="84"/>
      <c r="AO247" s="85"/>
      <c r="AP247" s="84"/>
      <c r="AQ247" s="83"/>
      <c r="AR247" s="83"/>
      <c r="AS247" s="83"/>
      <c r="AT247" s="85"/>
      <c r="AU247" s="85"/>
      <c r="AV247" s="85"/>
      <c r="AW247" s="88"/>
      <c r="AX247" s="84"/>
      <c r="AY247" s="85"/>
      <c r="AZ247" s="84">
        <v>243.08115000000001</v>
      </c>
      <c r="BA247" s="85">
        <v>220.12993</v>
      </c>
      <c r="BB247" s="88"/>
      <c r="BC247" s="85"/>
      <c r="BD247" s="84"/>
      <c r="BE247" s="88"/>
      <c r="BF247" s="85"/>
      <c r="BG247" s="85"/>
      <c r="BH247" s="85"/>
      <c r="BI247" s="85"/>
      <c r="BJ247" s="85"/>
      <c r="BK247" s="85"/>
      <c r="BL247" s="85"/>
      <c r="BM247" s="85"/>
      <c r="BN247" s="85"/>
      <c r="BO247" s="85"/>
      <c r="BP247" s="85"/>
      <c r="BQ247" s="85"/>
      <c r="BR247" s="84"/>
      <c r="BS247" s="85"/>
      <c r="BT247" s="85">
        <v>78.599999999999994</v>
      </c>
      <c r="BU247" s="198"/>
      <c r="BV247" s="90"/>
      <c r="BW247" s="198"/>
      <c r="BX247" s="90"/>
      <c r="BY247" s="198"/>
      <c r="BZ247" s="90"/>
      <c r="CA247" s="91"/>
    </row>
    <row r="248" spans="1:79" ht="50.1" customHeight="1" outlineLevel="2" x14ac:dyDescent="0.3">
      <c r="A248" s="103" t="s">
        <v>249</v>
      </c>
      <c r="B248" s="102" t="s">
        <v>256</v>
      </c>
      <c r="C248" s="79" t="s">
        <v>37</v>
      </c>
      <c r="D248" s="81">
        <f t="shared" si="58"/>
        <v>4798.5516299999999</v>
      </c>
      <c r="E248" s="82">
        <f t="shared" si="59"/>
        <v>1147.4868099999999</v>
      </c>
      <c r="F248" s="83">
        <f t="shared" si="47"/>
        <v>3651.0648200000001</v>
      </c>
      <c r="G248" s="84"/>
      <c r="H248" s="85"/>
      <c r="I248" s="85"/>
      <c r="J248" s="84">
        <v>60.801870000000001</v>
      </c>
      <c r="K248" s="85">
        <v>7.9410800000000004</v>
      </c>
      <c r="L248" s="85"/>
      <c r="M248" s="85"/>
      <c r="N248" s="85"/>
      <c r="O248" s="82"/>
      <c r="P248" s="83"/>
      <c r="Q248" s="83"/>
      <c r="R248" s="83"/>
      <c r="S248" s="82">
        <v>198.33246</v>
      </c>
      <c r="T248" s="83">
        <v>184.16584</v>
      </c>
      <c r="U248" s="83"/>
      <c r="V248" s="84">
        <v>92.78</v>
      </c>
      <c r="W248" s="85">
        <v>162</v>
      </c>
      <c r="X248" s="87"/>
      <c r="Y248" s="83">
        <v>390.78</v>
      </c>
      <c r="Z248" s="84"/>
      <c r="AA248" s="85"/>
      <c r="AB248" s="84"/>
      <c r="AC248" s="85"/>
      <c r="AD248" s="89">
        <f t="shared" si="46"/>
        <v>415.51938000000001</v>
      </c>
      <c r="AE248" s="89">
        <v>275.42970000000003</v>
      </c>
      <c r="AF248" s="186">
        <v>140.08967999999999</v>
      </c>
      <c r="AG248" s="85"/>
      <c r="AH248" s="85"/>
      <c r="AI248" s="85"/>
      <c r="AJ248" s="84"/>
      <c r="AK248" s="85"/>
      <c r="AL248" s="84"/>
      <c r="AM248" s="88"/>
      <c r="AN248" s="84"/>
      <c r="AO248" s="85"/>
      <c r="AP248" s="84"/>
      <c r="AQ248" s="83"/>
      <c r="AR248" s="83"/>
      <c r="AS248" s="83"/>
      <c r="AT248" s="85"/>
      <c r="AU248" s="85"/>
      <c r="AV248" s="85">
        <f>191.0972+1068.8426</f>
        <v>1259.9397999999999</v>
      </c>
      <c r="AW248" s="88"/>
      <c r="AX248" s="84"/>
      <c r="AY248" s="85"/>
      <c r="AZ248" s="84">
        <v>795.57248000000004</v>
      </c>
      <c r="BA248" s="85">
        <v>720.45528000000002</v>
      </c>
      <c r="BB248" s="88"/>
      <c r="BC248" s="85"/>
      <c r="BD248" s="84"/>
      <c r="BE248" s="88"/>
      <c r="BF248" s="85"/>
      <c r="BG248" s="85">
        <v>311.27404000000001</v>
      </c>
      <c r="BH248" s="85"/>
      <c r="BI248" s="85"/>
      <c r="BJ248" s="85"/>
      <c r="BK248" s="85"/>
      <c r="BL248" s="85"/>
      <c r="BM248" s="85"/>
      <c r="BN248" s="85"/>
      <c r="BO248" s="85"/>
      <c r="BP248" s="85"/>
      <c r="BQ248" s="85"/>
      <c r="BR248" s="84"/>
      <c r="BS248" s="85"/>
      <c r="BT248" s="85">
        <v>198.98939999999999</v>
      </c>
      <c r="BU248" s="198"/>
      <c r="BV248" s="90"/>
      <c r="BW248" s="198"/>
      <c r="BX248" s="90"/>
      <c r="BY248" s="198"/>
      <c r="BZ248" s="90"/>
      <c r="CA248" s="91"/>
    </row>
    <row r="249" spans="1:79" ht="50.1" customHeight="1" outlineLevel="2" x14ac:dyDescent="0.3">
      <c r="A249" s="103" t="s">
        <v>249</v>
      </c>
      <c r="B249" s="102" t="s">
        <v>257</v>
      </c>
      <c r="C249" s="79" t="s">
        <v>37</v>
      </c>
      <c r="D249" s="81">
        <f t="shared" si="58"/>
        <v>10889.604899999998</v>
      </c>
      <c r="E249" s="82">
        <f t="shared" si="59"/>
        <v>2732.1342399999999</v>
      </c>
      <c r="F249" s="83">
        <f t="shared" si="47"/>
        <v>8157.470659999999</v>
      </c>
      <c r="G249" s="84"/>
      <c r="H249" s="85"/>
      <c r="I249" s="85"/>
      <c r="J249" s="84"/>
      <c r="K249" s="85"/>
      <c r="L249" s="85"/>
      <c r="M249" s="85"/>
      <c r="N249" s="85"/>
      <c r="O249" s="82"/>
      <c r="P249" s="83"/>
      <c r="Q249" s="83"/>
      <c r="R249" s="83"/>
      <c r="S249" s="82"/>
      <c r="T249" s="83"/>
      <c r="U249" s="83"/>
      <c r="V249" s="84">
        <v>102.85</v>
      </c>
      <c r="W249" s="85">
        <v>180</v>
      </c>
      <c r="X249" s="87"/>
      <c r="Y249" s="83">
        <v>830.23199999999997</v>
      </c>
      <c r="Z249" s="84"/>
      <c r="AA249" s="85"/>
      <c r="AB249" s="84"/>
      <c r="AC249" s="85"/>
      <c r="AD249" s="89">
        <f t="shared" si="46"/>
        <v>195.83091999999999</v>
      </c>
      <c r="AE249" s="89">
        <v>35.311500000000002</v>
      </c>
      <c r="AF249" s="188">
        <v>160.51942</v>
      </c>
      <c r="AG249" s="85"/>
      <c r="AH249" s="85"/>
      <c r="AI249" s="85"/>
      <c r="AJ249" s="84"/>
      <c r="AK249" s="85"/>
      <c r="AL249" s="84"/>
      <c r="AM249" s="88"/>
      <c r="AN249" s="84"/>
      <c r="AO249" s="85"/>
      <c r="AP249" s="84">
        <v>1779.4798699999999</v>
      </c>
      <c r="AQ249" s="83">
        <v>4339.2107999999998</v>
      </c>
      <c r="AR249" s="83"/>
      <c r="AS249" s="83"/>
      <c r="AT249" s="85"/>
      <c r="AU249" s="85"/>
      <c r="AV249" s="85"/>
      <c r="AW249" s="88"/>
      <c r="AX249" s="84"/>
      <c r="AY249" s="85"/>
      <c r="AZ249" s="84">
        <v>849.80436999999995</v>
      </c>
      <c r="BA249" s="85">
        <v>769.56804</v>
      </c>
      <c r="BB249" s="88"/>
      <c r="BC249" s="85"/>
      <c r="BD249" s="84"/>
      <c r="BE249" s="88"/>
      <c r="BF249" s="85"/>
      <c r="BG249" s="85">
        <v>102.6289</v>
      </c>
      <c r="BH249" s="85"/>
      <c r="BI249" s="85"/>
      <c r="BJ249" s="85"/>
      <c r="BK249" s="85"/>
      <c r="BL249" s="85"/>
      <c r="BM249" s="85"/>
      <c r="BN249" s="85"/>
      <c r="BO249" s="85"/>
      <c r="BP249" s="85"/>
      <c r="BQ249" s="85"/>
      <c r="BR249" s="84"/>
      <c r="BS249" s="85">
        <v>1740</v>
      </c>
      <c r="BT249" s="85"/>
      <c r="BU249" s="198"/>
      <c r="BV249" s="90"/>
      <c r="BW249" s="198"/>
      <c r="BX249" s="90"/>
      <c r="BY249" s="198"/>
      <c r="BZ249" s="90"/>
      <c r="CA249" s="91"/>
    </row>
    <row r="250" spans="1:79" ht="50.1" customHeight="1" outlineLevel="2" x14ac:dyDescent="0.3">
      <c r="A250" s="103" t="s">
        <v>249</v>
      </c>
      <c r="B250" s="102" t="s">
        <v>258</v>
      </c>
      <c r="C250" s="79" t="s">
        <v>37</v>
      </c>
      <c r="D250" s="81">
        <f t="shared" si="58"/>
        <v>200.53299000000001</v>
      </c>
      <c r="E250" s="82">
        <f t="shared" si="59"/>
        <v>0</v>
      </c>
      <c r="F250" s="83">
        <f t="shared" si="47"/>
        <v>200.53299000000001</v>
      </c>
      <c r="G250" s="84"/>
      <c r="H250" s="85"/>
      <c r="I250" s="85"/>
      <c r="J250" s="84"/>
      <c r="K250" s="85"/>
      <c r="L250" s="85"/>
      <c r="M250" s="85"/>
      <c r="N250" s="85"/>
      <c r="O250" s="82"/>
      <c r="P250" s="83"/>
      <c r="Q250" s="83"/>
      <c r="R250" s="83"/>
      <c r="S250" s="82"/>
      <c r="T250" s="83"/>
      <c r="U250" s="83"/>
      <c r="V250" s="84"/>
      <c r="W250" s="85"/>
      <c r="X250" s="87"/>
      <c r="Y250" s="83"/>
      <c r="Z250" s="84"/>
      <c r="AA250" s="85"/>
      <c r="AB250" s="84"/>
      <c r="AC250" s="85"/>
      <c r="AD250" s="89">
        <f t="shared" si="46"/>
        <v>200.53299000000001</v>
      </c>
      <c r="AE250" s="89">
        <v>120.0591</v>
      </c>
      <c r="AF250" s="186">
        <f>6.53767+73.93622</f>
        <v>80.473890000000011</v>
      </c>
      <c r="AG250" s="85"/>
      <c r="AH250" s="85"/>
      <c r="AI250" s="85"/>
      <c r="AJ250" s="84"/>
      <c r="AK250" s="85"/>
      <c r="AL250" s="84"/>
      <c r="AM250" s="88"/>
      <c r="AN250" s="84"/>
      <c r="AO250" s="85"/>
      <c r="AP250" s="84"/>
      <c r="AQ250" s="83"/>
      <c r="AR250" s="83"/>
      <c r="AS250" s="83"/>
      <c r="AT250" s="85"/>
      <c r="AU250" s="85"/>
      <c r="AV250" s="85"/>
      <c r="AW250" s="88"/>
      <c r="AX250" s="84"/>
      <c r="AY250" s="85"/>
      <c r="AZ250" s="84"/>
      <c r="BA250" s="85"/>
      <c r="BB250" s="88"/>
      <c r="BC250" s="85"/>
      <c r="BD250" s="84"/>
      <c r="BE250" s="88"/>
      <c r="BF250" s="85"/>
      <c r="BG250" s="85"/>
      <c r="BH250" s="85"/>
      <c r="BI250" s="85"/>
      <c r="BJ250" s="85"/>
      <c r="BK250" s="85"/>
      <c r="BL250" s="85"/>
      <c r="BM250" s="85"/>
      <c r="BN250" s="85"/>
      <c r="BO250" s="85"/>
      <c r="BP250" s="85"/>
      <c r="BQ250" s="85"/>
      <c r="BR250" s="84"/>
      <c r="BS250" s="85"/>
      <c r="BT250" s="85"/>
      <c r="BU250" s="198"/>
      <c r="BV250" s="90"/>
      <c r="BW250" s="198"/>
      <c r="BX250" s="90"/>
      <c r="BY250" s="198"/>
      <c r="BZ250" s="90"/>
      <c r="CA250" s="91"/>
    </row>
    <row r="251" spans="1:79" ht="50.1" customHeight="1" outlineLevel="2" x14ac:dyDescent="0.3">
      <c r="A251" s="103" t="s">
        <v>249</v>
      </c>
      <c r="B251" s="102" t="s">
        <v>259</v>
      </c>
      <c r="C251" s="79" t="s">
        <v>37</v>
      </c>
      <c r="D251" s="81">
        <f t="shared" si="58"/>
        <v>155.78922999999998</v>
      </c>
      <c r="E251" s="82">
        <f t="shared" si="59"/>
        <v>57.194710000000001</v>
      </c>
      <c r="F251" s="83">
        <f t="shared" si="47"/>
        <v>98.594519999999989</v>
      </c>
      <c r="G251" s="84"/>
      <c r="H251" s="85"/>
      <c r="I251" s="85"/>
      <c r="J251" s="84"/>
      <c r="K251" s="85"/>
      <c r="L251" s="85"/>
      <c r="M251" s="85"/>
      <c r="N251" s="85"/>
      <c r="O251" s="82"/>
      <c r="P251" s="83"/>
      <c r="Q251" s="83"/>
      <c r="R251" s="83"/>
      <c r="S251" s="82"/>
      <c r="T251" s="83"/>
      <c r="U251" s="83"/>
      <c r="V251" s="84"/>
      <c r="W251" s="85"/>
      <c r="X251" s="87"/>
      <c r="Y251" s="83">
        <v>46.8</v>
      </c>
      <c r="Z251" s="84"/>
      <c r="AA251" s="85"/>
      <c r="AB251" s="84"/>
      <c r="AC251" s="85"/>
      <c r="AD251" s="89">
        <f t="shared" si="46"/>
        <v>0</v>
      </c>
      <c r="AE251" s="89"/>
      <c r="AF251" s="186"/>
      <c r="AG251" s="85"/>
      <c r="AH251" s="85"/>
      <c r="AI251" s="85"/>
      <c r="AJ251" s="84"/>
      <c r="AK251" s="85"/>
      <c r="AL251" s="84"/>
      <c r="AM251" s="88"/>
      <c r="AN251" s="84"/>
      <c r="AO251" s="85"/>
      <c r="AP251" s="84"/>
      <c r="AQ251" s="83"/>
      <c r="AR251" s="83"/>
      <c r="AS251" s="83"/>
      <c r="AT251" s="85"/>
      <c r="AU251" s="85"/>
      <c r="AV251" s="85"/>
      <c r="AW251" s="88"/>
      <c r="AX251" s="84"/>
      <c r="AY251" s="85"/>
      <c r="AZ251" s="84">
        <v>57.194710000000001</v>
      </c>
      <c r="BA251" s="85">
        <v>51.794519999999999</v>
      </c>
      <c r="BB251" s="88"/>
      <c r="BC251" s="85"/>
      <c r="BD251" s="84"/>
      <c r="BE251" s="88"/>
      <c r="BF251" s="85"/>
      <c r="BG251" s="85"/>
      <c r="BH251" s="85"/>
      <c r="BI251" s="85"/>
      <c r="BJ251" s="85"/>
      <c r="BK251" s="85"/>
      <c r="BL251" s="85"/>
      <c r="BM251" s="85"/>
      <c r="BN251" s="85"/>
      <c r="BO251" s="85"/>
      <c r="BP251" s="85"/>
      <c r="BQ251" s="85"/>
      <c r="BR251" s="84"/>
      <c r="BS251" s="85"/>
      <c r="BT251" s="85"/>
      <c r="BU251" s="198"/>
      <c r="BV251" s="90"/>
      <c r="BW251" s="198"/>
      <c r="BX251" s="90"/>
      <c r="BY251" s="198"/>
      <c r="BZ251" s="90"/>
      <c r="CA251" s="91"/>
    </row>
    <row r="252" spans="1:79" ht="50.1" customHeight="1" outlineLevel="2" x14ac:dyDescent="0.3">
      <c r="A252" s="103" t="s">
        <v>249</v>
      </c>
      <c r="B252" s="102" t="s">
        <v>260</v>
      </c>
      <c r="C252" s="79" t="s">
        <v>37</v>
      </c>
      <c r="D252" s="81">
        <f t="shared" si="58"/>
        <v>1538.0399499999999</v>
      </c>
      <c r="E252" s="82">
        <f t="shared" si="59"/>
        <v>807.12311</v>
      </c>
      <c r="F252" s="83">
        <f t="shared" si="47"/>
        <v>730.91683999999998</v>
      </c>
      <c r="G252" s="84"/>
      <c r="H252" s="85"/>
      <c r="I252" s="85"/>
      <c r="J252" s="84"/>
      <c r="K252" s="85"/>
      <c r="L252" s="85"/>
      <c r="M252" s="85"/>
      <c r="N252" s="85"/>
      <c r="O252" s="82"/>
      <c r="P252" s="83"/>
      <c r="Q252" s="83"/>
      <c r="R252" s="83"/>
      <c r="S252" s="82"/>
      <c r="T252" s="83"/>
      <c r="U252" s="83"/>
      <c r="V252" s="84"/>
      <c r="W252" s="85"/>
      <c r="X252" s="87"/>
      <c r="Y252" s="83"/>
      <c r="Z252" s="84"/>
      <c r="AA252" s="85"/>
      <c r="AB252" s="84"/>
      <c r="AC252" s="85"/>
      <c r="AD252" s="89">
        <f t="shared" si="46"/>
        <v>0</v>
      </c>
      <c r="AE252" s="89"/>
      <c r="AF252" s="186"/>
      <c r="AG252" s="85"/>
      <c r="AH252" s="85"/>
      <c r="AI252" s="85"/>
      <c r="AJ252" s="84"/>
      <c r="AK252" s="85"/>
      <c r="AL252" s="84"/>
      <c r="AM252" s="88"/>
      <c r="AN252" s="84"/>
      <c r="AO252" s="85"/>
      <c r="AP252" s="84"/>
      <c r="AQ252" s="83"/>
      <c r="AR252" s="83"/>
      <c r="AS252" s="83"/>
      <c r="AT252" s="85"/>
      <c r="AU252" s="85"/>
      <c r="AV252" s="85"/>
      <c r="AW252" s="88"/>
      <c r="AX252" s="84"/>
      <c r="AY252" s="85"/>
      <c r="AZ252" s="84">
        <v>807.12311</v>
      </c>
      <c r="BA252" s="85">
        <v>730.91683999999998</v>
      </c>
      <c r="BB252" s="88"/>
      <c r="BC252" s="85"/>
      <c r="BD252" s="84"/>
      <c r="BE252" s="88"/>
      <c r="BF252" s="85"/>
      <c r="BG252" s="85"/>
      <c r="BH252" s="85"/>
      <c r="BI252" s="85"/>
      <c r="BJ252" s="85"/>
      <c r="BK252" s="85"/>
      <c r="BL252" s="85"/>
      <c r="BM252" s="85"/>
      <c r="BN252" s="85"/>
      <c r="BO252" s="85"/>
      <c r="BP252" s="85"/>
      <c r="BQ252" s="85"/>
      <c r="BR252" s="84"/>
      <c r="BS252" s="85"/>
      <c r="BT252" s="85"/>
      <c r="BU252" s="198"/>
      <c r="BV252" s="90"/>
      <c r="BW252" s="198"/>
      <c r="BX252" s="90"/>
      <c r="BY252" s="198"/>
      <c r="BZ252" s="90"/>
      <c r="CA252" s="91"/>
    </row>
    <row r="253" spans="1:79" ht="50.1" customHeight="1" outlineLevel="2" x14ac:dyDescent="0.3">
      <c r="A253" s="103" t="s">
        <v>249</v>
      </c>
      <c r="B253" s="102" t="s">
        <v>261</v>
      </c>
      <c r="C253" s="79" t="s">
        <v>37</v>
      </c>
      <c r="D253" s="81">
        <f t="shared" si="58"/>
        <v>3241.6096499999999</v>
      </c>
      <c r="E253" s="82">
        <f t="shared" si="59"/>
        <v>845.04653000000008</v>
      </c>
      <c r="F253" s="83">
        <f t="shared" si="47"/>
        <v>2396.5631199999998</v>
      </c>
      <c r="G253" s="84">
        <v>144.91496000000001</v>
      </c>
      <c r="H253" s="85">
        <v>52.696350000000002</v>
      </c>
      <c r="I253" s="85"/>
      <c r="J253" s="84">
        <v>23.17679</v>
      </c>
      <c r="K253" s="85">
        <v>2.8877999999999999</v>
      </c>
      <c r="L253" s="85"/>
      <c r="M253" s="85"/>
      <c r="N253" s="85"/>
      <c r="O253" s="82"/>
      <c r="P253" s="83"/>
      <c r="Q253" s="83"/>
      <c r="R253" s="83"/>
      <c r="S253" s="82"/>
      <c r="T253" s="83"/>
      <c r="U253" s="83"/>
      <c r="V253" s="84"/>
      <c r="W253" s="85">
        <v>127.8</v>
      </c>
      <c r="X253" s="87"/>
      <c r="Y253" s="83">
        <v>172.536</v>
      </c>
      <c r="Z253" s="84"/>
      <c r="AA253" s="85"/>
      <c r="AB253" s="84"/>
      <c r="AC253" s="85"/>
      <c r="AD253" s="89">
        <f t="shared" si="46"/>
        <v>114.75132000000001</v>
      </c>
      <c r="AE253" s="89">
        <v>70.623000000000005</v>
      </c>
      <c r="AF253" s="186">
        <f>3.26883+40.85949</f>
        <v>44.128320000000002</v>
      </c>
      <c r="AG253" s="85"/>
      <c r="AH253" s="85"/>
      <c r="AI253" s="85"/>
      <c r="AJ253" s="84"/>
      <c r="AK253" s="85"/>
      <c r="AL253" s="84"/>
      <c r="AM253" s="88"/>
      <c r="AN253" s="84"/>
      <c r="AO253" s="85"/>
      <c r="AP253" s="84">
        <v>339.44263999999998</v>
      </c>
      <c r="AQ253" s="83">
        <v>634.34319000000005</v>
      </c>
      <c r="AR253" s="83"/>
      <c r="AS253" s="83"/>
      <c r="AT253" s="85"/>
      <c r="AU253" s="85"/>
      <c r="AV253" s="85">
        <f>54.0358+931.86785</f>
        <v>985.90364999999997</v>
      </c>
      <c r="AW253" s="88"/>
      <c r="AX253" s="84"/>
      <c r="AY253" s="85"/>
      <c r="AZ253" s="84">
        <v>337.51213999999999</v>
      </c>
      <c r="BA253" s="85">
        <v>305.64481000000001</v>
      </c>
      <c r="BB253" s="88"/>
      <c r="BC253" s="85"/>
      <c r="BD253" s="84"/>
      <c r="BE253" s="88"/>
      <c r="BF253" s="85"/>
      <c r="BG253" s="85"/>
      <c r="BH253" s="85"/>
      <c r="BI253" s="85"/>
      <c r="BJ253" s="85"/>
      <c r="BK253" s="85"/>
      <c r="BL253" s="85"/>
      <c r="BM253" s="85"/>
      <c r="BN253" s="85"/>
      <c r="BO253" s="85"/>
      <c r="BP253" s="85"/>
      <c r="BQ253" s="85"/>
      <c r="BR253" s="84"/>
      <c r="BS253" s="85"/>
      <c r="BT253" s="85"/>
      <c r="BU253" s="198"/>
      <c r="BV253" s="90"/>
      <c r="BW253" s="198"/>
      <c r="BX253" s="90"/>
      <c r="BY253" s="198"/>
      <c r="BZ253" s="90"/>
      <c r="CA253" s="91"/>
    </row>
    <row r="254" spans="1:79" ht="50.1" customHeight="1" outlineLevel="2" x14ac:dyDescent="0.3">
      <c r="A254" s="103" t="s">
        <v>249</v>
      </c>
      <c r="B254" s="102" t="s">
        <v>262</v>
      </c>
      <c r="C254" s="79" t="s">
        <v>37</v>
      </c>
      <c r="D254" s="81">
        <f t="shared" si="58"/>
        <v>5469.9613200000003</v>
      </c>
      <c r="E254" s="82">
        <f t="shared" si="59"/>
        <v>1724.75515</v>
      </c>
      <c r="F254" s="83">
        <f t="shared" si="47"/>
        <v>3745.2061699999999</v>
      </c>
      <c r="G254" s="84"/>
      <c r="H254" s="85"/>
      <c r="I254" s="85"/>
      <c r="J254" s="84">
        <f>37.52186+14.13973</f>
        <v>51.661589999999997</v>
      </c>
      <c r="K254" s="85">
        <f>11.29984+1.75733</f>
        <v>13.057169999999999</v>
      </c>
      <c r="L254" s="85"/>
      <c r="M254" s="85"/>
      <c r="N254" s="85"/>
      <c r="O254" s="82"/>
      <c r="P254" s="83"/>
      <c r="Q254" s="83"/>
      <c r="R254" s="83"/>
      <c r="S254" s="82"/>
      <c r="T254" s="83"/>
      <c r="U254" s="83">
        <v>336.36757999999998</v>
      </c>
      <c r="V254" s="84">
        <v>134.5205</v>
      </c>
      <c r="W254" s="85">
        <v>225.74812</v>
      </c>
      <c r="X254" s="87"/>
      <c r="Y254" s="83">
        <v>936</v>
      </c>
      <c r="Z254" s="84"/>
      <c r="AA254" s="85"/>
      <c r="AB254" s="84"/>
      <c r="AC254" s="85"/>
      <c r="AD254" s="89">
        <f t="shared" si="46"/>
        <v>840.73051999999996</v>
      </c>
      <c r="AE254" s="89">
        <v>522.61019999999996</v>
      </c>
      <c r="AF254" s="186">
        <v>318.12031999999999</v>
      </c>
      <c r="AG254" s="85"/>
      <c r="AH254" s="85"/>
      <c r="AI254" s="85"/>
      <c r="AJ254" s="84"/>
      <c r="AK254" s="85"/>
      <c r="AL254" s="84"/>
      <c r="AM254" s="88"/>
      <c r="AN254" s="84"/>
      <c r="AO254" s="85"/>
      <c r="AP254" s="84"/>
      <c r="AQ254" s="83"/>
      <c r="AR254" s="83"/>
      <c r="AS254" s="83"/>
      <c r="AT254" s="85"/>
      <c r="AU254" s="85"/>
      <c r="AV254" s="85"/>
      <c r="AW254" s="88"/>
      <c r="AX254" s="84"/>
      <c r="AY254" s="85"/>
      <c r="AZ254" s="84">
        <v>1538.5730599999999</v>
      </c>
      <c r="BA254" s="85">
        <v>1393.30278</v>
      </c>
      <c r="BB254" s="88"/>
      <c r="BC254" s="85"/>
      <c r="BD254" s="84"/>
      <c r="BE254" s="88"/>
      <c r="BF254" s="85"/>
      <c r="BG254" s="85"/>
      <c r="BH254" s="85"/>
      <c r="BI254" s="85"/>
      <c r="BJ254" s="85"/>
      <c r="BK254" s="85"/>
      <c r="BL254" s="85"/>
      <c r="BM254" s="85"/>
      <c r="BN254" s="85"/>
      <c r="BO254" s="85"/>
      <c r="BP254" s="85"/>
      <c r="BQ254" s="85"/>
      <c r="BR254" s="84"/>
      <c r="BS254" s="85"/>
      <c r="BT254" s="85"/>
      <c r="BU254" s="198"/>
      <c r="BV254" s="90"/>
      <c r="BW254" s="198"/>
      <c r="BX254" s="90"/>
      <c r="BY254" s="198"/>
      <c r="BZ254" s="90"/>
      <c r="CA254" s="91"/>
    </row>
    <row r="255" spans="1:79" ht="50.1" customHeight="1" outlineLevel="2" x14ac:dyDescent="0.3">
      <c r="A255" s="103" t="s">
        <v>249</v>
      </c>
      <c r="B255" s="102" t="s">
        <v>263</v>
      </c>
      <c r="C255" s="79" t="s">
        <v>53</v>
      </c>
      <c r="D255" s="81">
        <f t="shared" si="58"/>
        <v>1431.2339899999999</v>
      </c>
      <c r="E255" s="82">
        <f t="shared" si="59"/>
        <v>587.80061999999998</v>
      </c>
      <c r="F255" s="83">
        <f t="shared" si="47"/>
        <v>843.43336999999997</v>
      </c>
      <c r="G255" s="84"/>
      <c r="H255" s="85"/>
      <c r="I255" s="85"/>
      <c r="J255" s="84">
        <f>0.4607+222.41891</f>
        <v>222.87961000000001</v>
      </c>
      <c r="K255" s="85">
        <f>0.11518+66.17609</f>
        <v>66.291269999999997</v>
      </c>
      <c r="L255" s="85">
        <v>182.33240000000001</v>
      </c>
      <c r="M255" s="85"/>
      <c r="N255" s="85"/>
      <c r="O255" s="82"/>
      <c r="P255" s="83"/>
      <c r="Q255" s="83"/>
      <c r="R255" s="83"/>
      <c r="S255" s="82"/>
      <c r="T255" s="83"/>
      <c r="U255" s="83"/>
      <c r="V255" s="84">
        <v>92.78</v>
      </c>
      <c r="W255" s="85">
        <v>162</v>
      </c>
      <c r="X255" s="87"/>
      <c r="Y255" s="83">
        <v>117</v>
      </c>
      <c r="Z255" s="84"/>
      <c r="AA255" s="85"/>
      <c r="AB255" s="84"/>
      <c r="AC255" s="85"/>
      <c r="AD255" s="89">
        <f t="shared" si="46"/>
        <v>69.363820000000004</v>
      </c>
      <c r="AE255" s="89">
        <v>23.6401</v>
      </c>
      <c r="AF255" s="186">
        <v>45.72372</v>
      </c>
      <c r="AG255" s="85"/>
      <c r="AH255" s="85"/>
      <c r="AI255" s="85"/>
      <c r="AJ255" s="84"/>
      <c r="AK255" s="85"/>
      <c r="AL255" s="84"/>
      <c r="AM255" s="88"/>
      <c r="AN255" s="84"/>
      <c r="AO255" s="85"/>
      <c r="AP255" s="84"/>
      <c r="AQ255" s="83"/>
      <c r="AR255" s="83"/>
      <c r="AS255" s="83"/>
      <c r="AT255" s="85"/>
      <c r="AU255" s="85"/>
      <c r="AV255" s="85"/>
      <c r="AW255" s="88"/>
      <c r="AX255" s="84"/>
      <c r="AY255" s="85"/>
      <c r="AZ255" s="84">
        <v>272.14100999999999</v>
      </c>
      <c r="BA255" s="85">
        <v>246.44587999999999</v>
      </c>
      <c r="BB255" s="88"/>
      <c r="BC255" s="85"/>
      <c r="BD255" s="84"/>
      <c r="BE255" s="88"/>
      <c r="BF255" s="85"/>
      <c r="BG255" s="85"/>
      <c r="BH255" s="85"/>
      <c r="BI255" s="85"/>
      <c r="BJ255" s="85"/>
      <c r="BK255" s="85"/>
      <c r="BL255" s="85"/>
      <c r="BM255" s="85"/>
      <c r="BN255" s="85"/>
      <c r="BO255" s="85"/>
      <c r="BP255" s="85"/>
      <c r="BQ255" s="85"/>
      <c r="BR255" s="84"/>
      <c r="BS255" s="85"/>
      <c r="BT255" s="85"/>
      <c r="BU255" s="198"/>
      <c r="BV255" s="90"/>
      <c r="BW255" s="198"/>
      <c r="BX255" s="90"/>
      <c r="BY255" s="198"/>
      <c r="BZ255" s="90"/>
      <c r="CA255" s="91"/>
    </row>
    <row r="256" spans="1:79" ht="50.1" customHeight="1" outlineLevel="2" x14ac:dyDescent="0.3">
      <c r="A256" s="103" t="s">
        <v>249</v>
      </c>
      <c r="B256" s="102" t="s">
        <v>264</v>
      </c>
      <c r="C256" s="79" t="s">
        <v>55</v>
      </c>
      <c r="D256" s="81">
        <f t="shared" si="58"/>
        <v>27.096530000000001</v>
      </c>
      <c r="E256" s="82">
        <f t="shared" si="59"/>
        <v>10.290050000000001</v>
      </c>
      <c r="F256" s="83">
        <f t="shared" si="47"/>
        <v>16.806480000000001</v>
      </c>
      <c r="G256" s="84"/>
      <c r="H256" s="85"/>
      <c r="I256" s="85"/>
      <c r="J256" s="84"/>
      <c r="K256" s="85"/>
      <c r="L256" s="85"/>
      <c r="M256" s="85"/>
      <c r="N256" s="85"/>
      <c r="O256" s="82"/>
      <c r="P256" s="83"/>
      <c r="Q256" s="83"/>
      <c r="R256" s="83"/>
      <c r="S256" s="82"/>
      <c r="T256" s="83"/>
      <c r="U256" s="83"/>
      <c r="V256" s="84"/>
      <c r="W256" s="85"/>
      <c r="X256" s="87"/>
      <c r="Y256" s="83">
        <v>7.4880000000000004</v>
      </c>
      <c r="Z256" s="84"/>
      <c r="AA256" s="85"/>
      <c r="AB256" s="84"/>
      <c r="AC256" s="85"/>
      <c r="AD256" s="89">
        <f t="shared" si="46"/>
        <v>0</v>
      </c>
      <c r="AE256" s="89"/>
      <c r="AF256" s="186"/>
      <c r="AG256" s="85"/>
      <c r="AH256" s="85"/>
      <c r="AI256" s="85"/>
      <c r="AJ256" s="84"/>
      <c r="AK256" s="85"/>
      <c r="AL256" s="84"/>
      <c r="AM256" s="88"/>
      <c r="AN256" s="84"/>
      <c r="AO256" s="85"/>
      <c r="AP256" s="84"/>
      <c r="AQ256" s="83"/>
      <c r="AR256" s="83"/>
      <c r="AS256" s="83"/>
      <c r="AT256" s="85"/>
      <c r="AU256" s="85"/>
      <c r="AV256" s="85"/>
      <c r="AW256" s="88"/>
      <c r="AX256" s="84"/>
      <c r="AY256" s="85"/>
      <c r="AZ256" s="84">
        <v>10.290050000000001</v>
      </c>
      <c r="BA256" s="85">
        <v>9.3184799999999992</v>
      </c>
      <c r="BB256" s="88"/>
      <c r="BC256" s="85"/>
      <c r="BD256" s="84"/>
      <c r="BE256" s="88"/>
      <c r="BF256" s="85"/>
      <c r="BG256" s="85"/>
      <c r="BH256" s="85"/>
      <c r="BI256" s="85"/>
      <c r="BJ256" s="85"/>
      <c r="BK256" s="85"/>
      <c r="BL256" s="85"/>
      <c r="BM256" s="85"/>
      <c r="BN256" s="85"/>
      <c r="BO256" s="85"/>
      <c r="BP256" s="85"/>
      <c r="BQ256" s="85"/>
      <c r="BR256" s="84"/>
      <c r="BS256" s="85"/>
      <c r="BT256" s="85"/>
      <c r="BU256" s="198"/>
      <c r="BV256" s="90"/>
      <c r="BW256" s="198"/>
      <c r="BX256" s="90"/>
      <c r="BY256" s="198"/>
      <c r="BZ256" s="90"/>
      <c r="CA256" s="91"/>
    </row>
    <row r="257" spans="1:79" ht="50.1" customHeight="1" outlineLevel="2" x14ac:dyDescent="0.3">
      <c r="A257" s="96" t="s">
        <v>249</v>
      </c>
      <c r="B257" s="102" t="s">
        <v>265</v>
      </c>
      <c r="C257" s="79" t="s">
        <v>55</v>
      </c>
      <c r="D257" s="81">
        <f t="shared" si="58"/>
        <v>23.309150000000002</v>
      </c>
      <c r="E257" s="82">
        <f t="shared" si="59"/>
        <v>8.9574499999999997</v>
      </c>
      <c r="F257" s="83">
        <f t="shared" si="47"/>
        <v>14.351700000000001</v>
      </c>
      <c r="G257" s="84"/>
      <c r="H257" s="85"/>
      <c r="I257" s="85"/>
      <c r="J257" s="84"/>
      <c r="K257" s="85"/>
      <c r="L257" s="85"/>
      <c r="M257" s="85"/>
      <c r="N257" s="85"/>
      <c r="O257" s="260"/>
      <c r="P257" s="243"/>
      <c r="Q257" s="83"/>
      <c r="R257" s="83"/>
      <c r="S257" s="82"/>
      <c r="T257" s="83"/>
      <c r="U257" s="83"/>
      <c r="V257" s="84"/>
      <c r="W257" s="85"/>
      <c r="X257" s="82"/>
      <c r="Y257" s="83">
        <v>6.24</v>
      </c>
      <c r="Z257" s="84"/>
      <c r="AA257" s="85"/>
      <c r="AB257" s="84"/>
      <c r="AC257" s="85"/>
      <c r="AD257" s="89">
        <f t="shared" si="46"/>
        <v>0</v>
      </c>
      <c r="AE257" s="89"/>
      <c r="AF257" s="186"/>
      <c r="AG257" s="85"/>
      <c r="AH257" s="85"/>
      <c r="AI257" s="85"/>
      <c r="AJ257" s="84"/>
      <c r="AK257" s="85"/>
      <c r="AL257" s="84"/>
      <c r="AM257" s="88"/>
      <c r="AN257" s="84"/>
      <c r="AO257" s="85"/>
      <c r="AP257" s="84"/>
      <c r="AQ257" s="83"/>
      <c r="AR257" s="83"/>
      <c r="AS257" s="83"/>
      <c r="AT257" s="85"/>
      <c r="AU257" s="85"/>
      <c r="AV257" s="85"/>
      <c r="AW257" s="88"/>
      <c r="AX257" s="84"/>
      <c r="AY257" s="85"/>
      <c r="AZ257" s="84">
        <v>8.9574499999999997</v>
      </c>
      <c r="BA257" s="85">
        <v>8.1117000000000008</v>
      </c>
      <c r="BB257" s="88"/>
      <c r="BC257" s="85"/>
      <c r="BD257" s="84"/>
      <c r="BE257" s="88"/>
      <c r="BF257" s="85"/>
      <c r="BG257" s="85"/>
      <c r="BH257" s="85"/>
      <c r="BI257" s="85"/>
      <c r="BJ257" s="85"/>
      <c r="BK257" s="85"/>
      <c r="BL257" s="85"/>
      <c r="BM257" s="85"/>
      <c r="BN257" s="85"/>
      <c r="BO257" s="85"/>
      <c r="BP257" s="85"/>
      <c r="BQ257" s="85"/>
      <c r="BR257" s="84"/>
      <c r="BS257" s="85"/>
      <c r="BT257" s="85"/>
      <c r="BU257" s="198"/>
      <c r="BV257" s="90"/>
      <c r="BW257" s="198"/>
      <c r="BX257" s="90"/>
      <c r="BY257" s="198"/>
      <c r="BZ257" s="90"/>
      <c r="CA257" s="91"/>
    </row>
    <row r="258" spans="1:79" ht="50.1" customHeight="1" outlineLevel="2" x14ac:dyDescent="0.3">
      <c r="A258" s="96" t="s">
        <v>249</v>
      </c>
      <c r="B258" s="102" t="s">
        <v>284</v>
      </c>
      <c r="C258" s="79" t="s">
        <v>53</v>
      </c>
      <c r="D258" s="81">
        <f t="shared" si="58"/>
        <v>49.690179999999998</v>
      </c>
      <c r="E258" s="82">
        <f t="shared" si="59"/>
        <v>9.1408199999999997</v>
      </c>
      <c r="F258" s="83">
        <f t="shared" si="47"/>
        <v>40.54936</v>
      </c>
      <c r="G258" s="84"/>
      <c r="H258" s="85"/>
      <c r="I258" s="85"/>
      <c r="J258" s="84"/>
      <c r="K258" s="85"/>
      <c r="L258" s="85"/>
      <c r="M258" s="85"/>
      <c r="N258" s="85"/>
      <c r="O258" s="260"/>
      <c r="P258" s="243"/>
      <c r="Q258" s="83"/>
      <c r="R258" s="83"/>
      <c r="S258" s="82"/>
      <c r="T258" s="83"/>
      <c r="U258" s="83"/>
      <c r="V258" s="84"/>
      <c r="W258" s="85"/>
      <c r="X258" s="82"/>
      <c r="Y258" s="83">
        <v>6.24</v>
      </c>
      <c r="Z258" s="84"/>
      <c r="AA258" s="85"/>
      <c r="AB258" s="84"/>
      <c r="AC258" s="85"/>
      <c r="AD258" s="89">
        <f t="shared" si="46"/>
        <v>0</v>
      </c>
      <c r="AE258" s="89"/>
      <c r="AF258" s="186"/>
      <c r="AG258" s="85"/>
      <c r="AH258" s="85"/>
      <c r="AI258" s="85"/>
      <c r="AJ258" s="84"/>
      <c r="AK258" s="85"/>
      <c r="AL258" s="84"/>
      <c r="AM258" s="88"/>
      <c r="AN258" s="84"/>
      <c r="AO258" s="85"/>
      <c r="AP258" s="84"/>
      <c r="AQ258" s="83"/>
      <c r="AR258" s="83"/>
      <c r="AS258" s="83"/>
      <c r="AT258" s="85"/>
      <c r="AU258" s="85"/>
      <c r="AV258" s="85">
        <v>26.031600000000001</v>
      </c>
      <c r="AW258" s="88"/>
      <c r="AX258" s="84"/>
      <c r="AY258" s="85"/>
      <c r="AZ258" s="84">
        <v>9.1408199999999997</v>
      </c>
      <c r="BA258" s="85">
        <v>8.2777600000000007</v>
      </c>
      <c r="BB258" s="88"/>
      <c r="BC258" s="85"/>
      <c r="BD258" s="84"/>
      <c r="BE258" s="88"/>
      <c r="BF258" s="85"/>
      <c r="BG258" s="85"/>
      <c r="BH258" s="85"/>
      <c r="BI258" s="85"/>
      <c r="BJ258" s="85"/>
      <c r="BK258" s="85"/>
      <c r="BL258" s="85"/>
      <c r="BM258" s="85"/>
      <c r="BN258" s="85"/>
      <c r="BO258" s="85"/>
      <c r="BP258" s="85"/>
      <c r="BQ258" s="85"/>
      <c r="BR258" s="84"/>
      <c r="BS258" s="85"/>
      <c r="BT258" s="85"/>
      <c r="BU258" s="198"/>
      <c r="BV258" s="90"/>
      <c r="BW258" s="198"/>
      <c r="BX258" s="90"/>
      <c r="BY258" s="198"/>
      <c r="BZ258" s="90"/>
      <c r="CA258" s="91"/>
    </row>
    <row r="259" spans="1:79" ht="50.1" customHeight="1" outlineLevel="2" x14ac:dyDescent="0.3">
      <c r="A259" s="96" t="s">
        <v>249</v>
      </c>
      <c r="B259" s="102" t="s">
        <v>266</v>
      </c>
      <c r="C259" s="79" t="s">
        <v>55</v>
      </c>
      <c r="D259" s="81">
        <f t="shared" si="58"/>
        <v>114.00654</v>
      </c>
      <c r="E259" s="82">
        <f t="shared" si="59"/>
        <v>43.454740000000001</v>
      </c>
      <c r="F259" s="83">
        <f t="shared" si="47"/>
        <v>70.5518</v>
      </c>
      <c r="G259" s="84"/>
      <c r="H259" s="85"/>
      <c r="I259" s="85"/>
      <c r="J259" s="84"/>
      <c r="K259" s="85"/>
      <c r="L259" s="85"/>
      <c r="M259" s="85"/>
      <c r="N259" s="85"/>
      <c r="O259" s="82"/>
      <c r="P259" s="83"/>
      <c r="Q259" s="83"/>
      <c r="R259" s="83"/>
      <c r="S259" s="82"/>
      <c r="T259" s="83"/>
      <c r="U259" s="83"/>
      <c r="V259" s="84"/>
      <c r="W259" s="85"/>
      <c r="X259" s="87"/>
      <c r="Y259" s="83">
        <v>31.2</v>
      </c>
      <c r="Z259" s="84"/>
      <c r="AA259" s="85"/>
      <c r="AB259" s="84"/>
      <c r="AC259" s="85"/>
      <c r="AD259" s="89">
        <f t="shared" si="46"/>
        <v>0</v>
      </c>
      <c r="AE259" s="89"/>
      <c r="AF259" s="186"/>
      <c r="AG259" s="85"/>
      <c r="AH259" s="85"/>
      <c r="AI259" s="85"/>
      <c r="AJ259" s="84"/>
      <c r="AK259" s="85"/>
      <c r="AL259" s="84"/>
      <c r="AM259" s="88"/>
      <c r="AN259" s="84"/>
      <c r="AO259" s="85"/>
      <c r="AP259" s="84"/>
      <c r="AQ259" s="83"/>
      <c r="AR259" s="83"/>
      <c r="AS259" s="83"/>
      <c r="AT259" s="85"/>
      <c r="AU259" s="85"/>
      <c r="AV259" s="85"/>
      <c r="AW259" s="88"/>
      <c r="AX259" s="84"/>
      <c r="AY259" s="85"/>
      <c r="AZ259" s="84">
        <v>43.454740000000001</v>
      </c>
      <c r="BA259" s="85">
        <v>39.351799999999997</v>
      </c>
      <c r="BB259" s="88"/>
      <c r="BC259" s="85"/>
      <c r="BD259" s="84"/>
      <c r="BE259" s="88"/>
      <c r="BF259" s="85"/>
      <c r="BG259" s="85"/>
      <c r="BH259" s="85"/>
      <c r="BI259" s="85"/>
      <c r="BJ259" s="85"/>
      <c r="BK259" s="85"/>
      <c r="BL259" s="85"/>
      <c r="BM259" s="85"/>
      <c r="BN259" s="85"/>
      <c r="BO259" s="85"/>
      <c r="BP259" s="85"/>
      <c r="BQ259" s="85"/>
      <c r="BR259" s="84"/>
      <c r="BS259" s="85"/>
      <c r="BT259" s="85"/>
      <c r="BU259" s="198"/>
      <c r="BV259" s="90"/>
      <c r="BW259" s="198"/>
      <c r="BX259" s="90"/>
      <c r="BY259" s="198"/>
      <c r="BZ259" s="90"/>
      <c r="CA259" s="91"/>
    </row>
    <row r="260" spans="1:79" ht="50.1" customHeight="1" outlineLevel="2" x14ac:dyDescent="0.3">
      <c r="A260" s="96" t="s">
        <v>249</v>
      </c>
      <c r="B260" s="102" t="s">
        <v>267</v>
      </c>
      <c r="C260" s="79" t="s">
        <v>55</v>
      </c>
      <c r="D260" s="81">
        <f t="shared" si="58"/>
        <v>33.695950000000003</v>
      </c>
      <c r="E260" s="82">
        <f t="shared" si="59"/>
        <v>13.09834</v>
      </c>
      <c r="F260" s="83">
        <f t="shared" si="47"/>
        <v>20.597610000000003</v>
      </c>
      <c r="G260" s="84"/>
      <c r="H260" s="85"/>
      <c r="I260" s="85"/>
      <c r="J260" s="84"/>
      <c r="K260" s="85"/>
      <c r="L260" s="85"/>
      <c r="M260" s="85"/>
      <c r="N260" s="85"/>
      <c r="O260" s="82"/>
      <c r="P260" s="83"/>
      <c r="Q260" s="83"/>
      <c r="R260" s="83"/>
      <c r="S260" s="82"/>
      <c r="T260" s="83"/>
      <c r="U260" s="83"/>
      <c r="V260" s="84"/>
      <c r="W260" s="85"/>
      <c r="X260" s="87"/>
      <c r="Y260" s="83">
        <v>8.7360000000000007</v>
      </c>
      <c r="Z260" s="84"/>
      <c r="AA260" s="85"/>
      <c r="AB260" s="84"/>
      <c r="AC260" s="85"/>
      <c r="AD260" s="89">
        <f t="shared" si="46"/>
        <v>0</v>
      </c>
      <c r="AE260" s="89"/>
      <c r="AF260" s="186"/>
      <c r="AG260" s="85"/>
      <c r="AH260" s="85"/>
      <c r="AI260" s="85"/>
      <c r="AJ260" s="84"/>
      <c r="AK260" s="85"/>
      <c r="AL260" s="84"/>
      <c r="AM260" s="88"/>
      <c r="AN260" s="84"/>
      <c r="AO260" s="85"/>
      <c r="AP260" s="84"/>
      <c r="AQ260" s="83"/>
      <c r="AR260" s="83"/>
      <c r="AS260" s="83"/>
      <c r="AT260" s="85"/>
      <c r="AU260" s="85"/>
      <c r="AV260" s="85"/>
      <c r="AW260" s="88"/>
      <c r="AX260" s="84"/>
      <c r="AY260" s="85"/>
      <c r="AZ260" s="84">
        <v>13.09834</v>
      </c>
      <c r="BA260" s="85">
        <v>11.861610000000001</v>
      </c>
      <c r="BB260" s="88"/>
      <c r="BC260" s="85"/>
      <c r="BD260" s="84"/>
      <c r="BE260" s="88"/>
      <c r="BF260" s="85"/>
      <c r="BG260" s="85"/>
      <c r="BH260" s="85"/>
      <c r="BI260" s="85"/>
      <c r="BJ260" s="85"/>
      <c r="BK260" s="85"/>
      <c r="BL260" s="85"/>
      <c r="BM260" s="85"/>
      <c r="BN260" s="85"/>
      <c r="BO260" s="85"/>
      <c r="BP260" s="85"/>
      <c r="BQ260" s="85"/>
      <c r="BR260" s="84"/>
      <c r="BS260" s="85"/>
      <c r="BT260" s="85"/>
      <c r="BU260" s="198"/>
      <c r="BV260" s="90"/>
      <c r="BW260" s="198"/>
      <c r="BX260" s="90"/>
      <c r="BY260" s="198"/>
      <c r="BZ260" s="90"/>
      <c r="CA260" s="91"/>
    </row>
    <row r="261" spans="1:79" ht="50.1" customHeight="1" outlineLevel="2" x14ac:dyDescent="0.3">
      <c r="A261" s="103" t="s">
        <v>249</v>
      </c>
      <c r="B261" s="102" t="s">
        <v>268</v>
      </c>
      <c r="C261" s="79" t="s">
        <v>55</v>
      </c>
      <c r="D261" s="81">
        <f t="shared" si="58"/>
        <v>58.862830000000002</v>
      </c>
      <c r="E261" s="82">
        <f t="shared" si="59"/>
        <v>21.88457</v>
      </c>
      <c r="F261" s="83">
        <f t="shared" si="47"/>
        <v>36.978259999999999</v>
      </c>
      <c r="G261" s="84"/>
      <c r="H261" s="85"/>
      <c r="I261" s="85"/>
      <c r="J261" s="84"/>
      <c r="K261" s="85"/>
      <c r="L261" s="85"/>
      <c r="M261" s="85"/>
      <c r="N261" s="85"/>
      <c r="O261" s="82"/>
      <c r="P261" s="83"/>
      <c r="Q261" s="83"/>
      <c r="R261" s="83"/>
      <c r="S261" s="82"/>
      <c r="T261" s="83"/>
      <c r="U261" s="83"/>
      <c r="V261" s="84"/>
      <c r="W261" s="85"/>
      <c r="X261" s="87"/>
      <c r="Y261" s="83">
        <v>17.16</v>
      </c>
      <c r="Z261" s="84"/>
      <c r="AA261" s="85"/>
      <c r="AB261" s="84"/>
      <c r="AC261" s="85"/>
      <c r="AD261" s="89">
        <f t="shared" si="46"/>
        <v>0</v>
      </c>
      <c r="AE261" s="89"/>
      <c r="AF261" s="186"/>
      <c r="AG261" s="85"/>
      <c r="AH261" s="85"/>
      <c r="AI261" s="85"/>
      <c r="AJ261" s="84"/>
      <c r="AK261" s="85"/>
      <c r="AL261" s="84"/>
      <c r="AM261" s="88"/>
      <c r="AN261" s="84"/>
      <c r="AO261" s="85"/>
      <c r="AP261" s="84"/>
      <c r="AQ261" s="83"/>
      <c r="AR261" s="83"/>
      <c r="AS261" s="83"/>
      <c r="AT261" s="85"/>
      <c r="AU261" s="85"/>
      <c r="AV261" s="85"/>
      <c r="AW261" s="88"/>
      <c r="AX261" s="84"/>
      <c r="AY261" s="85"/>
      <c r="AZ261" s="84">
        <v>21.88457</v>
      </c>
      <c r="BA261" s="85">
        <v>19.818259999999999</v>
      </c>
      <c r="BB261" s="88"/>
      <c r="BC261" s="85"/>
      <c r="BD261" s="84"/>
      <c r="BE261" s="88"/>
      <c r="BF261" s="85"/>
      <c r="BG261" s="85"/>
      <c r="BH261" s="85"/>
      <c r="BI261" s="85"/>
      <c r="BJ261" s="85"/>
      <c r="BK261" s="85"/>
      <c r="BL261" s="85"/>
      <c r="BM261" s="85"/>
      <c r="BN261" s="85"/>
      <c r="BO261" s="85"/>
      <c r="BP261" s="85"/>
      <c r="BQ261" s="85"/>
      <c r="BR261" s="84"/>
      <c r="BS261" s="85"/>
      <c r="BT261" s="85"/>
      <c r="BU261" s="198"/>
      <c r="BV261" s="90"/>
      <c r="BW261" s="198"/>
      <c r="BX261" s="90"/>
      <c r="BY261" s="198"/>
      <c r="BZ261" s="90"/>
      <c r="CA261" s="91"/>
    </row>
    <row r="262" spans="1:79" ht="50.1" customHeight="1" outlineLevel="2" x14ac:dyDescent="0.3">
      <c r="A262" s="103" t="s">
        <v>249</v>
      </c>
      <c r="B262" s="102" t="s">
        <v>269</v>
      </c>
      <c r="C262" s="79" t="s">
        <v>55</v>
      </c>
      <c r="D262" s="81">
        <f t="shared" si="58"/>
        <v>1053.1351999999999</v>
      </c>
      <c r="E262" s="82">
        <f t="shared" si="59"/>
        <v>321.07762000000002</v>
      </c>
      <c r="F262" s="83">
        <f t="shared" si="47"/>
        <v>732.05757999999992</v>
      </c>
      <c r="G262" s="84"/>
      <c r="H262" s="85"/>
      <c r="I262" s="85"/>
      <c r="J262" s="84"/>
      <c r="K262" s="85"/>
      <c r="L262" s="85"/>
      <c r="M262" s="85"/>
      <c r="N262" s="85"/>
      <c r="O262" s="82"/>
      <c r="P262" s="83"/>
      <c r="Q262" s="83"/>
      <c r="R262" s="83"/>
      <c r="S262" s="82"/>
      <c r="T262" s="83">
        <v>0.22137000000000001</v>
      </c>
      <c r="U262" s="83"/>
      <c r="V262" s="84">
        <v>185.56</v>
      </c>
      <c r="W262" s="85">
        <v>324</v>
      </c>
      <c r="X262" s="87"/>
      <c r="Y262" s="83">
        <v>54.6</v>
      </c>
      <c r="Z262" s="84"/>
      <c r="AA262" s="85"/>
      <c r="AB262" s="84"/>
      <c r="AC262" s="85"/>
      <c r="AD262" s="89">
        <f t="shared" si="46"/>
        <v>33.120940000000004</v>
      </c>
      <c r="AE262" s="89">
        <v>10.7455</v>
      </c>
      <c r="AF262" s="186">
        <v>22.375440000000001</v>
      </c>
      <c r="AG262" s="85"/>
      <c r="AH262" s="85"/>
      <c r="AI262" s="85"/>
      <c r="AJ262" s="84"/>
      <c r="AK262" s="85"/>
      <c r="AL262" s="84"/>
      <c r="AM262" s="88"/>
      <c r="AN262" s="84"/>
      <c r="AO262" s="85"/>
      <c r="AP262" s="84"/>
      <c r="AQ262" s="83"/>
      <c r="AR262" s="83"/>
      <c r="AS262" s="83"/>
      <c r="AT262" s="85"/>
      <c r="AU262" s="85"/>
      <c r="AV262" s="85"/>
      <c r="AW262" s="88"/>
      <c r="AX262" s="84"/>
      <c r="AY262" s="85"/>
      <c r="AZ262" s="84">
        <v>135.51761999999999</v>
      </c>
      <c r="BA262" s="85">
        <v>122.72201</v>
      </c>
      <c r="BB262" s="88"/>
      <c r="BC262" s="85"/>
      <c r="BD262" s="84"/>
      <c r="BE262" s="88"/>
      <c r="BF262" s="85"/>
      <c r="BG262" s="85"/>
      <c r="BH262" s="85"/>
      <c r="BI262" s="85"/>
      <c r="BJ262" s="85"/>
      <c r="BK262" s="85">
        <v>197.39326</v>
      </c>
      <c r="BL262" s="85"/>
      <c r="BM262" s="85"/>
      <c r="BN262" s="85"/>
      <c r="BO262" s="85"/>
      <c r="BP262" s="85"/>
      <c r="BQ262" s="85"/>
      <c r="BR262" s="84"/>
      <c r="BS262" s="85"/>
      <c r="BT262" s="85"/>
      <c r="BU262" s="198"/>
      <c r="BV262" s="90"/>
      <c r="BW262" s="198"/>
      <c r="BX262" s="90"/>
      <c r="BY262" s="198"/>
      <c r="BZ262" s="90"/>
      <c r="CA262" s="91"/>
    </row>
    <row r="263" spans="1:79" ht="50.1" customHeight="1" outlineLevel="2" x14ac:dyDescent="0.3">
      <c r="A263" s="103" t="s">
        <v>249</v>
      </c>
      <c r="B263" s="102" t="s">
        <v>270</v>
      </c>
      <c r="C263" s="113" t="s">
        <v>55</v>
      </c>
      <c r="D263" s="81">
        <f t="shared" si="58"/>
        <v>59.380060000000007</v>
      </c>
      <c r="E263" s="82">
        <f t="shared" si="59"/>
        <v>22.483460000000001</v>
      </c>
      <c r="F263" s="83">
        <f t="shared" si="47"/>
        <v>36.896600000000007</v>
      </c>
      <c r="G263" s="84"/>
      <c r="H263" s="85"/>
      <c r="I263" s="85"/>
      <c r="J263" s="84"/>
      <c r="K263" s="85"/>
      <c r="L263" s="85"/>
      <c r="M263" s="85"/>
      <c r="N263" s="85"/>
      <c r="O263" s="82"/>
      <c r="P263" s="83"/>
      <c r="Q263" s="83"/>
      <c r="R263" s="83"/>
      <c r="S263" s="82"/>
      <c r="T263" s="83"/>
      <c r="U263" s="83"/>
      <c r="V263" s="84"/>
      <c r="W263" s="85"/>
      <c r="X263" s="87"/>
      <c r="Y263" s="83">
        <v>16.536000000000001</v>
      </c>
      <c r="Z263" s="84"/>
      <c r="AA263" s="85"/>
      <c r="AB263" s="84"/>
      <c r="AC263" s="85"/>
      <c r="AD263" s="89">
        <f t="shared" si="46"/>
        <v>0</v>
      </c>
      <c r="AE263" s="89"/>
      <c r="AF263" s="186"/>
      <c r="AG263" s="85"/>
      <c r="AH263" s="85"/>
      <c r="AI263" s="85"/>
      <c r="AJ263" s="84"/>
      <c r="AK263" s="85"/>
      <c r="AL263" s="84"/>
      <c r="AM263" s="88"/>
      <c r="AN263" s="84"/>
      <c r="AO263" s="85"/>
      <c r="AP263" s="84"/>
      <c r="AQ263" s="83"/>
      <c r="AR263" s="83"/>
      <c r="AS263" s="83"/>
      <c r="AT263" s="85"/>
      <c r="AU263" s="85"/>
      <c r="AV263" s="85"/>
      <c r="AW263" s="88"/>
      <c r="AX263" s="84"/>
      <c r="AY263" s="85"/>
      <c r="AZ263" s="84">
        <v>22.483460000000001</v>
      </c>
      <c r="BA263" s="85">
        <v>20.360600000000002</v>
      </c>
      <c r="BB263" s="88"/>
      <c r="BC263" s="85"/>
      <c r="BD263" s="84"/>
      <c r="BE263" s="88"/>
      <c r="BF263" s="85"/>
      <c r="BG263" s="85"/>
      <c r="BH263" s="85"/>
      <c r="BI263" s="85"/>
      <c r="BJ263" s="85"/>
      <c r="BK263" s="85"/>
      <c r="BL263" s="85"/>
      <c r="BM263" s="85"/>
      <c r="BN263" s="85"/>
      <c r="BO263" s="85"/>
      <c r="BP263" s="85"/>
      <c r="BQ263" s="85"/>
      <c r="BR263" s="84"/>
      <c r="BS263" s="85"/>
      <c r="BT263" s="85"/>
      <c r="BU263" s="198"/>
      <c r="BV263" s="90"/>
      <c r="BW263" s="198"/>
      <c r="BX263" s="90"/>
      <c r="BY263" s="198"/>
      <c r="BZ263" s="90"/>
      <c r="CA263" s="91"/>
    </row>
    <row r="264" spans="1:79" ht="50.1" customHeight="1" outlineLevel="2" x14ac:dyDescent="0.3">
      <c r="A264" s="103" t="s">
        <v>249</v>
      </c>
      <c r="B264" s="102" t="s">
        <v>1060</v>
      </c>
      <c r="C264" s="113" t="s">
        <v>55</v>
      </c>
      <c r="D264" s="81">
        <f t="shared" si="58"/>
        <v>187.2</v>
      </c>
      <c r="E264" s="82">
        <f t="shared" si="59"/>
        <v>0</v>
      </c>
      <c r="F264" s="83">
        <f t="shared" si="47"/>
        <v>187.2</v>
      </c>
      <c r="G264" s="84"/>
      <c r="H264" s="85"/>
      <c r="I264" s="85"/>
      <c r="J264" s="84"/>
      <c r="K264" s="85"/>
      <c r="L264" s="85"/>
      <c r="M264" s="85"/>
      <c r="N264" s="85"/>
      <c r="O264" s="82"/>
      <c r="P264" s="83"/>
      <c r="Q264" s="83"/>
      <c r="R264" s="83"/>
      <c r="S264" s="82"/>
      <c r="T264" s="83"/>
      <c r="U264" s="83"/>
      <c r="V264" s="84"/>
      <c r="W264" s="85"/>
      <c r="X264" s="87"/>
      <c r="Y264" s="83">
        <v>187.2</v>
      </c>
      <c r="Z264" s="84"/>
      <c r="AA264" s="85"/>
      <c r="AB264" s="84"/>
      <c r="AC264" s="85"/>
      <c r="AD264" s="89"/>
      <c r="AE264" s="89"/>
      <c r="AF264" s="186"/>
      <c r="AG264" s="85"/>
      <c r="AH264" s="85"/>
      <c r="AI264" s="85"/>
      <c r="AJ264" s="84"/>
      <c r="AK264" s="85"/>
      <c r="AL264" s="84"/>
      <c r="AM264" s="88"/>
      <c r="AN264" s="84"/>
      <c r="AO264" s="85"/>
      <c r="AP264" s="84"/>
      <c r="AQ264" s="83"/>
      <c r="AR264" s="83"/>
      <c r="AS264" s="83"/>
      <c r="AT264" s="85"/>
      <c r="AU264" s="85"/>
      <c r="AV264" s="85"/>
      <c r="AW264" s="88"/>
      <c r="AX264" s="84"/>
      <c r="AY264" s="85"/>
      <c r="AZ264" s="84"/>
      <c r="BA264" s="85"/>
      <c r="BB264" s="88"/>
      <c r="BC264" s="85"/>
      <c r="BD264" s="84"/>
      <c r="BE264" s="88"/>
      <c r="BF264" s="85"/>
      <c r="BG264" s="85"/>
      <c r="BH264" s="85"/>
      <c r="BI264" s="85"/>
      <c r="BJ264" s="85"/>
      <c r="BK264" s="85"/>
      <c r="BL264" s="85"/>
      <c r="BM264" s="85"/>
      <c r="BN264" s="85"/>
      <c r="BO264" s="85"/>
      <c r="BP264" s="85"/>
      <c r="BQ264" s="85"/>
      <c r="BR264" s="84"/>
      <c r="BS264" s="85"/>
      <c r="BT264" s="85"/>
      <c r="BU264" s="198"/>
      <c r="BV264" s="90"/>
      <c r="BW264" s="198"/>
      <c r="BX264" s="90"/>
      <c r="BY264" s="198"/>
      <c r="BZ264" s="90"/>
      <c r="CA264" s="91"/>
    </row>
    <row r="265" spans="1:79" ht="50.1" customHeight="1" outlineLevel="2" x14ac:dyDescent="0.3">
      <c r="A265" s="103" t="s">
        <v>249</v>
      </c>
      <c r="B265" s="102" t="s">
        <v>271</v>
      </c>
      <c r="C265" s="79" t="s">
        <v>55</v>
      </c>
      <c r="D265" s="81">
        <f t="shared" si="58"/>
        <v>328.73368999999997</v>
      </c>
      <c r="E265" s="82">
        <f t="shared" si="59"/>
        <v>77.457769999999996</v>
      </c>
      <c r="F265" s="83">
        <f t="shared" si="47"/>
        <v>251.27591999999999</v>
      </c>
      <c r="G265" s="84"/>
      <c r="H265" s="85"/>
      <c r="I265" s="85"/>
      <c r="J265" s="84"/>
      <c r="K265" s="85"/>
      <c r="L265" s="85"/>
      <c r="M265" s="85"/>
      <c r="N265" s="85"/>
      <c r="O265" s="82"/>
      <c r="P265" s="83"/>
      <c r="Q265" s="83"/>
      <c r="R265" s="83"/>
      <c r="S265" s="82"/>
      <c r="T265" s="83"/>
      <c r="U265" s="83"/>
      <c r="V265" s="84"/>
      <c r="W265" s="85"/>
      <c r="X265" s="87"/>
      <c r="Y265" s="83">
        <v>43.055999999999997</v>
      </c>
      <c r="Z265" s="84"/>
      <c r="AA265" s="85"/>
      <c r="AB265" s="84"/>
      <c r="AC265" s="85"/>
      <c r="AD265" s="89">
        <f t="shared" si="46"/>
        <v>34.806730000000002</v>
      </c>
      <c r="AE265" s="89">
        <v>21.186900000000001</v>
      </c>
      <c r="AF265" s="186">
        <v>13.61983</v>
      </c>
      <c r="AG265" s="85"/>
      <c r="AH265" s="85"/>
      <c r="AI265" s="85"/>
      <c r="AJ265" s="84"/>
      <c r="AK265" s="85"/>
      <c r="AL265" s="84"/>
      <c r="AM265" s="88"/>
      <c r="AN265" s="84"/>
      <c r="AO265" s="85"/>
      <c r="AP265" s="84"/>
      <c r="AQ265" s="83"/>
      <c r="AR265" s="83"/>
      <c r="AS265" s="83"/>
      <c r="AT265" s="85"/>
      <c r="AU265" s="85"/>
      <c r="AV265" s="85">
        <v>103.2689</v>
      </c>
      <c r="AW265" s="88"/>
      <c r="AX265" s="84"/>
      <c r="AY265" s="85"/>
      <c r="AZ265" s="84">
        <v>77.457769999999996</v>
      </c>
      <c r="BA265" s="85">
        <v>70.144289999999998</v>
      </c>
      <c r="BB265" s="88"/>
      <c r="BC265" s="85"/>
      <c r="BD265" s="84"/>
      <c r="BE265" s="88"/>
      <c r="BF265" s="85"/>
      <c r="BG265" s="85"/>
      <c r="BH265" s="85"/>
      <c r="BI265" s="85"/>
      <c r="BJ265" s="85"/>
      <c r="BK265" s="85"/>
      <c r="BL265" s="85"/>
      <c r="BM265" s="85"/>
      <c r="BN265" s="85"/>
      <c r="BO265" s="85"/>
      <c r="BP265" s="85"/>
      <c r="BQ265" s="85"/>
      <c r="BR265" s="84"/>
      <c r="BS265" s="85"/>
      <c r="BT265" s="85"/>
      <c r="BU265" s="198"/>
      <c r="BV265" s="90"/>
      <c r="BW265" s="198"/>
      <c r="BX265" s="90"/>
      <c r="BY265" s="198"/>
      <c r="BZ265" s="90"/>
      <c r="CA265" s="91"/>
    </row>
    <row r="266" spans="1:79" ht="50.1" customHeight="1" outlineLevel="2" x14ac:dyDescent="0.3">
      <c r="A266" s="103" t="s">
        <v>249</v>
      </c>
      <c r="B266" s="102" t="s">
        <v>272</v>
      </c>
      <c r="C266" s="79" t="s">
        <v>55</v>
      </c>
      <c r="D266" s="81">
        <f t="shared" si="58"/>
        <v>199.72791000000001</v>
      </c>
      <c r="E266" s="82">
        <f t="shared" si="59"/>
        <v>62.733559999999997</v>
      </c>
      <c r="F266" s="83">
        <f t="shared" si="47"/>
        <v>136.99435</v>
      </c>
      <c r="G266" s="84"/>
      <c r="H266" s="85"/>
      <c r="I266" s="85"/>
      <c r="J266" s="84"/>
      <c r="K266" s="85"/>
      <c r="L266" s="85"/>
      <c r="M266" s="85"/>
      <c r="N266" s="85"/>
      <c r="O266" s="82"/>
      <c r="P266" s="83"/>
      <c r="Q266" s="83"/>
      <c r="R266" s="83"/>
      <c r="S266" s="82"/>
      <c r="T266" s="83"/>
      <c r="U266" s="83"/>
      <c r="V266" s="84"/>
      <c r="W266" s="85"/>
      <c r="X266" s="87"/>
      <c r="Y266" s="83">
        <v>80.183999999999997</v>
      </c>
      <c r="Z266" s="84"/>
      <c r="AA266" s="85"/>
      <c r="AB266" s="84"/>
      <c r="AC266" s="85"/>
      <c r="AD266" s="89">
        <f t="shared" si="46"/>
        <v>0</v>
      </c>
      <c r="AE266" s="89"/>
      <c r="AF266" s="186"/>
      <c r="AG266" s="85"/>
      <c r="AH266" s="85"/>
      <c r="AI266" s="85"/>
      <c r="AJ266" s="84"/>
      <c r="AK266" s="85"/>
      <c r="AL266" s="84"/>
      <c r="AM266" s="88"/>
      <c r="AN266" s="84"/>
      <c r="AO266" s="85"/>
      <c r="AP266" s="84"/>
      <c r="AQ266" s="83"/>
      <c r="AR266" s="83"/>
      <c r="AS266" s="83"/>
      <c r="AT266" s="85"/>
      <c r="AU266" s="85"/>
      <c r="AV266" s="85"/>
      <c r="AW266" s="88"/>
      <c r="AX266" s="84"/>
      <c r="AY266" s="85"/>
      <c r="AZ266" s="84">
        <v>62.733559999999997</v>
      </c>
      <c r="BA266" s="85">
        <v>56.81035</v>
      </c>
      <c r="BB266" s="88"/>
      <c r="BC266" s="85"/>
      <c r="BD266" s="84"/>
      <c r="BE266" s="88"/>
      <c r="BF266" s="85"/>
      <c r="BG266" s="85"/>
      <c r="BH266" s="85"/>
      <c r="BI266" s="85"/>
      <c r="BJ266" s="85"/>
      <c r="BK266" s="85"/>
      <c r="BL266" s="85"/>
      <c r="BM266" s="85"/>
      <c r="BN266" s="85"/>
      <c r="BO266" s="85"/>
      <c r="BP266" s="85"/>
      <c r="BQ266" s="85"/>
      <c r="BR266" s="84"/>
      <c r="BS266" s="85"/>
      <c r="BT266" s="85"/>
      <c r="BU266" s="198"/>
      <c r="BV266" s="90"/>
      <c r="BW266" s="198"/>
      <c r="BX266" s="90"/>
      <c r="BY266" s="198"/>
      <c r="BZ266" s="90"/>
      <c r="CA266" s="91"/>
    </row>
    <row r="267" spans="1:79" ht="50.1" customHeight="1" outlineLevel="2" x14ac:dyDescent="0.3">
      <c r="A267" s="103" t="s">
        <v>249</v>
      </c>
      <c r="B267" s="102" t="s">
        <v>273</v>
      </c>
      <c r="C267" s="79" t="s">
        <v>55</v>
      </c>
      <c r="D267" s="81">
        <f t="shared" si="58"/>
        <v>45.317070000000001</v>
      </c>
      <c r="E267" s="82">
        <f t="shared" si="59"/>
        <v>17.55951</v>
      </c>
      <c r="F267" s="83">
        <f t="shared" si="47"/>
        <v>27.757559999999998</v>
      </c>
      <c r="G267" s="84"/>
      <c r="H267" s="85"/>
      <c r="I267" s="85"/>
      <c r="J267" s="84"/>
      <c r="K267" s="85"/>
      <c r="L267" s="85"/>
      <c r="M267" s="85"/>
      <c r="N267" s="85"/>
      <c r="O267" s="82"/>
      <c r="P267" s="83"/>
      <c r="Q267" s="83"/>
      <c r="R267" s="83"/>
      <c r="S267" s="82"/>
      <c r="T267" s="83"/>
      <c r="U267" s="83"/>
      <c r="V267" s="84"/>
      <c r="W267" s="85"/>
      <c r="X267" s="87"/>
      <c r="Y267" s="83">
        <v>11.856</v>
      </c>
      <c r="Z267" s="84"/>
      <c r="AA267" s="85"/>
      <c r="AB267" s="84"/>
      <c r="AC267" s="85"/>
      <c r="AD267" s="89">
        <f t="shared" si="46"/>
        <v>0</v>
      </c>
      <c r="AE267" s="89"/>
      <c r="AF267" s="186"/>
      <c r="AG267" s="85"/>
      <c r="AH267" s="85"/>
      <c r="AI267" s="85"/>
      <c r="AJ267" s="84"/>
      <c r="AK267" s="85"/>
      <c r="AL267" s="84"/>
      <c r="AM267" s="88"/>
      <c r="AN267" s="84"/>
      <c r="AO267" s="85"/>
      <c r="AP267" s="84"/>
      <c r="AQ267" s="83"/>
      <c r="AR267" s="83"/>
      <c r="AS267" s="83"/>
      <c r="AT267" s="85"/>
      <c r="AU267" s="85"/>
      <c r="AV267" s="85"/>
      <c r="AW267" s="88"/>
      <c r="AX267" s="84"/>
      <c r="AY267" s="85"/>
      <c r="AZ267" s="84">
        <v>17.55951</v>
      </c>
      <c r="BA267" s="85">
        <v>15.90156</v>
      </c>
      <c r="BB267" s="88"/>
      <c r="BC267" s="85"/>
      <c r="BD267" s="84"/>
      <c r="BE267" s="88"/>
      <c r="BF267" s="85"/>
      <c r="BG267" s="85"/>
      <c r="BH267" s="85"/>
      <c r="BI267" s="85"/>
      <c r="BJ267" s="85"/>
      <c r="BK267" s="85"/>
      <c r="BL267" s="85"/>
      <c r="BM267" s="85"/>
      <c r="BN267" s="85"/>
      <c r="BO267" s="85"/>
      <c r="BP267" s="85"/>
      <c r="BQ267" s="85"/>
      <c r="BR267" s="84"/>
      <c r="BS267" s="85"/>
      <c r="BT267" s="85"/>
      <c r="BU267" s="198"/>
      <c r="BV267" s="90"/>
      <c r="BW267" s="198"/>
      <c r="BX267" s="90"/>
      <c r="BY267" s="198"/>
      <c r="BZ267" s="90"/>
      <c r="CA267" s="91"/>
    </row>
    <row r="268" spans="1:79" ht="50.1" customHeight="1" outlineLevel="2" x14ac:dyDescent="0.3">
      <c r="A268" s="103" t="s">
        <v>249</v>
      </c>
      <c r="B268" s="102" t="s">
        <v>274</v>
      </c>
      <c r="C268" s="79" t="s">
        <v>55</v>
      </c>
      <c r="D268" s="81">
        <f t="shared" si="58"/>
        <v>365.84302000000002</v>
      </c>
      <c r="E268" s="82">
        <f t="shared" si="59"/>
        <v>130.02287999999999</v>
      </c>
      <c r="F268" s="83">
        <f t="shared" si="47"/>
        <v>235.82014000000004</v>
      </c>
      <c r="G268" s="84"/>
      <c r="H268" s="85"/>
      <c r="I268" s="85"/>
      <c r="J268" s="84"/>
      <c r="K268" s="85"/>
      <c r="L268" s="85"/>
      <c r="M268" s="85"/>
      <c r="N268" s="85"/>
      <c r="O268" s="82"/>
      <c r="P268" s="83"/>
      <c r="Q268" s="83"/>
      <c r="R268" s="83"/>
      <c r="S268" s="82"/>
      <c r="T268" s="83"/>
      <c r="U268" s="83"/>
      <c r="V268" s="84">
        <v>55.667999999999999</v>
      </c>
      <c r="W268" s="85">
        <v>97.2</v>
      </c>
      <c r="X268" s="87"/>
      <c r="Y268" s="83">
        <v>50.856000000000002</v>
      </c>
      <c r="Z268" s="84"/>
      <c r="AA268" s="85"/>
      <c r="AB268" s="84"/>
      <c r="AC268" s="85"/>
      <c r="AD268" s="89">
        <f t="shared" ref="AD268:AD317" si="60">AE268+AF268</f>
        <v>20.429739999999999</v>
      </c>
      <c r="AE268" s="89"/>
      <c r="AF268" s="186">
        <v>20.429739999999999</v>
      </c>
      <c r="AG268" s="85"/>
      <c r="AH268" s="85"/>
      <c r="AI268" s="85"/>
      <c r="AJ268" s="84"/>
      <c r="AK268" s="85"/>
      <c r="AL268" s="84"/>
      <c r="AM268" s="88"/>
      <c r="AN268" s="84"/>
      <c r="AO268" s="85"/>
      <c r="AP268" s="84"/>
      <c r="AQ268" s="83"/>
      <c r="AR268" s="83"/>
      <c r="AS268" s="83"/>
      <c r="AT268" s="85"/>
      <c r="AU268" s="85"/>
      <c r="AV268" s="85"/>
      <c r="AW268" s="88"/>
      <c r="AX268" s="84"/>
      <c r="AY268" s="85"/>
      <c r="AZ268" s="84">
        <v>74.354879999999994</v>
      </c>
      <c r="BA268" s="85">
        <v>67.334400000000002</v>
      </c>
      <c r="BB268" s="88"/>
      <c r="BC268" s="85"/>
      <c r="BD268" s="84"/>
      <c r="BE268" s="88"/>
      <c r="BF268" s="85"/>
      <c r="BG268" s="85"/>
      <c r="BH268" s="85"/>
      <c r="BI268" s="85"/>
      <c r="BJ268" s="85"/>
      <c r="BK268" s="85"/>
      <c r="BL268" s="85"/>
      <c r="BM268" s="85"/>
      <c r="BN268" s="85"/>
      <c r="BO268" s="85"/>
      <c r="BP268" s="85"/>
      <c r="BQ268" s="85"/>
      <c r="BR268" s="84"/>
      <c r="BS268" s="85"/>
      <c r="BT268" s="85"/>
      <c r="BU268" s="198"/>
      <c r="BV268" s="90"/>
      <c r="BW268" s="198"/>
      <c r="BX268" s="90"/>
      <c r="BY268" s="198"/>
      <c r="BZ268" s="90"/>
      <c r="CA268" s="91"/>
    </row>
    <row r="269" spans="1:79" ht="50.1" customHeight="1" outlineLevel="2" x14ac:dyDescent="0.3">
      <c r="A269" s="103" t="s">
        <v>249</v>
      </c>
      <c r="B269" s="102" t="s">
        <v>275</v>
      </c>
      <c r="C269" s="79" t="s">
        <v>55</v>
      </c>
      <c r="D269" s="81">
        <f t="shared" si="58"/>
        <v>307.06772000000001</v>
      </c>
      <c r="E269" s="82">
        <f t="shared" si="59"/>
        <v>0</v>
      </c>
      <c r="F269" s="83">
        <f t="shared" si="47"/>
        <v>307.06772000000001</v>
      </c>
      <c r="G269" s="84"/>
      <c r="H269" s="85"/>
      <c r="I269" s="85"/>
      <c r="J269" s="84"/>
      <c r="K269" s="85"/>
      <c r="L269" s="85"/>
      <c r="M269" s="85"/>
      <c r="N269" s="85"/>
      <c r="O269" s="82"/>
      <c r="P269" s="83"/>
      <c r="Q269" s="83"/>
      <c r="R269" s="83"/>
      <c r="S269" s="82"/>
      <c r="T269" s="83"/>
      <c r="U269" s="83"/>
      <c r="V269" s="84"/>
      <c r="W269" s="85"/>
      <c r="X269" s="87"/>
      <c r="Y269" s="83">
        <v>46.8</v>
      </c>
      <c r="Z269" s="84"/>
      <c r="AA269" s="85"/>
      <c r="AB269" s="84"/>
      <c r="AC269" s="85"/>
      <c r="AD269" s="89">
        <f t="shared" si="60"/>
        <v>0</v>
      </c>
      <c r="AE269" s="89"/>
      <c r="AF269" s="186"/>
      <c r="AG269" s="85"/>
      <c r="AH269" s="85"/>
      <c r="AI269" s="85"/>
      <c r="AJ269" s="84"/>
      <c r="AK269" s="85"/>
      <c r="AL269" s="84"/>
      <c r="AM269" s="88"/>
      <c r="AN269" s="84"/>
      <c r="AO269" s="85"/>
      <c r="AP269" s="84"/>
      <c r="AQ269" s="83"/>
      <c r="AR269" s="83"/>
      <c r="AS269" s="83"/>
      <c r="AT269" s="85"/>
      <c r="AU269" s="85"/>
      <c r="AV269" s="85"/>
      <c r="AW269" s="88"/>
      <c r="AX269" s="84"/>
      <c r="AY269" s="85"/>
      <c r="AZ269" s="84"/>
      <c r="BA269" s="85"/>
      <c r="BB269" s="88"/>
      <c r="BC269" s="85"/>
      <c r="BD269" s="84"/>
      <c r="BE269" s="88"/>
      <c r="BF269" s="85"/>
      <c r="BG269" s="85"/>
      <c r="BH269" s="85"/>
      <c r="BI269" s="85"/>
      <c r="BJ269" s="85"/>
      <c r="BK269" s="85">
        <v>260.26772</v>
      </c>
      <c r="BL269" s="85"/>
      <c r="BM269" s="85"/>
      <c r="BN269" s="85"/>
      <c r="BO269" s="85"/>
      <c r="BP269" s="85"/>
      <c r="BQ269" s="85"/>
      <c r="BR269" s="84"/>
      <c r="BS269" s="85"/>
      <c r="BT269" s="85"/>
      <c r="BU269" s="198"/>
      <c r="BV269" s="90"/>
      <c r="BW269" s="198"/>
      <c r="BX269" s="90"/>
      <c r="BY269" s="198"/>
      <c r="BZ269" s="90"/>
      <c r="CA269" s="91"/>
    </row>
    <row r="270" spans="1:79" ht="50.1" customHeight="1" outlineLevel="2" x14ac:dyDescent="0.3">
      <c r="A270" s="103" t="s">
        <v>249</v>
      </c>
      <c r="B270" s="102" t="s">
        <v>276</v>
      </c>
      <c r="C270" s="79" t="s">
        <v>55</v>
      </c>
      <c r="D270" s="81">
        <f t="shared" si="58"/>
        <v>38.288730000000001</v>
      </c>
      <c r="E270" s="82">
        <f t="shared" si="59"/>
        <v>20.092949999999998</v>
      </c>
      <c r="F270" s="83">
        <f t="shared" ref="F270:F314" si="61">H270+I270+K270+L270+M270+N270+P270+Q270+R270+T270+U270+W270+Y270+AA270+AC270+AD270+AG270+AH270+AI270+AK270+AM270+AO270+AQ270+AR270+AS270+AT270+AU270+AV270+AW270+AY270+BA270+BB270+BC270+BE270+BF270+BG270+BH270+BI270+BJ270+BK270+BL270+BO270+BP270+BQ270+BS270+BT270+BU270+BW270+BY270+CA270+BM270+BN270</f>
        <v>18.195779999999999</v>
      </c>
      <c r="G270" s="84"/>
      <c r="H270" s="85"/>
      <c r="I270" s="85"/>
      <c r="J270" s="84"/>
      <c r="K270" s="85"/>
      <c r="L270" s="85"/>
      <c r="M270" s="85"/>
      <c r="N270" s="85"/>
      <c r="O270" s="82"/>
      <c r="P270" s="83"/>
      <c r="Q270" s="83"/>
      <c r="R270" s="83"/>
      <c r="S270" s="82"/>
      <c r="T270" s="83"/>
      <c r="U270" s="83"/>
      <c r="V270" s="84"/>
      <c r="W270" s="85"/>
      <c r="X270" s="87"/>
      <c r="Y270" s="83"/>
      <c r="Z270" s="84"/>
      <c r="AA270" s="85"/>
      <c r="AB270" s="84"/>
      <c r="AC270" s="85"/>
      <c r="AD270" s="89">
        <f t="shared" si="60"/>
        <v>0</v>
      </c>
      <c r="AE270" s="89"/>
      <c r="AF270" s="186"/>
      <c r="AG270" s="85"/>
      <c r="AH270" s="85"/>
      <c r="AI270" s="85"/>
      <c r="AJ270" s="84"/>
      <c r="AK270" s="85"/>
      <c r="AL270" s="84"/>
      <c r="AM270" s="88"/>
      <c r="AN270" s="84"/>
      <c r="AO270" s="85"/>
      <c r="AP270" s="84"/>
      <c r="AQ270" s="83"/>
      <c r="AR270" s="83"/>
      <c r="AS270" s="83"/>
      <c r="AT270" s="85"/>
      <c r="AU270" s="85"/>
      <c r="AV270" s="85"/>
      <c r="AW270" s="88"/>
      <c r="AX270" s="84"/>
      <c r="AY270" s="85"/>
      <c r="AZ270" s="84">
        <v>20.092949999999998</v>
      </c>
      <c r="BA270" s="85">
        <v>18.195779999999999</v>
      </c>
      <c r="BB270" s="88"/>
      <c r="BC270" s="85"/>
      <c r="BD270" s="84"/>
      <c r="BE270" s="88"/>
      <c r="BF270" s="85"/>
      <c r="BG270" s="85"/>
      <c r="BH270" s="85"/>
      <c r="BI270" s="85"/>
      <c r="BJ270" s="85"/>
      <c r="BK270" s="85"/>
      <c r="BL270" s="85"/>
      <c r="BM270" s="85"/>
      <c r="BN270" s="85"/>
      <c r="BO270" s="85"/>
      <c r="BP270" s="85"/>
      <c r="BQ270" s="85"/>
      <c r="BR270" s="84"/>
      <c r="BS270" s="85"/>
      <c r="BT270" s="85"/>
      <c r="BU270" s="198"/>
      <c r="BV270" s="90"/>
      <c r="BW270" s="198"/>
      <c r="BX270" s="90"/>
      <c r="BY270" s="198"/>
      <c r="BZ270" s="90"/>
      <c r="CA270" s="91"/>
    </row>
    <row r="271" spans="1:79" ht="50.1" customHeight="1" outlineLevel="2" x14ac:dyDescent="0.3">
      <c r="A271" s="103" t="s">
        <v>249</v>
      </c>
      <c r="B271" s="102" t="s">
        <v>277</v>
      </c>
      <c r="C271" s="79" t="s">
        <v>55</v>
      </c>
      <c r="D271" s="81">
        <f t="shared" si="58"/>
        <v>63.393910000000005</v>
      </c>
      <c r="E271" s="82">
        <f t="shared" si="59"/>
        <v>6.5795700000000004</v>
      </c>
      <c r="F271" s="83">
        <f t="shared" si="61"/>
        <v>56.814340000000001</v>
      </c>
      <c r="G271" s="84"/>
      <c r="H271" s="85"/>
      <c r="I271" s="85"/>
      <c r="J271" s="84"/>
      <c r="K271" s="85"/>
      <c r="L271" s="85"/>
      <c r="M271" s="85"/>
      <c r="N271" s="85"/>
      <c r="O271" s="82"/>
      <c r="P271" s="83"/>
      <c r="Q271" s="83"/>
      <c r="R271" s="83"/>
      <c r="S271" s="82"/>
      <c r="T271" s="83"/>
      <c r="U271" s="83"/>
      <c r="V271" s="84"/>
      <c r="W271" s="85"/>
      <c r="X271" s="87"/>
      <c r="Y271" s="83">
        <v>50.856000000000002</v>
      </c>
      <c r="Z271" s="84"/>
      <c r="AA271" s="85"/>
      <c r="AB271" s="84"/>
      <c r="AC271" s="85"/>
      <c r="AD271" s="89">
        <f t="shared" si="60"/>
        <v>0</v>
      </c>
      <c r="AE271" s="89"/>
      <c r="AF271" s="186"/>
      <c r="AG271" s="85"/>
      <c r="AH271" s="85"/>
      <c r="AI271" s="85"/>
      <c r="AJ271" s="84"/>
      <c r="AK271" s="85"/>
      <c r="AL271" s="84"/>
      <c r="AM271" s="88"/>
      <c r="AN271" s="84"/>
      <c r="AO271" s="85"/>
      <c r="AP271" s="84"/>
      <c r="AQ271" s="83"/>
      <c r="AR271" s="83"/>
      <c r="AS271" s="83"/>
      <c r="AT271" s="85"/>
      <c r="AU271" s="85"/>
      <c r="AV271" s="85"/>
      <c r="AW271" s="88"/>
      <c r="AX271" s="84"/>
      <c r="AY271" s="85"/>
      <c r="AZ271" s="84">
        <v>6.5795700000000004</v>
      </c>
      <c r="BA271" s="85">
        <v>5.9583399999999997</v>
      </c>
      <c r="BB271" s="88"/>
      <c r="BC271" s="85"/>
      <c r="BD271" s="84"/>
      <c r="BE271" s="88"/>
      <c r="BF271" s="85"/>
      <c r="BG271" s="85"/>
      <c r="BH271" s="85"/>
      <c r="BI271" s="85"/>
      <c r="BJ271" s="85"/>
      <c r="BK271" s="85"/>
      <c r="BL271" s="85"/>
      <c r="BM271" s="85"/>
      <c r="BN271" s="85"/>
      <c r="BO271" s="85"/>
      <c r="BP271" s="85"/>
      <c r="BQ271" s="85"/>
      <c r="BR271" s="84"/>
      <c r="BS271" s="85"/>
      <c r="BT271" s="85"/>
      <c r="BU271" s="198"/>
      <c r="BV271" s="90"/>
      <c r="BW271" s="198"/>
      <c r="BX271" s="90"/>
      <c r="BY271" s="198"/>
      <c r="BZ271" s="90"/>
      <c r="CA271" s="91"/>
    </row>
    <row r="272" spans="1:79" ht="50.1" customHeight="1" outlineLevel="2" x14ac:dyDescent="0.3">
      <c r="A272" s="96" t="s">
        <v>249</v>
      </c>
      <c r="B272" s="102" t="s">
        <v>278</v>
      </c>
      <c r="C272" s="79" t="s">
        <v>55</v>
      </c>
      <c r="D272" s="81">
        <f t="shared" si="58"/>
        <v>55.676839999999999</v>
      </c>
      <c r="E272" s="82">
        <f t="shared" si="59"/>
        <v>21.031289999999998</v>
      </c>
      <c r="F272" s="83">
        <f t="shared" si="61"/>
        <v>34.64555</v>
      </c>
      <c r="G272" s="84"/>
      <c r="H272" s="85"/>
      <c r="I272" s="85"/>
      <c r="J272" s="84"/>
      <c r="K272" s="85"/>
      <c r="L272" s="85"/>
      <c r="M272" s="85"/>
      <c r="N272" s="85"/>
      <c r="O272" s="82"/>
      <c r="P272" s="83"/>
      <c r="Q272" s="83"/>
      <c r="R272" s="83"/>
      <c r="S272" s="82"/>
      <c r="T272" s="83"/>
      <c r="U272" s="83"/>
      <c r="V272" s="84"/>
      <c r="W272" s="85"/>
      <c r="X272" s="82"/>
      <c r="Y272" s="91">
        <v>15.6</v>
      </c>
      <c r="Z272" s="84"/>
      <c r="AA272" s="85"/>
      <c r="AB272" s="84"/>
      <c r="AC272" s="85"/>
      <c r="AD272" s="89">
        <f t="shared" si="60"/>
        <v>0</v>
      </c>
      <c r="AE272" s="89"/>
      <c r="AF272" s="186"/>
      <c r="AG272" s="85"/>
      <c r="AH272" s="85"/>
      <c r="AI272" s="85"/>
      <c r="AJ272" s="84"/>
      <c r="AK272" s="85"/>
      <c r="AL272" s="84"/>
      <c r="AM272" s="88"/>
      <c r="AN272" s="84"/>
      <c r="AO272" s="85"/>
      <c r="AP272" s="84"/>
      <c r="AQ272" s="83"/>
      <c r="AR272" s="83"/>
      <c r="AS272" s="83"/>
      <c r="AT272" s="85"/>
      <c r="AU272" s="85"/>
      <c r="AV272" s="85"/>
      <c r="AW272" s="88"/>
      <c r="AX272" s="84"/>
      <c r="AY272" s="85"/>
      <c r="AZ272" s="84">
        <v>21.031289999999998</v>
      </c>
      <c r="BA272" s="85">
        <v>19.045549999999999</v>
      </c>
      <c r="BB272" s="88"/>
      <c r="BC272" s="85"/>
      <c r="BD272" s="84"/>
      <c r="BE272" s="88"/>
      <c r="BF272" s="85"/>
      <c r="BG272" s="85"/>
      <c r="BH272" s="85"/>
      <c r="BI272" s="85"/>
      <c r="BJ272" s="85"/>
      <c r="BK272" s="85"/>
      <c r="BL272" s="85"/>
      <c r="BM272" s="85"/>
      <c r="BN272" s="85"/>
      <c r="BO272" s="85"/>
      <c r="BP272" s="85"/>
      <c r="BQ272" s="85"/>
      <c r="BR272" s="84"/>
      <c r="BS272" s="85"/>
      <c r="BT272" s="85"/>
      <c r="BU272" s="198"/>
      <c r="BV272" s="90"/>
      <c r="BW272" s="198"/>
      <c r="BX272" s="90"/>
      <c r="BY272" s="198"/>
      <c r="BZ272" s="90"/>
      <c r="CA272" s="91"/>
    </row>
    <row r="273" spans="1:79" ht="50.1" customHeight="1" outlineLevel="2" x14ac:dyDescent="0.3">
      <c r="A273" s="96" t="s">
        <v>249</v>
      </c>
      <c r="B273" s="102" t="s">
        <v>279</v>
      </c>
      <c r="C273" s="79" t="s">
        <v>55</v>
      </c>
      <c r="D273" s="81">
        <f t="shared" si="58"/>
        <v>70.2</v>
      </c>
      <c r="E273" s="82">
        <f t="shared" si="59"/>
        <v>0</v>
      </c>
      <c r="F273" s="83">
        <f t="shared" si="61"/>
        <v>70.2</v>
      </c>
      <c r="G273" s="84"/>
      <c r="H273" s="85"/>
      <c r="I273" s="85"/>
      <c r="J273" s="84"/>
      <c r="K273" s="85"/>
      <c r="L273" s="85"/>
      <c r="M273" s="85"/>
      <c r="N273" s="85"/>
      <c r="O273" s="82"/>
      <c r="P273" s="83"/>
      <c r="Q273" s="83"/>
      <c r="R273" s="83"/>
      <c r="S273" s="82"/>
      <c r="T273" s="83"/>
      <c r="U273" s="83"/>
      <c r="V273" s="84"/>
      <c r="W273" s="85"/>
      <c r="X273" s="82"/>
      <c r="Y273" s="91">
        <v>70.2</v>
      </c>
      <c r="Z273" s="84"/>
      <c r="AA273" s="85"/>
      <c r="AB273" s="84"/>
      <c r="AC273" s="85"/>
      <c r="AD273" s="89">
        <f t="shared" si="60"/>
        <v>0</v>
      </c>
      <c r="AE273" s="83"/>
      <c r="AF273" s="123"/>
      <c r="AG273" s="85"/>
      <c r="AH273" s="85"/>
      <c r="AI273" s="85"/>
      <c r="AJ273" s="84"/>
      <c r="AK273" s="85"/>
      <c r="AL273" s="84"/>
      <c r="AM273" s="85"/>
      <c r="AN273" s="84"/>
      <c r="AO273" s="85"/>
      <c r="AP273" s="84"/>
      <c r="AQ273" s="83"/>
      <c r="AR273" s="83"/>
      <c r="AS273" s="83"/>
      <c r="AT273" s="85"/>
      <c r="AU273" s="85"/>
      <c r="AV273" s="85"/>
      <c r="AW273" s="85"/>
      <c r="AX273" s="84"/>
      <c r="AY273" s="85"/>
      <c r="AZ273" s="84"/>
      <c r="BA273" s="85"/>
      <c r="BB273" s="85"/>
      <c r="BC273" s="85"/>
      <c r="BD273" s="85"/>
      <c r="BE273" s="85"/>
      <c r="BF273" s="85"/>
      <c r="BG273" s="85"/>
      <c r="BH273" s="85"/>
      <c r="BI273" s="85"/>
      <c r="BJ273" s="85"/>
      <c r="BK273" s="85"/>
      <c r="BL273" s="85"/>
      <c r="BM273" s="85"/>
      <c r="BN273" s="85"/>
      <c r="BO273" s="85"/>
      <c r="BP273" s="85"/>
      <c r="BQ273" s="85"/>
      <c r="BR273" s="84"/>
      <c r="BS273" s="85"/>
      <c r="BT273" s="85"/>
      <c r="BU273" s="198"/>
      <c r="BV273" s="90"/>
      <c r="BW273" s="198"/>
      <c r="BX273" s="90"/>
      <c r="BY273" s="198"/>
      <c r="BZ273" s="90"/>
      <c r="CA273" s="91"/>
    </row>
    <row r="274" spans="1:79" ht="50.1" customHeight="1" outlineLevel="2" x14ac:dyDescent="0.3">
      <c r="A274" s="96" t="s">
        <v>249</v>
      </c>
      <c r="B274" s="80" t="s">
        <v>280</v>
      </c>
      <c r="C274" s="79" t="s">
        <v>53</v>
      </c>
      <c r="D274" s="81">
        <f t="shared" si="58"/>
        <v>216.45554000000004</v>
      </c>
      <c r="E274" s="82">
        <f t="shared" si="59"/>
        <v>78.715860000000006</v>
      </c>
      <c r="F274" s="83">
        <f t="shared" si="61"/>
        <v>137.73968000000002</v>
      </c>
      <c r="G274" s="84"/>
      <c r="H274" s="85"/>
      <c r="I274" s="85"/>
      <c r="J274" s="84"/>
      <c r="K274" s="85"/>
      <c r="L274" s="85"/>
      <c r="M274" s="85"/>
      <c r="N274" s="85"/>
      <c r="O274" s="82"/>
      <c r="P274" s="83"/>
      <c r="Q274" s="83"/>
      <c r="R274" s="83"/>
      <c r="S274" s="82"/>
      <c r="T274" s="83"/>
      <c r="U274" s="83"/>
      <c r="V274" s="84"/>
      <c r="W274" s="85"/>
      <c r="X274" s="87"/>
      <c r="Y274" s="83">
        <v>66.456000000000003</v>
      </c>
      <c r="Z274" s="84"/>
      <c r="AA274" s="85"/>
      <c r="AB274" s="84"/>
      <c r="AC274" s="85"/>
      <c r="AD274" s="89">
        <f t="shared" si="60"/>
        <v>0</v>
      </c>
      <c r="AE274" s="89"/>
      <c r="AF274" s="186"/>
      <c r="AG274" s="85"/>
      <c r="AH274" s="85"/>
      <c r="AI274" s="85"/>
      <c r="AJ274" s="84"/>
      <c r="AK274" s="85"/>
      <c r="AL274" s="84"/>
      <c r="AM274" s="88"/>
      <c r="AN274" s="84"/>
      <c r="AO274" s="85"/>
      <c r="AP274" s="84"/>
      <c r="AQ274" s="83"/>
      <c r="AR274" s="83"/>
      <c r="AS274" s="83"/>
      <c r="AT274" s="85"/>
      <c r="AU274" s="85"/>
      <c r="AV274" s="85"/>
      <c r="AW274" s="88"/>
      <c r="AX274" s="84"/>
      <c r="AY274" s="85"/>
      <c r="AZ274" s="84">
        <v>78.715860000000006</v>
      </c>
      <c r="BA274" s="85">
        <v>71.283680000000004</v>
      </c>
      <c r="BB274" s="88"/>
      <c r="BC274" s="85"/>
      <c r="BD274" s="84"/>
      <c r="BE274" s="88"/>
      <c r="BF274" s="85"/>
      <c r="BG274" s="85"/>
      <c r="BH274" s="85"/>
      <c r="BI274" s="85"/>
      <c r="BJ274" s="85"/>
      <c r="BK274" s="85"/>
      <c r="BL274" s="85"/>
      <c r="BM274" s="85"/>
      <c r="BN274" s="85"/>
      <c r="BO274" s="85"/>
      <c r="BP274" s="85"/>
      <c r="BQ274" s="85"/>
      <c r="BR274" s="84"/>
      <c r="BS274" s="85"/>
      <c r="BT274" s="85"/>
      <c r="BU274" s="198"/>
      <c r="BV274" s="90"/>
      <c r="BW274" s="198"/>
      <c r="BX274" s="90"/>
      <c r="BY274" s="198"/>
      <c r="BZ274" s="90"/>
      <c r="CA274" s="91"/>
    </row>
    <row r="275" spans="1:79" ht="50.1" customHeight="1" outlineLevel="2" x14ac:dyDescent="0.3">
      <c r="A275" s="96" t="s">
        <v>249</v>
      </c>
      <c r="B275" s="102" t="s">
        <v>281</v>
      </c>
      <c r="C275" s="79" t="s">
        <v>53</v>
      </c>
      <c r="D275" s="81">
        <f t="shared" si="58"/>
        <v>374.79319999999996</v>
      </c>
      <c r="E275" s="82">
        <f t="shared" si="59"/>
        <v>134.34475</v>
      </c>
      <c r="F275" s="83">
        <f t="shared" si="61"/>
        <v>240.44844999999998</v>
      </c>
      <c r="G275" s="84"/>
      <c r="H275" s="85"/>
      <c r="I275" s="85"/>
      <c r="J275" s="84"/>
      <c r="K275" s="85"/>
      <c r="L275" s="85"/>
      <c r="M275" s="85"/>
      <c r="N275" s="85"/>
      <c r="O275" s="82"/>
      <c r="P275" s="83"/>
      <c r="Q275" s="83"/>
      <c r="R275" s="83"/>
      <c r="S275" s="82"/>
      <c r="T275" s="83"/>
      <c r="U275" s="83"/>
      <c r="V275" s="84">
        <v>23.195</v>
      </c>
      <c r="W275" s="85">
        <v>40.5</v>
      </c>
      <c r="X275" s="87"/>
      <c r="Y275" s="83">
        <v>78</v>
      </c>
      <c r="Z275" s="84"/>
      <c r="AA275" s="85"/>
      <c r="AB275" s="84"/>
      <c r="AC275" s="85"/>
      <c r="AD275" s="89">
        <f t="shared" si="60"/>
        <v>1.9456899999999999</v>
      </c>
      <c r="AE275" s="89"/>
      <c r="AF275" s="186">
        <v>1.9456899999999999</v>
      </c>
      <c r="AG275" s="85"/>
      <c r="AH275" s="85"/>
      <c r="AI275" s="85"/>
      <c r="AJ275" s="84"/>
      <c r="AK275" s="85"/>
      <c r="AL275" s="84"/>
      <c r="AM275" s="88"/>
      <c r="AN275" s="84"/>
      <c r="AO275" s="85"/>
      <c r="AP275" s="84"/>
      <c r="AQ275" s="83"/>
      <c r="AR275" s="83"/>
      <c r="AS275" s="83"/>
      <c r="AT275" s="85"/>
      <c r="AU275" s="85"/>
      <c r="AV275" s="85">
        <v>19.347650000000002</v>
      </c>
      <c r="AW275" s="88"/>
      <c r="AX275" s="84"/>
      <c r="AY275" s="85"/>
      <c r="AZ275" s="84">
        <v>111.14975</v>
      </c>
      <c r="BA275" s="85">
        <v>100.65510999999999</v>
      </c>
      <c r="BB275" s="88"/>
      <c r="BC275" s="85"/>
      <c r="BD275" s="84"/>
      <c r="BE275" s="88"/>
      <c r="BF275" s="85"/>
      <c r="BG275" s="85"/>
      <c r="BH275" s="85"/>
      <c r="BI275" s="85"/>
      <c r="BJ275" s="85"/>
      <c r="BK275" s="85"/>
      <c r="BL275" s="85"/>
      <c r="BM275" s="85"/>
      <c r="BN275" s="85"/>
      <c r="BO275" s="85"/>
      <c r="BP275" s="85"/>
      <c r="BQ275" s="85"/>
      <c r="BR275" s="84"/>
      <c r="BS275" s="85"/>
      <c r="BT275" s="85"/>
      <c r="BU275" s="198"/>
      <c r="BV275" s="90"/>
      <c r="BW275" s="198"/>
      <c r="BX275" s="90"/>
      <c r="BY275" s="198"/>
      <c r="BZ275" s="90"/>
      <c r="CA275" s="91"/>
    </row>
    <row r="276" spans="1:79" ht="50.1" customHeight="1" outlineLevel="2" x14ac:dyDescent="0.3">
      <c r="A276" s="103" t="s">
        <v>249</v>
      </c>
      <c r="B276" s="102" t="s">
        <v>282</v>
      </c>
      <c r="C276" s="79" t="s">
        <v>53</v>
      </c>
      <c r="D276" s="81">
        <f t="shared" si="58"/>
        <v>1327.5453399999999</v>
      </c>
      <c r="E276" s="82">
        <f t="shared" si="59"/>
        <v>122.18742</v>
      </c>
      <c r="F276" s="83">
        <f t="shared" si="61"/>
        <v>1205.3579199999999</v>
      </c>
      <c r="G276" s="84"/>
      <c r="H276" s="85"/>
      <c r="I276" s="85"/>
      <c r="J276" s="84">
        <v>14.398479999999999</v>
      </c>
      <c r="K276" s="85">
        <v>1.9261600000000001</v>
      </c>
      <c r="L276" s="85"/>
      <c r="M276" s="85"/>
      <c r="N276" s="85"/>
      <c r="O276" s="82"/>
      <c r="P276" s="83"/>
      <c r="Q276" s="83"/>
      <c r="R276" s="83"/>
      <c r="S276" s="82"/>
      <c r="T276" s="83"/>
      <c r="U276" s="83"/>
      <c r="V276" s="84"/>
      <c r="W276" s="85"/>
      <c r="X276" s="87"/>
      <c r="Y276" s="83">
        <v>79.56</v>
      </c>
      <c r="Z276" s="84"/>
      <c r="AA276" s="85"/>
      <c r="AB276" s="84"/>
      <c r="AC276" s="85"/>
      <c r="AD276" s="89">
        <f t="shared" si="60"/>
        <v>0</v>
      </c>
      <c r="AE276" s="89"/>
      <c r="AF276" s="186"/>
      <c r="AG276" s="85"/>
      <c r="AH276" s="85"/>
      <c r="AI276" s="85"/>
      <c r="AJ276" s="84"/>
      <c r="AK276" s="85"/>
      <c r="AL276" s="84"/>
      <c r="AM276" s="88"/>
      <c r="AN276" s="84"/>
      <c r="AO276" s="85"/>
      <c r="AP276" s="84"/>
      <c r="AQ276" s="83"/>
      <c r="AR276" s="83"/>
      <c r="AS276" s="83"/>
      <c r="AT276" s="85"/>
      <c r="AU276" s="85"/>
      <c r="AV276" s="85">
        <v>859.58749999999998</v>
      </c>
      <c r="AW276" s="88"/>
      <c r="AX276" s="84"/>
      <c r="AY276" s="85"/>
      <c r="AZ276" s="84">
        <v>107.78894</v>
      </c>
      <c r="BA276" s="85">
        <v>97.611680000000007</v>
      </c>
      <c r="BB276" s="88"/>
      <c r="BC276" s="85"/>
      <c r="BD276" s="84"/>
      <c r="BE276" s="88"/>
      <c r="BF276" s="85"/>
      <c r="BG276" s="85"/>
      <c r="BH276" s="85"/>
      <c r="BI276" s="85"/>
      <c r="BJ276" s="85"/>
      <c r="BK276" s="85">
        <v>166.67258000000001</v>
      </c>
      <c r="BL276" s="85"/>
      <c r="BM276" s="85"/>
      <c r="BN276" s="85"/>
      <c r="BO276" s="85"/>
      <c r="BP276" s="85"/>
      <c r="BQ276" s="85"/>
      <c r="BR276" s="84"/>
      <c r="BS276" s="85"/>
      <c r="BT276" s="85"/>
      <c r="BU276" s="198"/>
      <c r="BV276" s="90"/>
      <c r="BW276" s="198"/>
      <c r="BX276" s="90"/>
      <c r="BY276" s="198"/>
      <c r="BZ276" s="90"/>
      <c r="CA276" s="91"/>
    </row>
    <row r="277" spans="1:79" ht="50.1" customHeight="1" outlineLevel="2" x14ac:dyDescent="0.3">
      <c r="A277" s="96" t="s">
        <v>249</v>
      </c>
      <c r="B277" s="102" t="s">
        <v>283</v>
      </c>
      <c r="C277" s="79" t="s">
        <v>53</v>
      </c>
      <c r="D277" s="81">
        <f t="shared" si="58"/>
        <v>199.87331</v>
      </c>
      <c r="E277" s="82">
        <f t="shared" si="59"/>
        <v>88.515389999999996</v>
      </c>
      <c r="F277" s="83">
        <f t="shared" si="61"/>
        <v>111.35792000000001</v>
      </c>
      <c r="G277" s="84"/>
      <c r="H277" s="85"/>
      <c r="I277" s="85"/>
      <c r="J277" s="84"/>
      <c r="K277" s="85"/>
      <c r="L277" s="85"/>
      <c r="M277" s="85"/>
      <c r="N277" s="85"/>
      <c r="O277" s="82"/>
      <c r="P277" s="83"/>
      <c r="Q277" s="83"/>
      <c r="R277" s="83"/>
      <c r="S277" s="82"/>
      <c r="T277" s="83"/>
      <c r="U277" s="83"/>
      <c r="V277" s="84"/>
      <c r="W277" s="85"/>
      <c r="X277" s="87"/>
      <c r="Y277" s="83">
        <v>31.2</v>
      </c>
      <c r="Z277" s="84"/>
      <c r="AA277" s="85"/>
      <c r="AB277" s="84"/>
      <c r="AC277" s="85"/>
      <c r="AD277" s="89">
        <f t="shared" si="60"/>
        <v>0</v>
      </c>
      <c r="AE277" s="89"/>
      <c r="AF277" s="186"/>
      <c r="AG277" s="85"/>
      <c r="AH277" s="85"/>
      <c r="AI277" s="85"/>
      <c r="AJ277" s="84"/>
      <c r="AK277" s="85"/>
      <c r="AL277" s="84"/>
      <c r="AM277" s="88"/>
      <c r="AN277" s="84"/>
      <c r="AO277" s="85"/>
      <c r="AP277" s="84"/>
      <c r="AQ277" s="83"/>
      <c r="AR277" s="83"/>
      <c r="AS277" s="83"/>
      <c r="AT277" s="85"/>
      <c r="AU277" s="85"/>
      <c r="AV277" s="85"/>
      <c r="AW277" s="88"/>
      <c r="AX277" s="84"/>
      <c r="AY277" s="85"/>
      <c r="AZ277" s="84">
        <v>88.515389999999996</v>
      </c>
      <c r="BA277" s="85">
        <v>80.157920000000004</v>
      </c>
      <c r="BB277" s="88"/>
      <c r="BC277" s="85"/>
      <c r="BD277" s="84"/>
      <c r="BE277" s="88"/>
      <c r="BF277" s="85"/>
      <c r="BG277" s="85"/>
      <c r="BH277" s="85"/>
      <c r="BI277" s="85"/>
      <c r="BJ277" s="85"/>
      <c r="BK277" s="85"/>
      <c r="BL277" s="85"/>
      <c r="BM277" s="85"/>
      <c r="BN277" s="85"/>
      <c r="BO277" s="85"/>
      <c r="BP277" s="85"/>
      <c r="BQ277" s="85"/>
      <c r="BR277" s="84"/>
      <c r="BS277" s="85"/>
      <c r="BT277" s="85"/>
      <c r="BU277" s="198"/>
      <c r="BV277" s="90"/>
      <c r="BW277" s="198"/>
      <c r="BX277" s="90"/>
      <c r="BY277" s="198"/>
      <c r="BZ277" s="90"/>
      <c r="CA277" s="91"/>
    </row>
    <row r="278" spans="1:79" ht="50.1" customHeight="1" outlineLevel="2" x14ac:dyDescent="0.3">
      <c r="A278" s="103" t="s">
        <v>249</v>
      </c>
      <c r="B278" s="102" t="s">
        <v>285</v>
      </c>
      <c r="C278" s="79" t="s">
        <v>53</v>
      </c>
      <c r="D278" s="81">
        <f t="shared" si="58"/>
        <v>163.31052</v>
      </c>
      <c r="E278" s="82">
        <f t="shared" si="59"/>
        <v>64.215990000000005</v>
      </c>
      <c r="F278" s="83">
        <f t="shared" si="61"/>
        <v>99.094529999999992</v>
      </c>
      <c r="G278" s="98"/>
      <c r="H278" s="97"/>
      <c r="I278" s="97"/>
      <c r="J278" s="98"/>
      <c r="K278" s="97"/>
      <c r="L278" s="97"/>
      <c r="M278" s="97"/>
      <c r="N278" s="97"/>
      <c r="O278" s="98"/>
      <c r="P278" s="97"/>
      <c r="Q278" s="97"/>
      <c r="R278" s="97"/>
      <c r="S278" s="98"/>
      <c r="T278" s="97"/>
      <c r="U278" s="97"/>
      <c r="V278" s="82">
        <v>18.556000000000001</v>
      </c>
      <c r="W278" s="85">
        <v>32.4</v>
      </c>
      <c r="X278" s="87"/>
      <c r="Y278" s="83">
        <v>23.4</v>
      </c>
      <c r="Z278" s="84"/>
      <c r="AA278" s="85"/>
      <c r="AB278" s="84"/>
      <c r="AC278" s="85"/>
      <c r="AD278" s="89">
        <f t="shared" si="60"/>
        <v>1.9456899999999999</v>
      </c>
      <c r="AE278" s="89"/>
      <c r="AF278" s="186">
        <v>1.9456899999999999</v>
      </c>
      <c r="AG278" s="85"/>
      <c r="AH278" s="85"/>
      <c r="AI278" s="85"/>
      <c r="AJ278" s="84"/>
      <c r="AK278" s="85"/>
      <c r="AL278" s="84"/>
      <c r="AM278" s="88"/>
      <c r="AN278" s="84"/>
      <c r="AO278" s="85"/>
      <c r="AP278" s="84"/>
      <c r="AQ278" s="83"/>
      <c r="AR278" s="83"/>
      <c r="AS278" s="83"/>
      <c r="AT278" s="85"/>
      <c r="AU278" s="85"/>
      <c r="AV278" s="85"/>
      <c r="AW278" s="88"/>
      <c r="AX278" s="84"/>
      <c r="AY278" s="85"/>
      <c r="AZ278" s="84">
        <v>45.659990000000001</v>
      </c>
      <c r="BA278" s="85">
        <v>41.348840000000003</v>
      </c>
      <c r="BB278" s="88"/>
      <c r="BC278" s="85"/>
      <c r="BD278" s="84"/>
      <c r="BE278" s="88"/>
      <c r="BF278" s="85"/>
      <c r="BG278" s="85"/>
      <c r="BH278" s="85"/>
      <c r="BI278" s="85"/>
      <c r="BJ278" s="85"/>
      <c r="BK278" s="85"/>
      <c r="BL278" s="85"/>
      <c r="BM278" s="85"/>
      <c r="BN278" s="85"/>
      <c r="BO278" s="85"/>
      <c r="BP278" s="85"/>
      <c r="BQ278" s="85"/>
      <c r="BR278" s="84"/>
      <c r="BS278" s="85"/>
      <c r="BT278" s="85"/>
      <c r="BU278" s="198"/>
      <c r="BV278" s="90"/>
      <c r="BW278" s="198"/>
      <c r="BX278" s="90"/>
      <c r="BY278" s="198"/>
      <c r="BZ278" s="90"/>
      <c r="CA278" s="91"/>
    </row>
    <row r="279" spans="1:79" ht="50.1" customHeight="1" outlineLevel="2" x14ac:dyDescent="0.3">
      <c r="A279" s="96" t="s">
        <v>249</v>
      </c>
      <c r="B279" s="102" t="s">
        <v>286</v>
      </c>
      <c r="C279" s="79" t="s">
        <v>53</v>
      </c>
      <c r="D279" s="81">
        <f t="shared" si="58"/>
        <v>56.390529999999998</v>
      </c>
      <c r="E279" s="82">
        <f t="shared" si="59"/>
        <v>21.405819999999999</v>
      </c>
      <c r="F279" s="83">
        <f t="shared" si="61"/>
        <v>34.98471</v>
      </c>
      <c r="G279" s="98"/>
      <c r="H279" s="97"/>
      <c r="I279" s="97"/>
      <c r="J279" s="98"/>
      <c r="K279" s="97"/>
      <c r="L279" s="97"/>
      <c r="M279" s="97"/>
      <c r="N279" s="97"/>
      <c r="O279" s="98"/>
      <c r="P279" s="97"/>
      <c r="Q279" s="97"/>
      <c r="R279" s="97"/>
      <c r="S279" s="98"/>
      <c r="T279" s="97"/>
      <c r="U279" s="97"/>
      <c r="V279" s="98"/>
      <c r="W279" s="85"/>
      <c r="X279" s="87"/>
      <c r="Y279" s="83">
        <v>15.6</v>
      </c>
      <c r="Z279" s="84"/>
      <c r="AA279" s="85"/>
      <c r="AB279" s="84"/>
      <c r="AC279" s="85"/>
      <c r="AD279" s="89">
        <f t="shared" si="60"/>
        <v>0</v>
      </c>
      <c r="AE279" s="89"/>
      <c r="AF279" s="186"/>
      <c r="AG279" s="85"/>
      <c r="AH279" s="85"/>
      <c r="AI279" s="85"/>
      <c r="AJ279" s="84"/>
      <c r="AK279" s="85"/>
      <c r="AL279" s="84"/>
      <c r="AM279" s="88"/>
      <c r="AN279" s="84"/>
      <c r="AO279" s="85"/>
      <c r="AP279" s="84"/>
      <c r="AQ279" s="83"/>
      <c r="AR279" s="83"/>
      <c r="AS279" s="83"/>
      <c r="AT279" s="85"/>
      <c r="AU279" s="85"/>
      <c r="AV279" s="85"/>
      <c r="AW279" s="88"/>
      <c r="AX279" s="84"/>
      <c r="AY279" s="85"/>
      <c r="AZ279" s="84">
        <v>21.405819999999999</v>
      </c>
      <c r="BA279" s="85">
        <v>19.384709999999998</v>
      </c>
      <c r="BB279" s="88"/>
      <c r="BC279" s="85"/>
      <c r="BD279" s="84"/>
      <c r="BE279" s="88"/>
      <c r="BF279" s="85"/>
      <c r="BG279" s="85"/>
      <c r="BH279" s="85"/>
      <c r="BI279" s="85"/>
      <c r="BJ279" s="85"/>
      <c r="BK279" s="85"/>
      <c r="BL279" s="85"/>
      <c r="BM279" s="85"/>
      <c r="BN279" s="85"/>
      <c r="BO279" s="85"/>
      <c r="BP279" s="85"/>
      <c r="BQ279" s="85"/>
      <c r="BR279" s="84"/>
      <c r="BS279" s="85"/>
      <c r="BT279" s="85"/>
      <c r="BU279" s="198"/>
      <c r="BV279" s="90"/>
      <c r="BW279" s="198"/>
      <c r="BX279" s="90"/>
      <c r="BY279" s="198"/>
      <c r="BZ279" s="90"/>
      <c r="CA279" s="91"/>
    </row>
    <row r="280" spans="1:79" ht="50.1" customHeight="1" outlineLevel="2" x14ac:dyDescent="0.3">
      <c r="A280" s="96" t="s">
        <v>249</v>
      </c>
      <c r="B280" s="102" t="s">
        <v>287</v>
      </c>
      <c r="C280" s="79" t="s">
        <v>53</v>
      </c>
      <c r="D280" s="81">
        <f t="shared" si="58"/>
        <v>135.26283000000001</v>
      </c>
      <c r="E280" s="82">
        <f t="shared" si="59"/>
        <v>45.91865</v>
      </c>
      <c r="F280" s="83">
        <f t="shared" si="61"/>
        <v>89.344179999999994</v>
      </c>
      <c r="G280" s="84"/>
      <c r="H280" s="85"/>
      <c r="I280" s="85"/>
      <c r="J280" s="84"/>
      <c r="K280" s="85"/>
      <c r="L280" s="85"/>
      <c r="M280" s="85"/>
      <c r="N280" s="85"/>
      <c r="O280" s="82"/>
      <c r="P280" s="83"/>
      <c r="Q280" s="83"/>
      <c r="R280" s="83"/>
      <c r="S280" s="82"/>
      <c r="T280" s="83"/>
      <c r="U280" s="83"/>
      <c r="V280" s="84">
        <v>34.792499999999997</v>
      </c>
      <c r="W280" s="85">
        <v>60.75</v>
      </c>
      <c r="X280" s="87"/>
      <c r="Y280" s="83">
        <v>15.6</v>
      </c>
      <c r="Z280" s="84"/>
      <c r="AA280" s="85"/>
      <c r="AB280" s="84"/>
      <c r="AC280" s="85"/>
      <c r="AD280" s="89">
        <f t="shared" si="60"/>
        <v>2.9185400000000001</v>
      </c>
      <c r="AE280" s="89"/>
      <c r="AF280" s="186">
        <v>2.9185400000000001</v>
      </c>
      <c r="AG280" s="85"/>
      <c r="AH280" s="85"/>
      <c r="AI280" s="85"/>
      <c r="AJ280" s="84"/>
      <c r="AK280" s="85"/>
      <c r="AL280" s="84"/>
      <c r="AM280" s="88"/>
      <c r="AN280" s="84"/>
      <c r="AO280" s="85"/>
      <c r="AP280" s="84"/>
      <c r="AQ280" s="83"/>
      <c r="AR280" s="83"/>
      <c r="AS280" s="83"/>
      <c r="AT280" s="85"/>
      <c r="AU280" s="85"/>
      <c r="AV280" s="85"/>
      <c r="AW280" s="88"/>
      <c r="AX280" s="84"/>
      <c r="AY280" s="85"/>
      <c r="AZ280" s="84">
        <v>11.126150000000001</v>
      </c>
      <c r="BA280" s="85">
        <v>10.07564</v>
      </c>
      <c r="BB280" s="88"/>
      <c r="BC280" s="85"/>
      <c r="BD280" s="84"/>
      <c r="BE280" s="88"/>
      <c r="BF280" s="85"/>
      <c r="BG280" s="85"/>
      <c r="BH280" s="85"/>
      <c r="BI280" s="85"/>
      <c r="BJ280" s="85"/>
      <c r="BK280" s="85"/>
      <c r="BL280" s="85"/>
      <c r="BM280" s="85"/>
      <c r="BN280" s="85"/>
      <c r="BO280" s="85"/>
      <c r="BP280" s="85"/>
      <c r="BQ280" s="85"/>
      <c r="BR280" s="84"/>
      <c r="BS280" s="85"/>
      <c r="BT280" s="85"/>
      <c r="BU280" s="198"/>
      <c r="BV280" s="90"/>
      <c r="BW280" s="198"/>
      <c r="BX280" s="90"/>
      <c r="BY280" s="198"/>
      <c r="BZ280" s="90"/>
      <c r="CA280" s="91"/>
    </row>
    <row r="281" spans="1:79" ht="50.1" customHeight="1" outlineLevel="2" x14ac:dyDescent="0.3">
      <c r="A281" s="96" t="s">
        <v>249</v>
      </c>
      <c r="B281" s="102" t="s">
        <v>1236</v>
      </c>
      <c r="C281" s="79" t="s">
        <v>55</v>
      </c>
      <c r="D281" s="81">
        <f t="shared" si="58"/>
        <v>18.72</v>
      </c>
      <c r="E281" s="82">
        <f t="shared" si="59"/>
        <v>0</v>
      </c>
      <c r="F281" s="83">
        <f t="shared" si="61"/>
        <v>18.72</v>
      </c>
      <c r="G281" s="84"/>
      <c r="H281" s="85"/>
      <c r="I281" s="85"/>
      <c r="J281" s="84"/>
      <c r="K281" s="85"/>
      <c r="L281" s="85"/>
      <c r="M281" s="85"/>
      <c r="N281" s="85"/>
      <c r="O281" s="82"/>
      <c r="P281" s="83"/>
      <c r="Q281" s="83"/>
      <c r="R281" s="83"/>
      <c r="S281" s="82"/>
      <c r="T281" s="83"/>
      <c r="U281" s="83"/>
      <c r="V281" s="84"/>
      <c r="W281" s="85"/>
      <c r="X281" s="87"/>
      <c r="Y281" s="83">
        <v>18.72</v>
      </c>
      <c r="Z281" s="84"/>
      <c r="AA281" s="85"/>
      <c r="AB281" s="84"/>
      <c r="AC281" s="85"/>
      <c r="AD281" s="89"/>
      <c r="AE281" s="89"/>
      <c r="AF281" s="186"/>
      <c r="AG281" s="85"/>
      <c r="AH281" s="85"/>
      <c r="AI281" s="85"/>
      <c r="AJ281" s="84"/>
      <c r="AK281" s="85"/>
      <c r="AL281" s="84"/>
      <c r="AM281" s="88"/>
      <c r="AN281" s="84"/>
      <c r="AO281" s="85"/>
      <c r="AP281" s="84"/>
      <c r="AQ281" s="83"/>
      <c r="AR281" s="83"/>
      <c r="AS281" s="83"/>
      <c r="AT281" s="85"/>
      <c r="AU281" s="85"/>
      <c r="AV281" s="85"/>
      <c r="AW281" s="88"/>
      <c r="AX281" s="84"/>
      <c r="AY281" s="85"/>
      <c r="AZ281" s="84"/>
      <c r="BA281" s="85"/>
      <c r="BB281" s="88"/>
      <c r="BC281" s="85"/>
      <c r="BD281" s="84"/>
      <c r="BE281" s="88"/>
      <c r="BF281" s="85"/>
      <c r="BG281" s="85"/>
      <c r="BH281" s="85"/>
      <c r="BI281" s="85"/>
      <c r="BJ281" s="85"/>
      <c r="BK281" s="85"/>
      <c r="BL281" s="85"/>
      <c r="BM281" s="85"/>
      <c r="BN281" s="85"/>
      <c r="BO281" s="85"/>
      <c r="BP281" s="85"/>
      <c r="BQ281" s="85"/>
      <c r="BR281" s="84"/>
      <c r="BS281" s="85"/>
      <c r="BT281" s="85"/>
      <c r="BU281" s="198"/>
      <c r="BV281" s="90"/>
      <c r="BW281" s="198"/>
      <c r="BX281" s="90"/>
      <c r="BY281" s="198"/>
      <c r="BZ281" s="90"/>
      <c r="CA281" s="91"/>
    </row>
    <row r="282" spans="1:79" ht="50.1" customHeight="1" outlineLevel="2" x14ac:dyDescent="0.3">
      <c r="A282" s="96" t="s">
        <v>249</v>
      </c>
      <c r="B282" s="102" t="s">
        <v>1237</v>
      </c>
      <c r="C282" s="79" t="s">
        <v>55</v>
      </c>
      <c r="D282" s="81">
        <f t="shared" si="58"/>
        <v>94.224000000000004</v>
      </c>
      <c r="E282" s="82">
        <f t="shared" si="59"/>
        <v>0</v>
      </c>
      <c r="F282" s="83">
        <f t="shared" si="61"/>
        <v>94.224000000000004</v>
      </c>
      <c r="G282" s="84"/>
      <c r="H282" s="85"/>
      <c r="I282" s="85"/>
      <c r="J282" s="84"/>
      <c r="K282" s="85"/>
      <c r="L282" s="85"/>
      <c r="M282" s="85"/>
      <c r="N282" s="85"/>
      <c r="O282" s="82"/>
      <c r="P282" s="83"/>
      <c r="Q282" s="83"/>
      <c r="R282" s="83"/>
      <c r="S282" s="82"/>
      <c r="T282" s="83"/>
      <c r="U282" s="83"/>
      <c r="V282" s="84"/>
      <c r="W282" s="85"/>
      <c r="X282" s="87"/>
      <c r="Y282" s="83">
        <v>94.224000000000004</v>
      </c>
      <c r="Z282" s="84"/>
      <c r="AA282" s="85"/>
      <c r="AB282" s="84"/>
      <c r="AC282" s="85"/>
      <c r="AD282" s="89"/>
      <c r="AE282" s="89"/>
      <c r="AF282" s="186"/>
      <c r="AG282" s="85"/>
      <c r="AH282" s="85"/>
      <c r="AI282" s="85"/>
      <c r="AJ282" s="84"/>
      <c r="AK282" s="85"/>
      <c r="AL282" s="84"/>
      <c r="AM282" s="88"/>
      <c r="AN282" s="84"/>
      <c r="AO282" s="85"/>
      <c r="AP282" s="84"/>
      <c r="AQ282" s="83"/>
      <c r="AR282" s="83"/>
      <c r="AS282" s="83"/>
      <c r="AT282" s="85"/>
      <c r="AU282" s="85"/>
      <c r="AV282" s="85"/>
      <c r="AW282" s="88"/>
      <c r="AX282" s="84"/>
      <c r="AY282" s="85"/>
      <c r="AZ282" s="84"/>
      <c r="BA282" s="85"/>
      <c r="BB282" s="88"/>
      <c r="BC282" s="85"/>
      <c r="BD282" s="84"/>
      <c r="BE282" s="88"/>
      <c r="BF282" s="85"/>
      <c r="BG282" s="85"/>
      <c r="BH282" s="85"/>
      <c r="BI282" s="85"/>
      <c r="BJ282" s="85"/>
      <c r="BK282" s="85"/>
      <c r="BL282" s="85"/>
      <c r="BM282" s="85"/>
      <c r="BN282" s="85"/>
      <c r="BO282" s="85"/>
      <c r="BP282" s="85"/>
      <c r="BQ282" s="85"/>
      <c r="BR282" s="84"/>
      <c r="BS282" s="85"/>
      <c r="BT282" s="85"/>
      <c r="BU282" s="198"/>
      <c r="BV282" s="90"/>
      <c r="BW282" s="198"/>
      <c r="BX282" s="90"/>
      <c r="BY282" s="198"/>
      <c r="BZ282" s="90"/>
      <c r="CA282" s="91"/>
    </row>
    <row r="283" spans="1:79" ht="50.1" customHeight="1" outlineLevel="2" x14ac:dyDescent="0.3">
      <c r="A283" s="96" t="s">
        <v>249</v>
      </c>
      <c r="B283" s="102" t="s">
        <v>1238</v>
      </c>
      <c r="C283" s="79" t="s">
        <v>55</v>
      </c>
      <c r="D283" s="81">
        <f t="shared" si="58"/>
        <v>140.4</v>
      </c>
      <c r="E283" s="82">
        <f t="shared" si="59"/>
        <v>0</v>
      </c>
      <c r="F283" s="83">
        <f t="shared" si="61"/>
        <v>140.4</v>
      </c>
      <c r="G283" s="84"/>
      <c r="H283" s="85"/>
      <c r="I283" s="85"/>
      <c r="J283" s="84"/>
      <c r="K283" s="85"/>
      <c r="L283" s="85"/>
      <c r="M283" s="85"/>
      <c r="N283" s="85"/>
      <c r="O283" s="82"/>
      <c r="P283" s="83"/>
      <c r="Q283" s="83"/>
      <c r="R283" s="83"/>
      <c r="S283" s="82"/>
      <c r="T283" s="83"/>
      <c r="U283" s="83"/>
      <c r="V283" s="84"/>
      <c r="W283" s="85"/>
      <c r="X283" s="87"/>
      <c r="Y283" s="83">
        <v>140.4</v>
      </c>
      <c r="Z283" s="84"/>
      <c r="AA283" s="85"/>
      <c r="AB283" s="84"/>
      <c r="AC283" s="85"/>
      <c r="AD283" s="89"/>
      <c r="AE283" s="89"/>
      <c r="AF283" s="186"/>
      <c r="AG283" s="85"/>
      <c r="AH283" s="85"/>
      <c r="AI283" s="85"/>
      <c r="AJ283" s="84"/>
      <c r="AK283" s="85"/>
      <c r="AL283" s="84"/>
      <c r="AM283" s="88"/>
      <c r="AN283" s="84"/>
      <c r="AO283" s="85"/>
      <c r="AP283" s="84"/>
      <c r="AQ283" s="83"/>
      <c r="AR283" s="83"/>
      <c r="AS283" s="83"/>
      <c r="AT283" s="85"/>
      <c r="AU283" s="85"/>
      <c r="AV283" s="85"/>
      <c r="AW283" s="88"/>
      <c r="AX283" s="84"/>
      <c r="AY283" s="85"/>
      <c r="AZ283" s="84"/>
      <c r="BA283" s="85"/>
      <c r="BB283" s="88"/>
      <c r="BC283" s="85"/>
      <c r="BD283" s="84"/>
      <c r="BE283" s="88"/>
      <c r="BF283" s="85"/>
      <c r="BG283" s="85"/>
      <c r="BH283" s="85"/>
      <c r="BI283" s="85"/>
      <c r="BJ283" s="85"/>
      <c r="BK283" s="85"/>
      <c r="BL283" s="85"/>
      <c r="BM283" s="85"/>
      <c r="BN283" s="85"/>
      <c r="BO283" s="85"/>
      <c r="BP283" s="85"/>
      <c r="BQ283" s="85"/>
      <c r="BR283" s="84"/>
      <c r="BS283" s="85"/>
      <c r="BT283" s="85"/>
      <c r="BU283" s="198"/>
      <c r="BV283" s="90"/>
      <c r="BW283" s="198"/>
      <c r="BX283" s="90"/>
      <c r="BY283" s="198"/>
      <c r="BZ283" s="90"/>
      <c r="CA283" s="91"/>
    </row>
    <row r="284" spans="1:79" ht="50.1" customHeight="1" outlineLevel="2" x14ac:dyDescent="0.3">
      <c r="A284" s="96" t="s">
        <v>1263</v>
      </c>
      <c r="B284" s="102" t="s">
        <v>1239</v>
      </c>
      <c r="C284" s="79" t="s">
        <v>55</v>
      </c>
      <c r="D284" s="81">
        <f t="shared" si="58"/>
        <v>312</v>
      </c>
      <c r="E284" s="82">
        <f t="shared" si="59"/>
        <v>0</v>
      </c>
      <c r="F284" s="83">
        <f t="shared" si="61"/>
        <v>312</v>
      </c>
      <c r="G284" s="84"/>
      <c r="H284" s="85"/>
      <c r="I284" s="85"/>
      <c r="J284" s="84"/>
      <c r="K284" s="85"/>
      <c r="L284" s="85"/>
      <c r="M284" s="85"/>
      <c r="N284" s="85"/>
      <c r="O284" s="82"/>
      <c r="P284" s="83"/>
      <c r="Q284" s="83"/>
      <c r="R284" s="83"/>
      <c r="S284" s="82"/>
      <c r="T284" s="83"/>
      <c r="U284" s="83"/>
      <c r="V284" s="84"/>
      <c r="W284" s="85"/>
      <c r="X284" s="87"/>
      <c r="Y284" s="83">
        <v>312</v>
      </c>
      <c r="Z284" s="84"/>
      <c r="AA284" s="85"/>
      <c r="AB284" s="84"/>
      <c r="AC284" s="85"/>
      <c r="AD284" s="89"/>
      <c r="AE284" s="89"/>
      <c r="AF284" s="186"/>
      <c r="AG284" s="85"/>
      <c r="AH284" s="85"/>
      <c r="AI284" s="85"/>
      <c r="AJ284" s="84"/>
      <c r="AK284" s="85"/>
      <c r="AL284" s="84"/>
      <c r="AM284" s="88"/>
      <c r="AN284" s="84"/>
      <c r="AO284" s="85"/>
      <c r="AP284" s="84"/>
      <c r="AQ284" s="83"/>
      <c r="AR284" s="83"/>
      <c r="AS284" s="83"/>
      <c r="AT284" s="85"/>
      <c r="AU284" s="85"/>
      <c r="AV284" s="85"/>
      <c r="AW284" s="88"/>
      <c r="AX284" s="84"/>
      <c r="AY284" s="85"/>
      <c r="AZ284" s="84"/>
      <c r="BA284" s="85"/>
      <c r="BB284" s="88"/>
      <c r="BC284" s="85"/>
      <c r="BD284" s="84"/>
      <c r="BE284" s="88"/>
      <c r="BF284" s="85"/>
      <c r="BG284" s="85"/>
      <c r="BH284" s="85"/>
      <c r="BI284" s="85"/>
      <c r="BJ284" s="85"/>
      <c r="BK284" s="85"/>
      <c r="BL284" s="85"/>
      <c r="BM284" s="85"/>
      <c r="BN284" s="85"/>
      <c r="BO284" s="85"/>
      <c r="BP284" s="85"/>
      <c r="BQ284" s="85"/>
      <c r="BR284" s="84"/>
      <c r="BS284" s="85"/>
      <c r="BT284" s="85"/>
      <c r="BU284" s="198"/>
      <c r="BV284" s="90"/>
      <c r="BW284" s="198"/>
      <c r="BX284" s="90"/>
      <c r="BY284" s="198"/>
      <c r="BZ284" s="90"/>
      <c r="CA284" s="91"/>
    </row>
    <row r="285" spans="1:79" ht="50.1" customHeight="1" outlineLevel="2" x14ac:dyDescent="0.3">
      <c r="A285" s="103" t="s">
        <v>249</v>
      </c>
      <c r="B285" s="102" t="s">
        <v>288</v>
      </c>
      <c r="C285" s="79" t="s">
        <v>53</v>
      </c>
      <c r="D285" s="81">
        <f t="shared" si="58"/>
        <v>102.25664</v>
      </c>
      <c r="E285" s="82">
        <f t="shared" si="59"/>
        <v>19.25656</v>
      </c>
      <c r="F285" s="83">
        <f t="shared" si="61"/>
        <v>83.000079999999997</v>
      </c>
      <c r="G285" s="98"/>
      <c r="H285" s="97"/>
      <c r="I285" s="97"/>
      <c r="J285" s="98"/>
      <c r="K285" s="97"/>
      <c r="L285" s="97"/>
      <c r="M285" s="97"/>
      <c r="N285" s="97"/>
      <c r="O285" s="98"/>
      <c r="P285" s="97"/>
      <c r="Q285" s="97"/>
      <c r="R285" s="97"/>
      <c r="S285" s="98"/>
      <c r="T285" s="97"/>
      <c r="U285" s="97"/>
      <c r="V285" s="98"/>
      <c r="W285" s="97"/>
      <c r="X285" s="82"/>
      <c r="Y285" s="83"/>
      <c r="Z285" s="84"/>
      <c r="AA285" s="85"/>
      <c r="AB285" s="84"/>
      <c r="AC285" s="85"/>
      <c r="AD285" s="89">
        <f t="shared" si="60"/>
        <v>0</v>
      </c>
      <c r="AE285" s="89"/>
      <c r="AF285" s="186"/>
      <c r="AG285" s="85"/>
      <c r="AH285" s="85"/>
      <c r="AI285" s="85"/>
      <c r="AJ285" s="84"/>
      <c r="AK285" s="85"/>
      <c r="AL285" s="84"/>
      <c r="AM285" s="88"/>
      <c r="AN285" s="84"/>
      <c r="AO285" s="85"/>
      <c r="AP285" s="84"/>
      <c r="AQ285" s="83"/>
      <c r="AR285" s="83"/>
      <c r="AS285" s="83"/>
      <c r="AT285" s="85"/>
      <c r="AU285" s="85"/>
      <c r="AV285" s="85">
        <v>65.56165</v>
      </c>
      <c r="AW285" s="88"/>
      <c r="AX285" s="84"/>
      <c r="AY285" s="85"/>
      <c r="AZ285" s="84">
        <v>19.25656</v>
      </c>
      <c r="BA285" s="85">
        <v>17.43843</v>
      </c>
      <c r="BB285" s="88"/>
      <c r="BC285" s="85"/>
      <c r="BD285" s="84"/>
      <c r="BE285" s="88"/>
      <c r="BF285" s="85"/>
      <c r="BG285" s="85"/>
      <c r="BH285" s="85"/>
      <c r="BI285" s="85"/>
      <c r="BJ285" s="85"/>
      <c r="BK285" s="85"/>
      <c r="BL285" s="85"/>
      <c r="BM285" s="85"/>
      <c r="BN285" s="85"/>
      <c r="BO285" s="85"/>
      <c r="BP285" s="85"/>
      <c r="BQ285" s="85"/>
      <c r="BR285" s="84"/>
      <c r="BS285" s="85"/>
      <c r="BT285" s="85"/>
      <c r="BU285" s="198"/>
      <c r="BV285" s="90"/>
      <c r="BW285" s="198"/>
      <c r="BX285" s="90"/>
      <c r="BY285" s="198"/>
      <c r="BZ285" s="90"/>
      <c r="CA285" s="91"/>
    </row>
    <row r="286" spans="1:79" ht="50.1" customHeight="1" outlineLevel="2" x14ac:dyDescent="0.3">
      <c r="A286" s="103" t="s">
        <v>249</v>
      </c>
      <c r="B286" s="102" t="s">
        <v>289</v>
      </c>
      <c r="C286" s="79" t="s">
        <v>53</v>
      </c>
      <c r="D286" s="81">
        <f t="shared" si="58"/>
        <v>19.225450000000002</v>
      </c>
      <c r="E286" s="82">
        <f t="shared" si="59"/>
        <v>6.8144299999999998</v>
      </c>
      <c r="F286" s="83">
        <f t="shared" si="61"/>
        <v>12.411020000000001</v>
      </c>
      <c r="G286" s="98"/>
      <c r="H286" s="97"/>
      <c r="I286" s="97"/>
      <c r="J286" s="98"/>
      <c r="K286" s="97"/>
      <c r="L286" s="97"/>
      <c r="M286" s="97"/>
      <c r="N286" s="97"/>
      <c r="O286" s="98"/>
      <c r="P286" s="97"/>
      <c r="Q286" s="97"/>
      <c r="R286" s="97"/>
      <c r="S286" s="98"/>
      <c r="T286" s="97"/>
      <c r="U286" s="97"/>
      <c r="V286" s="98"/>
      <c r="W286" s="97"/>
      <c r="X286" s="82"/>
      <c r="Y286" s="83">
        <v>6.24</v>
      </c>
      <c r="Z286" s="84"/>
      <c r="AA286" s="85"/>
      <c r="AB286" s="84"/>
      <c r="AC286" s="85"/>
      <c r="AD286" s="89">
        <f t="shared" si="60"/>
        <v>0</v>
      </c>
      <c r="AE286" s="89"/>
      <c r="AF286" s="186"/>
      <c r="AG286" s="85"/>
      <c r="AH286" s="85"/>
      <c r="AI286" s="85"/>
      <c r="AJ286" s="84"/>
      <c r="AK286" s="85"/>
      <c r="AL286" s="84"/>
      <c r="AM286" s="88"/>
      <c r="AN286" s="84"/>
      <c r="AO286" s="85"/>
      <c r="AP286" s="84"/>
      <c r="AQ286" s="83"/>
      <c r="AR286" s="83"/>
      <c r="AS286" s="83"/>
      <c r="AT286" s="85"/>
      <c r="AU286" s="85"/>
      <c r="AV286" s="85"/>
      <c r="AW286" s="88"/>
      <c r="AX286" s="84"/>
      <c r="AY286" s="85"/>
      <c r="AZ286" s="84">
        <v>6.8144299999999998</v>
      </c>
      <c r="BA286" s="85">
        <v>6.1710200000000004</v>
      </c>
      <c r="BB286" s="88"/>
      <c r="BC286" s="85"/>
      <c r="BD286" s="84"/>
      <c r="BE286" s="88"/>
      <c r="BF286" s="85"/>
      <c r="BG286" s="85"/>
      <c r="BH286" s="85"/>
      <c r="BI286" s="85"/>
      <c r="BJ286" s="85"/>
      <c r="BK286" s="85"/>
      <c r="BL286" s="85"/>
      <c r="BM286" s="85"/>
      <c r="BN286" s="85"/>
      <c r="BO286" s="85"/>
      <c r="BP286" s="85"/>
      <c r="BQ286" s="85"/>
      <c r="BR286" s="84"/>
      <c r="BS286" s="85"/>
      <c r="BT286" s="85"/>
      <c r="BU286" s="198"/>
      <c r="BV286" s="90"/>
      <c r="BW286" s="198"/>
      <c r="BX286" s="90"/>
      <c r="BY286" s="198"/>
      <c r="BZ286" s="90"/>
      <c r="CA286" s="91"/>
    </row>
    <row r="287" spans="1:79" ht="50.1" customHeight="1" outlineLevel="2" x14ac:dyDescent="0.3">
      <c r="A287" s="103" t="s">
        <v>249</v>
      </c>
      <c r="B287" s="102" t="s">
        <v>290</v>
      </c>
      <c r="C287" s="79" t="s">
        <v>53</v>
      </c>
      <c r="D287" s="81">
        <f t="shared" si="58"/>
        <v>93.6</v>
      </c>
      <c r="E287" s="82">
        <f t="shared" si="59"/>
        <v>0</v>
      </c>
      <c r="F287" s="83">
        <f t="shared" si="61"/>
        <v>93.6</v>
      </c>
      <c r="G287" s="98"/>
      <c r="H287" s="97"/>
      <c r="I287" s="97"/>
      <c r="J287" s="98"/>
      <c r="K287" s="97"/>
      <c r="L287" s="97"/>
      <c r="M287" s="97"/>
      <c r="N287" s="97"/>
      <c r="O287" s="98"/>
      <c r="P287" s="97"/>
      <c r="Q287" s="97"/>
      <c r="R287" s="97"/>
      <c r="S287" s="98"/>
      <c r="T287" s="97"/>
      <c r="U287" s="97"/>
      <c r="V287" s="98"/>
      <c r="W287" s="97"/>
      <c r="X287" s="82"/>
      <c r="Y287" s="83">
        <v>93.6</v>
      </c>
      <c r="Z287" s="84"/>
      <c r="AA287" s="85"/>
      <c r="AB287" s="84"/>
      <c r="AC287" s="85"/>
      <c r="AD287" s="89">
        <f t="shared" si="60"/>
        <v>0</v>
      </c>
      <c r="AE287" s="83"/>
      <c r="AF287" s="123"/>
      <c r="AG287" s="85"/>
      <c r="AH287" s="85"/>
      <c r="AI287" s="85"/>
      <c r="AJ287" s="84"/>
      <c r="AK287" s="85"/>
      <c r="AL287" s="84"/>
      <c r="AM287" s="85"/>
      <c r="AN287" s="84"/>
      <c r="AO287" s="85"/>
      <c r="AP287" s="84"/>
      <c r="AQ287" s="83"/>
      <c r="AR287" s="83"/>
      <c r="AS287" s="83"/>
      <c r="AT287" s="85"/>
      <c r="AU287" s="85"/>
      <c r="AV287" s="85"/>
      <c r="AW287" s="85"/>
      <c r="AX287" s="84"/>
      <c r="AY287" s="85"/>
      <c r="AZ287" s="84"/>
      <c r="BA287" s="85"/>
      <c r="BB287" s="85"/>
      <c r="BC287" s="85"/>
      <c r="BD287" s="85"/>
      <c r="BE287" s="85"/>
      <c r="BF287" s="85"/>
      <c r="BG287" s="85"/>
      <c r="BH287" s="85"/>
      <c r="BI287" s="85"/>
      <c r="BJ287" s="85"/>
      <c r="BK287" s="85"/>
      <c r="BL287" s="85"/>
      <c r="BM287" s="85"/>
      <c r="BN287" s="85"/>
      <c r="BO287" s="85"/>
      <c r="BP287" s="85"/>
      <c r="BQ287" s="85"/>
      <c r="BR287" s="84"/>
      <c r="BS287" s="85"/>
      <c r="BT287" s="85"/>
      <c r="BU287" s="198"/>
      <c r="BV287" s="90"/>
      <c r="BW287" s="198"/>
      <c r="BX287" s="90"/>
      <c r="BY287" s="198"/>
      <c r="BZ287" s="90"/>
      <c r="CA287" s="91"/>
    </row>
    <row r="288" spans="1:79" ht="50.1" customHeight="1" outlineLevel="2" x14ac:dyDescent="0.3">
      <c r="A288" s="103" t="s">
        <v>249</v>
      </c>
      <c r="B288" s="102" t="s">
        <v>291</v>
      </c>
      <c r="C288" s="79" t="s">
        <v>89</v>
      </c>
      <c r="D288" s="81">
        <f t="shared" si="58"/>
        <v>337.93862000000001</v>
      </c>
      <c r="E288" s="82">
        <f t="shared" si="59"/>
        <v>241.99982</v>
      </c>
      <c r="F288" s="83">
        <f t="shared" si="61"/>
        <v>95.938800000000001</v>
      </c>
      <c r="G288" s="84"/>
      <c r="H288" s="85"/>
      <c r="I288" s="85"/>
      <c r="J288" s="84"/>
      <c r="K288" s="85"/>
      <c r="L288" s="85"/>
      <c r="M288" s="85"/>
      <c r="N288" s="85"/>
      <c r="O288" s="82">
        <v>241.99982</v>
      </c>
      <c r="P288" s="83">
        <v>18.542010000000001</v>
      </c>
      <c r="Q288" s="83"/>
      <c r="R288" s="83"/>
      <c r="S288" s="82"/>
      <c r="T288" s="83"/>
      <c r="U288" s="83"/>
      <c r="V288" s="84"/>
      <c r="W288" s="85"/>
      <c r="X288" s="82"/>
      <c r="Y288" s="83"/>
      <c r="Z288" s="84"/>
      <c r="AA288" s="85"/>
      <c r="AB288" s="84"/>
      <c r="AC288" s="85"/>
      <c r="AD288" s="89">
        <f t="shared" si="60"/>
        <v>0</v>
      </c>
      <c r="AE288" s="89"/>
      <c r="AF288" s="186"/>
      <c r="AG288" s="85"/>
      <c r="AH288" s="85"/>
      <c r="AI288" s="85"/>
      <c r="AJ288" s="84"/>
      <c r="AK288" s="85"/>
      <c r="AL288" s="84"/>
      <c r="AM288" s="88"/>
      <c r="AN288" s="84"/>
      <c r="AO288" s="85"/>
      <c r="AP288" s="84"/>
      <c r="AQ288" s="83"/>
      <c r="AR288" s="83"/>
      <c r="AS288" s="83"/>
      <c r="AT288" s="85"/>
      <c r="AU288" s="85"/>
      <c r="AV288" s="85"/>
      <c r="AW288" s="88"/>
      <c r="AX288" s="84"/>
      <c r="AY288" s="85"/>
      <c r="AZ288" s="84"/>
      <c r="BA288" s="85"/>
      <c r="BB288" s="88"/>
      <c r="BC288" s="85"/>
      <c r="BD288" s="84"/>
      <c r="BE288" s="88"/>
      <c r="BF288" s="85"/>
      <c r="BG288" s="85">
        <v>77.396789999999996</v>
      </c>
      <c r="BH288" s="85"/>
      <c r="BI288" s="85"/>
      <c r="BJ288" s="85"/>
      <c r="BK288" s="85"/>
      <c r="BL288" s="85"/>
      <c r="BM288" s="85"/>
      <c r="BN288" s="85"/>
      <c r="BO288" s="85"/>
      <c r="BP288" s="85"/>
      <c r="BQ288" s="85"/>
      <c r="BR288" s="84"/>
      <c r="BS288" s="85"/>
      <c r="BT288" s="85"/>
      <c r="BU288" s="198"/>
      <c r="BV288" s="90"/>
      <c r="BW288" s="198"/>
      <c r="BX288" s="90"/>
      <c r="BY288" s="198"/>
      <c r="BZ288" s="90"/>
      <c r="CA288" s="91"/>
    </row>
    <row r="289" spans="1:1199" ht="50.1" customHeight="1" outlineLevel="2" x14ac:dyDescent="0.3">
      <c r="A289" s="103" t="s">
        <v>249</v>
      </c>
      <c r="B289" s="102" t="s">
        <v>292</v>
      </c>
      <c r="C289" s="79" t="s">
        <v>89</v>
      </c>
      <c r="D289" s="81">
        <f t="shared" si="58"/>
        <v>1512.0382</v>
      </c>
      <c r="E289" s="82">
        <f t="shared" si="59"/>
        <v>0</v>
      </c>
      <c r="F289" s="83">
        <f t="shared" si="61"/>
        <v>1512.0382</v>
      </c>
      <c r="G289" s="84"/>
      <c r="H289" s="85"/>
      <c r="I289" s="85"/>
      <c r="J289" s="84"/>
      <c r="K289" s="85"/>
      <c r="L289" s="85"/>
      <c r="M289" s="85"/>
      <c r="N289" s="85"/>
      <c r="O289" s="82"/>
      <c r="P289" s="83"/>
      <c r="Q289" s="83"/>
      <c r="R289" s="83"/>
      <c r="S289" s="82"/>
      <c r="T289" s="83"/>
      <c r="U289" s="83"/>
      <c r="V289" s="84"/>
      <c r="W289" s="85"/>
      <c r="X289" s="82"/>
      <c r="Y289" s="83"/>
      <c r="Z289" s="84"/>
      <c r="AA289" s="85"/>
      <c r="AB289" s="84"/>
      <c r="AC289" s="85"/>
      <c r="AD289" s="89">
        <f t="shared" si="60"/>
        <v>0</v>
      </c>
      <c r="AE289" s="89"/>
      <c r="AF289" s="186"/>
      <c r="AG289" s="85"/>
      <c r="AH289" s="85"/>
      <c r="AI289" s="85"/>
      <c r="AJ289" s="84"/>
      <c r="AK289" s="85"/>
      <c r="AL289" s="84"/>
      <c r="AM289" s="88"/>
      <c r="AN289" s="84"/>
      <c r="AO289" s="85"/>
      <c r="AP289" s="84"/>
      <c r="AQ289" s="83"/>
      <c r="AR289" s="83"/>
      <c r="AS289" s="83"/>
      <c r="AT289" s="85"/>
      <c r="AU289" s="85"/>
      <c r="AV289" s="85"/>
      <c r="AW289" s="88"/>
      <c r="AX289" s="84"/>
      <c r="AY289" s="85"/>
      <c r="AZ289" s="84"/>
      <c r="BA289" s="85"/>
      <c r="BB289" s="88"/>
      <c r="BC289" s="85"/>
      <c r="BD289" s="84"/>
      <c r="BE289" s="88"/>
      <c r="BF289" s="85"/>
      <c r="BG289" s="85"/>
      <c r="BH289" s="85"/>
      <c r="BI289" s="85"/>
      <c r="BJ289" s="85"/>
      <c r="BK289" s="85"/>
      <c r="BL289" s="85"/>
      <c r="BM289" s="85"/>
      <c r="BN289" s="85"/>
      <c r="BO289" s="85"/>
      <c r="BP289" s="85">
        <v>1512.0382</v>
      </c>
      <c r="BQ289" s="85"/>
      <c r="BR289" s="84"/>
      <c r="BS289" s="85"/>
      <c r="BT289" s="85"/>
      <c r="BU289" s="198"/>
      <c r="BV289" s="90"/>
      <c r="BW289" s="198"/>
      <c r="BX289" s="90"/>
      <c r="BY289" s="198"/>
      <c r="BZ289" s="90"/>
      <c r="CA289" s="91"/>
    </row>
    <row r="290" spans="1:1199" ht="50.1" customHeight="1" outlineLevel="2" x14ac:dyDescent="0.3">
      <c r="A290" s="103" t="s">
        <v>249</v>
      </c>
      <c r="B290" s="108" t="s">
        <v>1142</v>
      </c>
      <c r="C290" s="79"/>
      <c r="D290" s="81">
        <f t="shared" si="58"/>
        <v>300</v>
      </c>
      <c r="E290" s="82">
        <f t="shared" si="59"/>
        <v>0</v>
      </c>
      <c r="F290" s="83">
        <f t="shared" si="61"/>
        <v>300</v>
      </c>
      <c r="G290" s="84"/>
      <c r="H290" s="85"/>
      <c r="I290" s="85"/>
      <c r="J290" s="84"/>
      <c r="K290" s="85"/>
      <c r="L290" s="85"/>
      <c r="M290" s="85"/>
      <c r="N290" s="85"/>
      <c r="O290" s="82"/>
      <c r="P290" s="83"/>
      <c r="Q290" s="83"/>
      <c r="R290" s="83"/>
      <c r="S290" s="82"/>
      <c r="T290" s="83"/>
      <c r="U290" s="83"/>
      <c r="V290" s="84"/>
      <c r="W290" s="85"/>
      <c r="X290" s="82"/>
      <c r="Y290" s="83"/>
      <c r="Z290" s="84"/>
      <c r="AA290" s="85"/>
      <c r="AB290" s="84"/>
      <c r="AC290" s="85"/>
      <c r="AD290" s="89"/>
      <c r="AE290" s="89"/>
      <c r="AF290" s="186"/>
      <c r="AG290" s="85"/>
      <c r="AH290" s="85"/>
      <c r="AI290" s="85"/>
      <c r="AJ290" s="84"/>
      <c r="AK290" s="85"/>
      <c r="AL290" s="84"/>
      <c r="AM290" s="88"/>
      <c r="AN290" s="84"/>
      <c r="AO290" s="85"/>
      <c r="AP290" s="84"/>
      <c r="AQ290" s="83"/>
      <c r="AR290" s="83"/>
      <c r="AS290" s="83"/>
      <c r="AT290" s="85"/>
      <c r="AU290" s="85"/>
      <c r="AV290" s="85"/>
      <c r="AW290" s="88"/>
      <c r="AX290" s="84"/>
      <c r="AY290" s="85"/>
      <c r="AZ290" s="84"/>
      <c r="BA290" s="85"/>
      <c r="BB290" s="88"/>
      <c r="BC290" s="85"/>
      <c r="BD290" s="84"/>
      <c r="BE290" s="88"/>
      <c r="BF290" s="85"/>
      <c r="BG290" s="85"/>
      <c r="BH290" s="85">
        <v>300</v>
      </c>
      <c r="BI290" s="85"/>
      <c r="BJ290" s="85"/>
      <c r="BK290" s="85"/>
      <c r="BL290" s="85"/>
      <c r="BM290" s="85"/>
      <c r="BN290" s="85"/>
      <c r="BO290" s="85"/>
      <c r="BP290" s="85"/>
      <c r="BQ290" s="85"/>
      <c r="BR290" s="84"/>
      <c r="BS290" s="85"/>
      <c r="BT290" s="85"/>
      <c r="BU290" s="198"/>
      <c r="BV290" s="90"/>
      <c r="BW290" s="198"/>
      <c r="BX290" s="90"/>
      <c r="BY290" s="198"/>
      <c r="BZ290" s="90"/>
      <c r="CA290" s="91"/>
    </row>
    <row r="291" spans="1:1199" ht="50.1" customHeight="1" outlineLevel="2" x14ac:dyDescent="0.3">
      <c r="A291" s="103" t="s">
        <v>249</v>
      </c>
      <c r="B291" s="108" t="s">
        <v>1148</v>
      </c>
      <c r="C291" s="79"/>
      <c r="D291" s="81">
        <f t="shared" si="58"/>
        <v>25.86769</v>
      </c>
      <c r="E291" s="82">
        <f t="shared" si="59"/>
        <v>0</v>
      </c>
      <c r="F291" s="83">
        <f t="shared" si="61"/>
        <v>25.86769</v>
      </c>
      <c r="G291" s="84"/>
      <c r="H291" s="85"/>
      <c r="I291" s="85"/>
      <c r="J291" s="84"/>
      <c r="K291" s="85"/>
      <c r="L291" s="85"/>
      <c r="M291" s="85"/>
      <c r="N291" s="85"/>
      <c r="O291" s="82"/>
      <c r="P291" s="83"/>
      <c r="Q291" s="83"/>
      <c r="R291" s="83"/>
      <c r="S291" s="82"/>
      <c r="T291" s="83"/>
      <c r="U291" s="83"/>
      <c r="V291" s="84"/>
      <c r="W291" s="85"/>
      <c r="X291" s="82"/>
      <c r="Y291" s="83"/>
      <c r="Z291" s="84"/>
      <c r="AA291" s="85"/>
      <c r="AB291" s="84"/>
      <c r="AC291" s="85"/>
      <c r="AD291" s="89"/>
      <c r="AE291" s="89"/>
      <c r="AF291" s="186"/>
      <c r="AG291" s="85"/>
      <c r="AH291" s="85"/>
      <c r="AI291" s="85"/>
      <c r="AJ291" s="84"/>
      <c r="AK291" s="85"/>
      <c r="AL291" s="84"/>
      <c r="AM291" s="88"/>
      <c r="AN291" s="84"/>
      <c r="AO291" s="85"/>
      <c r="AP291" s="84"/>
      <c r="AQ291" s="83"/>
      <c r="AR291" s="83"/>
      <c r="AS291" s="83"/>
      <c r="AT291" s="85"/>
      <c r="AU291" s="85"/>
      <c r="AV291" s="85"/>
      <c r="AW291" s="88"/>
      <c r="AX291" s="84"/>
      <c r="AY291" s="85"/>
      <c r="AZ291" s="84"/>
      <c r="BA291" s="85"/>
      <c r="BB291" s="88"/>
      <c r="BC291" s="85"/>
      <c r="BD291" s="84"/>
      <c r="BE291" s="88"/>
      <c r="BF291" s="85"/>
      <c r="BG291" s="85"/>
      <c r="BH291" s="85"/>
      <c r="BI291" s="85">
        <v>25.86769</v>
      </c>
      <c r="BJ291" s="85"/>
      <c r="BK291" s="85"/>
      <c r="BL291" s="85"/>
      <c r="BM291" s="85"/>
      <c r="BN291" s="85"/>
      <c r="BO291" s="85"/>
      <c r="BP291" s="85"/>
      <c r="BQ291" s="85"/>
      <c r="BR291" s="84"/>
      <c r="BS291" s="85"/>
      <c r="BT291" s="85"/>
      <c r="BU291" s="198"/>
      <c r="BV291" s="90"/>
      <c r="BW291" s="198"/>
      <c r="BX291" s="90"/>
      <c r="BY291" s="198"/>
      <c r="BZ291" s="90"/>
      <c r="CA291" s="91"/>
    </row>
    <row r="292" spans="1:1199" ht="50.1" customHeight="1" outlineLevel="2" x14ac:dyDescent="0.3">
      <c r="A292" s="103" t="s">
        <v>249</v>
      </c>
      <c r="B292" s="108" t="s">
        <v>293</v>
      </c>
      <c r="C292" s="79"/>
      <c r="D292" s="81">
        <f t="shared" si="58"/>
        <v>300</v>
      </c>
      <c r="E292" s="82">
        <f t="shared" si="59"/>
        <v>0</v>
      </c>
      <c r="F292" s="83">
        <f t="shared" si="61"/>
        <v>300</v>
      </c>
      <c r="G292" s="84"/>
      <c r="H292" s="85"/>
      <c r="I292" s="85"/>
      <c r="J292" s="84"/>
      <c r="K292" s="85"/>
      <c r="L292" s="85"/>
      <c r="M292" s="85"/>
      <c r="N292" s="85"/>
      <c r="O292" s="82"/>
      <c r="P292" s="83"/>
      <c r="Q292" s="83"/>
      <c r="R292" s="83"/>
      <c r="S292" s="82"/>
      <c r="T292" s="83"/>
      <c r="U292" s="83"/>
      <c r="V292" s="84"/>
      <c r="W292" s="85"/>
      <c r="X292" s="82"/>
      <c r="Y292" s="83"/>
      <c r="Z292" s="84"/>
      <c r="AA292" s="85"/>
      <c r="AB292" s="84"/>
      <c r="AC292" s="85"/>
      <c r="AD292" s="89">
        <f t="shared" si="60"/>
        <v>0</v>
      </c>
      <c r="AE292" s="89"/>
      <c r="AF292" s="186"/>
      <c r="AG292" s="85"/>
      <c r="AH292" s="85"/>
      <c r="AI292" s="85"/>
      <c r="AJ292" s="84"/>
      <c r="AK292" s="85"/>
      <c r="AL292" s="84"/>
      <c r="AM292" s="88"/>
      <c r="AN292" s="84"/>
      <c r="AO292" s="85"/>
      <c r="AP292" s="84"/>
      <c r="AQ292" s="83"/>
      <c r="AR292" s="83"/>
      <c r="AS292" s="83"/>
      <c r="AT292" s="85"/>
      <c r="AU292" s="85"/>
      <c r="AV292" s="85"/>
      <c r="AW292" s="88"/>
      <c r="AX292" s="84"/>
      <c r="AY292" s="85"/>
      <c r="AZ292" s="84"/>
      <c r="BA292" s="85"/>
      <c r="BB292" s="88"/>
      <c r="BC292" s="85"/>
      <c r="BD292" s="84"/>
      <c r="BE292" s="88"/>
      <c r="BF292" s="85"/>
      <c r="BG292" s="85"/>
      <c r="BH292" s="85">
        <v>300</v>
      </c>
      <c r="BI292" s="85"/>
      <c r="BJ292" s="85"/>
      <c r="BK292" s="85"/>
      <c r="BL292" s="85"/>
      <c r="BM292" s="85"/>
      <c r="BN292" s="85"/>
      <c r="BO292" s="85"/>
      <c r="BP292" s="85"/>
      <c r="BQ292" s="85"/>
      <c r="BR292" s="84"/>
      <c r="BS292" s="85"/>
      <c r="BT292" s="85"/>
      <c r="BU292" s="198"/>
      <c r="BV292" s="90"/>
      <c r="BW292" s="198"/>
      <c r="BX292" s="90"/>
      <c r="BY292" s="198"/>
      <c r="BZ292" s="90"/>
      <c r="CA292" s="91"/>
    </row>
    <row r="293" spans="1:1199" ht="50.1" customHeight="1" outlineLevel="2" x14ac:dyDescent="0.3">
      <c r="A293" s="103" t="s">
        <v>249</v>
      </c>
      <c r="B293" s="108" t="s">
        <v>1021</v>
      </c>
      <c r="C293" s="79"/>
      <c r="D293" s="81">
        <f t="shared" si="58"/>
        <v>300</v>
      </c>
      <c r="E293" s="82">
        <f t="shared" si="59"/>
        <v>0</v>
      </c>
      <c r="F293" s="83">
        <f t="shared" si="61"/>
        <v>300</v>
      </c>
      <c r="G293" s="84"/>
      <c r="H293" s="85"/>
      <c r="I293" s="85"/>
      <c r="J293" s="84"/>
      <c r="K293" s="85"/>
      <c r="L293" s="85"/>
      <c r="M293" s="85"/>
      <c r="N293" s="85"/>
      <c r="O293" s="82"/>
      <c r="P293" s="83"/>
      <c r="Q293" s="83"/>
      <c r="R293" s="83"/>
      <c r="S293" s="82"/>
      <c r="T293" s="83"/>
      <c r="U293" s="83"/>
      <c r="V293" s="84"/>
      <c r="W293" s="85"/>
      <c r="X293" s="87"/>
      <c r="Y293" s="83"/>
      <c r="Z293" s="84"/>
      <c r="AA293" s="85"/>
      <c r="AB293" s="84"/>
      <c r="AC293" s="85"/>
      <c r="AD293" s="89">
        <f t="shared" si="60"/>
        <v>0</v>
      </c>
      <c r="AE293" s="89"/>
      <c r="AF293" s="186"/>
      <c r="AG293" s="85"/>
      <c r="AH293" s="85"/>
      <c r="AI293" s="85"/>
      <c r="AJ293" s="84"/>
      <c r="AK293" s="85"/>
      <c r="AL293" s="84"/>
      <c r="AM293" s="88"/>
      <c r="AN293" s="84"/>
      <c r="AO293" s="85"/>
      <c r="AP293" s="84"/>
      <c r="AQ293" s="83"/>
      <c r="AR293" s="83"/>
      <c r="AS293" s="83"/>
      <c r="AT293" s="85"/>
      <c r="AU293" s="85"/>
      <c r="AV293" s="85"/>
      <c r="AW293" s="88"/>
      <c r="AX293" s="84"/>
      <c r="AY293" s="85"/>
      <c r="AZ293" s="84"/>
      <c r="BA293" s="85"/>
      <c r="BB293" s="88"/>
      <c r="BC293" s="85"/>
      <c r="BD293" s="84"/>
      <c r="BE293" s="88"/>
      <c r="BF293" s="85"/>
      <c r="BG293" s="85"/>
      <c r="BH293" s="85">
        <v>300</v>
      </c>
      <c r="BI293" s="85"/>
      <c r="BJ293" s="85"/>
      <c r="BK293" s="85"/>
      <c r="BL293" s="85"/>
      <c r="BM293" s="85"/>
      <c r="BN293" s="85"/>
      <c r="BO293" s="85"/>
      <c r="BP293" s="85"/>
      <c r="BQ293" s="85"/>
      <c r="BR293" s="84"/>
      <c r="BS293" s="85"/>
      <c r="BT293" s="85"/>
      <c r="BU293" s="198"/>
      <c r="BV293" s="90"/>
      <c r="BW293" s="198"/>
      <c r="BX293" s="90"/>
      <c r="BY293" s="198"/>
      <c r="BZ293" s="90"/>
      <c r="CA293" s="91"/>
    </row>
    <row r="294" spans="1:1199" s="101" customFormat="1" ht="50.1" customHeight="1" outlineLevel="1" x14ac:dyDescent="0.3">
      <c r="A294" s="132" t="s">
        <v>294</v>
      </c>
      <c r="B294" s="133"/>
      <c r="C294" s="134" t="s">
        <v>94</v>
      </c>
      <c r="D294" s="114">
        <f t="shared" ref="D294:AI294" si="62">SUBTOTAL(9,D241:D293)</f>
        <v>52526.693719999996</v>
      </c>
      <c r="E294" s="114">
        <f t="shared" si="62"/>
        <v>12568.361010000004</v>
      </c>
      <c r="F294" s="114">
        <f t="shared" si="62"/>
        <v>39958.332710000002</v>
      </c>
      <c r="G294" s="114">
        <f t="shared" si="62"/>
        <v>144.91496000000001</v>
      </c>
      <c r="H294" s="114">
        <f t="shared" si="62"/>
        <v>52.696350000000002</v>
      </c>
      <c r="I294" s="114">
        <f t="shared" si="62"/>
        <v>0</v>
      </c>
      <c r="J294" s="114">
        <f t="shared" si="62"/>
        <v>389.32241000000005</v>
      </c>
      <c r="K294" s="114">
        <f t="shared" si="62"/>
        <v>97.459089999999989</v>
      </c>
      <c r="L294" s="114">
        <f t="shared" si="62"/>
        <v>386.19409000000002</v>
      </c>
      <c r="M294" s="114">
        <f t="shared" si="62"/>
        <v>0</v>
      </c>
      <c r="N294" s="114">
        <f t="shared" si="62"/>
        <v>0</v>
      </c>
      <c r="O294" s="114">
        <f t="shared" si="62"/>
        <v>241.99982</v>
      </c>
      <c r="P294" s="114">
        <f t="shared" si="62"/>
        <v>18.542010000000001</v>
      </c>
      <c r="Q294" s="114">
        <f t="shared" si="62"/>
        <v>303.14582000000001</v>
      </c>
      <c r="R294" s="114">
        <f t="shared" si="62"/>
        <v>0</v>
      </c>
      <c r="S294" s="114">
        <f t="shared" si="62"/>
        <v>202.26962</v>
      </c>
      <c r="T294" s="114">
        <f t="shared" si="62"/>
        <v>188.50332</v>
      </c>
      <c r="U294" s="114">
        <f t="shared" si="62"/>
        <v>336.36757999999998</v>
      </c>
      <c r="V294" s="114">
        <f t="shared" si="62"/>
        <v>987.72613000000001</v>
      </c>
      <c r="W294" s="114">
        <f t="shared" si="62"/>
        <v>1841.43515</v>
      </c>
      <c r="X294" s="114">
        <f t="shared" si="62"/>
        <v>0</v>
      </c>
      <c r="Y294" s="114">
        <f t="shared" si="62"/>
        <v>6024.4080000000004</v>
      </c>
      <c r="Z294" s="114">
        <f t="shared" si="62"/>
        <v>0</v>
      </c>
      <c r="AA294" s="114">
        <f t="shared" si="62"/>
        <v>0</v>
      </c>
      <c r="AB294" s="114">
        <f t="shared" si="62"/>
        <v>0</v>
      </c>
      <c r="AC294" s="114">
        <f t="shared" si="62"/>
        <v>0</v>
      </c>
      <c r="AD294" s="114">
        <f t="shared" si="62"/>
        <v>3377.9589599999999</v>
      </c>
      <c r="AE294" s="114">
        <f t="shared" si="62"/>
        <v>1939.6656999999998</v>
      </c>
      <c r="AF294" s="191">
        <f t="shared" si="62"/>
        <v>1438.2932599999999</v>
      </c>
      <c r="AG294" s="114">
        <f t="shared" si="62"/>
        <v>0</v>
      </c>
      <c r="AH294" s="114">
        <f t="shared" si="62"/>
        <v>0</v>
      </c>
      <c r="AI294" s="114">
        <f t="shared" si="62"/>
        <v>0</v>
      </c>
      <c r="AJ294" s="114">
        <f t="shared" ref="AJ294:BO294" si="63">SUBTOTAL(9,AJ241:AJ293)</f>
        <v>0</v>
      </c>
      <c r="AK294" s="114">
        <f t="shared" si="63"/>
        <v>0</v>
      </c>
      <c r="AL294" s="114">
        <f t="shared" si="63"/>
        <v>0</v>
      </c>
      <c r="AM294" s="114">
        <f t="shared" si="63"/>
        <v>0</v>
      </c>
      <c r="AN294" s="114">
        <f t="shared" si="63"/>
        <v>0</v>
      </c>
      <c r="AO294" s="114">
        <f t="shared" si="63"/>
        <v>0</v>
      </c>
      <c r="AP294" s="114">
        <f t="shared" si="63"/>
        <v>2118.9225099999999</v>
      </c>
      <c r="AQ294" s="114">
        <f t="shared" si="63"/>
        <v>4973.5539900000003</v>
      </c>
      <c r="AR294" s="114">
        <f t="shared" si="63"/>
        <v>0</v>
      </c>
      <c r="AS294" s="114">
        <f t="shared" si="63"/>
        <v>0</v>
      </c>
      <c r="AT294" s="114">
        <f t="shared" si="63"/>
        <v>0</v>
      </c>
      <c r="AU294" s="114">
        <f t="shared" si="63"/>
        <v>0</v>
      </c>
      <c r="AV294" s="114">
        <f t="shared" si="63"/>
        <v>7533.7637999999997</v>
      </c>
      <c r="AW294" s="114">
        <f t="shared" si="63"/>
        <v>0</v>
      </c>
      <c r="AX294" s="114">
        <f t="shared" si="63"/>
        <v>0</v>
      </c>
      <c r="AY294" s="114">
        <f t="shared" si="63"/>
        <v>0</v>
      </c>
      <c r="AZ294" s="114">
        <f t="shared" si="63"/>
        <v>8483.2055599999985</v>
      </c>
      <c r="BA294" s="114">
        <f t="shared" si="63"/>
        <v>7682.2349599999998</v>
      </c>
      <c r="BB294" s="114">
        <f t="shared" si="63"/>
        <v>0</v>
      </c>
      <c r="BC294" s="114">
        <f t="shared" si="63"/>
        <v>0</v>
      </c>
      <c r="BD294" s="114">
        <f t="shared" si="63"/>
        <v>0</v>
      </c>
      <c r="BE294" s="114">
        <f t="shared" si="63"/>
        <v>0</v>
      </c>
      <c r="BF294" s="114">
        <f t="shared" si="63"/>
        <v>0</v>
      </c>
      <c r="BG294" s="114">
        <f t="shared" si="63"/>
        <v>560.49140999999997</v>
      </c>
      <c r="BH294" s="114">
        <f t="shared" si="63"/>
        <v>900</v>
      </c>
      <c r="BI294" s="114">
        <f t="shared" si="63"/>
        <v>25.86769</v>
      </c>
      <c r="BJ294" s="114">
        <f t="shared" si="63"/>
        <v>0</v>
      </c>
      <c r="BK294" s="114">
        <f t="shared" si="63"/>
        <v>928.38288999999997</v>
      </c>
      <c r="BL294" s="114">
        <f t="shared" si="63"/>
        <v>0</v>
      </c>
      <c r="BM294" s="114">
        <f t="shared" si="63"/>
        <v>0</v>
      </c>
      <c r="BN294" s="114">
        <f t="shared" si="63"/>
        <v>0</v>
      </c>
      <c r="BO294" s="114">
        <f t="shared" si="63"/>
        <v>0</v>
      </c>
      <c r="BP294" s="114">
        <f t="shared" ref="BP294:CU294" si="64">SUBTOTAL(9,BP241:BP293)</f>
        <v>1512.0382</v>
      </c>
      <c r="BQ294" s="114">
        <f t="shared" si="64"/>
        <v>0</v>
      </c>
      <c r="BR294" s="114">
        <f t="shared" si="64"/>
        <v>0</v>
      </c>
      <c r="BS294" s="114">
        <f t="shared" si="64"/>
        <v>2870.4</v>
      </c>
      <c r="BT294" s="114">
        <f t="shared" si="64"/>
        <v>344.88939999999997</v>
      </c>
      <c r="BU294" s="114">
        <f t="shared" si="64"/>
        <v>0</v>
      </c>
      <c r="BV294" s="114">
        <f t="shared" si="64"/>
        <v>0</v>
      </c>
      <c r="BW294" s="114">
        <f t="shared" si="64"/>
        <v>0</v>
      </c>
      <c r="BX294" s="114">
        <f t="shared" si="64"/>
        <v>0</v>
      </c>
      <c r="BY294" s="114">
        <f t="shared" si="64"/>
        <v>0</v>
      </c>
      <c r="BZ294" s="114">
        <f t="shared" si="64"/>
        <v>0</v>
      </c>
      <c r="CA294" s="114">
        <f t="shared" si="64"/>
        <v>0</v>
      </c>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76"/>
      <c r="ID294" s="176"/>
      <c r="IE294" s="176"/>
      <c r="IF294" s="176"/>
      <c r="IG294" s="176"/>
      <c r="IH294" s="176"/>
      <c r="II294" s="176"/>
      <c r="IJ294" s="176"/>
      <c r="IK294" s="176"/>
      <c r="IL294" s="176"/>
      <c r="IM294" s="176"/>
      <c r="IN294" s="176"/>
      <c r="IO294" s="176"/>
      <c r="IP294" s="176"/>
      <c r="IQ294" s="176"/>
      <c r="IR294" s="176"/>
      <c r="IS294" s="176"/>
      <c r="IT294" s="176"/>
      <c r="IU294" s="176"/>
      <c r="IV294" s="176"/>
      <c r="IW294" s="176"/>
      <c r="IX294" s="176"/>
      <c r="IY294" s="176"/>
      <c r="IZ294" s="176"/>
      <c r="JA294" s="176"/>
      <c r="JB294" s="176"/>
      <c r="JC294" s="176"/>
      <c r="JD294" s="176"/>
      <c r="JE294" s="176"/>
      <c r="JF294" s="176"/>
      <c r="JG294" s="176"/>
      <c r="JH294" s="176"/>
      <c r="JI294" s="176"/>
      <c r="JJ294" s="176"/>
      <c r="JK294" s="176"/>
      <c r="JL294" s="176"/>
      <c r="JM294" s="176"/>
      <c r="JN294" s="176"/>
      <c r="JO294" s="176"/>
      <c r="JP294" s="176"/>
      <c r="JQ294" s="176"/>
      <c r="JR294" s="176"/>
      <c r="JS294" s="176"/>
      <c r="JT294" s="176"/>
      <c r="JU294" s="176"/>
      <c r="JV294" s="176"/>
      <c r="JW294" s="131"/>
      <c r="JX294" s="131"/>
      <c r="JY294" s="131"/>
      <c r="JZ294" s="131"/>
      <c r="KA294" s="131"/>
      <c r="KB294" s="131"/>
      <c r="KC294" s="131"/>
      <c r="KD294" s="131"/>
      <c r="KE294" s="131"/>
      <c r="KF294" s="131"/>
      <c r="KG294" s="131"/>
      <c r="KH294" s="131"/>
      <c r="KI294" s="131"/>
      <c r="KJ294" s="131"/>
      <c r="KK294" s="131"/>
      <c r="KL294" s="131"/>
      <c r="KM294" s="131"/>
      <c r="KN294" s="131"/>
      <c r="KO294" s="131"/>
      <c r="KP294" s="131"/>
      <c r="KQ294" s="131"/>
      <c r="KR294" s="131"/>
      <c r="KS294" s="131"/>
      <c r="KT294" s="131"/>
      <c r="KU294" s="131"/>
      <c r="KV294" s="131"/>
      <c r="KW294" s="131"/>
      <c r="KX294" s="131"/>
      <c r="KY294" s="131"/>
      <c r="KZ294" s="131"/>
      <c r="LA294" s="131"/>
      <c r="LB294" s="131"/>
      <c r="LC294" s="131"/>
      <c r="LD294" s="131"/>
      <c r="LE294" s="131"/>
      <c r="LF294" s="131"/>
      <c r="LG294" s="131"/>
      <c r="LH294" s="131"/>
      <c r="LI294" s="131"/>
      <c r="LJ294" s="131"/>
      <c r="LK294" s="131"/>
      <c r="LL294" s="131"/>
      <c r="LM294" s="131"/>
      <c r="LN294" s="131"/>
      <c r="LO294" s="131"/>
      <c r="LP294" s="131"/>
      <c r="LQ294" s="131"/>
      <c r="LR294" s="131"/>
      <c r="LS294" s="131"/>
      <c r="LT294" s="131"/>
      <c r="LU294" s="131"/>
      <c r="LV294" s="131"/>
      <c r="LW294" s="131"/>
      <c r="LX294" s="131"/>
      <c r="LY294" s="131"/>
      <c r="LZ294" s="131"/>
      <c r="MA294" s="131"/>
      <c r="MB294" s="131"/>
      <c r="MC294" s="131"/>
      <c r="MD294" s="131"/>
      <c r="ME294" s="131"/>
      <c r="MF294" s="131"/>
      <c r="MG294" s="131"/>
      <c r="MH294" s="131"/>
      <c r="MI294" s="131"/>
      <c r="MJ294" s="131"/>
      <c r="MK294" s="131"/>
      <c r="ML294" s="131"/>
      <c r="MM294" s="131"/>
      <c r="MN294" s="131"/>
      <c r="MO294" s="131"/>
      <c r="MP294" s="131"/>
      <c r="MQ294" s="131"/>
      <c r="MR294" s="131"/>
      <c r="MS294" s="131"/>
      <c r="MT294" s="131"/>
      <c r="MU294" s="131"/>
      <c r="MV294" s="131"/>
      <c r="MW294" s="131"/>
      <c r="MX294" s="131"/>
      <c r="MY294" s="131"/>
      <c r="MZ294" s="131"/>
      <c r="NA294" s="131"/>
      <c r="NB294" s="131"/>
      <c r="NC294" s="131"/>
      <c r="ND294" s="131"/>
      <c r="NE294" s="131"/>
      <c r="NF294" s="131"/>
      <c r="NG294" s="131"/>
      <c r="NH294" s="131"/>
      <c r="NI294" s="131"/>
      <c r="NJ294" s="131"/>
      <c r="NK294" s="131"/>
      <c r="NL294" s="131"/>
      <c r="NM294" s="131"/>
      <c r="NN294" s="131"/>
      <c r="NO294" s="131"/>
      <c r="NP294" s="131"/>
      <c r="NQ294" s="131"/>
      <c r="NR294" s="131"/>
      <c r="NS294" s="131"/>
      <c r="NT294" s="131"/>
      <c r="NU294" s="131"/>
      <c r="NV294" s="131"/>
      <c r="NW294" s="131"/>
      <c r="NX294" s="131"/>
      <c r="NY294" s="131"/>
      <c r="NZ294" s="131"/>
      <c r="OA294" s="131"/>
      <c r="OB294" s="131"/>
      <c r="OC294" s="131"/>
      <c r="OD294" s="131"/>
      <c r="OE294" s="131"/>
      <c r="OF294" s="131"/>
      <c r="OG294" s="131"/>
      <c r="OH294" s="131"/>
      <c r="OI294" s="131"/>
      <c r="OJ294" s="131"/>
      <c r="OK294" s="131"/>
      <c r="OL294" s="131"/>
      <c r="OM294" s="131"/>
      <c r="ON294" s="131"/>
      <c r="OO294" s="131"/>
      <c r="OP294" s="131"/>
      <c r="OQ294" s="131"/>
      <c r="OR294" s="131"/>
      <c r="OS294" s="131"/>
      <c r="OT294" s="131"/>
      <c r="OU294" s="131"/>
      <c r="OV294" s="131"/>
      <c r="OW294" s="131"/>
      <c r="OX294" s="131"/>
      <c r="OY294" s="131"/>
      <c r="OZ294" s="131"/>
      <c r="PA294" s="131"/>
      <c r="PB294" s="131"/>
      <c r="PC294" s="131"/>
      <c r="PD294" s="131"/>
      <c r="PE294" s="131"/>
      <c r="PF294" s="131"/>
      <c r="PG294" s="131"/>
      <c r="PH294" s="131"/>
      <c r="PI294" s="131"/>
      <c r="PJ294" s="131"/>
      <c r="PK294" s="131"/>
      <c r="PL294" s="131"/>
      <c r="PM294" s="131"/>
      <c r="PN294" s="131"/>
      <c r="PO294" s="131"/>
      <c r="PP294" s="131"/>
      <c r="PQ294" s="131"/>
      <c r="PR294" s="131"/>
      <c r="PS294" s="131"/>
      <c r="PT294" s="131"/>
      <c r="PU294" s="131"/>
      <c r="PV294" s="131"/>
      <c r="PW294" s="131"/>
      <c r="PX294" s="131"/>
      <c r="PY294" s="131"/>
      <c r="PZ294" s="131"/>
      <c r="QA294" s="131"/>
      <c r="QB294" s="131"/>
      <c r="QC294" s="131"/>
      <c r="QD294" s="131"/>
      <c r="QE294" s="131"/>
      <c r="QF294" s="131"/>
      <c r="QG294" s="131"/>
      <c r="QH294" s="131"/>
      <c r="QI294" s="131"/>
      <c r="QJ294" s="131"/>
      <c r="QK294" s="131"/>
      <c r="QL294" s="131"/>
      <c r="QM294" s="131"/>
      <c r="QN294" s="131"/>
      <c r="QO294" s="131"/>
      <c r="QP294" s="131"/>
      <c r="QQ294" s="131"/>
      <c r="QR294" s="131"/>
      <c r="QS294" s="131"/>
      <c r="QT294" s="131"/>
      <c r="QU294" s="131"/>
      <c r="QV294" s="131"/>
      <c r="QW294" s="131"/>
      <c r="QX294" s="131"/>
      <c r="QY294" s="131"/>
      <c r="QZ294" s="131"/>
      <c r="RA294" s="131"/>
      <c r="RB294" s="131"/>
      <c r="RC294" s="131"/>
      <c r="RD294" s="131"/>
      <c r="RE294" s="131"/>
      <c r="RF294" s="131"/>
      <c r="RG294" s="131"/>
      <c r="RH294" s="131"/>
      <c r="RI294" s="131"/>
      <c r="RJ294" s="131"/>
      <c r="RK294" s="131"/>
      <c r="RL294" s="131"/>
      <c r="RM294" s="131"/>
      <c r="RN294" s="131"/>
      <c r="RO294" s="131"/>
      <c r="RP294" s="131"/>
      <c r="RQ294" s="131"/>
      <c r="RR294" s="131"/>
      <c r="RS294" s="131"/>
      <c r="RT294" s="131"/>
      <c r="RU294" s="131"/>
      <c r="RV294" s="131"/>
      <c r="RW294" s="131"/>
      <c r="RX294" s="131"/>
      <c r="RY294" s="131"/>
      <c r="RZ294" s="131"/>
      <c r="SA294" s="131"/>
      <c r="SB294" s="131"/>
      <c r="SC294" s="131"/>
      <c r="SD294" s="131"/>
      <c r="SE294" s="131"/>
      <c r="SF294" s="131"/>
      <c r="SG294" s="131"/>
      <c r="SH294" s="131"/>
      <c r="SI294" s="131"/>
      <c r="SJ294" s="131"/>
      <c r="SK294" s="131"/>
      <c r="SL294" s="131"/>
      <c r="SM294" s="131"/>
      <c r="SN294" s="131"/>
      <c r="SO294" s="131"/>
      <c r="SP294" s="131"/>
      <c r="SQ294" s="131"/>
      <c r="SR294" s="131"/>
      <c r="SS294" s="131"/>
      <c r="ST294" s="131"/>
      <c r="SU294" s="131"/>
      <c r="SV294" s="131"/>
      <c r="SW294" s="131"/>
      <c r="SX294" s="131"/>
      <c r="SY294" s="131"/>
      <c r="SZ294" s="131"/>
      <c r="TA294" s="131"/>
      <c r="TB294" s="131"/>
      <c r="TC294" s="131"/>
      <c r="TD294" s="131"/>
      <c r="TE294" s="131"/>
      <c r="TF294" s="131"/>
      <c r="TG294" s="131"/>
      <c r="TH294" s="131"/>
      <c r="TI294" s="131"/>
      <c r="TJ294" s="131"/>
      <c r="TK294" s="131"/>
      <c r="TL294" s="131"/>
      <c r="TM294" s="131"/>
      <c r="TN294" s="131"/>
      <c r="TO294" s="131"/>
      <c r="TP294" s="131"/>
      <c r="TQ294" s="131"/>
      <c r="TR294" s="131"/>
      <c r="TS294" s="131"/>
      <c r="TT294" s="131"/>
      <c r="TU294" s="131"/>
      <c r="TV294" s="131"/>
      <c r="TW294" s="131"/>
      <c r="TX294" s="131"/>
      <c r="TY294" s="131"/>
      <c r="TZ294" s="131"/>
      <c r="UA294" s="131"/>
      <c r="UB294" s="131"/>
      <c r="UC294" s="131"/>
      <c r="UD294" s="131"/>
      <c r="UE294" s="131"/>
      <c r="UF294" s="131"/>
      <c r="UG294" s="131"/>
      <c r="UH294" s="131"/>
      <c r="UI294" s="131"/>
      <c r="UJ294" s="131"/>
      <c r="UK294" s="131"/>
      <c r="UL294" s="131"/>
      <c r="UM294" s="131"/>
      <c r="UN294" s="131"/>
      <c r="UO294" s="131"/>
      <c r="UP294" s="131"/>
      <c r="UQ294" s="131"/>
      <c r="UR294" s="131"/>
      <c r="US294" s="131"/>
      <c r="UT294" s="131"/>
      <c r="UU294" s="131"/>
      <c r="UV294" s="131"/>
      <c r="UW294" s="131"/>
      <c r="UX294" s="131"/>
      <c r="UY294" s="131"/>
      <c r="UZ294" s="131"/>
      <c r="VA294" s="131"/>
      <c r="VB294" s="131"/>
      <c r="VC294" s="131"/>
      <c r="VD294" s="131"/>
      <c r="VE294" s="131"/>
      <c r="VF294" s="131"/>
      <c r="VG294" s="131"/>
      <c r="VH294" s="131"/>
      <c r="VI294" s="131"/>
      <c r="VJ294" s="131"/>
      <c r="VK294" s="131"/>
      <c r="VL294" s="131"/>
      <c r="VM294" s="131"/>
      <c r="VN294" s="131"/>
      <c r="VO294" s="131"/>
      <c r="VP294" s="131"/>
      <c r="VQ294" s="131"/>
      <c r="VR294" s="131"/>
      <c r="VS294" s="131"/>
      <c r="VT294" s="131"/>
      <c r="VU294" s="131"/>
      <c r="VV294" s="131"/>
      <c r="VW294" s="131"/>
      <c r="VX294" s="131"/>
      <c r="VY294" s="131"/>
      <c r="VZ294" s="131"/>
      <c r="WA294" s="131"/>
      <c r="WB294" s="131"/>
      <c r="WC294" s="131"/>
      <c r="WD294" s="131"/>
      <c r="WE294" s="131"/>
      <c r="WF294" s="131"/>
      <c r="WG294" s="131"/>
      <c r="WH294" s="131"/>
      <c r="WI294" s="131"/>
      <c r="WJ294" s="131"/>
      <c r="WK294" s="131"/>
      <c r="WL294" s="131"/>
      <c r="WM294" s="131"/>
      <c r="WN294" s="131"/>
      <c r="WO294" s="131"/>
      <c r="WP294" s="131"/>
      <c r="WQ294" s="131"/>
      <c r="WR294" s="131"/>
      <c r="WS294" s="131"/>
      <c r="WT294" s="131"/>
      <c r="WU294" s="131"/>
      <c r="WV294" s="131"/>
      <c r="WW294" s="131"/>
      <c r="WX294" s="131"/>
      <c r="WY294" s="131"/>
      <c r="WZ294" s="131"/>
      <c r="XA294" s="131"/>
      <c r="XB294" s="131"/>
      <c r="XC294" s="131"/>
      <c r="XD294" s="131"/>
      <c r="XE294" s="131"/>
      <c r="XF294" s="131"/>
      <c r="XG294" s="131"/>
      <c r="XH294" s="131"/>
      <c r="XI294" s="131"/>
      <c r="XJ294" s="131"/>
      <c r="XK294" s="131"/>
      <c r="XL294" s="131"/>
      <c r="XM294" s="131"/>
      <c r="XN294" s="131"/>
      <c r="XO294" s="131"/>
      <c r="XP294" s="131"/>
      <c r="XQ294" s="131"/>
      <c r="XR294" s="131"/>
      <c r="XS294" s="131"/>
      <c r="XT294" s="131"/>
      <c r="XU294" s="131"/>
      <c r="XV294" s="131"/>
      <c r="XW294" s="131"/>
      <c r="XX294" s="131"/>
      <c r="XY294" s="131"/>
      <c r="XZ294" s="131"/>
      <c r="YA294" s="131"/>
      <c r="YB294" s="131"/>
      <c r="YC294" s="131"/>
      <c r="YD294" s="131"/>
      <c r="YE294" s="131"/>
      <c r="YF294" s="131"/>
      <c r="YG294" s="131"/>
      <c r="YH294" s="131"/>
      <c r="YI294" s="131"/>
      <c r="YJ294" s="131"/>
      <c r="YK294" s="131"/>
      <c r="YL294" s="131"/>
      <c r="YM294" s="131"/>
      <c r="YN294" s="131"/>
      <c r="YO294" s="131"/>
      <c r="YP294" s="131"/>
      <c r="YQ294" s="131"/>
      <c r="YR294" s="131"/>
      <c r="YS294" s="131"/>
      <c r="YT294" s="131"/>
      <c r="YU294" s="131"/>
      <c r="YV294" s="131"/>
      <c r="YW294" s="131"/>
      <c r="YX294" s="131"/>
      <c r="YY294" s="131"/>
      <c r="YZ294" s="131"/>
      <c r="ZA294" s="131"/>
      <c r="ZB294" s="131"/>
      <c r="ZC294" s="131"/>
      <c r="ZD294" s="131"/>
      <c r="ZE294" s="131"/>
      <c r="ZF294" s="131"/>
      <c r="ZG294" s="131"/>
      <c r="ZH294" s="131"/>
      <c r="ZI294" s="131"/>
      <c r="ZJ294" s="131"/>
      <c r="ZK294" s="131"/>
      <c r="ZL294" s="131"/>
      <c r="ZM294" s="131"/>
      <c r="ZN294" s="131"/>
      <c r="ZO294" s="131"/>
      <c r="ZP294" s="131"/>
      <c r="ZQ294" s="131"/>
      <c r="ZR294" s="131"/>
      <c r="ZS294" s="131"/>
      <c r="ZT294" s="131"/>
      <c r="ZU294" s="131"/>
      <c r="ZV294" s="131"/>
      <c r="ZW294" s="131"/>
      <c r="ZX294" s="131"/>
      <c r="ZY294" s="131"/>
      <c r="ZZ294" s="131"/>
      <c r="AAA294" s="131"/>
      <c r="AAB294" s="131"/>
      <c r="AAC294" s="131"/>
      <c r="AAD294" s="131"/>
      <c r="AAE294" s="131"/>
      <c r="AAF294" s="131"/>
      <c r="AAG294" s="131"/>
      <c r="AAH294" s="131"/>
      <c r="AAI294" s="131"/>
      <c r="AAJ294" s="131"/>
      <c r="AAK294" s="131"/>
      <c r="AAL294" s="131"/>
      <c r="AAM294" s="131"/>
      <c r="AAN294" s="131"/>
      <c r="AAO294" s="131"/>
      <c r="AAP294" s="131"/>
      <c r="AAQ294" s="131"/>
      <c r="AAR294" s="131"/>
      <c r="AAS294" s="131"/>
      <c r="AAT294" s="131"/>
      <c r="AAU294" s="131"/>
      <c r="AAV294" s="131"/>
      <c r="AAW294" s="131"/>
      <c r="AAX294" s="131"/>
      <c r="AAY294" s="131"/>
      <c r="AAZ294" s="131"/>
      <c r="ABA294" s="131"/>
      <c r="ABB294" s="131"/>
      <c r="ABC294" s="131"/>
      <c r="ABD294" s="131"/>
      <c r="ABE294" s="131"/>
      <c r="ABF294" s="131"/>
      <c r="ABG294" s="131"/>
      <c r="ABH294" s="131"/>
      <c r="ABI294" s="131"/>
      <c r="ABJ294" s="131"/>
      <c r="ABK294" s="131"/>
      <c r="ABL294" s="131"/>
      <c r="ABM294" s="131"/>
      <c r="ABN294" s="131"/>
      <c r="ABO294" s="131"/>
      <c r="ABP294" s="131"/>
      <c r="ABQ294" s="131"/>
      <c r="ABR294" s="131"/>
      <c r="ABS294" s="131"/>
      <c r="ABT294" s="131"/>
      <c r="ABU294" s="131"/>
      <c r="ABV294" s="131"/>
      <c r="ABW294" s="131"/>
      <c r="ABX294" s="131"/>
      <c r="ABY294" s="131"/>
      <c r="ABZ294" s="131"/>
      <c r="ACA294" s="131"/>
      <c r="ACB294" s="131"/>
      <c r="ACC294" s="131"/>
      <c r="ACD294" s="131"/>
      <c r="ACE294" s="131"/>
      <c r="ACF294" s="131"/>
      <c r="ACG294" s="131"/>
      <c r="ACH294" s="131"/>
      <c r="ACI294" s="131"/>
      <c r="ACJ294" s="131"/>
      <c r="ACK294" s="131"/>
      <c r="ACL294" s="131"/>
      <c r="ACM294" s="131"/>
      <c r="ACN294" s="131"/>
      <c r="ACO294" s="131"/>
      <c r="ACP294" s="131"/>
      <c r="ACQ294" s="131"/>
      <c r="ACR294" s="131"/>
      <c r="ACS294" s="131"/>
      <c r="ACT294" s="131"/>
      <c r="ACU294" s="131"/>
      <c r="ACV294" s="131"/>
      <c r="ACW294" s="131"/>
      <c r="ACX294" s="131"/>
      <c r="ACY294" s="131"/>
      <c r="ACZ294" s="131"/>
      <c r="ADA294" s="131"/>
      <c r="ADB294" s="131"/>
      <c r="ADC294" s="131"/>
      <c r="ADD294" s="131"/>
      <c r="ADE294" s="131"/>
      <c r="ADF294" s="131"/>
      <c r="ADG294" s="131"/>
      <c r="ADH294" s="131"/>
      <c r="ADI294" s="131"/>
      <c r="ADJ294" s="131"/>
      <c r="ADK294" s="131"/>
      <c r="ADL294" s="131"/>
      <c r="ADM294" s="131"/>
      <c r="ADN294" s="131"/>
      <c r="ADO294" s="131"/>
      <c r="ADP294" s="131"/>
      <c r="ADQ294" s="131"/>
      <c r="ADR294" s="131"/>
      <c r="ADS294" s="131"/>
      <c r="ADT294" s="131"/>
      <c r="ADU294" s="131"/>
      <c r="ADV294" s="131"/>
      <c r="ADW294" s="131"/>
      <c r="ADX294" s="131"/>
      <c r="ADY294" s="131"/>
      <c r="ADZ294" s="131"/>
      <c r="AEA294" s="131"/>
      <c r="AEB294" s="131"/>
      <c r="AEC294" s="131"/>
      <c r="AED294" s="131"/>
      <c r="AEE294" s="131"/>
      <c r="AEF294" s="131"/>
      <c r="AEG294" s="131"/>
      <c r="AEH294" s="131"/>
      <c r="AEI294" s="131"/>
      <c r="AEJ294" s="131"/>
      <c r="AEK294" s="131"/>
      <c r="AEL294" s="131"/>
      <c r="AEM294" s="131"/>
      <c r="AEN294" s="131"/>
      <c r="AEO294" s="131"/>
      <c r="AEP294" s="131"/>
      <c r="AEQ294" s="131"/>
      <c r="AER294" s="131"/>
      <c r="AES294" s="131"/>
      <c r="AET294" s="131"/>
      <c r="AEU294" s="131"/>
      <c r="AEV294" s="131"/>
      <c r="AEW294" s="131"/>
      <c r="AEX294" s="131"/>
      <c r="AEY294" s="131"/>
      <c r="AEZ294" s="131"/>
      <c r="AFA294" s="131"/>
      <c r="AFB294" s="131"/>
      <c r="AFC294" s="131"/>
      <c r="AFD294" s="131"/>
      <c r="AFE294" s="131"/>
      <c r="AFF294" s="131"/>
      <c r="AFG294" s="131"/>
      <c r="AFH294" s="131"/>
      <c r="AFI294" s="131"/>
      <c r="AFJ294" s="131"/>
      <c r="AFK294" s="131"/>
      <c r="AFL294" s="131"/>
      <c r="AFM294" s="131"/>
      <c r="AFN294" s="131"/>
      <c r="AFO294" s="131"/>
      <c r="AFP294" s="131"/>
      <c r="AFQ294" s="131"/>
      <c r="AFR294" s="131"/>
      <c r="AFS294" s="131"/>
      <c r="AFT294" s="131"/>
      <c r="AFU294" s="131"/>
      <c r="AFV294" s="131"/>
      <c r="AFW294" s="131"/>
      <c r="AFX294" s="131"/>
      <c r="AFY294" s="131"/>
      <c r="AFZ294" s="131"/>
      <c r="AGA294" s="131"/>
      <c r="AGB294" s="131"/>
      <c r="AGC294" s="131"/>
      <c r="AGD294" s="131"/>
      <c r="AGE294" s="131"/>
      <c r="AGF294" s="131"/>
      <c r="AGG294" s="131"/>
      <c r="AGH294" s="131"/>
      <c r="AGI294" s="131"/>
      <c r="AGJ294" s="131"/>
      <c r="AGK294" s="131"/>
      <c r="AGL294" s="131"/>
      <c r="AGM294" s="131"/>
      <c r="AGN294" s="131"/>
      <c r="AGO294" s="131"/>
      <c r="AGP294" s="131"/>
      <c r="AGQ294" s="131"/>
      <c r="AGR294" s="131"/>
      <c r="AGS294" s="131"/>
      <c r="AGT294" s="131"/>
      <c r="AGU294" s="131"/>
      <c r="AGV294" s="131"/>
      <c r="AGW294" s="131"/>
      <c r="AGX294" s="131"/>
      <c r="AGY294" s="131"/>
      <c r="AGZ294" s="131"/>
      <c r="AHA294" s="131"/>
      <c r="AHB294" s="131"/>
      <c r="AHC294" s="131"/>
      <c r="AHD294" s="131"/>
      <c r="AHE294" s="131"/>
      <c r="AHF294" s="131"/>
      <c r="AHG294" s="131"/>
      <c r="AHH294" s="131"/>
      <c r="AHI294" s="131"/>
      <c r="AHJ294" s="131"/>
      <c r="AHK294" s="131"/>
      <c r="AHL294" s="131"/>
      <c r="AHM294" s="131"/>
      <c r="AHN294" s="131"/>
      <c r="AHO294" s="131"/>
      <c r="AHP294" s="131"/>
      <c r="AHQ294" s="131"/>
      <c r="AHR294" s="131"/>
      <c r="AHS294" s="131"/>
      <c r="AHT294" s="131"/>
      <c r="AHU294" s="131"/>
      <c r="AHV294" s="131"/>
      <c r="AHW294" s="131"/>
      <c r="AHX294" s="131"/>
      <c r="AHY294" s="131"/>
      <c r="AHZ294" s="131"/>
      <c r="AIA294" s="131"/>
      <c r="AIB294" s="131"/>
      <c r="AIC294" s="131"/>
      <c r="AID294" s="131"/>
      <c r="AIE294" s="131"/>
      <c r="AIF294" s="131"/>
      <c r="AIG294" s="131"/>
      <c r="AIH294" s="131"/>
      <c r="AII294" s="131"/>
      <c r="AIJ294" s="131"/>
      <c r="AIK294" s="131"/>
      <c r="AIL294" s="131"/>
      <c r="AIM294" s="131"/>
      <c r="AIN294" s="131"/>
      <c r="AIO294" s="131"/>
      <c r="AIP294" s="131"/>
      <c r="AIQ294" s="131"/>
      <c r="AIR294" s="131"/>
      <c r="AIS294" s="131"/>
      <c r="AIT294" s="131"/>
      <c r="AIU294" s="131"/>
      <c r="AIV294" s="131"/>
      <c r="AIW294" s="131"/>
      <c r="AIX294" s="131"/>
      <c r="AIY294" s="131"/>
      <c r="AIZ294" s="131"/>
      <c r="AJA294" s="131"/>
      <c r="AJB294" s="131"/>
      <c r="AJC294" s="131"/>
      <c r="AJD294" s="131"/>
      <c r="AJE294" s="131"/>
      <c r="AJF294" s="131"/>
      <c r="AJG294" s="131"/>
      <c r="AJH294" s="131"/>
      <c r="AJI294" s="131"/>
      <c r="AJJ294" s="131"/>
      <c r="AJK294" s="131"/>
      <c r="AJL294" s="131"/>
      <c r="AJM294" s="131"/>
      <c r="AJN294" s="131"/>
      <c r="AJO294" s="131"/>
      <c r="AJP294" s="131"/>
      <c r="AJQ294" s="131"/>
      <c r="AJR294" s="131"/>
      <c r="AJS294" s="131"/>
      <c r="AJT294" s="131"/>
      <c r="AJU294" s="131"/>
      <c r="AJV294" s="131"/>
      <c r="AJW294" s="131"/>
      <c r="AJX294" s="131"/>
      <c r="AJY294" s="131"/>
      <c r="AJZ294" s="131"/>
      <c r="AKA294" s="131"/>
      <c r="AKB294" s="131"/>
      <c r="AKC294" s="131"/>
      <c r="AKD294" s="131"/>
      <c r="AKE294" s="131"/>
      <c r="AKF294" s="131"/>
      <c r="AKG294" s="131"/>
      <c r="AKH294" s="131"/>
      <c r="AKI294" s="131"/>
      <c r="AKJ294" s="131"/>
      <c r="AKK294" s="131"/>
      <c r="AKL294" s="131"/>
      <c r="AKM294" s="131"/>
      <c r="AKN294" s="131"/>
      <c r="AKO294" s="131"/>
      <c r="AKP294" s="131"/>
      <c r="AKQ294" s="131"/>
      <c r="AKR294" s="131"/>
      <c r="AKS294" s="131"/>
      <c r="AKT294" s="131"/>
      <c r="AKU294" s="131"/>
      <c r="AKV294" s="131"/>
      <c r="AKW294" s="131"/>
      <c r="AKX294" s="131"/>
      <c r="AKY294" s="131"/>
      <c r="AKZ294" s="131"/>
      <c r="ALA294" s="131"/>
      <c r="ALB294" s="131"/>
      <c r="ALC294" s="131"/>
      <c r="ALD294" s="131"/>
      <c r="ALE294" s="131"/>
      <c r="ALF294" s="131"/>
      <c r="ALG294" s="131"/>
      <c r="ALH294" s="131"/>
      <c r="ALI294" s="131"/>
      <c r="ALJ294" s="131"/>
      <c r="ALK294" s="131"/>
      <c r="ALL294" s="131"/>
      <c r="ALM294" s="131"/>
      <c r="ALN294" s="131"/>
      <c r="ALO294" s="131"/>
      <c r="ALP294" s="131"/>
      <c r="ALQ294" s="131"/>
      <c r="ALR294" s="131"/>
      <c r="ALS294" s="131"/>
      <c r="ALT294" s="131"/>
      <c r="ALU294" s="131"/>
      <c r="ALV294" s="131"/>
      <c r="ALW294" s="131"/>
      <c r="ALX294" s="131"/>
      <c r="ALY294" s="131"/>
      <c r="ALZ294" s="131"/>
      <c r="AMA294" s="131"/>
      <c r="AMB294" s="131"/>
      <c r="AMC294" s="131"/>
      <c r="AMD294" s="131"/>
      <c r="AME294" s="131"/>
      <c r="AMF294" s="131"/>
      <c r="AMG294" s="131"/>
      <c r="AMH294" s="131"/>
      <c r="AMI294" s="131"/>
      <c r="AMJ294" s="131"/>
      <c r="AMK294" s="131"/>
      <c r="AML294" s="131"/>
      <c r="AMM294" s="131"/>
      <c r="AMN294" s="131"/>
      <c r="AMO294" s="131"/>
      <c r="AMP294" s="131"/>
      <c r="AMQ294" s="131"/>
      <c r="AMR294" s="131"/>
      <c r="AMS294" s="131"/>
      <c r="AMT294" s="131"/>
      <c r="AMU294" s="131"/>
      <c r="AMV294" s="131"/>
      <c r="AMW294" s="131"/>
      <c r="AMX294" s="131"/>
      <c r="AMY294" s="131"/>
      <c r="AMZ294" s="131"/>
      <c r="ANA294" s="131"/>
      <c r="ANB294" s="131"/>
      <c r="ANC294" s="131"/>
      <c r="AND294" s="131"/>
      <c r="ANE294" s="131"/>
      <c r="ANF294" s="131"/>
      <c r="ANG294" s="131"/>
      <c r="ANH294" s="131"/>
      <c r="ANI294" s="131"/>
      <c r="ANJ294" s="131"/>
      <c r="ANK294" s="131"/>
      <c r="ANL294" s="131"/>
      <c r="ANM294" s="131"/>
      <c r="ANN294" s="131"/>
      <c r="ANO294" s="131"/>
      <c r="ANP294" s="131"/>
      <c r="ANQ294" s="131"/>
      <c r="ANR294" s="131"/>
      <c r="ANS294" s="131"/>
      <c r="ANT294" s="131"/>
      <c r="ANU294" s="131"/>
      <c r="ANV294" s="131"/>
      <c r="ANW294" s="131"/>
      <c r="ANX294" s="131"/>
      <c r="ANY294" s="131"/>
      <c r="ANZ294" s="131"/>
      <c r="AOA294" s="131"/>
      <c r="AOB294" s="131"/>
      <c r="AOC294" s="131"/>
      <c r="AOD294" s="131"/>
      <c r="AOE294" s="131"/>
      <c r="AOF294" s="131"/>
      <c r="AOG294" s="131"/>
      <c r="AOH294" s="131"/>
      <c r="AOI294" s="131"/>
      <c r="AOJ294" s="131"/>
      <c r="AOK294" s="131"/>
      <c r="AOL294" s="131"/>
      <c r="AOM294" s="131"/>
      <c r="AON294" s="131"/>
      <c r="AOO294" s="131"/>
      <c r="AOP294" s="131"/>
      <c r="AOQ294" s="131"/>
      <c r="AOR294" s="131"/>
      <c r="AOS294" s="131"/>
      <c r="AOT294" s="131"/>
      <c r="AOU294" s="131"/>
      <c r="AOV294" s="131"/>
      <c r="AOW294" s="131"/>
      <c r="AOX294" s="131"/>
      <c r="AOY294" s="131"/>
      <c r="AOZ294" s="131"/>
      <c r="APA294" s="131"/>
      <c r="APB294" s="131"/>
      <c r="APC294" s="131"/>
      <c r="APD294" s="131"/>
      <c r="APE294" s="131"/>
      <c r="APF294" s="131"/>
      <c r="APG294" s="131"/>
      <c r="APH294" s="131"/>
      <c r="API294" s="131"/>
      <c r="APJ294" s="131"/>
      <c r="APK294" s="131"/>
      <c r="APL294" s="131"/>
      <c r="APM294" s="131"/>
      <c r="APN294" s="131"/>
      <c r="APO294" s="131"/>
      <c r="APP294" s="131"/>
      <c r="APQ294" s="131"/>
      <c r="APR294" s="131"/>
      <c r="APS294" s="131"/>
      <c r="APT294" s="131"/>
      <c r="APU294" s="131"/>
      <c r="APV294" s="131"/>
      <c r="APW294" s="131"/>
      <c r="APX294" s="131"/>
      <c r="APY294" s="131"/>
      <c r="APZ294" s="131"/>
      <c r="AQA294" s="131"/>
      <c r="AQB294" s="131"/>
      <c r="AQC294" s="131"/>
      <c r="AQD294" s="131"/>
      <c r="AQE294" s="131"/>
      <c r="AQF294" s="131"/>
      <c r="AQG294" s="131"/>
      <c r="AQH294" s="131"/>
      <c r="AQI294" s="131"/>
      <c r="AQJ294" s="131"/>
      <c r="AQK294" s="131"/>
      <c r="AQL294" s="131"/>
      <c r="AQM294" s="131"/>
      <c r="AQN294" s="131"/>
      <c r="AQO294" s="131"/>
      <c r="AQP294" s="131"/>
      <c r="AQQ294" s="131"/>
      <c r="AQR294" s="131"/>
      <c r="AQS294" s="131"/>
      <c r="AQT294" s="131"/>
      <c r="AQU294" s="131"/>
      <c r="AQV294" s="131"/>
      <c r="AQW294" s="131"/>
      <c r="AQX294" s="131"/>
      <c r="AQY294" s="131"/>
      <c r="AQZ294" s="131"/>
      <c r="ARA294" s="131"/>
      <c r="ARB294" s="131"/>
      <c r="ARC294" s="131"/>
      <c r="ARD294" s="131"/>
      <c r="ARE294" s="131"/>
      <c r="ARF294" s="131"/>
      <c r="ARG294" s="131"/>
      <c r="ARH294" s="131"/>
      <c r="ARI294" s="131"/>
      <c r="ARJ294" s="131"/>
      <c r="ARK294" s="131"/>
      <c r="ARL294" s="131"/>
      <c r="ARM294" s="131"/>
      <c r="ARN294" s="131"/>
      <c r="ARO294" s="131"/>
      <c r="ARP294" s="131"/>
      <c r="ARQ294" s="131"/>
      <c r="ARR294" s="131"/>
      <c r="ARS294" s="131"/>
      <c r="ART294" s="131"/>
      <c r="ARU294" s="131"/>
      <c r="ARV294" s="131"/>
      <c r="ARW294" s="131"/>
      <c r="ARX294" s="131"/>
      <c r="ARY294" s="131"/>
      <c r="ARZ294" s="131"/>
      <c r="ASA294" s="131"/>
      <c r="ASB294" s="131"/>
      <c r="ASC294" s="131"/>
      <c r="ASD294" s="131"/>
      <c r="ASE294" s="131"/>
      <c r="ASF294" s="131"/>
      <c r="ASG294" s="131"/>
      <c r="ASH294" s="131"/>
      <c r="ASI294" s="131"/>
      <c r="ASJ294" s="131"/>
      <c r="ASK294" s="131"/>
      <c r="ASL294" s="131"/>
      <c r="ASM294" s="131"/>
      <c r="ASN294" s="131"/>
      <c r="ASO294" s="131"/>
      <c r="ASP294" s="131"/>
      <c r="ASQ294" s="131"/>
      <c r="ASR294" s="131"/>
      <c r="ASS294" s="131"/>
      <c r="AST294" s="131"/>
      <c r="ASU294" s="131"/>
      <c r="ASV294" s="131"/>
      <c r="ASW294" s="131"/>
      <c r="ASX294" s="131"/>
      <c r="ASY294" s="131"/>
      <c r="ASZ294" s="131"/>
      <c r="ATA294" s="131"/>
      <c r="ATB294" s="131"/>
      <c r="ATC294" s="131"/>
    </row>
    <row r="295" spans="1:1199" ht="50.1" customHeight="1" outlineLevel="2" x14ac:dyDescent="0.3">
      <c r="A295" s="103" t="s">
        <v>295</v>
      </c>
      <c r="B295" s="96" t="s">
        <v>296</v>
      </c>
      <c r="C295" s="79" t="s">
        <v>37</v>
      </c>
      <c r="D295" s="81">
        <f t="shared" ref="D295:D327" si="65">E295+F295</f>
        <v>49546.055760000003</v>
      </c>
      <c r="E295" s="82">
        <f t="shared" si="59"/>
        <v>19629.21573</v>
      </c>
      <c r="F295" s="83">
        <f t="shared" si="61"/>
        <v>29916.840030000003</v>
      </c>
      <c r="G295" s="84"/>
      <c r="H295" s="85"/>
      <c r="I295" s="85"/>
      <c r="J295" s="84"/>
      <c r="K295" s="85"/>
      <c r="L295" s="85"/>
      <c r="M295" s="85"/>
      <c r="N295" s="85"/>
      <c r="O295" s="82"/>
      <c r="P295" s="83"/>
      <c r="Q295" s="83"/>
      <c r="R295" s="83"/>
      <c r="S295" s="82"/>
      <c r="T295" s="83"/>
      <c r="U295" s="83"/>
      <c r="V295" s="84"/>
      <c r="W295" s="85"/>
      <c r="X295" s="82"/>
      <c r="Y295" s="83"/>
      <c r="Z295" s="84"/>
      <c r="AA295" s="85"/>
      <c r="AB295" s="84"/>
      <c r="AC295" s="85"/>
      <c r="AD295" s="89">
        <f t="shared" si="60"/>
        <v>0</v>
      </c>
      <c r="AE295" s="89"/>
      <c r="AF295" s="186"/>
      <c r="AG295" s="85">
        <v>13400</v>
      </c>
      <c r="AH295" s="85">
        <f>3047.85+240.05</f>
        <v>3287.9</v>
      </c>
      <c r="AI295" s="85"/>
      <c r="AJ295" s="84">
        <f>18760+750</f>
        <v>19510</v>
      </c>
      <c r="AK295" s="85">
        <f>8040+360</f>
        <v>8400</v>
      </c>
      <c r="AL295" s="84"/>
      <c r="AM295" s="88"/>
      <c r="AN295" s="84"/>
      <c r="AO295" s="85"/>
      <c r="AP295" s="84"/>
      <c r="AQ295" s="83"/>
      <c r="AR295" s="83"/>
      <c r="AS295" s="83"/>
      <c r="AT295" s="85"/>
      <c r="AU295" s="85"/>
      <c r="AV295" s="85"/>
      <c r="AW295" s="88"/>
      <c r="AX295" s="84"/>
      <c r="AY295" s="85"/>
      <c r="AZ295" s="84">
        <v>119.21572999999999</v>
      </c>
      <c r="BA295" s="85">
        <v>107.9597</v>
      </c>
      <c r="BB295" s="88"/>
      <c r="BC295" s="85"/>
      <c r="BD295" s="84"/>
      <c r="BE295" s="88"/>
      <c r="BF295" s="85"/>
      <c r="BG295" s="85"/>
      <c r="BH295" s="85"/>
      <c r="BI295" s="85"/>
      <c r="BJ295" s="85"/>
      <c r="BK295" s="85">
        <v>674.29273999999998</v>
      </c>
      <c r="BL295" s="85"/>
      <c r="BM295" s="85"/>
      <c r="BN295" s="85"/>
      <c r="BO295" s="85"/>
      <c r="BP295" s="85"/>
      <c r="BQ295" s="85"/>
      <c r="BR295" s="84"/>
      <c r="BS295" s="85"/>
      <c r="BT295" s="85"/>
      <c r="BU295" s="97">
        <f>365.85+2771.93224+908.90535</f>
        <v>4046.68759</v>
      </c>
      <c r="BV295" s="90"/>
      <c r="BW295" s="198"/>
      <c r="BX295" s="90"/>
      <c r="BY295" s="198"/>
      <c r="BZ295" s="90"/>
      <c r="CA295" s="91"/>
    </row>
    <row r="296" spans="1:1199" ht="50.1" customHeight="1" outlineLevel="2" x14ac:dyDescent="0.3">
      <c r="A296" s="103" t="s">
        <v>295</v>
      </c>
      <c r="B296" s="96" t="s">
        <v>297</v>
      </c>
      <c r="C296" s="79" t="s">
        <v>37</v>
      </c>
      <c r="D296" s="81">
        <f t="shared" si="65"/>
        <v>9226.3554199999999</v>
      </c>
      <c r="E296" s="82">
        <f t="shared" si="59"/>
        <v>4397.2717700000003</v>
      </c>
      <c r="F296" s="83">
        <f t="shared" si="61"/>
        <v>4829.0836499999996</v>
      </c>
      <c r="G296" s="84"/>
      <c r="H296" s="85"/>
      <c r="I296" s="85"/>
      <c r="J296" s="84"/>
      <c r="K296" s="85"/>
      <c r="L296" s="85"/>
      <c r="M296" s="85"/>
      <c r="N296" s="85"/>
      <c r="O296" s="82"/>
      <c r="P296" s="83"/>
      <c r="Q296" s="83"/>
      <c r="R296" s="83"/>
      <c r="S296" s="82"/>
      <c r="T296" s="83"/>
      <c r="U296" s="83"/>
      <c r="V296" s="84">
        <v>139.16999999999999</v>
      </c>
      <c r="W296" s="85">
        <v>243</v>
      </c>
      <c r="X296" s="87"/>
      <c r="Y296" s="83"/>
      <c r="Z296" s="84"/>
      <c r="AA296" s="85"/>
      <c r="AB296" s="84"/>
      <c r="AC296" s="85"/>
      <c r="AD296" s="89">
        <f t="shared" si="60"/>
        <v>2168.5899599999998</v>
      </c>
      <c r="AE296" s="89">
        <v>62.323900000000002</v>
      </c>
      <c r="AF296" s="186">
        <f>19.613+141.6708+1839.915+105.06726</f>
        <v>2106.2660599999999</v>
      </c>
      <c r="AG296" s="85"/>
      <c r="AH296" s="85"/>
      <c r="AI296" s="85"/>
      <c r="AJ296" s="84">
        <v>3685.52</v>
      </c>
      <c r="AK296" s="85">
        <v>961.44</v>
      </c>
      <c r="AL296" s="84"/>
      <c r="AM296" s="88"/>
      <c r="AN296" s="84"/>
      <c r="AO296" s="85"/>
      <c r="AP296" s="84"/>
      <c r="AQ296" s="83"/>
      <c r="AR296" s="83"/>
      <c r="AS296" s="83"/>
      <c r="AT296" s="85"/>
      <c r="AU296" s="85"/>
      <c r="AV296" s="85"/>
      <c r="AW296" s="88"/>
      <c r="AX296" s="84"/>
      <c r="AY296" s="85"/>
      <c r="AZ296" s="84">
        <v>572.58177000000001</v>
      </c>
      <c r="BA296" s="85">
        <v>518.51860999999997</v>
      </c>
      <c r="BB296" s="88"/>
      <c r="BC296" s="85"/>
      <c r="BD296" s="84"/>
      <c r="BE296" s="88"/>
      <c r="BF296" s="85"/>
      <c r="BG296" s="85"/>
      <c r="BH296" s="85"/>
      <c r="BI296" s="85"/>
      <c r="BJ296" s="85"/>
      <c r="BK296" s="85"/>
      <c r="BL296" s="85"/>
      <c r="BM296" s="85"/>
      <c r="BN296" s="85"/>
      <c r="BO296" s="85"/>
      <c r="BP296" s="85"/>
      <c r="BQ296" s="85"/>
      <c r="BR296" s="84"/>
      <c r="BS296" s="85"/>
      <c r="BT296" s="85"/>
      <c r="BU296" s="97">
        <v>937.53507999999999</v>
      </c>
      <c r="BV296" s="90"/>
      <c r="BW296" s="198"/>
      <c r="BX296" s="90"/>
      <c r="BY296" s="198"/>
      <c r="BZ296" s="90"/>
      <c r="CA296" s="91"/>
    </row>
    <row r="297" spans="1:1199" ht="50.1" customHeight="1" outlineLevel="2" x14ac:dyDescent="0.3">
      <c r="A297" s="103" t="s">
        <v>295</v>
      </c>
      <c r="B297" s="96" t="s">
        <v>298</v>
      </c>
      <c r="C297" s="79" t="s">
        <v>37</v>
      </c>
      <c r="D297" s="81">
        <f t="shared" si="65"/>
        <v>8459.4853599999988</v>
      </c>
      <c r="E297" s="82">
        <f t="shared" si="59"/>
        <v>6087.9760299999998</v>
      </c>
      <c r="F297" s="83">
        <f t="shared" si="61"/>
        <v>2371.5093299999999</v>
      </c>
      <c r="G297" s="84">
        <v>6087.9760299999998</v>
      </c>
      <c r="H297" s="85">
        <v>1521.9940200000001</v>
      </c>
      <c r="I297" s="85"/>
      <c r="J297" s="84"/>
      <c r="K297" s="85"/>
      <c r="L297" s="85"/>
      <c r="M297" s="85"/>
      <c r="N297" s="85"/>
      <c r="O297" s="82"/>
      <c r="P297" s="83"/>
      <c r="Q297" s="83"/>
      <c r="R297" s="83"/>
      <c r="S297" s="82"/>
      <c r="T297" s="83"/>
      <c r="U297" s="83"/>
      <c r="V297" s="84"/>
      <c r="W297" s="85"/>
      <c r="X297" s="82"/>
      <c r="Y297" s="83"/>
      <c r="Z297" s="84"/>
      <c r="AA297" s="85">
        <v>849.51531</v>
      </c>
      <c r="AB297" s="84"/>
      <c r="AC297" s="85"/>
      <c r="AD297" s="89">
        <f t="shared" si="60"/>
        <v>0</v>
      </c>
      <c r="AE297" s="89"/>
      <c r="AF297" s="186"/>
      <c r="AG297" s="85"/>
      <c r="AH297" s="85"/>
      <c r="AI297" s="85"/>
      <c r="AJ297" s="84"/>
      <c r="AK297" s="85"/>
      <c r="AL297" s="84"/>
      <c r="AM297" s="88"/>
      <c r="AN297" s="84"/>
      <c r="AO297" s="85"/>
      <c r="AP297" s="84"/>
      <c r="AQ297" s="83"/>
      <c r="AR297" s="83"/>
      <c r="AS297" s="83"/>
      <c r="AT297" s="85"/>
      <c r="AU297" s="85"/>
      <c r="AV297" s="85"/>
      <c r="AW297" s="88"/>
      <c r="AX297" s="84"/>
      <c r="AY297" s="85"/>
      <c r="AZ297" s="84"/>
      <c r="BA297" s="85"/>
      <c r="BB297" s="88"/>
      <c r="BC297" s="85"/>
      <c r="BD297" s="84"/>
      <c r="BE297" s="88"/>
      <c r="BF297" s="85"/>
      <c r="BG297" s="85"/>
      <c r="BH297" s="85"/>
      <c r="BI297" s="85"/>
      <c r="BJ297" s="85"/>
      <c r="BK297" s="85"/>
      <c r="BL297" s="85"/>
      <c r="BM297" s="85"/>
      <c r="BN297" s="85"/>
      <c r="BO297" s="85"/>
      <c r="BP297" s="85"/>
      <c r="BQ297" s="85"/>
      <c r="BR297" s="84"/>
      <c r="BS297" s="85"/>
      <c r="BT297" s="85"/>
      <c r="BU297" s="198"/>
      <c r="BV297" s="90"/>
      <c r="BW297" s="198"/>
      <c r="BX297" s="90"/>
      <c r="BY297" s="198"/>
      <c r="BZ297" s="90"/>
      <c r="CA297" s="91"/>
    </row>
    <row r="298" spans="1:1199" ht="50.1" customHeight="1" outlineLevel="2" x14ac:dyDescent="0.3">
      <c r="A298" s="103" t="s">
        <v>295</v>
      </c>
      <c r="B298" s="96" t="s">
        <v>299</v>
      </c>
      <c r="C298" s="79" t="s">
        <v>37</v>
      </c>
      <c r="D298" s="81">
        <f t="shared" si="65"/>
        <v>14514.615569999998</v>
      </c>
      <c r="E298" s="82">
        <f t="shared" si="59"/>
        <v>3996.6123900000002</v>
      </c>
      <c r="F298" s="83">
        <f t="shared" si="61"/>
        <v>10518.003179999998</v>
      </c>
      <c r="G298" s="84"/>
      <c r="H298" s="85"/>
      <c r="I298" s="85"/>
      <c r="J298" s="84"/>
      <c r="K298" s="85"/>
      <c r="L298" s="85"/>
      <c r="M298" s="85"/>
      <c r="N298" s="85"/>
      <c r="O298" s="82"/>
      <c r="P298" s="83"/>
      <c r="Q298" s="83"/>
      <c r="R298" s="83"/>
      <c r="S298" s="82"/>
      <c r="T298" s="83"/>
      <c r="U298" s="83"/>
      <c r="V298" s="84">
        <v>92.78</v>
      </c>
      <c r="W298" s="85">
        <v>162</v>
      </c>
      <c r="X298" s="87"/>
      <c r="Y298" s="83">
        <v>374.4</v>
      </c>
      <c r="Z298" s="84"/>
      <c r="AA298" s="85"/>
      <c r="AB298" s="84"/>
      <c r="AC298" s="85"/>
      <c r="AD298" s="89">
        <f t="shared" si="60"/>
        <v>453.96510000000001</v>
      </c>
      <c r="AE298" s="89">
        <v>289.55430000000001</v>
      </c>
      <c r="AF298" s="186">
        <v>164.41079999999999</v>
      </c>
      <c r="AG298" s="85"/>
      <c r="AH298" s="85"/>
      <c r="AI298" s="85"/>
      <c r="AJ298" s="84"/>
      <c r="AK298" s="85"/>
      <c r="AL298" s="84"/>
      <c r="AM298" s="88"/>
      <c r="AN298" s="84"/>
      <c r="AO298" s="85"/>
      <c r="AP298" s="84">
        <v>2532.8040999999998</v>
      </c>
      <c r="AQ298" s="83">
        <v>6298.9639100000004</v>
      </c>
      <c r="AR298" s="83"/>
      <c r="AS298" s="83"/>
      <c r="AT298" s="85"/>
      <c r="AU298" s="85"/>
      <c r="AV298" s="85">
        <v>1785.9897699999999</v>
      </c>
      <c r="AW298" s="88"/>
      <c r="AX298" s="84"/>
      <c r="AY298" s="85"/>
      <c r="AZ298" s="84">
        <v>1371.02829</v>
      </c>
      <c r="BA298" s="85">
        <v>1241.5764300000001</v>
      </c>
      <c r="BB298" s="88"/>
      <c r="BC298" s="85"/>
      <c r="BD298" s="84"/>
      <c r="BE298" s="88"/>
      <c r="BF298" s="85"/>
      <c r="BG298" s="85"/>
      <c r="BH298" s="85"/>
      <c r="BI298" s="85"/>
      <c r="BJ298" s="85"/>
      <c r="BK298" s="85"/>
      <c r="BL298" s="85"/>
      <c r="BM298" s="85"/>
      <c r="BN298" s="85"/>
      <c r="BO298" s="85"/>
      <c r="BP298" s="85"/>
      <c r="BQ298" s="85"/>
      <c r="BR298" s="84"/>
      <c r="BS298" s="85"/>
      <c r="BT298" s="85">
        <v>190</v>
      </c>
      <c r="BU298" s="97">
        <v>11.10797</v>
      </c>
      <c r="BV298" s="90"/>
      <c r="BW298" s="198"/>
      <c r="BX298" s="90"/>
      <c r="BY298" s="198"/>
      <c r="BZ298" s="90"/>
      <c r="CA298" s="91"/>
    </row>
    <row r="299" spans="1:1199" ht="50.1" customHeight="1" outlineLevel="2" x14ac:dyDescent="0.3">
      <c r="A299" s="103" t="s">
        <v>295</v>
      </c>
      <c r="B299" s="96" t="s">
        <v>300</v>
      </c>
      <c r="C299" s="79" t="s">
        <v>99</v>
      </c>
      <c r="D299" s="81">
        <f t="shared" si="65"/>
        <v>23953.523379999999</v>
      </c>
      <c r="E299" s="82">
        <f t="shared" si="59"/>
        <v>0</v>
      </c>
      <c r="F299" s="83">
        <f t="shared" si="61"/>
        <v>23953.523379999999</v>
      </c>
      <c r="G299" s="84"/>
      <c r="H299" s="85"/>
      <c r="I299" s="85"/>
      <c r="J299" s="84"/>
      <c r="K299" s="85"/>
      <c r="L299" s="85"/>
      <c r="M299" s="85"/>
      <c r="N299" s="85">
        <v>23953.523379999999</v>
      </c>
      <c r="O299" s="82"/>
      <c r="P299" s="83"/>
      <c r="Q299" s="83"/>
      <c r="R299" s="83"/>
      <c r="S299" s="82"/>
      <c r="T299" s="83"/>
      <c r="U299" s="83"/>
      <c r="V299" s="84"/>
      <c r="W299" s="85"/>
      <c r="X299" s="87"/>
      <c r="Y299" s="83"/>
      <c r="Z299" s="84"/>
      <c r="AA299" s="85"/>
      <c r="AB299" s="84"/>
      <c r="AC299" s="85"/>
      <c r="AD299" s="89">
        <f t="shared" si="60"/>
        <v>0</v>
      </c>
      <c r="AE299" s="89"/>
      <c r="AF299" s="186"/>
      <c r="AG299" s="85"/>
      <c r="AH299" s="85"/>
      <c r="AI299" s="85"/>
      <c r="AJ299" s="84"/>
      <c r="AK299" s="85"/>
      <c r="AL299" s="84"/>
      <c r="AM299" s="88"/>
      <c r="AN299" s="84"/>
      <c r="AO299" s="85"/>
      <c r="AP299" s="84"/>
      <c r="AQ299" s="83"/>
      <c r="AR299" s="83"/>
      <c r="AS299" s="83"/>
      <c r="AT299" s="85"/>
      <c r="AU299" s="85"/>
      <c r="AV299" s="85"/>
      <c r="AW299" s="88"/>
      <c r="AX299" s="84"/>
      <c r="AY299" s="85"/>
      <c r="AZ299" s="84"/>
      <c r="BA299" s="85"/>
      <c r="BB299" s="88"/>
      <c r="BC299" s="85"/>
      <c r="BD299" s="84"/>
      <c r="BE299" s="88"/>
      <c r="BF299" s="85"/>
      <c r="BG299" s="85"/>
      <c r="BH299" s="85"/>
      <c r="BI299" s="85"/>
      <c r="BJ299" s="85"/>
      <c r="BK299" s="85"/>
      <c r="BL299" s="85"/>
      <c r="BM299" s="85"/>
      <c r="BN299" s="85"/>
      <c r="BO299" s="85"/>
      <c r="BP299" s="85"/>
      <c r="BQ299" s="85"/>
      <c r="BR299" s="84"/>
      <c r="BS299" s="85"/>
      <c r="BT299" s="85"/>
      <c r="BU299" s="198"/>
      <c r="BV299" s="90"/>
      <c r="BW299" s="198"/>
      <c r="BX299" s="90"/>
      <c r="BY299" s="198"/>
      <c r="BZ299" s="90"/>
      <c r="CA299" s="91"/>
    </row>
    <row r="300" spans="1:1199" ht="50.1" customHeight="1" outlineLevel="2" x14ac:dyDescent="0.3">
      <c r="A300" s="103" t="s">
        <v>295</v>
      </c>
      <c r="B300" s="96" t="s">
        <v>301</v>
      </c>
      <c r="C300" s="79" t="s">
        <v>37</v>
      </c>
      <c r="D300" s="81">
        <f t="shared" si="65"/>
        <v>1366.7891</v>
      </c>
      <c r="E300" s="82">
        <f t="shared" ref="E300:E336" si="66">G300+J300+O300+S300+V300+X300+Z300+AB300+AJ300+AL300+AN300+AP300+AX300+AZ300+BD300+BV300+BX300+BZ300+BR300</f>
        <v>350.04957000000002</v>
      </c>
      <c r="F300" s="83">
        <f t="shared" si="61"/>
        <v>1016.7395300000001</v>
      </c>
      <c r="G300" s="84"/>
      <c r="H300" s="85"/>
      <c r="I300" s="85"/>
      <c r="J300" s="84"/>
      <c r="K300" s="85"/>
      <c r="L300" s="85"/>
      <c r="M300" s="85"/>
      <c r="N300" s="85"/>
      <c r="O300" s="82"/>
      <c r="P300" s="83"/>
      <c r="Q300" s="83"/>
      <c r="R300" s="83"/>
      <c r="S300" s="82"/>
      <c r="T300" s="83"/>
      <c r="U300" s="83"/>
      <c r="V300" s="84">
        <v>105.78100000000001</v>
      </c>
      <c r="W300" s="85">
        <v>184.51300000000001</v>
      </c>
      <c r="X300" s="87"/>
      <c r="Y300" s="83">
        <v>119.496</v>
      </c>
      <c r="Z300" s="84"/>
      <c r="AA300" s="85"/>
      <c r="AB300" s="84"/>
      <c r="AC300" s="85"/>
      <c r="AD300" s="89">
        <f t="shared" si="60"/>
        <v>83.598829999999992</v>
      </c>
      <c r="AE300" s="89">
        <v>21.491</v>
      </c>
      <c r="AF300" s="186">
        <f>62.10783</f>
        <v>62.10783</v>
      </c>
      <c r="AG300" s="85"/>
      <c r="AH300" s="85"/>
      <c r="AI300" s="85"/>
      <c r="AJ300" s="84"/>
      <c r="AK300" s="85"/>
      <c r="AL300" s="84"/>
      <c r="AM300" s="88"/>
      <c r="AN300" s="84"/>
      <c r="AO300" s="85"/>
      <c r="AP300" s="84"/>
      <c r="AQ300" s="83"/>
      <c r="AR300" s="83"/>
      <c r="AS300" s="83"/>
      <c r="AT300" s="85"/>
      <c r="AU300" s="85"/>
      <c r="AV300" s="85"/>
      <c r="AW300" s="88"/>
      <c r="AX300" s="84"/>
      <c r="AY300" s="85"/>
      <c r="AZ300" s="84">
        <v>244.26857000000001</v>
      </c>
      <c r="BA300" s="85">
        <v>221.20483999999999</v>
      </c>
      <c r="BB300" s="88">
        <v>41.669809999999998</v>
      </c>
      <c r="BC300" s="85"/>
      <c r="BD300" s="84"/>
      <c r="BE300" s="88"/>
      <c r="BF300" s="85"/>
      <c r="BG300" s="85">
        <v>366.25704999999999</v>
      </c>
      <c r="BH300" s="85"/>
      <c r="BI300" s="85"/>
      <c r="BJ300" s="85"/>
      <c r="BK300" s="85"/>
      <c r="BL300" s="85"/>
      <c r="BM300" s="85"/>
      <c r="BN300" s="85"/>
      <c r="BO300" s="85"/>
      <c r="BP300" s="85"/>
      <c r="BQ300" s="85"/>
      <c r="BR300" s="84"/>
      <c r="BS300" s="85"/>
      <c r="BT300" s="85"/>
      <c r="BU300" s="198"/>
      <c r="BV300" s="90"/>
      <c r="BW300" s="198"/>
      <c r="BX300" s="90"/>
      <c r="BY300" s="198"/>
      <c r="BZ300" s="90"/>
      <c r="CA300" s="91"/>
    </row>
    <row r="301" spans="1:1199" ht="50.1" customHeight="1" outlineLevel="2" x14ac:dyDescent="0.3">
      <c r="A301" s="103" t="s">
        <v>295</v>
      </c>
      <c r="B301" s="96" t="s">
        <v>302</v>
      </c>
      <c r="C301" s="79" t="s">
        <v>37</v>
      </c>
      <c r="D301" s="81">
        <f t="shared" si="65"/>
        <v>38145.666089999999</v>
      </c>
      <c r="E301" s="82">
        <f t="shared" si="66"/>
        <v>0</v>
      </c>
      <c r="F301" s="83">
        <f t="shared" si="61"/>
        <v>38145.666089999999</v>
      </c>
      <c r="G301" s="84"/>
      <c r="H301" s="85"/>
      <c r="I301" s="85"/>
      <c r="J301" s="84"/>
      <c r="K301" s="85"/>
      <c r="L301" s="85"/>
      <c r="M301" s="85"/>
      <c r="N301" s="85">
        <f>7199.0016+11678.33541+7821.7272+11446.60188</f>
        <v>38145.666089999999</v>
      </c>
      <c r="O301" s="82"/>
      <c r="P301" s="83"/>
      <c r="Q301" s="83"/>
      <c r="R301" s="83"/>
      <c r="S301" s="82"/>
      <c r="T301" s="83"/>
      <c r="U301" s="83"/>
      <c r="V301" s="84"/>
      <c r="W301" s="85"/>
      <c r="X301" s="82"/>
      <c r="Y301" s="83"/>
      <c r="Z301" s="84"/>
      <c r="AA301" s="85"/>
      <c r="AB301" s="84"/>
      <c r="AC301" s="85"/>
      <c r="AD301" s="89">
        <f t="shared" si="60"/>
        <v>0</v>
      </c>
      <c r="AE301" s="89"/>
      <c r="AF301" s="186"/>
      <c r="AG301" s="85"/>
      <c r="AH301" s="85"/>
      <c r="AI301" s="85"/>
      <c r="AJ301" s="84"/>
      <c r="AK301" s="85"/>
      <c r="AL301" s="84"/>
      <c r="AM301" s="88"/>
      <c r="AN301" s="84"/>
      <c r="AO301" s="85"/>
      <c r="AP301" s="84"/>
      <c r="AQ301" s="83"/>
      <c r="AR301" s="83"/>
      <c r="AS301" s="83"/>
      <c r="AT301" s="85"/>
      <c r="AU301" s="85"/>
      <c r="AV301" s="85"/>
      <c r="AW301" s="88"/>
      <c r="AX301" s="84"/>
      <c r="AY301" s="85"/>
      <c r="AZ301" s="84"/>
      <c r="BA301" s="85"/>
      <c r="BB301" s="88"/>
      <c r="BC301" s="85"/>
      <c r="BD301" s="84"/>
      <c r="BE301" s="88"/>
      <c r="BF301" s="85"/>
      <c r="BG301" s="85"/>
      <c r="BH301" s="85"/>
      <c r="BI301" s="85"/>
      <c r="BJ301" s="85"/>
      <c r="BK301" s="85"/>
      <c r="BL301" s="85"/>
      <c r="BM301" s="85"/>
      <c r="BN301" s="85"/>
      <c r="BO301" s="85"/>
      <c r="BP301" s="85"/>
      <c r="BQ301" s="85"/>
      <c r="BR301" s="84"/>
      <c r="BS301" s="85"/>
      <c r="BT301" s="85"/>
      <c r="BU301" s="198"/>
      <c r="BV301" s="90"/>
      <c r="BW301" s="198"/>
      <c r="BX301" s="90"/>
      <c r="BY301" s="198"/>
      <c r="BZ301" s="90"/>
      <c r="CA301" s="91"/>
    </row>
    <row r="302" spans="1:1199" ht="50.1" customHeight="1" outlineLevel="2" x14ac:dyDescent="0.3">
      <c r="A302" s="103" t="s">
        <v>295</v>
      </c>
      <c r="B302" s="96" t="s">
        <v>303</v>
      </c>
      <c r="C302" s="79" t="s">
        <v>37</v>
      </c>
      <c r="D302" s="81">
        <f t="shared" si="65"/>
        <v>2968.9756400000001</v>
      </c>
      <c r="E302" s="82">
        <f t="shared" si="66"/>
        <v>811.79688999999996</v>
      </c>
      <c r="F302" s="83">
        <f t="shared" si="61"/>
        <v>2157.17875</v>
      </c>
      <c r="G302" s="84"/>
      <c r="H302" s="85"/>
      <c r="I302" s="85"/>
      <c r="J302" s="84"/>
      <c r="K302" s="85"/>
      <c r="L302" s="85"/>
      <c r="M302" s="85"/>
      <c r="N302" s="85"/>
      <c r="O302" s="82"/>
      <c r="P302" s="83"/>
      <c r="Q302" s="83"/>
      <c r="R302" s="83"/>
      <c r="S302" s="82"/>
      <c r="T302" s="83"/>
      <c r="U302" s="83"/>
      <c r="V302" s="84">
        <v>57.987499999999997</v>
      </c>
      <c r="W302" s="85">
        <v>101.25</v>
      </c>
      <c r="X302" s="87"/>
      <c r="Y302" s="83">
        <v>241.8</v>
      </c>
      <c r="Z302" s="84"/>
      <c r="AA302" s="85"/>
      <c r="AB302" s="84"/>
      <c r="AC302" s="85"/>
      <c r="AD302" s="89">
        <f t="shared" si="60"/>
        <v>133.09397000000001</v>
      </c>
      <c r="AE302" s="89">
        <v>49.429299999999998</v>
      </c>
      <c r="AF302" s="186">
        <v>83.664670000000001</v>
      </c>
      <c r="AG302" s="85"/>
      <c r="AH302" s="85"/>
      <c r="AI302" s="85"/>
      <c r="AJ302" s="84"/>
      <c r="AK302" s="85"/>
      <c r="AL302" s="84"/>
      <c r="AM302" s="88"/>
      <c r="AN302" s="84"/>
      <c r="AO302" s="85">
        <v>998.4</v>
      </c>
      <c r="AP302" s="84"/>
      <c r="AQ302" s="83"/>
      <c r="AR302" s="83"/>
      <c r="AS302" s="83"/>
      <c r="AT302" s="85"/>
      <c r="AU302" s="85"/>
      <c r="AV302" s="85"/>
      <c r="AW302" s="88"/>
      <c r="AX302" s="84"/>
      <c r="AY302" s="85"/>
      <c r="AZ302" s="84">
        <v>753.80939000000001</v>
      </c>
      <c r="BA302" s="85">
        <v>682.63477999999998</v>
      </c>
      <c r="BB302" s="88"/>
      <c r="BC302" s="85"/>
      <c r="BD302" s="84"/>
      <c r="BE302" s="88"/>
      <c r="BF302" s="85"/>
      <c r="BG302" s="85"/>
      <c r="BH302" s="85"/>
      <c r="BI302" s="85"/>
      <c r="BJ302" s="85"/>
      <c r="BK302" s="85"/>
      <c r="BL302" s="85"/>
      <c r="BM302" s="85"/>
      <c r="BN302" s="85"/>
      <c r="BO302" s="85"/>
      <c r="BP302" s="85"/>
      <c r="BQ302" s="85"/>
      <c r="BR302" s="84"/>
      <c r="BS302" s="85"/>
      <c r="BT302" s="85"/>
      <c r="BU302" s="198"/>
      <c r="BV302" s="90"/>
      <c r="BW302" s="198"/>
      <c r="BX302" s="90"/>
      <c r="BY302" s="198"/>
      <c r="BZ302" s="90"/>
      <c r="CA302" s="91"/>
    </row>
    <row r="303" spans="1:1199" ht="50.1" customHeight="1" outlineLevel="2" x14ac:dyDescent="0.3">
      <c r="A303" s="103" t="s">
        <v>295</v>
      </c>
      <c r="B303" s="96" t="s">
        <v>304</v>
      </c>
      <c r="C303" s="79" t="s">
        <v>37</v>
      </c>
      <c r="D303" s="81">
        <f t="shared" si="65"/>
        <v>2061.6139700000003</v>
      </c>
      <c r="E303" s="82">
        <f t="shared" si="66"/>
        <v>1063.6735900000001</v>
      </c>
      <c r="F303" s="83">
        <f t="shared" si="61"/>
        <v>997.94038</v>
      </c>
      <c r="G303" s="84"/>
      <c r="H303" s="85"/>
      <c r="I303" s="85"/>
      <c r="J303" s="84"/>
      <c r="K303" s="85"/>
      <c r="L303" s="85"/>
      <c r="M303" s="85"/>
      <c r="N303" s="85"/>
      <c r="O303" s="82"/>
      <c r="P303" s="83"/>
      <c r="Q303" s="83"/>
      <c r="R303" s="83"/>
      <c r="S303" s="82"/>
      <c r="T303" s="83"/>
      <c r="U303" s="83"/>
      <c r="V303" s="84">
        <v>67.260249999999999</v>
      </c>
      <c r="W303" s="85">
        <v>112.87406</v>
      </c>
      <c r="X303" s="87"/>
      <c r="Y303" s="83">
        <v>145.08000000000001</v>
      </c>
      <c r="Z303" s="84"/>
      <c r="AA303" s="85"/>
      <c r="AB303" s="84"/>
      <c r="AC303" s="85"/>
      <c r="AD303" s="89">
        <f t="shared" si="60"/>
        <v>140.45214999999999</v>
      </c>
      <c r="AE303" s="89">
        <v>91.809899999999999</v>
      </c>
      <c r="AF303" s="186">
        <v>48.642249999999997</v>
      </c>
      <c r="AG303" s="85"/>
      <c r="AH303" s="85"/>
      <c r="AI303" s="85"/>
      <c r="AJ303" s="84">
        <v>676.2</v>
      </c>
      <c r="AK303" s="85">
        <v>176.4</v>
      </c>
      <c r="AL303" s="84"/>
      <c r="AM303" s="88"/>
      <c r="AN303" s="84"/>
      <c r="AO303" s="85"/>
      <c r="AP303" s="84">
        <v>10.6656</v>
      </c>
      <c r="AQ303" s="83">
        <v>25.974</v>
      </c>
      <c r="AR303" s="83"/>
      <c r="AS303" s="83"/>
      <c r="AT303" s="85"/>
      <c r="AU303" s="85"/>
      <c r="AV303" s="85"/>
      <c r="AW303" s="88"/>
      <c r="AX303" s="84"/>
      <c r="AY303" s="85"/>
      <c r="AZ303" s="84">
        <v>309.54773999999998</v>
      </c>
      <c r="BA303" s="85">
        <v>280.32091000000003</v>
      </c>
      <c r="BB303" s="88"/>
      <c r="BC303" s="85"/>
      <c r="BD303" s="84"/>
      <c r="BE303" s="88"/>
      <c r="BF303" s="85"/>
      <c r="BG303" s="85"/>
      <c r="BH303" s="85"/>
      <c r="BI303" s="85"/>
      <c r="BJ303" s="85"/>
      <c r="BK303" s="85"/>
      <c r="BL303" s="85"/>
      <c r="BM303" s="85"/>
      <c r="BN303" s="85"/>
      <c r="BO303" s="85"/>
      <c r="BP303" s="85"/>
      <c r="BQ303" s="85"/>
      <c r="BR303" s="84"/>
      <c r="BS303" s="85"/>
      <c r="BT303" s="85"/>
      <c r="BU303" s="97">
        <v>116.83926</v>
      </c>
      <c r="BV303" s="90"/>
      <c r="BW303" s="198"/>
      <c r="BX303" s="90"/>
      <c r="BY303" s="198"/>
      <c r="BZ303" s="90"/>
      <c r="CA303" s="91"/>
    </row>
    <row r="304" spans="1:1199" ht="50.1" customHeight="1" outlineLevel="2" x14ac:dyDescent="0.3">
      <c r="A304" s="103" t="s">
        <v>295</v>
      </c>
      <c r="B304" s="102" t="s">
        <v>305</v>
      </c>
      <c r="C304" s="79" t="s">
        <v>55</v>
      </c>
      <c r="D304" s="81">
        <f t="shared" si="65"/>
        <v>14.257380000000001</v>
      </c>
      <c r="E304" s="82">
        <f t="shared" si="66"/>
        <v>7.4819000000000004</v>
      </c>
      <c r="F304" s="83">
        <f t="shared" si="61"/>
        <v>6.7754799999999999</v>
      </c>
      <c r="G304" s="84"/>
      <c r="H304" s="85"/>
      <c r="I304" s="85"/>
      <c r="J304" s="84"/>
      <c r="K304" s="85"/>
      <c r="L304" s="85"/>
      <c r="M304" s="85"/>
      <c r="N304" s="85"/>
      <c r="O304" s="82"/>
      <c r="P304" s="83"/>
      <c r="Q304" s="83"/>
      <c r="R304" s="83"/>
      <c r="S304" s="82"/>
      <c r="T304" s="83"/>
      <c r="U304" s="83"/>
      <c r="V304" s="84"/>
      <c r="W304" s="85"/>
      <c r="X304" s="82"/>
      <c r="Y304" s="83"/>
      <c r="Z304" s="84"/>
      <c r="AA304" s="85"/>
      <c r="AB304" s="84"/>
      <c r="AC304" s="85"/>
      <c r="AD304" s="89">
        <f t="shared" si="60"/>
        <v>0</v>
      </c>
      <c r="AE304" s="89"/>
      <c r="AF304" s="186"/>
      <c r="AG304" s="85"/>
      <c r="AH304" s="85"/>
      <c r="AI304" s="85"/>
      <c r="AJ304" s="84"/>
      <c r="AK304" s="85"/>
      <c r="AL304" s="84"/>
      <c r="AM304" s="88"/>
      <c r="AN304" s="84"/>
      <c r="AO304" s="85"/>
      <c r="AP304" s="84"/>
      <c r="AQ304" s="83"/>
      <c r="AR304" s="83"/>
      <c r="AS304" s="83"/>
      <c r="AT304" s="85"/>
      <c r="AU304" s="85"/>
      <c r="AV304" s="85"/>
      <c r="AW304" s="88"/>
      <c r="AX304" s="84"/>
      <c r="AY304" s="85"/>
      <c r="AZ304" s="84">
        <v>7.4819000000000004</v>
      </c>
      <c r="BA304" s="85">
        <v>6.7754799999999999</v>
      </c>
      <c r="BB304" s="88"/>
      <c r="BC304" s="85"/>
      <c r="BD304" s="84"/>
      <c r="BE304" s="88"/>
      <c r="BF304" s="85"/>
      <c r="BG304" s="85"/>
      <c r="BH304" s="85"/>
      <c r="BI304" s="85"/>
      <c r="BJ304" s="85"/>
      <c r="BK304" s="85"/>
      <c r="BL304" s="85"/>
      <c r="BM304" s="85"/>
      <c r="BN304" s="85"/>
      <c r="BO304" s="85"/>
      <c r="BP304" s="85"/>
      <c r="BQ304" s="85"/>
      <c r="BR304" s="84"/>
      <c r="BS304" s="85"/>
      <c r="BT304" s="85"/>
      <c r="BU304" s="198"/>
      <c r="BV304" s="90"/>
      <c r="BW304" s="198"/>
      <c r="BX304" s="90"/>
      <c r="BY304" s="198"/>
      <c r="BZ304" s="90"/>
      <c r="CA304" s="91"/>
    </row>
    <row r="305" spans="1:79" ht="50.1" customHeight="1" outlineLevel="2" x14ac:dyDescent="0.3">
      <c r="A305" s="103" t="s">
        <v>295</v>
      </c>
      <c r="B305" s="102" t="s">
        <v>306</v>
      </c>
      <c r="C305" s="79" t="s">
        <v>55</v>
      </c>
      <c r="D305" s="81">
        <f t="shared" si="65"/>
        <v>273.81458000000003</v>
      </c>
      <c r="E305" s="82">
        <f t="shared" si="66"/>
        <v>34.37068</v>
      </c>
      <c r="F305" s="83">
        <f t="shared" si="61"/>
        <v>239.44390000000001</v>
      </c>
      <c r="G305" s="84"/>
      <c r="H305" s="85"/>
      <c r="I305" s="85"/>
      <c r="J305" s="84"/>
      <c r="K305" s="85"/>
      <c r="L305" s="85"/>
      <c r="M305" s="85"/>
      <c r="N305" s="85"/>
      <c r="O305" s="82"/>
      <c r="P305" s="83"/>
      <c r="Q305" s="83"/>
      <c r="R305" s="83"/>
      <c r="S305" s="82"/>
      <c r="T305" s="83"/>
      <c r="U305" s="83"/>
      <c r="V305" s="84"/>
      <c r="W305" s="85"/>
      <c r="X305" s="82"/>
      <c r="Y305" s="83">
        <v>17.16</v>
      </c>
      <c r="Z305" s="84"/>
      <c r="AA305" s="85"/>
      <c r="AB305" s="84"/>
      <c r="AC305" s="85"/>
      <c r="AD305" s="89">
        <f t="shared" si="60"/>
        <v>0</v>
      </c>
      <c r="AE305" s="89"/>
      <c r="AF305" s="186"/>
      <c r="AG305" s="85"/>
      <c r="AH305" s="85"/>
      <c r="AI305" s="85"/>
      <c r="AJ305" s="84"/>
      <c r="AK305" s="85"/>
      <c r="AL305" s="84"/>
      <c r="AM305" s="88"/>
      <c r="AN305" s="84"/>
      <c r="AO305" s="85"/>
      <c r="AP305" s="84"/>
      <c r="AQ305" s="83"/>
      <c r="AR305" s="83"/>
      <c r="AS305" s="83"/>
      <c r="AT305" s="85"/>
      <c r="AU305" s="85"/>
      <c r="AV305" s="85"/>
      <c r="AW305" s="88"/>
      <c r="AX305" s="84"/>
      <c r="AY305" s="85"/>
      <c r="AZ305" s="84">
        <v>34.37068</v>
      </c>
      <c r="BA305" s="85">
        <v>31.12547</v>
      </c>
      <c r="BB305" s="88"/>
      <c r="BC305" s="85"/>
      <c r="BD305" s="84"/>
      <c r="BE305" s="88"/>
      <c r="BF305" s="85"/>
      <c r="BG305" s="85"/>
      <c r="BH305" s="85"/>
      <c r="BI305" s="85"/>
      <c r="BJ305" s="85"/>
      <c r="BK305" s="85">
        <v>191.15843000000001</v>
      </c>
      <c r="BL305" s="85"/>
      <c r="BM305" s="85"/>
      <c r="BN305" s="85"/>
      <c r="BO305" s="85"/>
      <c r="BP305" s="85"/>
      <c r="BQ305" s="85"/>
      <c r="BR305" s="84"/>
      <c r="BS305" s="85"/>
      <c r="BT305" s="85"/>
      <c r="BU305" s="198"/>
      <c r="BV305" s="90"/>
      <c r="BW305" s="198"/>
      <c r="BX305" s="90"/>
      <c r="BY305" s="198"/>
      <c r="BZ305" s="90"/>
      <c r="CA305" s="91"/>
    </row>
    <row r="306" spans="1:79" ht="50.1" customHeight="1" outlineLevel="2" x14ac:dyDescent="0.3">
      <c r="A306" s="103" t="s">
        <v>295</v>
      </c>
      <c r="B306" s="102" t="s">
        <v>307</v>
      </c>
      <c r="C306" s="115" t="s">
        <v>55</v>
      </c>
      <c r="D306" s="81">
        <f t="shared" si="65"/>
        <v>434.31120000000004</v>
      </c>
      <c r="E306" s="82">
        <f t="shared" si="66"/>
        <v>137.96346</v>
      </c>
      <c r="F306" s="83">
        <f t="shared" si="61"/>
        <v>296.34774000000004</v>
      </c>
      <c r="G306" s="84"/>
      <c r="H306" s="85"/>
      <c r="I306" s="85"/>
      <c r="J306" s="84"/>
      <c r="K306" s="85"/>
      <c r="L306" s="85"/>
      <c r="M306" s="85"/>
      <c r="N306" s="85"/>
      <c r="O306" s="82"/>
      <c r="P306" s="83"/>
      <c r="Q306" s="83"/>
      <c r="R306" s="83"/>
      <c r="S306" s="82"/>
      <c r="T306" s="83"/>
      <c r="U306" s="83"/>
      <c r="V306" s="84"/>
      <c r="W306" s="85"/>
      <c r="X306" s="82"/>
      <c r="Y306" s="83">
        <v>26.52</v>
      </c>
      <c r="Z306" s="84"/>
      <c r="AA306" s="85"/>
      <c r="AB306" s="84"/>
      <c r="AC306" s="85"/>
      <c r="AD306" s="89">
        <f t="shared" si="60"/>
        <v>0</v>
      </c>
      <c r="AE306" s="89"/>
      <c r="AF306" s="186"/>
      <c r="AG306" s="85"/>
      <c r="AH306" s="85"/>
      <c r="AI306" s="85"/>
      <c r="AJ306" s="84"/>
      <c r="AK306" s="85"/>
      <c r="AL306" s="84"/>
      <c r="AM306" s="88"/>
      <c r="AN306" s="84"/>
      <c r="AO306" s="85"/>
      <c r="AP306" s="84">
        <v>90.525229999999993</v>
      </c>
      <c r="AQ306" s="83">
        <v>226.86856</v>
      </c>
      <c r="AR306" s="83"/>
      <c r="AS306" s="83"/>
      <c r="AT306" s="85"/>
      <c r="AU306" s="85"/>
      <c r="AV306" s="85"/>
      <c r="AW306" s="88"/>
      <c r="AX306" s="84"/>
      <c r="AY306" s="85"/>
      <c r="AZ306" s="84">
        <v>47.438229999999997</v>
      </c>
      <c r="BA306" s="85">
        <v>42.959180000000003</v>
      </c>
      <c r="BB306" s="88"/>
      <c r="BC306" s="85"/>
      <c r="BD306" s="84"/>
      <c r="BE306" s="88"/>
      <c r="BF306" s="85"/>
      <c r="BG306" s="85"/>
      <c r="BH306" s="85"/>
      <c r="BI306" s="85"/>
      <c r="BJ306" s="85"/>
      <c r="BK306" s="85"/>
      <c r="BL306" s="85"/>
      <c r="BM306" s="85"/>
      <c r="BN306" s="85"/>
      <c r="BO306" s="85"/>
      <c r="BP306" s="85"/>
      <c r="BQ306" s="85"/>
      <c r="BR306" s="84"/>
      <c r="BS306" s="85"/>
      <c r="BT306" s="85"/>
      <c r="BU306" s="198"/>
      <c r="BV306" s="90"/>
      <c r="BW306" s="198"/>
      <c r="BX306" s="90"/>
      <c r="BY306" s="198"/>
      <c r="BZ306" s="90"/>
      <c r="CA306" s="91"/>
    </row>
    <row r="307" spans="1:79" ht="50.1" customHeight="1" outlineLevel="2" x14ac:dyDescent="0.3">
      <c r="A307" s="103" t="s">
        <v>295</v>
      </c>
      <c r="B307" s="102" t="s">
        <v>308</v>
      </c>
      <c r="C307" s="115" t="s">
        <v>55</v>
      </c>
      <c r="D307" s="81">
        <f t="shared" si="65"/>
        <v>8552.1390300000003</v>
      </c>
      <c r="E307" s="82">
        <f t="shared" si="66"/>
        <v>981.80683999999997</v>
      </c>
      <c r="F307" s="83">
        <f t="shared" si="61"/>
        <v>7570.332190000001</v>
      </c>
      <c r="G307" s="84"/>
      <c r="H307" s="85"/>
      <c r="I307" s="85"/>
      <c r="J307" s="84"/>
      <c r="K307" s="85"/>
      <c r="L307" s="85"/>
      <c r="M307" s="85"/>
      <c r="N307" s="85"/>
      <c r="O307" s="82">
        <f>6.07837+1.01147</f>
        <v>7.0898399999999997</v>
      </c>
      <c r="P307" s="83">
        <f>2.87201+0.05324</f>
        <v>2.9252500000000001</v>
      </c>
      <c r="Q307" s="83"/>
      <c r="R307" s="83"/>
      <c r="S307" s="82"/>
      <c r="T307" s="83"/>
      <c r="U307" s="83"/>
      <c r="V307" s="84">
        <v>578.15638000000001</v>
      </c>
      <c r="W307" s="85">
        <v>997.17348000000004</v>
      </c>
      <c r="X307" s="87"/>
      <c r="Y307" s="83">
        <v>152.88</v>
      </c>
      <c r="Z307" s="84"/>
      <c r="AA307" s="85"/>
      <c r="AB307" s="84"/>
      <c r="AC307" s="85"/>
      <c r="AD307" s="89">
        <f t="shared" si="60"/>
        <v>106.21692</v>
      </c>
      <c r="AE307" s="89">
        <v>42.981999999999999</v>
      </c>
      <c r="AF307" s="188">
        <v>63.234920000000002</v>
      </c>
      <c r="AG307" s="85"/>
      <c r="AH307" s="85"/>
      <c r="AI307" s="85"/>
      <c r="AJ307" s="84"/>
      <c r="AK307" s="85"/>
      <c r="AL307" s="84"/>
      <c r="AM307" s="88"/>
      <c r="AN307" s="84"/>
      <c r="AO307" s="85"/>
      <c r="AP307" s="84"/>
      <c r="AQ307" s="83"/>
      <c r="AR307" s="83"/>
      <c r="AS307" s="83"/>
      <c r="AT307" s="85"/>
      <c r="AU307" s="85"/>
      <c r="AV307" s="85">
        <v>5564.5720300000003</v>
      </c>
      <c r="AW307" s="88"/>
      <c r="AX307" s="84"/>
      <c r="AY307" s="85"/>
      <c r="AZ307" s="84">
        <v>396.56061999999997</v>
      </c>
      <c r="BA307" s="85">
        <v>359.12045999999998</v>
      </c>
      <c r="BB307" s="88"/>
      <c r="BC307" s="85"/>
      <c r="BD307" s="84"/>
      <c r="BE307" s="88"/>
      <c r="BF307" s="85"/>
      <c r="BG307" s="85"/>
      <c r="BH307" s="85"/>
      <c r="BI307" s="85"/>
      <c r="BJ307" s="85"/>
      <c r="BK307" s="85">
        <v>344.94405</v>
      </c>
      <c r="BL307" s="85"/>
      <c r="BM307" s="85"/>
      <c r="BN307" s="85"/>
      <c r="BO307" s="85"/>
      <c r="BP307" s="85"/>
      <c r="BQ307" s="85"/>
      <c r="BR307" s="84"/>
      <c r="BS307" s="85"/>
      <c r="BT307" s="85">
        <v>42.5</v>
      </c>
      <c r="BU307" s="198"/>
      <c r="BV307" s="90"/>
      <c r="BW307" s="198"/>
      <c r="BX307" s="90"/>
      <c r="BY307" s="198"/>
      <c r="BZ307" s="90"/>
      <c r="CA307" s="91"/>
    </row>
    <row r="308" spans="1:79" ht="50.1" customHeight="1" outlineLevel="2" x14ac:dyDescent="0.3">
      <c r="A308" s="103" t="s">
        <v>1255</v>
      </c>
      <c r="B308" s="96" t="s">
        <v>971</v>
      </c>
      <c r="C308" s="79" t="s">
        <v>55</v>
      </c>
      <c r="D308" s="81">
        <f t="shared" si="65"/>
        <v>507.22500000000002</v>
      </c>
      <c r="E308" s="82">
        <f t="shared" si="66"/>
        <v>0</v>
      </c>
      <c r="F308" s="83">
        <f t="shared" si="61"/>
        <v>507.22500000000002</v>
      </c>
      <c r="G308" s="84"/>
      <c r="H308" s="85"/>
      <c r="I308" s="85"/>
      <c r="J308" s="84"/>
      <c r="K308" s="85"/>
      <c r="L308" s="85"/>
      <c r="M308" s="85"/>
      <c r="N308" s="85"/>
      <c r="O308" s="82"/>
      <c r="P308" s="83"/>
      <c r="Q308" s="83"/>
      <c r="R308" s="83"/>
      <c r="S308" s="82"/>
      <c r="T308" s="83"/>
      <c r="U308" s="83"/>
      <c r="V308" s="84"/>
      <c r="W308" s="85"/>
      <c r="X308" s="82"/>
      <c r="Y308" s="83"/>
      <c r="Z308" s="84"/>
      <c r="AA308" s="85"/>
      <c r="AB308" s="84"/>
      <c r="AC308" s="85"/>
      <c r="AD308" s="89">
        <f t="shared" si="60"/>
        <v>0</v>
      </c>
      <c r="AE308" s="89"/>
      <c r="AF308" s="186"/>
      <c r="AG308" s="85"/>
      <c r="AH308" s="85"/>
      <c r="AI308" s="85"/>
      <c r="AJ308" s="84"/>
      <c r="AK308" s="85"/>
      <c r="AL308" s="84"/>
      <c r="AM308" s="88"/>
      <c r="AN308" s="84"/>
      <c r="AO308" s="85"/>
      <c r="AP308" s="84"/>
      <c r="AQ308" s="83"/>
      <c r="AR308" s="83"/>
      <c r="AS308" s="83"/>
      <c r="AT308" s="85">
        <f>300.66+206.565</f>
        <v>507.22500000000002</v>
      </c>
      <c r="AU308" s="85"/>
      <c r="AV308" s="85"/>
      <c r="AW308" s="88"/>
      <c r="AX308" s="84"/>
      <c r="AY308" s="85"/>
      <c r="AZ308" s="84"/>
      <c r="BA308" s="85"/>
      <c r="BB308" s="88"/>
      <c r="BC308" s="85"/>
      <c r="BD308" s="84"/>
      <c r="BE308" s="88"/>
      <c r="BF308" s="85"/>
      <c r="BG308" s="85"/>
      <c r="BH308" s="85"/>
      <c r="BI308" s="85"/>
      <c r="BJ308" s="85"/>
      <c r="BK308" s="85"/>
      <c r="BL308" s="85"/>
      <c r="BM308" s="85"/>
      <c r="BN308" s="85"/>
      <c r="BO308" s="85"/>
      <c r="BP308" s="85"/>
      <c r="BQ308" s="85"/>
      <c r="BR308" s="84"/>
      <c r="BS308" s="85"/>
      <c r="BT308" s="85"/>
      <c r="BU308" s="198"/>
      <c r="BV308" s="90"/>
      <c r="BW308" s="198"/>
      <c r="BX308" s="90"/>
      <c r="BY308" s="198"/>
      <c r="BZ308" s="90"/>
      <c r="CA308" s="91"/>
    </row>
    <row r="309" spans="1:79" ht="50.1" customHeight="1" outlineLevel="2" x14ac:dyDescent="0.3">
      <c r="A309" s="103" t="s">
        <v>295</v>
      </c>
      <c r="B309" s="96" t="s">
        <v>309</v>
      </c>
      <c r="C309" s="116" t="s">
        <v>55</v>
      </c>
      <c r="D309" s="81">
        <f t="shared" si="65"/>
        <v>2345.5876200000002</v>
      </c>
      <c r="E309" s="82">
        <f t="shared" si="66"/>
        <v>2216.067</v>
      </c>
      <c r="F309" s="83">
        <f t="shared" si="61"/>
        <v>129.52062000000001</v>
      </c>
      <c r="G309" s="84"/>
      <c r="H309" s="85"/>
      <c r="I309" s="85"/>
      <c r="J309" s="84"/>
      <c r="K309" s="85"/>
      <c r="L309" s="85"/>
      <c r="M309" s="85"/>
      <c r="N309" s="85"/>
      <c r="O309" s="82"/>
      <c r="P309" s="83"/>
      <c r="Q309" s="83"/>
      <c r="R309" s="83"/>
      <c r="S309" s="82"/>
      <c r="T309" s="83"/>
      <c r="U309" s="83"/>
      <c r="V309" s="84"/>
      <c r="W309" s="85"/>
      <c r="X309" s="82"/>
      <c r="Y309" s="83"/>
      <c r="Z309" s="84"/>
      <c r="AA309" s="85"/>
      <c r="AB309" s="84"/>
      <c r="AC309" s="85"/>
      <c r="AD309" s="89">
        <f t="shared" si="60"/>
        <v>0</v>
      </c>
      <c r="AE309" s="89"/>
      <c r="AF309" s="186"/>
      <c r="AG309" s="85"/>
      <c r="AH309" s="85"/>
      <c r="AI309" s="85"/>
      <c r="AJ309" s="84"/>
      <c r="AK309" s="85"/>
      <c r="AL309" s="84"/>
      <c r="AM309" s="88"/>
      <c r="AN309" s="84"/>
      <c r="AO309" s="85"/>
      <c r="AP309" s="84"/>
      <c r="AQ309" s="83"/>
      <c r="AR309" s="83"/>
      <c r="AS309" s="83"/>
      <c r="AT309" s="85"/>
      <c r="AU309" s="85"/>
      <c r="AV309" s="85"/>
      <c r="AW309" s="88"/>
      <c r="AX309" s="84"/>
      <c r="AY309" s="85"/>
      <c r="AZ309" s="84">
        <v>15.106999999999999</v>
      </c>
      <c r="BA309" s="85">
        <v>13.680619999999999</v>
      </c>
      <c r="BB309" s="88"/>
      <c r="BC309" s="85"/>
      <c r="BD309" s="84"/>
      <c r="BE309" s="88"/>
      <c r="BF309" s="85"/>
      <c r="BG309" s="85"/>
      <c r="BH309" s="85"/>
      <c r="BI309" s="85"/>
      <c r="BJ309" s="85"/>
      <c r="BK309" s="85"/>
      <c r="BL309" s="85"/>
      <c r="BM309" s="85"/>
      <c r="BN309" s="85"/>
      <c r="BO309" s="85"/>
      <c r="BP309" s="85"/>
      <c r="BQ309" s="85"/>
      <c r="BR309" s="84"/>
      <c r="BS309" s="85"/>
      <c r="BT309" s="85"/>
      <c r="BU309" s="198"/>
      <c r="BV309" s="90"/>
      <c r="BW309" s="198"/>
      <c r="BX309" s="90"/>
      <c r="BY309" s="198"/>
      <c r="BZ309" s="90">
        <v>2200.96</v>
      </c>
      <c r="CA309" s="91">
        <v>115.84</v>
      </c>
    </row>
    <row r="310" spans="1:79" ht="50.1" customHeight="1" outlineLevel="2" x14ac:dyDescent="0.3">
      <c r="A310" s="103" t="s">
        <v>295</v>
      </c>
      <c r="B310" s="96" t="s">
        <v>310</v>
      </c>
      <c r="C310" s="79" t="s">
        <v>55</v>
      </c>
      <c r="D310" s="81">
        <f t="shared" si="65"/>
        <v>4.2472799999999999</v>
      </c>
      <c r="E310" s="82">
        <f t="shared" si="66"/>
        <v>0</v>
      </c>
      <c r="F310" s="83">
        <f t="shared" si="61"/>
        <v>4.2472799999999999</v>
      </c>
      <c r="G310" s="84"/>
      <c r="H310" s="85"/>
      <c r="I310" s="85"/>
      <c r="J310" s="84"/>
      <c r="K310" s="85"/>
      <c r="L310" s="85"/>
      <c r="M310" s="85"/>
      <c r="N310" s="85"/>
      <c r="O310" s="82"/>
      <c r="P310" s="83"/>
      <c r="Q310" s="83"/>
      <c r="R310" s="83"/>
      <c r="S310" s="82"/>
      <c r="T310" s="83"/>
      <c r="U310" s="83"/>
      <c r="V310" s="84"/>
      <c r="W310" s="85"/>
      <c r="X310" s="82"/>
      <c r="Y310" s="83"/>
      <c r="Z310" s="84"/>
      <c r="AA310" s="85"/>
      <c r="AB310" s="84"/>
      <c r="AC310" s="85"/>
      <c r="AD310" s="89">
        <f t="shared" si="60"/>
        <v>0</v>
      </c>
      <c r="AE310" s="83"/>
      <c r="AF310" s="123"/>
      <c r="AG310" s="85"/>
      <c r="AH310" s="85"/>
      <c r="AI310" s="85"/>
      <c r="AJ310" s="84"/>
      <c r="AK310" s="85"/>
      <c r="AL310" s="84"/>
      <c r="AM310" s="85"/>
      <c r="AN310" s="84"/>
      <c r="AO310" s="85"/>
      <c r="AP310" s="84"/>
      <c r="AQ310" s="83"/>
      <c r="AR310" s="83"/>
      <c r="AS310" s="83"/>
      <c r="AT310" s="85"/>
      <c r="AU310" s="85"/>
      <c r="AV310" s="85"/>
      <c r="AW310" s="85"/>
      <c r="AX310" s="84"/>
      <c r="AY310" s="85"/>
      <c r="AZ310" s="84"/>
      <c r="BA310" s="85"/>
      <c r="BB310" s="85">
        <v>4.2472799999999999</v>
      </c>
      <c r="BC310" s="85"/>
      <c r="BD310" s="85"/>
      <c r="BE310" s="85"/>
      <c r="BF310" s="85"/>
      <c r="BG310" s="85"/>
      <c r="BH310" s="85"/>
      <c r="BI310" s="85"/>
      <c r="BJ310" s="85"/>
      <c r="BK310" s="85"/>
      <c r="BL310" s="85"/>
      <c r="BM310" s="85"/>
      <c r="BN310" s="85"/>
      <c r="BO310" s="85"/>
      <c r="BP310" s="85"/>
      <c r="BQ310" s="85"/>
      <c r="BR310" s="84"/>
      <c r="BS310" s="85"/>
      <c r="BT310" s="85"/>
      <c r="BU310" s="198"/>
      <c r="BV310" s="90"/>
      <c r="BW310" s="198"/>
      <c r="BX310" s="90"/>
      <c r="BY310" s="198"/>
      <c r="BZ310" s="90"/>
      <c r="CA310" s="91"/>
    </row>
    <row r="311" spans="1:79" ht="50.1" customHeight="1" outlineLevel="2" x14ac:dyDescent="0.3">
      <c r="A311" s="103" t="s">
        <v>295</v>
      </c>
      <c r="B311" s="96" t="s">
        <v>311</v>
      </c>
      <c r="C311" s="113" t="s">
        <v>55</v>
      </c>
      <c r="D311" s="81">
        <f t="shared" si="65"/>
        <v>275.29789000000005</v>
      </c>
      <c r="E311" s="82">
        <f t="shared" si="66"/>
        <v>143.32864000000001</v>
      </c>
      <c r="F311" s="83">
        <f t="shared" si="61"/>
        <v>131.96925000000002</v>
      </c>
      <c r="G311" s="84"/>
      <c r="H311" s="85"/>
      <c r="I311" s="85"/>
      <c r="J311" s="84"/>
      <c r="K311" s="85"/>
      <c r="L311" s="85"/>
      <c r="M311" s="85"/>
      <c r="N311" s="85"/>
      <c r="O311" s="82"/>
      <c r="P311" s="83"/>
      <c r="Q311" s="83"/>
      <c r="R311" s="83"/>
      <c r="S311" s="82"/>
      <c r="T311" s="83"/>
      <c r="U311" s="83"/>
      <c r="V311" s="84"/>
      <c r="W311" s="85"/>
      <c r="X311" s="82"/>
      <c r="Y311" s="83">
        <v>21.84</v>
      </c>
      <c r="Z311" s="84"/>
      <c r="AA311" s="85"/>
      <c r="AB311" s="84"/>
      <c r="AC311" s="85"/>
      <c r="AD311" s="89">
        <f t="shared" si="60"/>
        <v>0</v>
      </c>
      <c r="AE311" s="89"/>
      <c r="AF311" s="186"/>
      <c r="AG311" s="85"/>
      <c r="AH311" s="85"/>
      <c r="AI311" s="85"/>
      <c r="AJ311" s="84"/>
      <c r="AK311" s="85"/>
      <c r="AL311" s="84"/>
      <c r="AM311" s="88"/>
      <c r="AN311" s="84"/>
      <c r="AO311" s="85"/>
      <c r="AP311" s="84"/>
      <c r="AQ311" s="83"/>
      <c r="AR311" s="83"/>
      <c r="AS311" s="83"/>
      <c r="AT311" s="85"/>
      <c r="AU311" s="85"/>
      <c r="AV311" s="85"/>
      <c r="AW311" s="88"/>
      <c r="AX311" s="84"/>
      <c r="AY311" s="85"/>
      <c r="AZ311" s="84">
        <v>143.32864000000001</v>
      </c>
      <c r="BA311" s="85">
        <v>78.492540000000005</v>
      </c>
      <c r="BB311" s="88">
        <v>31.636710000000001</v>
      </c>
      <c r="BC311" s="85"/>
      <c r="BD311" s="84"/>
      <c r="BE311" s="88"/>
      <c r="BF311" s="85"/>
      <c r="BG311" s="85"/>
      <c r="BH311" s="85"/>
      <c r="BI311" s="85"/>
      <c r="BJ311" s="85"/>
      <c r="BK311" s="85"/>
      <c r="BL311" s="85"/>
      <c r="BM311" s="85"/>
      <c r="BN311" s="85"/>
      <c r="BO311" s="85"/>
      <c r="BP311" s="85"/>
      <c r="BQ311" s="85"/>
      <c r="BR311" s="84"/>
      <c r="BS311" s="85"/>
      <c r="BT311" s="85"/>
      <c r="BU311" s="198"/>
      <c r="BV311" s="90"/>
      <c r="BW311" s="198"/>
      <c r="BX311" s="90"/>
      <c r="BY311" s="198"/>
      <c r="BZ311" s="90"/>
      <c r="CA311" s="91"/>
    </row>
    <row r="312" spans="1:79" ht="50.1" customHeight="1" outlineLevel="2" x14ac:dyDescent="0.3">
      <c r="A312" s="103" t="s">
        <v>295</v>
      </c>
      <c r="B312" s="96" t="s">
        <v>312</v>
      </c>
      <c r="C312" s="79" t="s">
        <v>55</v>
      </c>
      <c r="D312" s="81">
        <f t="shared" si="65"/>
        <v>133.97945000000001</v>
      </c>
      <c r="E312" s="82">
        <f t="shared" si="66"/>
        <v>17.915489999999998</v>
      </c>
      <c r="F312" s="83">
        <f t="shared" si="61"/>
        <v>116.06396000000001</v>
      </c>
      <c r="G312" s="84"/>
      <c r="H312" s="85"/>
      <c r="I312" s="85"/>
      <c r="J312" s="84"/>
      <c r="K312" s="85"/>
      <c r="L312" s="85"/>
      <c r="M312" s="85"/>
      <c r="N312" s="85"/>
      <c r="O312" s="82"/>
      <c r="P312" s="83"/>
      <c r="Q312" s="83"/>
      <c r="R312" s="83"/>
      <c r="S312" s="82"/>
      <c r="T312" s="83"/>
      <c r="U312" s="83"/>
      <c r="V312" s="84"/>
      <c r="W312" s="85"/>
      <c r="X312" s="87"/>
      <c r="Y312" s="83"/>
      <c r="Z312" s="84"/>
      <c r="AA312" s="85"/>
      <c r="AB312" s="84"/>
      <c r="AC312" s="85"/>
      <c r="AD312" s="89">
        <f t="shared" si="60"/>
        <v>0</v>
      </c>
      <c r="AE312" s="89"/>
      <c r="AF312" s="186"/>
      <c r="AG312" s="85"/>
      <c r="AH312" s="85"/>
      <c r="AI312" s="85"/>
      <c r="AJ312" s="84"/>
      <c r="AK312" s="85"/>
      <c r="AL312" s="84"/>
      <c r="AM312" s="88"/>
      <c r="AN312" s="84"/>
      <c r="AO312" s="85">
        <v>99.84</v>
      </c>
      <c r="AP312" s="84"/>
      <c r="AQ312" s="83"/>
      <c r="AR312" s="83"/>
      <c r="AS312" s="83"/>
      <c r="AT312" s="85"/>
      <c r="AU312" s="85"/>
      <c r="AV312" s="85"/>
      <c r="AW312" s="88"/>
      <c r="AX312" s="84"/>
      <c r="AY312" s="85"/>
      <c r="AZ312" s="84">
        <v>17.915489999999998</v>
      </c>
      <c r="BA312" s="85">
        <v>16.223960000000002</v>
      </c>
      <c r="BB312" s="88"/>
      <c r="BC312" s="85"/>
      <c r="BD312" s="84"/>
      <c r="BE312" s="88"/>
      <c r="BF312" s="85"/>
      <c r="BG312" s="85"/>
      <c r="BH312" s="85"/>
      <c r="BI312" s="85"/>
      <c r="BJ312" s="85"/>
      <c r="BK312" s="85"/>
      <c r="BL312" s="85"/>
      <c r="BM312" s="85"/>
      <c r="BN312" s="85"/>
      <c r="BO312" s="85"/>
      <c r="BP312" s="85"/>
      <c r="BQ312" s="85"/>
      <c r="BR312" s="84"/>
      <c r="BS312" s="85"/>
      <c r="BT312" s="85"/>
      <c r="BU312" s="198"/>
      <c r="BV312" s="90"/>
      <c r="BW312" s="198"/>
      <c r="BX312" s="90"/>
      <c r="BY312" s="198"/>
      <c r="BZ312" s="90"/>
      <c r="CA312" s="91"/>
    </row>
    <row r="313" spans="1:79" ht="50.1" customHeight="1" outlineLevel="2" x14ac:dyDescent="0.3">
      <c r="A313" s="103" t="s">
        <v>295</v>
      </c>
      <c r="B313" s="96" t="s">
        <v>313</v>
      </c>
      <c r="C313" s="113" t="s">
        <v>55</v>
      </c>
      <c r="D313" s="81">
        <f t="shared" si="65"/>
        <v>120.02817999999999</v>
      </c>
      <c r="E313" s="82">
        <f t="shared" si="66"/>
        <v>62.987690000000001</v>
      </c>
      <c r="F313" s="83">
        <f t="shared" si="61"/>
        <v>57.040489999999998</v>
      </c>
      <c r="G313" s="84"/>
      <c r="H313" s="85"/>
      <c r="I313" s="85"/>
      <c r="J313" s="84"/>
      <c r="K313" s="85"/>
      <c r="L313" s="85"/>
      <c r="M313" s="85"/>
      <c r="N313" s="85"/>
      <c r="O313" s="82"/>
      <c r="P313" s="83"/>
      <c r="Q313" s="83"/>
      <c r="R313" s="83"/>
      <c r="S313" s="82"/>
      <c r="T313" s="83"/>
      <c r="U313" s="83"/>
      <c r="V313" s="84"/>
      <c r="W313" s="85"/>
      <c r="X313" s="87"/>
      <c r="Y313" s="83"/>
      <c r="Z313" s="84"/>
      <c r="AA313" s="85"/>
      <c r="AB313" s="84"/>
      <c r="AC313" s="85"/>
      <c r="AD313" s="89">
        <f t="shared" si="60"/>
        <v>0</v>
      </c>
      <c r="AE313" s="89"/>
      <c r="AF313" s="186"/>
      <c r="AG313" s="85"/>
      <c r="AH313" s="85"/>
      <c r="AI313" s="85"/>
      <c r="AJ313" s="84"/>
      <c r="AK313" s="85"/>
      <c r="AL313" s="84"/>
      <c r="AM313" s="88"/>
      <c r="AN313" s="84"/>
      <c r="AO313" s="85"/>
      <c r="AP313" s="84"/>
      <c r="AQ313" s="83"/>
      <c r="AR313" s="83"/>
      <c r="AS313" s="83"/>
      <c r="AT313" s="85"/>
      <c r="AU313" s="85"/>
      <c r="AV313" s="85"/>
      <c r="AW313" s="88"/>
      <c r="AX313" s="84"/>
      <c r="AY313" s="85"/>
      <c r="AZ313" s="84">
        <v>62.987690000000001</v>
      </c>
      <c r="BA313" s="85">
        <v>57.040489999999998</v>
      </c>
      <c r="BB313" s="88"/>
      <c r="BC313" s="85"/>
      <c r="BD313" s="84"/>
      <c r="BE313" s="88"/>
      <c r="BF313" s="85"/>
      <c r="BG313" s="85"/>
      <c r="BH313" s="85"/>
      <c r="BI313" s="85"/>
      <c r="BJ313" s="85"/>
      <c r="BK313" s="85"/>
      <c r="BL313" s="85"/>
      <c r="BM313" s="85"/>
      <c r="BN313" s="85"/>
      <c r="BO313" s="85"/>
      <c r="BP313" s="85"/>
      <c r="BQ313" s="85"/>
      <c r="BR313" s="84"/>
      <c r="BS313" s="85"/>
      <c r="BT313" s="85"/>
      <c r="BU313" s="198"/>
      <c r="BV313" s="90"/>
      <c r="BW313" s="198"/>
      <c r="BX313" s="90"/>
      <c r="BY313" s="198"/>
      <c r="BZ313" s="90"/>
      <c r="CA313" s="91"/>
    </row>
    <row r="314" spans="1:79" ht="50.1" customHeight="1" outlineLevel="2" x14ac:dyDescent="0.3">
      <c r="A314" s="103" t="s">
        <v>295</v>
      </c>
      <c r="B314" s="96" t="s">
        <v>314</v>
      </c>
      <c r="C314" s="113" t="s">
        <v>55</v>
      </c>
      <c r="D314" s="81">
        <f t="shared" si="65"/>
        <v>148.01526000000001</v>
      </c>
      <c r="E314" s="82">
        <f t="shared" si="66"/>
        <v>59.336860000000001</v>
      </c>
      <c r="F314" s="83">
        <f t="shared" si="61"/>
        <v>88.678400000000011</v>
      </c>
      <c r="G314" s="84"/>
      <c r="H314" s="85"/>
      <c r="I314" s="85"/>
      <c r="J314" s="84"/>
      <c r="K314" s="85"/>
      <c r="L314" s="85"/>
      <c r="M314" s="85"/>
      <c r="N314" s="85"/>
      <c r="O314" s="82"/>
      <c r="P314" s="83"/>
      <c r="Q314" s="83"/>
      <c r="R314" s="83"/>
      <c r="S314" s="82"/>
      <c r="T314" s="83"/>
      <c r="U314" s="83"/>
      <c r="V314" s="84"/>
      <c r="W314" s="85"/>
      <c r="X314" s="87"/>
      <c r="Y314" s="83">
        <v>34.944000000000003</v>
      </c>
      <c r="Z314" s="84"/>
      <c r="AA314" s="85"/>
      <c r="AB314" s="84"/>
      <c r="AC314" s="85"/>
      <c r="AD314" s="89">
        <f t="shared" si="60"/>
        <v>0</v>
      </c>
      <c r="AE314" s="89"/>
      <c r="AF314" s="186"/>
      <c r="AG314" s="85"/>
      <c r="AH314" s="85"/>
      <c r="AI314" s="85"/>
      <c r="AJ314" s="84"/>
      <c r="AK314" s="85"/>
      <c r="AL314" s="84"/>
      <c r="AM314" s="88"/>
      <c r="AN314" s="84"/>
      <c r="AO314" s="85"/>
      <c r="AP314" s="84"/>
      <c r="AQ314" s="83"/>
      <c r="AR314" s="83"/>
      <c r="AS314" s="83"/>
      <c r="AT314" s="85"/>
      <c r="AU314" s="85"/>
      <c r="AV314" s="85"/>
      <c r="AW314" s="88"/>
      <c r="AX314" s="84"/>
      <c r="AY314" s="85"/>
      <c r="AZ314" s="84">
        <v>59.336860000000001</v>
      </c>
      <c r="BA314" s="85">
        <v>53.734400000000001</v>
      </c>
      <c r="BB314" s="88"/>
      <c r="BC314" s="85"/>
      <c r="BD314" s="84"/>
      <c r="BE314" s="88"/>
      <c r="BF314" s="85"/>
      <c r="BG314" s="85"/>
      <c r="BH314" s="85"/>
      <c r="BI314" s="85"/>
      <c r="BJ314" s="85"/>
      <c r="BK314" s="85"/>
      <c r="BL314" s="85"/>
      <c r="BM314" s="85"/>
      <c r="BN314" s="85"/>
      <c r="BO314" s="85"/>
      <c r="BP314" s="85"/>
      <c r="BQ314" s="85"/>
      <c r="BR314" s="84"/>
      <c r="BS314" s="85"/>
      <c r="BT314" s="85"/>
      <c r="BU314" s="198"/>
      <c r="BV314" s="90"/>
      <c r="BW314" s="198"/>
      <c r="BX314" s="90"/>
      <c r="BY314" s="198"/>
      <c r="BZ314" s="90"/>
      <c r="CA314" s="91"/>
    </row>
    <row r="315" spans="1:79" ht="50.1" customHeight="1" outlineLevel="2" x14ac:dyDescent="0.3">
      <c r="A315" s="103" t="s">
        <v>295</v>
      </c>
      <c r="B315" s="96" t="s">
        <v>315</v>
      </c>
      <c r="C315" s="113" t="s">
        <v>55</v>
      </c>
      <c r="D315" s="81">
        <f t="shared" si="65"/>
        <v>124.14896</v>
      </c>
      <c r="E315" s="82">
        <f t="shared" si="66"/>
        <v>51.982669999999999</v>
      </c>
      <c r="F315" s="83">
        <f t="shared" ref="F315:F359" si="67">H315+I315+K315+L315+M315+N315+P315+Q315+R315+T315+U315+W315+Y315+AA315+AC315+AD315+AG315+AH315+AI315+AK315+AM315+AO315+AQ315+AR315+AS315+AT315+AU315+AV315+AW315+AY315+BA315+BB315+BC315+BE315+BF315+BG315+BH315+BI315+BJ315+BK315+BL315+BO315+BP315+BQ315+BS315+BT315+BU315+BW315+BY315+CA315+BM315+BN315</f>
        <v>72.166290000000004</v>
      </c>
      <c r="G315" s="84"/>
      <c r="H315" s="85"/>
      <c r="I315" s="85"/>
      <c r="J315" s="84"/>
      <c r="K315" s="85"/>
      <c r="L315" s="85"/>
      <c r="M315" s="85"/>
      <c r="N315" s="85"/>
      <c r="O315" s="82"/>
      <c r="P315" s="83"/>
      <c r="Q315" s="83"/>
      <c r="R315" s="83"/>
      <c r="S315" s="82"/>
      <c r="T315" s="83"/>
      <c r="U315" s="83"/>
      <c r="V315" s="84"/>
      <c r="W315" s="85"/>
      <c r="X315" s="87"/>
      <c r="Y315" s="83">
        <v>12.48</v>
      </c>
      <c r="Z315" s="84"/>
      <c r="AA315" s="85"/>
      <c r="AB315" s="84"/>
      <c r="AC315" s="85"/>
      <c r="AD315" s="89">
        <f t="shared" si="60"/>
        <v>0</v>
      </c>
      <c r="AE315" s="83"/>
      <c r="AF315" s="123"/>
      <c r="AG315" s="85"/>
      <c r="AH315" s="85"/>
      <c r="AI315" s="85"/>
      <c r="AJ315" s="84"/>
      <c r="AK315" s="85"/>
      <c r="AL315" s="84"/>
      <c r="AM315" s="85"/>
      <c r="AN315" s="84"/>
      <c r="AO315" s="85"/>
      <c r="AP315" s="84"/>
      <c r="AQ315" s="83"/>
      <c r="AR315" s="83"/>
      <c r="AS315" s="83"/>
      <c r="AT315" s="85"/>
      <c r="AU315" s="85"/>
      <c r="AV315" s="85"/>
      <c r="AW315" s="85"/>
      <c r="AX315" s="84"/>
      <c r="AY315" s="85"/>
      <c r="AZ315" s="84">
        <v>51.982669999999999</v>
      </c>
      <c r="BA315" s="85">
        <v>47.074550000000002</v>
      </c>
      <c r="BB315" s="85"/>
      <c r="BC315" s="85"/>
      <c r="BD315" s="84"/>
      <c r="BE315" s="85"/>
      <c r="BF315" s="85"/>
      <c r="BG315" s="85">
        <v>12.611739999999999</v>
      </c>
      <c r="BH315" s="85"/>
      <c r="BI315" s="85"/>
      <c r="BJ315" s="85"/>
      <c r="BK315" s="85"/>
      <c r="BL315" s="85"/>
      <c r="BM315" s="85"/>
      <c r="BN315" s="85"/>
      <c r="BO315" s="85"/>
      <c r="BP315" s="85"/>
      <c r="BQ315" s="85"/>
      <c r="BR315" s="84"/>
      <c r="BS315" s="85"/>
      <c r="BT315" s="85"/>
      <c r="BU315" s="198"/>
      <c r="BV315" s="90"/>
      <c r="BW315" s="198"/>
      <c r="BX315" s="90"/>
      <c r="BY315" s="198"/>
      <c r="BZ315" s="90"/>
      <c r="CA315" s="91"/>
    </row>
    <row r="316" spans="1:79" ht="50.1" customHeight="1" outlineLevel="2" x14ac:dyDescent="0.3">
      <c r="A316" s="103" t="s">
        <v>295</v>
      </c>
      <c r="B316" s="96" t="s">
        <v>319</v>
      </c>
      <c r="C316" s="79" t="s">
        <v>55</v>
      </c>
      <c r="D316" s="81">
        <f t="shared" si="65"/>
        <v>20.76587</v>
      </c>
      <c r="E316" s="82">
        <f t="shared" si="66"/>
        <v>6.9857500000000003</v>
      </c>
      <c r="F316" s="83">
        <f t="shared" si="67"/>
        <v>13.78012</v>
      </c>
      <c r="G316" s="84"/>
      <c r="H316" s="85"/>
      <c r="I316" s="85"/>
      <c r="J316" s="84"/>
      <c r="K316" s="85"/>
      <c r="L316" s="85"/>
      <c r="M316" s="85"/>
      <c r="N316" s="85"/>
      <c r="O316" s="82"/>
      <c r="P316" s="83"/>
      <c r="Q316" s="83"/>
      <c r="R316" s="83"/>
      <c r="S316" s="82"/>
      <c r="T316" s="83"/>
      <c r="U316" s="83"/>
      <c r="V316" s="84"/>
      <c r="W316" s="85"/>
      <c r="X316" s="87"/>
      <c r="Y316" s="83">
        <v>6.24</v>
      </c>
      <c r="Z316" s="84"/>
      <c r="AA316" s="85"/>
      <c r="AB316" s="84"/>
      <c r="AC316" s="85"/>
      <c r="AD316" s="89"/>
      <c r="AE316" s="89"/>
      <c r="AF316" s="186"/>
      <c r="AG316" s="85"/>
      <c r="AH316" s="85"/>
      <c r="AI316" s="85"/>
      <c r="AJ316" s="84"/>
      <c r="AK316" s="85"/>
      <c r="AL316" s="84"/>
      <c r="AM316" s="88"/>
      <c r="AN316" s="84"/>
      <c r="AO316" s="85"/>
      <c r="AP316" s="84"/>
      <c r="AQ316" s="83"/>
      <c r="AR316" s="83"/>
      <c r="AS316" s="83"/>
      <c r="AT316" s="85"/>
      <c r="AU316" s="85"/>
      <c r="AV316" s="85"/>
      <c r="AW316" s="88"/>
      <c r="AX316" s="84"/>
      <c r="AY316" s="85"/>
      <c r="AZ316" s="84">
        <v>6.9857500000000003</v>
      </c>
      <c r="BA316" s="85">
        <v>6.3261700000000003</v>
      </c>
      <c r="BB316" s="88">
        <v>1.2139500000000001</v>
      </c>
      <c r="BC316" s="85"/>
      <c r="BD316" s="84"/>
      <c r="BE316" s="88"/>
      <c r="BF316" s="85"/>
      <c r="BG316" s="85"/>
      <c r="BH316" s="85"/>
      <c r="BI316" s="85"/>
      <c r="BJ316" s="85"/>
      <c r="BK316" s="85"/>
      <c r="BL316" s="85"/>
      <c r="BM316" s="85"/>
      <c r="BN316" s="85"/>
      <c r="BO316" s="85"/>
      <c r="BP316" s="85"/>
      <c r="BQ316" s="85"/>
      <c r="BR316" s="84"/>
      <c r="BS316" s="85"/>
      <c r="BT316" s="85"/>
      <c r="BU316" s="198"/>
      <c r="BV316" s="90"/>
      <c r="BW316" s="198"/>
      <c r="BX316" s="90"/>
      <c r="BY316" s="198"/>
      <c r="BZ316" s="90"/>
      <c r="CA316" s="91"/>
    </row>
    <row r="317" spans="1:79" ht="50.1" customHeight="1" outlineLevel="2" x14ac:dyDescent="0.3">
      <c r="A317" s="103" t="s">
        <v>1255</v>
      </c>
      <c r="B317" s="96" t="s">
        <v>316</v>
      </c>
      <c r="C317" s="79" t="s">
        <v>55</v>
      </c>
      <c r="D317" s="81">
        <f t="shared" si="65"/>
        <v>32.408279999999998</v>
      </c>
      <c r="E317" s="82">
        <f t="shared" si="66"/>
        <v>5.1517999999999997</v>
      </c>
      <c r="F317" s="83">
        <f t="shared" si="67"/>
        <v>27.25648</v>
      </c>
      <c r="G317" s="84"/>
      <c r="H317" s="85"/>
      <c r="I317" s="85"/>
      <c r="J317" s="84"/>
      <c r="K317" s="85"/>
      <c r="L317" s="85"/>
      <c r="M317" s="85"/>
      <c r="N317" s="85"/>
      <c r="O317" s="82"/>
      <c r="P317" s="83"/>
      <c r="Q317" s="83"/>
      <c r="R317" s="83"/>
      <c r="S317" s="82"/>
      <c r="T317" s="83"/>
      <c r="U317" s="83"/>
      <c r="V317" s="84"/>
      <c r="W317" s="85"/>
      <c r="X317" s="87"/>
      <c r="Y317" s="83">
        <v>15.6</v>
      </c>
      <c r="Z317" s="84"/>
      <c r="AA317" s="85"/>
      <c r="AB317" s="84"/>
      <c r="AC317" s="85"/>
      <c r="AD317" s="89">
        <f t="shared" si="60"/>
        <v>0</v>
      </c>
      <c r="AE317" s="89"/>
      <c r="AF317" s="186"/>
      <c r="AG317" s="85"/>
      <c r="AH317" s="85"/>
      <c r="AI317" s="85"/>
      <c r="AJ317" s="84"/>
      <c r="AK317" s="85"/>
      <c r="AL317" s="84"/>
      <c r="AM317" s="88"/>
      <c r="AN317" s="84"/>
      <c r="AO317" s="85"/>
      <c r="AP317" s="84">
        <v>5.1517999999999997</v>
      </c>
      <c r="AQ317" s="83">
        <v>11.65648</v>
      </c>
      <c r="AR317" s="83"/>
      <c r="AS317" s="83"/>
      <c r="AT317" s="85"/>
      <c r="AU317" s="85"/>
      <c r="AV317" s="85"/>
      <c r="AW317" s="88"/>
      <c r="AX317" s="84"/>
      <c r="AY317" s="85"/>
      <c r="AZ317" s="84"/>
      <c r="BA317" s="85"/>
      <c r="BB317" s="88"/>
      <c r="BC317" s="85"/>
      <c r="BD317" s="84"/>
      <c r="BE317" s="88"/>
      <c r="BF317" s="85"/>
      <c r="BG317" s="85"/>
      <c r="BH317" s="85"/>
      <c r="BI317" s="85"/>
      <c r="BJ317" s="85"/>
      <c r="BK317" s="85"/>
      <c r="BL317" s="85"/>
      <c r="BM317" s="85"/>
      <c r="BN317" s="85"/>
      <c r="BO317" s="85"/>
      <c r="BP317" s="85"/>
      <c r="BQ317" s="85"/>
      <c r="BR317" s="84"/>
      <c r="BS317" s="85"/>
      <c r="BT317" s="85"/>
      <c r="BU317" s="198"/>
      <c r="BV317" s="90"/>
      <c r="BW317" s="198"/>
      <c r="BX317" s="90"/>
      <c r="BY317" s="198"/>
      <c r="BZ317" s="90"/>
      <c r="CA317" s="91"/>
    </row>
    <row r="318" spans="1:79" ht="50.1" customHeight="1" outlineLevel="2" x14ac:dyDescent="0.3">
      <c r="A318" s="103" t="s">
        <v>295</v>
      </c>
      <c r="B318" s="96" t="s">
        <v>317</v>
      </c>
      <c r="C318" s="79" t="s">
        <v>55</v>
      </c>
      <c r="D318" s="81">
        <f t="shared" si="65"/>
        <v>219.05152000000001</v>
      </c>
      <c r="E318" s="82">
        <f t="shared" si="66"/>
        <v>109.96994000000001</v>
      </c>
      <c r="F318" s="83">
        <f t="shared" si="67"/>
        <v>109.08158</v>
      </c>
      <c r="G318" s="84"/>
      <c r="H318" s="85"/>
      <c r="I318" s="85"/>
      <c r="J318" s="84"/>
      <c r="K318" s="85"/>
      <c r="L318" s="85"/>
      <c r="M318" s="85"/>
      <c r="N318" s="85"/>
      <c r="O318" s="82"/>
      <c r="P318" s="83"/>
      <c r="Q318" s="83"/>
      <c r="R318" s="83"/>
      <c r="S318" s="82"/>
      <c r="T318" s="83"/>
      <c r="U318" s="83"/>
      <c r="V318" s="84">
        <v>15.69406</v>
      </c>
      <c r="W318" s="85">
        <v>26.33728</v>
      </c>
      <c r="X318" s="87"/>
      <c r="Y318" s="83">
        <v>15.6</v>
      </c>
      <c r="Z318" s="84"/>
      <c r="AA318" s="85"/>
      <c r="AB318" s="84"/>
      <c r="AC318" s="85"/>
      <c r="AD318" s="89">
        <f t="shared" ref="AD318:AD362" si="68">AE318+AF318</f>
        <v>0</v>
      </c>
      <c r="AE318" s="89"/>
      <c r="AF318" s="186"/>
      <c r="AG318" s="85"/>
      <c r="AH318" s="85"/>
      <c r="AI318" s="85"/>
      <c r="AJ318" s="84"/>
      <c r="AK318" s="85"/>
      <c r="AL318" s="84"/>
      <c r="AM318" s="88"/>
      <c r="AN318" s="84"/>
      <c r="AO318" s="85"/>
      <c r="AP318" s="84"/>
      <c r="AQ318" s="83"/>
      <c r="AR318" s="83"/>
      <c r="AS318" s="83"/>
      <c r="AT318" s="85"/>
      <c r="AU318" s="85"/>
      <c r="AV318" s="85"/>
      <c r="AW318" s="88"/>
      <c r="AX318" s="84"/>
      <c r="AY318" s="85"/>
      <c r="AZ318" s="84">
        <v>94.275880000000001</v>
      </c>
      <c r="BA318" s="85">
        <v>60.777799999999999</v>
      </c>
      <c r="BB318" s="88">
        <v>6.3665000000000003</v>
      </c>
      <c r="BC318" s="85"/>
      <c r="BD318" s="84"/>
      <c r="BE318" s="88"/>
      <c r="BF318" s="85"/>
      <c r="BG318" s="85"/>
      <c r="BH318" s="85"/>
      <c r="BI318" s="85"/>
      <c r="BJ318" s="85"/>
      <c r="BK318" s="85"/>
      <c r="BL318" s="85"/>
      <c r="BM318" s="85"/>
      <c r="BN318" s="85"/>
      <c r="BO318" s="85"/>
      <c r="BP318" s="85"/>
      <c r="BQ318" s="85"/>
      <c r="BR318" s="84"/>
      <c r="BS318" s="85"/>
      <c r="BT318" s="85"/>
      <c r="BU318" s="198"/>
      <c r="BV318" s="90"/>
      <c r="BW318" s="198"/>
      <c r="BX318" s="90"/>
      <c r="BY318" s="198"/>
      <c r="BZ318" s="90"/>
      <c r="CA318" s="91"/>
    </row>
    <row r="319" spans="1:79" ht="50.1" customHeight="1" outlineLevel="2" x14ac:dyDescent="0.3">
      <c r="A319" s="103" t="s">
        <v>295</v>
      </c>
      <c r="B319" s="96" t="s">
        <v>318</v>
      </c>
      <c r="C319" s="79" t="s">
        <v>55</v>
      </c>
      <c r="D319" s="81">
        <f t="shared" si="65"/>
        <v>3416.2031999999999</v>
      </c>
      <c r="E319" s="82">
        <f t="shared" si="66"/>
        <v>0</v>
      </c>
      <c r="F319" s="83">
        <f t="shared" si="67"/>
        <v>3416.2031999999999</v>
      </c>
      <c r="G319" s="84"/>
      <c r="H319" s="85"/>
      <c r="I319" s="85"/>
      <c r="J319" s="84"/>
      <c r="K319" s="85"/>
      <c r="L319" s="85"/>
      <c r="M319" s="85"/>
      <c r="N319" s="85"/>
      <c r="O319" s="82"/>
      <c r="P319" s="83"/>
      <c r="Q319" s="83"/>
      <c r="R319" s="83"/>
      <c r="S319" s="82"/>
      <c r="T319" s="83"/>
      <c r="U319" s="83"/>
      <c r="V319" s="84"/>
      <c r="W319" s="85"/>
      <c r="X319" s="87"/>
      <c r="Y319" s="83"/>
      <c r="Z319" s="84"/>
      <c r="AA319" s="85"/>
      <c r="AB319" s="84"/>
      <c r="AC319" s="85"/>
      <c r="AD319" s="89">
        <f t="shared" si="68"/>
        <v>0</v>
      </c>
      <c r="AE319" s="89"/>
      <c r="AF319" s="186"/>
      <c r="AG319" s="85"/>
      <c r="AH319" s="85"/>
      <c r="AI319" s="85"/>
      <c r="AJ319" s="84"/>
      <c r="AK319" s="85"/>
      <c r="AL319" s="84"/>
      <c r="AM319" s="88"/>
      <c r="AN319" s="84"/>
      <c r="AO319" s="85"/>
      <c r="AP319" s="84"/>
      <c r="AQ319" s="83"/>
      <c r="AR319" s="83"/>
      <c r="AS319" s="83"/>
      <c r="AT319" s="85"/>
      <c r="AU319" s="85"/>
      <c r="AV319" s="85"/>
      <c r="AW319" s="88"/>
      <c r="AX319" s="84"/>
      <c r="AY319" s="85"/>
      <c r="AZ319" s="84"/>
      <c r="BA319" s="85"/>
      <c r="BB319" s="88"/>
      <c r="BC319" s="85"/>
      <c r="BD319" s="84"/>
      <c r="BE319" s="88"/>
      <c r="BF319" s="85"/>
      <c r="BG319" s="85"/>
      <c r="BH319" s="85"/>
      <c r="BI319" s="85"/>
      <c r="BJ319" s="85"/>
      <c r="BK319" s="85">
        <v>416.20319999999998</v>
      </c>
      <c r="BL319" s="85"/>
      <c r="BM319" s="85"/>
      <c r="BN319" s="85"/>
      <c r="BO319" s="85"/>
      <c r="BP319" s="85"/>
      <c r="BQ319" s="85"/>
      <c r="BR319" s="84"/>
      <c r="BS319" s="85"/>
      <c r="BT319" s="85"/>
      <c r="BU319" s="198"/>
      <c r="BV319" s="90"/>
      <c r="BW319" s="198">
        <v>3000</v>
      </c>
      <c r="BX319" s="90"/>
      <c r="BY319" s="198"/>
      <c r="BZ319" s="90"/>
      <c r="CA319" s="91"/>
    </row>
    <row r="320" spans="1:79" ht="50.1" customHeight="1" outlineLevel="2" x14ac:dyDescent="0.3">
      <c r="A320" s="103" t="s">
        <v>295</v>
      </c>
      <c r="B320" s="96" t="s">
        <v>1200</v>
      </c>
      <c r="C320" s="79" t="s">
        <v>55</v>
      </c>
      <c r="D320" s="81">
        <f t="shared" si="65"/>
        <v>2660</v>
      </c>
      <c r="E320" s="82">
        <f t="shared" si="66"/>
        <v>0</v>
      </c>
      <c r="F320" s="83">
        <f t="shared" si="67"/>
        <v>2660</v>
      </c>
      <c r="G320" s="84"/>
      <c r="H320" s="85"/>
      <c r="I320" s="85"/>
      <c r="J320" s="84"/>
      <c r="K320" s="85"/>
      <c r="L320" s="85"/>
      <c r="M320" s="85"/>
      <c r="N320" s="85"/>
      <c r="O320" s="82"/>
      <c r="P320" s="83"/>
      <c r="Q320" s="83"/>
      <c r="R320" s="83"/>
      <c r="S320" s="82"/>
      <c r="T320" s="83"/>
      <c r="U320" s="83"/>
      <c r="V320" s="84"/>
      <c r="W320" s="85"/>
      <c r="X320" s="87"/>
      <c r="Y320" s="83"/>
      <c r="Z320" s="84"/>
      <c r="AA320" s="85"/>
      <c r="AB320" s="84"/>
      <c r="AC320" s="85"/>
      <c r="AD320" s="89"/>
      <c r="AE320" s="89"/>
      <c r="AF320" s="186"/>
      <c r="AG320" s="85"/>
      <c r="AH320" s="85"/>
      <c r="AI320" s="85"/>
      <c r="AJ320" s="84"/>
      <c r="AK320" s="85"/>
      <c r="AL320" s="84"/>
      <c r="AM320" s="88"/>
      <c r="AN320" s="84"/>
      <c r="AO320" s="85"/>
      <c r="AP320" s="84"/>
      <c r="AQ320" s="83"/>
      <c r="AR320" s="83"/>
      <c r="AS320" s="83"/>
      <c r="AT320" s="85"/>
      <c r="AU320" s="85"/>
      <c r="AV320" s="85"/>
      <c r="AW320" s="88"/>
      <c r="AX320" s="84"/>
      <c r="AY320" s="85"/>
      <c r="AZ320" s="84"/>
      <c r="BA320" s="85"/>
      <c r="BB320" s="88"/>
      <c r="BC320" s="85"/>
      <c r="BD320" s="84"/>
      <c r="BE320" s="88"/>
      <c r="BF320" s="85"/>
      <c r="BG320" s="85"/>
      <c r="BH320" s="85"/>
      <c r="BI320" s="85"/>
      <c r="BJ320" s="85"/>
      <c r="BK320" s="85"/>
      <c r="BL320" s="85"/>
      <c r="BM320" s="85"/>
      <c r="BN320" s="85"/>
      <c r="BO320" s="85"/>
      <c r="BP320" s="85"/>
      <c r="BQ320" s="85"/>
      <c r="BR320" s="84"/>
      <c r="BS320" s="85"/>
      <c r="BT320" s="85"/>
      <c r="BU320" s="198"/>
      <c r="BV320" s="90"/>
      <c r="BW320" s="198">
        <v>2660</v>
      </c>
      <c r="BX320" s="90"/>
      <c r="BY320" s="198"/>
      <c r="BZ320" s="90"/>
      <c r="CA320" s="91"/>
    </row>
    <row r="321" spans="1:1199" ht="50.1" customHeight="1" outlineLevel="2" x14ac:dyDescent="0.3">
      <c r="A321" s="103" t="s">
        <v>295</v>
      </c>
      <c r="B321" s="96" t="s">
        <v>320</v>
      </c>
      <c r="C321" s="79" t="s">
        <v>53</v>
      </c>
      <c r="D321" s="81">
        <f t="shared" si="65"/>
        <v>5787.2943300000006</v>
      </c>
      <c r="E321" s="82">
        <f t="shared" si="66"/>
        <v>11.83405</v>
      </c>
      <c r="F321" s="83">
        <f t="shared" si="67"/>
        <v>5775.4602800000002</v>
      </c>
      <c r="G321" s="84"/>
      <c r="H321" s="85"/>
      <c r="I321" s="85"/>
      <c r="J321" s="84"/>
      <c r="K321" s="85"/>
      <c r="L321" s="85"/>
      <c r="M321" s="85"/>
      <c r="N321" s="85">
        <v>5764.7435999999998</v>
      </c>
      <c r="O321" s="82"/>
      <c r="P321" s="83"/>
      <c r="Q321" s="83"/>
      <c r="R321" s="83"/>
      <c r="S321" s="82"/>
      <c r="T321" s="83"/>
      <c r="U321" s="83"/>
      <c r="V321" s="84"/>
      <c r="W321" s="85"/>
      <c r="X321" s="82"/>
      <c r="Y321" s="83"/>
      <c r="Z321" s="84"/>
      <c r="AA321" s="85"/>
      <c r="AB321" s="84"/>
      <c r="AC321" s="85"/>
      <c r="AD321" s="89">
        <f t="shared" si="68"/>
        <v>0</v>
      </c>
      <c r="AE321" s="89"/>
      <c r="AF321" s="186"/>
      <c r="AG321" s="85"/>
      <c r="AH321" s="85"/>
      <c r="AI321" s="85"/>
      <c r="AJ321" s="84"/>
      <c r="AK321" s="85"/>
      <c r="AL321" s="84"/>
      <c r="AM321" s="88"/>
      <c r="AN321" s="84"/>
      <c r="AO321" s="85"/>
      <c r="AP321" s="84"/>
      <c r="AQ321" s="83"/>
      <c r="AR321" s="83"/>
      <c r="AS321" s="83"/>
      <c r="AT321" s="85"/>
      <c r="AU321" s="85"/>
      <c r="AV321" s="85"/>
      <c r="AW321" s="88"/>
      <c r="AX321" s="84"/>
      <c r="AY321" s="85"/>
      <c r="AZ321" s="84">
        <v>11.83405</v>
      </c>
      <c r="BA321" s="85">
        <v>10.71668</v>
      </c>
      <c r="BB321" s="88"/>
      <c r="BC321" s="85"/>
      <c r="BD321" s="84"/>
      <c r="BE321" s="88"/>
      <c r="BF321" s="85"/>
      <c r="BG321" s="85"/>
      <c r="BH321" s="85"/>
      <c r="BI321" s="85"/>
      <c r="BJ321" s="85"/>
      <c r="BK321" s="85"/>
      <c r="BL321" s="85"/>
      <c r="BM321" s="85"/>
      <c r="BN321" s="85"/>
      <c r="BO321" s="85"/>
      <c r="BP321" s="85"/>
      <c r="BQ321" s="85"/>
      <c r="BR321" s="84"/>
      <c r="BS321" s="85"/>
      <c r="BT321" s="85"/>
      <c r="BU321" s="198"/>
      <c r="BV321" s="90"/>
      <c r="BW321" s="198"/>
      <c r="BX321" s="90"/>
      <c r="BY321" s="198"/>
      <c r="BZ321" s="90"/>
      <c r="CA321" s="91"/>
    </row>
    <row r="322" spans="1:1199" ht="50.1" customHeight="1" outlineLevel="2" x14ac:dyDescent="0.3">
      <c r="A322" s="103" t="s">
        <v>295</v>
      </c>
      <c r="B322" s="96" t="s">
        <v>321</v>
      </c>
      <c r="C322" s="115" t="s">
        <v>53</v>
      </c>
      <c r="D322" s="81">
        <f t="shared" si="65"/>
        <v>6460.9999099999995</v>
      </c>
      <c r="E322" s="82">
        <f t="shared" si="66"/>
        <v>257.42493000000002</v>
      </c>
      <c r="F322" s="83">
        <f t="shared" si="67"/>
        <v>6203.5749799999994</v>
      </c>
      <c r="G322" s="84"/>
      <c r="H322" s="85"/>
      <c r="I322" s="85"/>
      <c r="J322" s="84"/>
      <c r="K322" s="85"/>
      <c r="L322" s="85"/>
      <c r="M322" s="85"/>
      <c r="N322" s="85">
        <v>5829.0589499999996</v>
      </c>
      <c r="O322" s="82"/>
      <c r="P322" s="83"/>
      <c r="Q322" s="83"/>
      <c r="R322" s="83"/>
      <c r="S322" s="82"/>
      <c r="T322" s="83"/>
      <c r="U322" s="83"/>
      <c r="V322" s="84"/>
      <c r="W322" s="85"/>
      <c r="X322" s="87"/>
      <c r="Y322" s="83">
        <v>31.2</v>
      </c>
      <c r="Z322" s="84"/>
      <c r="AA322" s="85"/>
      <c r="AB322" s="84"/>
      <c r="AC322" s="85"/>
      <c r="AD322" s="89">
        <f t="shared" si="68"/>
        <v>0</v>
      </c>
      <c r="AE322" s="89"/>
      <c r="AF322" s="186"/>
      <c r="AG322" s="85"/>
      <c r="AH322" s="85"/>
      <c r="AI322" s="85"/>
      <c r="AJ322" s="84"/>
      <c r="AK322" s="85"/>
      <c r="AL322" s="84"/>
      <c r="AM322" s="88"/>
      <c r="AN322" s="84"/>
      <c r="AO322" s="85"/>
      <c r="AP322" s="84"/>
      <c r="AQ322" s="83"/>
      <c r="AR322" s="83"/>
      <c r="AS322" s="83"/>
      <c r="AT322" s="85"/>
      <c r="AU322" s="85"/>
      <c r="AV322" s="85"/>
      <c r="AW322" s="88"/>
      <c r="AX322" s="84"/>
      <c r="AY322" s="85"/>
      <c r="AZ322" s="84">
        <v>257.42493000000002</v>
      </c>
      <c r="BA322" s="85">
        <v>160.00353999999999</v>
      </c>
      <c r="BB322" s="88">
        <v>131.81858</v>
      </c>
      <c r="BC322" s="85"/>
      <c r="BD322" s="84"/>
      <c r="BE322" s="88"/>
      <c r="BF322" s="85"/>
      <c r="BG322" s="85">
        <v>51.49391</v>
      </c>
      <c r="BH322" s="85"/>
      <c r="BI322" s="85"/>
      <c r="BJ322" s="85"/>
      <c r="BK322" s="85"/>
      <c r="BL322" s="85"/>
      <c r="BM322" s="85"/>
      <c r="BN322" s="85"/>
      <c r="BO322" s="85"/>
      <c r="BP322" s="85"/>
      <c r="BQ322" s="85"/>
      <c r="BR322" s="84"/>
      <c r="BS322" s="85"/>
      <c r="BT322" s="85"/>
      <c r="BU322" s="198"/>
      <c r="BV322" s="90"/>
      <c r="BW322" s="198"/>
      <c r="BX322" s="90"/>
      <c r="BY322" s="198"/>
      <c r="BZ322" s="90"/>
      <c r="CA322" s="91"/>
    </row>
    <row r="323" spans="1:1199" ht="50.1" customHeight="1" outlineLevel="2" x14ac:dyDescent="0.3">
      <c r="A323" s="103" t="s">
        <v>295</v>
      </c>
      <c r="B323" s="96" t="s">
        <v>322</v>
      </c>
      <c r="C323" s="79" t="s">
        <v>89</v>
      </c>
      <c r="D323" s="81">
        <f t="shared" si="65"/>
        <v>126.44787000000001</v>
      </c>
      <c r="E323" s="82">
        <f t="shared" si="66"/>
        <v>119.3931</v>
      </c>
      <c r="F323" s="83">
        <f t="shared" si="67"/>
        <v>7.0547700000000004</v>
      </c>
      <c r="G323" s="84"/>
      <c r="H323" s="85"/>
      <c r="I323" s="85"/>
      <c r="J323" s="84"/>
      <c r="K323" s="85"/>
      <c r="L323" s="85"/>
      <c r="M323" s="85"/>
      <c r="N323" s="85"/>
      <c r="O323" s="82">
        <f>79.1591+40.234</f>
        <v>119.3931</v>
      </c>
      <c r="P323" s="83">
        <f>4.68015+2.37462</f>
        <v>7.0547700000000004</v>
      </c>
      <c r="Q323" s="83"/>
      <c r="R323" s="83"/>
      <c r="S323" s="82"/>
      <c r="T323" s="83"/>
      <c r="U323" s="83"/>
      <c r="V323" s="84"/>
      <c r="W323" s="85"/>
      <c r="X323" s="82"/>
      <c r="Y323" s="83"/>
      <c r="Z323" s="84"/>
      <c r="AA323" s="85"/>
      <c r="AB323" s="84"/>
      <c r="AC323" s="85"/>
      <c r="AD323" s="89">
        <f t="shared" si="68"/>
        <v>0</v>
      </c>
      <c r="AE323" s="89"/>
      <c r="AF323" s="186"/>
      <c r="AG323" s="85"/>
      <c r="AH323" s="85"/>
      <c r="AI323" s="85"/>
      <c r="AJ323" s="84"/>
      <c r="AK323" s="85"/>
      <c r="AL323" s="84"/>
      <c r="AM323" s="88"/>
      <c r="AN323" s="84"/>
      <c r="AO323" s="85"/>
      <c r="AP323" s="84"/>
      <c r="AQ323" s="83"/>
      <c r="AR323" s="83"/>
      <c r="AS323" s="83"/>
      <c r="AT323" s="85"/>
      <c r="AU323" s="85"/>
      <c r="AV323" s="85"/>
      <c r="AW323" s="88"/>
      <c r="AX323" s="84"/>
      <c r="AY323" s="85"/>
      <c r="AZ323" s="84"/>
      <c r="BA323" s="85"/>
      <c r="BB323" s="88"/>
      <c r="BC323" s="85"/>
      <c r="BD323" s="84"/>
      <c r="BE323" s="88"/>
      <c r="BF323" s="85"/>
      <c r="BG323" s="85"/>
      <c r="BH323" s="85"/>
      <c r="BI323" s="85"/>
      <c r="BJ323" s="85"/>
      <c r="BK323" s="85"/>
      <c r="BL323" s="85"/>
      <c r="BM323" s="85"/>
      <c r="BN323" s="85"/>
      <c r="BO323" s="85"/>
      <c r="BP323" s="85"/>
      <c r="BQ323" s="85"/>
      <c r="BR323" s="84"/>
      <c r="BS323" s="85"/>
      <c r="BT323" s="85"/>
      <c r="BU323" s="198"/>
      <c r="BV323" s="90"/>
      <c r="BW323" s="198"/>
      <c r="BX323" s="90"/>
      <c r="BY323" s="198"/>
      <c r="BZ323" s="90"/>
      <c r="CA323" s="91"/>
    </row>
    <row r="324" spans="1:1199" ht="50.1" customHeight="1" outlineLevel="2" x14ac:dyDescent="0.3">
      <c r="A324" s="103" t="s">
        <v>1255</v>
      </c>
      <c r="B324" s="96" t="s">
        <v>1051</v>
      </c>
      <c r="C324" s="79" t="s">
        <v>1268</v>
      </c>
      <c r="D324" s="81">
        <f t="shared" si="65"/>
        <v>17.373529999999999</v>
      </c>
      <c r="E324" s="82">
        <f t="shared" si="66"/>
        <v>0</v>
      </c>
      <c r="F324" s="83">
        <f t="shared" si="67"/>
        <v>17.373529999999999</v>
      </c>
      <c r="G324" s="84"/>
      <c r="H324" s="85"/>
      <c r="I324" s="85"/>
      <c r="J324" s="84"/>
      <c r="K324" s="85"/>
      <c r="L324" s="85"/>
      <c r="M324" s="85"/>
      <c r="N324" s="85"/>
      <c r="O324" s="82"/>
      <c r="P324" s="83"/>
      <c r="Q324" s="83"/>
      <c r="R324" s="83"/>
      <c r="S324" s="82"/>
      <c r="T324" s="83"/>
      <c r="U324" s="83"/>
      <c r="V324" s="84"/>
      <c r="W324" s="85"/>
      <c r="X324" s="82"/>
      <c r="Y324" s="83"/>
      <c r="Z324" s="84"/>
      <c r="AA324" s="85"/>
      <c r="AB324" s="84"/>
      <c r="AC324" s="85"/>
      <c r="AD324" s="89">
        <f t="shared" si="68"/>
        <v>17.373529999999999</v>
      </c>
      <c r="AE324" s="89">
        <v>4.2981999999999996</v>
      </c>
      <c r="AF324" s="186">
        <f>13.07533</f>
        <v>13.075329999999999</v>
      </c>
      <c r="AG324" s="85"/>
      <c r="AH324" s="85"/>
      <c r="AI324" s="85"/>
      <c r="AJ324" s="84"/>
      <c r="AK324" s="85"/>
      <c r="AL324" s="84"/>
      <c r="AM324" s="88"/>
      <c r="AN324" s="84"/>
      <c r="AO324" s="85"/>
      <c r="AP324" s="84"/>
      <c r="AQ324" s="83"/>
      <c r="AR324" s="83"/>
      <c r="AS324" s="83"/>
      <c r="AT324" s="85"/>
      <c r="AU324" s="85"/>
      <c r="AV324" s="85"/>
      <c r="AW324" s="88"/>
      <c r="AX324" s="84"/>
      <c r="AY324" s="85"/>
      <c r="AZ324" s="84"/>
      <c r="BA324" s="85"/>
      <c r="BB324" s="88"/>
      <c r="BC324" s="85"/>
      <c r="BD324" s="84"/>
      <c r="BE324" s="88"/>
      <c r="BF324" s="85"/>
      <c r="BG324" s="85"/>
      <c r="BH324" s="85"/>
      <c r="BI324" s="85"/>
      <c r="BJ324" s="85"/>
      <c r="BK324" s="85"/>
      <c r="BL324" s="85"/>
      <c r="BM324" s="85"/>
      <c r="BN324" s="85"/>
      <c r="BO324" s="85"/>
      <c r="BP324" s="85"/>
      <c r="BQ324" s="85"/>
      <c r="BR324" s="84"/>
      <c r="BS324" s="85"/>
      <c r="BT324" s="85"/>
      <c r="BU324" s="198"/>
      <c r="BV324" s="90"/>
      <c r="BW324" s="198"/>
      <c r="BX324" s="90"/>
      <c r="BY324" s="198"/>
      <c r="BZ324" s="90"/>
      <c r="CA324" s="91"/>
    </row>
    <row r="325" spans="1:1199" ht="75.75" customHeight="1" outlineLevel="2" x14ac:dyDescent="0.3">
      <c r="A325" s="103" t="s">
        <v>295</v>
      </c>
      <c r="B325" s="96" t="s">
        <v>323</v>
      </c>
      <c r="C325" s="79" t="s">
        <v>1268</v>
      </c>
      <c r="D325" s="81">
        <f t="shared" si="65"/>
        <v>32.714120000000001</v>
      </c>
      <c r="E325" s="82">
        <f t="shared" si="66"/>
        <v>0</v>
      </c>
      <c r="F325" s="83">
        <f t="shared" si="67"/>
        <v>32.714120000000001</v>
      </c>
      <c r="G325" s="84"/>
      <c r="H325" s="85"/>
      <c r="I325" s="85"/>
      <c r="J325" s="84"/>
      <c r="K325" s="85"/>
      <c r="L325" s="85"/>
      <c r="M325" s="85"/>
      <c r="N325" s="85"/>
      <c r="O325" s="82"/>
      <c r="P325" s="83"/>
      <c r="Q325" s="83"/>
      <c r="R325" s="83"/>
      <c r="S325" s="82"/>
      <c r="T325" s="83"/>
      <c r="U325" s="83"/>
      <c r="V325" s="84"/>
      <c r="W325" s="85"/>
      <c r="X325" s="82"/>
      <c r="Y325" s="83"/>
      <c r="Z325" s="84"/>
      <c r="AA325" s="85"/>
      <c r="AB325" s="84"/>
      <c r="AC325" s="85"/>
      <c r="AD325" s="89">
        <f t="shared" si="68"/>
        <v>32.714120000000001</v>
      </c>
      <c r="AE325" s="89">
        <v>6.4473000000000003</v>
      </c>
      <c r="AF325" s="186">
        <v>26.266819999999999</v>
      </c>
      <c r="AG325" s="85"/>
      <c r="AH325" s="85"/>
      <c r="AI325" s="85"/>
      <c r="AJ325" s="84"/>
      <c r="AK325" s="85"/>
      <c r="AL325" s="84"/>
      <c r="AM325" s="88"/>
      <c r="AN325" s="84"/>
      <c r="AO325" s="85"/>
      <c r="AP325" s="84"/>
      <c r="AQ325" s="83"/>
      <c r="AR325" s="83"/>
      <c r="AS325" s="83"/>
      <c r="AT325" s="85"/>
      <c r="AU325" s="85"/>
      <c r="AV325" s="85"/>
      <c r="AW325" s="88"/>
      <c r="AX325" s="84"/>
      <c r="AY325" s="85"/>
      <c r="AZ325" s="84"/>
      <c r="BA325" s="85"/>
      <c r="BB325" s="88"/>
      <c r="BC325" s="85"/>
      <c r="BD325" s="84"/>
      <c r="BE325" s="88"/>
      <c r="BF325" s="85"/>
      <c r="BG325" s="85"/>
      <c r="BH325" s="85"/>
      <c r="BI325" s="85"/>
      <c r="BJ325" s="85"/>
      <c r="BK325" s="85"/>
      <c r="BL325" s="85"/>
      <c r="BM325" s="85"/>
      <c r="BN325" s="85"/>
      <c r="BO325" s="85"/>
      <c r="BP325" s="85"/>
      <c r="BQ325" s="85"/>
      <c r="BR325" s="84"/>
      <c r="BS325" s="85"/>
      <c r="BT325" s="85"/>
      <c r="BU325" s="198"/>
      <c r="BV325" s="90"/>
      <c r="BW325" s="198"/>
      <c r="BX325" s="90"/>
      <c r="BY325" s="198"/>
      <c r="BZ325" s="90"/>
      <c r="CA325" s="91"/>
    </row>
    <row r="326" spans="1:1199" ht="50.1" customHeight="1" outlineLevel="2" x14ac:dyDescent="0.3">
      <c r="A326" s="103" t="s">
        <v>295</v>
      </c>
      <c r="B326" s="111" t="s">
        <v>324</v>
      </c>
      <c r="C326" s="79"/>
      <c r="D326" s="81">
        <f t="shared" si="65"/>
        <v>300</v>
      </c>
      <c r="E326" s="82">
        <f t="shared" si="66"/>
        <v>0</v>
      </c>
      <c r="F326" s="83">
        <f t="shared" si="67"/>
        <v>300</v>
      </c>
      <c r="G326" s="84"/>
      <c r="H326" s="85"/>
      <c r="I326" s="85"/>
      <c r="J326" s="84"/>
      <c r="K326" s="85"/>
      <c r="L326" s="85"/>
      <c r="M326" s="85"/>
      <c r="N326" s="85"/>
      <c r="O326" s="82"/>
      <c r="P326" s="83"/>
      <c r="Q326" s="83"/>
      <c r="R326" s="83"/>
      <c r="S326" s="82"/>
      <c r="T326" s="83"/>
      <c r="U326" s="83"/>
      <c r="V326" s="84"/>
      <c r="W326" s="85"/>
      <c r="X326" s="82"/>
      <c r="Y326" s="83"/>
      <c r="Z326" s="84"/>
      <c r="AA326" s="85"/>
      <c r="AB326" s="84"/>
      <c r="AC326" s="85"/>
      <c r="AD326" s="89">
        <f t="shared" si="68"/>
        <v>0</v>
      </c>
      <c r="AE326" s="89"/>
      <c r="AF326" s="186"/>
      <c r="AG326" s="85"/>
      <c r="AH326" s="85"/>
      <c r="AI326" s="85"/>
      <c r="AJ326" s="84"/>
      <c r="AK326" s="85"/>
      <c r="AL326" s="84"/>
      <c r="AM326" s="88"/>
      <c r="AN326" s="84"/>
      <c r="AO326" s="85"/>
      <c r="AP326" s="84"/>
      <c r="AQ326" s="83"/>
      <c r="AR326" s="83"/>
      <c r="AS326" s="83"/>
      <c r="AT326" s="85"/>
      <c r="AU326" s="85"/>
      <c r="AV326" s="85"/>
      <c r="AW326" s="88"/>
      <c r="AX326" s="84"/>
      <c r="AY326" s="85"/>
      <c r="AZ326" s="84"/>
      <c r="BA326" s="85"/>
      <c r="BB326" s="88"/>
      <c r="BC326" s="85"/>
      <c r="BD326" s="84"/>
      <c r="BE326" s="88"/>
      <c r="BF326" s="85"/>
      <c r="BG326" s="85"/>
      <c r="BH326" s="85">
        <v>300</v>
      </c>
      <c r="BI326" s="85"/>
      <c r="BJ326" s="85"/>
      <c r="BK326" s="85"/>
      <c r="BL326" s="85"/>
      <c r="BM326" s="85"/>
      <c r="BN326" s="85"/>
      <c r="BO326" s="85"/>
      <c r="BP326" s="85"/>
      <c r="BQ326" s="85"/>
      <c r="BR326" s="84"/>
      <c r="BS326" s="85"/>
      <c r="BT326" s="85"/>
      <c r="BU326" s="198"/>
      <c r="BV326" s="90"/>
      <c r="BW326" s="198"/>
      <c r="BX326" s="90"/>
      <c r="BY326" s="198"/>
      <c r="BZ326" s="90"/>
      <c r="CA326" s="91"/>
    </row>
    <row r="327" spans="1:1199" ht="50.1" customHeight="1" outlineLevel="2" x14ac:dyDescent="0.3">
      <c r="A327" s="103" t="s">
        <v>295</v>
      </c>
      <c r="B327" s="111" t="s">
        <v>1046</v>
      </c>
      <c r="C327" s="79"/>
      <c r="D327" s="81">
        <f t="shared" si="65"/>
        <v>29.55</v>
      </c>
      <c r="E327" s="82">
        <f t="shared" si="66"/>
        <v>0</v>
      </c>
      <c r="F327" s="83">
        <f t="shared" si="67"/>
        <v>29.55</v>
      </c>
      <c r="G327" s="84"/>
      <c r="H327" s="85"/>
      <c r="I327" s="85"/>
      <c r="J327" s="84"/>
      <c r="K327" s="85"/>
      <c r="L327" s="85"/>
      <c r="M327" s="85"/>
      <c r="N327" s="85"/>
      <c r="O327" s="82"/>
      <c r="P327" s="83"/>
      <c r="Q327" s="83"/>
      <c r="R327" s="83"/>
      <c r="S327" s="82"/>
      <c r="T327" s="83"/>
      <c r="U327" s="83"/>
      <c r="V327" s="84"/>
      <c r="W327" s="85"/>
      <c r="X327" s="82"/>
      <c r="Y327" s="83"/>
      <c r="Z327" s="84"/>
      <c r="AA327" s="85"/>
      <c r="AB327" s="84"/>
      <c r="AC327" s="85"/>
      <c r="AD327" s="89">
        <f t="shared" si="68"/>
        <v>0</v>
      </c>
      <c r="AE327" s="89"/>
      <c r="AF327" s="186"/>
      <c r="AG327" s="85"/>
      <c r="AH327" s="85"/>
      <c r="AI327" s="85"/>
      <c r="AJ327" s="84"/>
      <c r="AK327" s="85"/>
      <c r="AL327" s="84"/>
      <c r="AM327" s="88"/>
      <c r="AN327" s="84"/>
      <c r="AO327" s="85"/>
      <c r="AP327" s="84"/>
      <c r="AQ327" s="83"/>
      <c r="AR327" s="83"/>
      <c r="AS327" s="83"/>
      <c r="AT327" s="85"/>
      <c r="AU327" s="85"/>
      <c r="AV327" s="85"/>
      <c r="AW327" s="88"/>
      <c r="AX327" s="84"/>
      <c r="AY327" s="85"/>
      <c r="AZ327" s="84"/>
      <c r="BA327" s="85"/>
      <c r="BB327" s="88"/>
      <c r="BC327" s="85"/>
      <c r="BD327" s="84"/>
      <c r="BE327" s="88"/>
      <c r="BF327" s="85"/>
      <c r="BG327" s="85"/>
      <c r="BH327" s="85"/>
      <c r="BI327" s="85">
        <v>29.55</v>
      </c>
      <c r="BJ327" s="85"/>
      <c r="BK327" s="85"/>
      <c r="BL327" s="85"/>
      <c r="BM327" s="85"/>
      <c r="BN327" s="85"/>
      <c r="BO327" s="85"/>
      <c r="BP327" s="85"/>
      <c r="BQ327" s="85"/>
      <c r="BR327" s="84"/>
      <c r="BS327" s="85"/>
      <c r="BT327" s="85"/>
      <c r="BU327" s="198"/>
      <c r="BV327" s="90"/>
      <c r="BW327" s="198"/>
      <c r="BX327" s="90"/>
      <c r="BY327" s="198"/>
      <c r="BZ327" s="90"/>
      <c r="CA327" s="91"/>
    </row>
    <row r="328" spans="1:1199" s="101" customFormat="1" ht="50.1" customHeight="1" outlineLevel="1" x14ac:dyDescent="0.3">
      <c r="A328" s="132" t="s">
        <v>325</v>
      </c>
      <c r="B328" s="229"/>
      <c r="C328" s="134" t="s">
        <v>94</v>
      </c>
      <c r="D328" s="81">
        <f t="shared" ref="D328:AI328" si="69">SUBTOTAL(9,D295:D327)</f>
        <v>182278.94074999998</v>
      </c>
      <c r="E328" s="81">
        <f t="shared" si="69"/>
        <v>40560.596770000004</v>
      </c>
      <c r="F328" s="81">
        <f t="shared" si="69"/>
        <v>141718.34397999998</v>
      </c>
      <c r="G328" s="81">
        <f t="shared" si="69"/>
        <v>6087.9760299999998</v>
      </c>
      <c r="H328" s="81">
        <f t="shared" si="69"/>
        <v>1521.9940200000001</v>
      </c>
      <c r="I328" s="81">
        <f t="shared" si="69"/>
        <v>0</v>
      </c>
      <c r="J328" s="81">
        <f t="shared" si="69"/>
        <v>0</v>
      </c>
      <c r="K328" s="81">
        <f t="shared" si="69"/>
        <v>0</v>
      </c>
      <c r="L328" s="81">
        <f t="shared" si="69"/>
        <v>0</v>
      </c>
      <c r="M328" s="81">
        <f t="shared" si="69"/>
        <v>0</v>
      </c>
      <c r="N328" s="81">
        <f t="shared" si="69"/>
        <v>73692.992020000005</v>
      </c>
      <c r="O328" s="81">
        <f t="shared" si="69"/>
        <v>126.48294</v>
      </c>
      <c r="P328" s="81">
        <f t="shared" si="69"/>
        <v>9.9800199999999997</v>
      </c>
      <c r="Q328" s="81">
        <f t="shared" si="69"/>
        <v>0</v>
      </c>
      <c r="R328" s="81">
        <f t="shared" si="69"/>
        <v>0</v>
      </c>
      <c r="S328" s="81">
        <f t="shared" si="69"/>
        <v>0</v>
      </c>
      <c r="T328" s="81">
        <f t="shared" si="69"/>
        <v>0</v>
      </c>
      <c r="U328" s="81">
        <f t="shared" si="69"/>
        <v>0</v>
      </c>
      <c r="V328" s="81">
        <f t="shared" si="69"/>
        <v>1056.8291900000002</v>
      </c>
      <c r="W328" s="81">
        <f t="shared" si="69"/>
        <v>1827.1478199999999</v>
      </c>
      <c r="X328" s="81">
        <f t="shared" si="69"/>
        <v>0</v>
      </c>
      <c r="Y328" s="81">
        <f t="shared" si="69"/>
        <v>1215.2399999999996</v>
      </c>
      <c r="Z328" s="81">
        <f t="shared" si="69"/>
        <v>0</v>
      </c>
      <c r="AA328" s="81">
        <f t="shared" si="69"/>
        <v>849.51531</v>
      </c>
      <c r="AB328" s="81">
        <f t="shared" si="69"/>
        <v>0</v>
      </c>
      <c r="AC328" s="81">
        <f t="shared" si="69"/>
        <v>0</v>
      </c>
      <c r="AD328" s="81">
        <f t="shared" si="69"/>
        <v>3136.0045799999994</v>
      </c>
      <c r="AE328" s="81">
        <f t="shared" si="69"/>
        <v>568.33589999999992</v>
      </c>
      <c r="AF328" s="192">
        <f t="shared" si="69"/>
        <v>2567.6686799999998</v>
      </c>
      <c r="AG328" s="81">
        <f t="shared" si="69"/>
        <v>13400</v>
      </c>
      <c r="AH328" s="81">
        <f t="shared" si="69"/>
        <v>3287.9</v>
      </c>
      <c r="AI328" s="81">
        <f t="shared" si="69"/>
        <v>0</v>
      </c>
      <c r="AJ328" s="81">
        <f t="shared" ref="AJ328:BO328" si="70">SUBTOTAL(9,AJ295:AJ327)</f>
        <v>23871.72</v>
      </c>
      <c r="AK328" s="81">
        <f t="shared" si="70"/>
        <v>9537.84</v>
      </c>
      <c r="AL328" s="81">
        <f t="shared" si="70"/>
        <v>0</v>
      </c>
      <c r="AM328" s="81">
        <f t="shared" si="70"/>
        <v>0</v>
      </c>
      <c r="AN328" s="81">
        <f t="shared" si="70"/>
        <v>0</v>
      </c>
      <c r="AO328" s="81">
        <f t="shared" si="70"/>
        <v>1098.24</v>
      </c>
      <c r="AP328" s="81">
        <f t="shared" si="70"/>
        <v>2639.1467299999999</v>
      </c>
      <c r="AQ328" s="81">
        <f t="shared" si="70"/>
        <v>6563.4629500000001</v>
      </c>
      <c r="AR328" s="81">
        <f t="shared" si="70"/>
        <v>0</v>
      </c>
      <c r="AS328" s="81">
        <f t="shared" si="70"/>
        <v>0</v>
      </c>
      <c r="AT328" s="81">
        <f t="shared" si="70"/>
        <v>507.22500000000002</v>
      </c>
      <c r="AU328" s="81">
        <f t="shared" si="70"/>
        <v>0</v>
      </c>
      <c r="AV328" s="81">
        <f t="shared" si="70"/>
        <v>7350.5618000000004</v>
      </c>
      <c r="AW328" s="81">
        <f t="shared" si="70"/>
        <v>0</v>
      </c>
      <c r="AX328" s="81">
        <f t="shared" si="70"/>
        <v>0</v>
      </c>
      <c r="AY328" s="81">
        <f t="shared" si="70"/>
        <v>0</v>
      </c>
      <c r="AZ328" s="81">
        <f t="shared" si="70"/>
        <v>4577.4818800000012</v>
      </c>
      <c r="BA328" s="81">
        <f t="shared" si="70"/>
        <v>3996.2666099999988</v>
      </c>
      <c r="BB328" s="81">
        <f t="shared" si="70"/>
        <v>216.95283000000001</v>
      </c>
      <c r="BC328" s="81">
        <f t="shared" si="70"/>
        <v>0</v>
      </c>
      <c r="BD328" s="81">
        <f t="shared" si="70"/>
        <v>0</v>
      </c>
      <c r="BE328" s="81">
        <f t="shared" si="70"/>
        <v>0</v>
      </c>
      <c r="BF328" s="81">
        <f t="shared" si="70"/>
        <v>0</v>
      </c>
      <c r="BG328" s="81">
        <f t="shared" si="70"/>
        <v>430.36270000000002</v>
      </c>
      <c r="BH328" s="81">
        <f t="shared" si="70"/>
        <v>300</v>
      </c>
      <c r="BI328" s="81">
        <f t="shared" si="70"/>
        <v>29.55</v>
      </c>
      <c r="BJ328" s="81">
        <f t="shared" si="70"/>
        <v>0</v>
      </c>
      <c r="BK328" s="81">
        <f t="shared" si="70"/>
        <v>1626.59842</v>
      </c>
      <c r="BL328" s="81">
        <f t="shared" si="70"/>
        <v>0</v>
      </c>
      <c r="BM328" s="81">
        <f t="shared" si="70"/>
        <v>0</v>
      </c>
      <c r="BN328" s="81">
        <f t="shared" si="70"/>
        <v>0</v>
      </c>
      <c r="BO328" s="81">
        <f t="shared" si="70"/>
        <v>0</v>
      </c>
      <c r="BP328" s="81">
        <f t="shared" ref="BP328:CU328" si="71">SUBTOTAL(9,BP295:BP327)</f>
        <v>0</v>
      </c>
      <c r="BQ328" s="81">
        <f t="shared" si="71"/>
        <v>0</v>
      </c>
      <c r="BR328" s="81">
        <f t="shared" si="71"/>
        <v>0</v>
      </c>
      <c r="BS328" s="81">
        <f t="shared" si="71"/>
        <v>0</v>
      </c>
      <c r="BT328" s="81">
        <f t="shared" si="71"/>
        <v>232.5</v>
      </c>
      <c r="BU328" s="81">
        <f t="shared" si="71"/>
        <v>5112.1698999999999</v>
      </c>
      <c r="BV328" s="81">
        <f t="shared" si="71"/>
        <v>0</v>
      </c>
      <c r="BW328" s="81">
        <f t="shared" si="71"/>
        <v>5660</v>
      </c>
      <c r="BX328" s="81">
        <f t="shared" si="71"/>
        <v>0</v>
      </c>
      <c r="BY328" s="81">
        <f t="shared" si="71"/>
        <v>0</v>
      </c>
      <c r="BZ328" s="81">
        <f t="shared" si="71"/>
        <v>2200.96</v>
      </c>
      <c r="CA328" s="81">
        <f t="shared" si="71"/>
        <v>115.84</v>
      </c>
      <c r="CB328" s="176"/>
      <c r="CC328" s="176"/>
      <c r="CD328" s="176"/>
      <c r="CE328" s="176"/>
      <c r="CF328" s="176"/>
      <c r="CG328" s="176"/>
      <c r="CH328" s="176"/>
      <c r="CI328" s="176"/>
      <c r="CJ328" s="176"/>
      <c r="CK328" s="176"/>
      <c r="CL328" s="176"/>
      <c r="CM328" s="176"/>
      <c r="CN328" s="176"/>
      <c r="CO328" s="176"/>
      <c r="CP328" s="176"/>
      <c r="CQ328" s="176"/>
      <c r="CR328" s="176"/>
      <c r="CS328" s="176"/>
      <c r="CT328" s="176"/>
      <c r="CU328" s="176"/>
      <c r="CV328" s="176"/>
      <c r="CW328" s="176"/>
      <c r="CX328" s="176"/>
      <c r="CY328" s="176"/>
      <c r="CZ328" s="176"/>
      <c r="DA328" s="176"/>
      <c r="DB328" s="176"/>
      <c r="DC328" s="176"/>
      <c r="DD328" s="176"/>
      <c r="DE328" s="176"/>
      <c r="DF328" s="176"/>
      <c r="DG328" s="176"/>
      <c r="DH328" s="176"/>
      <c r="DI328" s="176"/>
      <c r="DJ328" s="176"/>
      <c r="DK328" s="176"/>
      <c r="DL328" s="176"/>
      <c r="DM328" s="176"/>
      <c r="DN328" s="176"/>
      <c r="DO328" s="176"/>
      <c r="DP328" s="176"/>
      <c r="DQ328" s="176"/>
      <c r="DR328" s="176"/>
      <c r="DS328" s="176"/>
      <c r="DT328" s="176"/>
      <c r="DU328" s="176"/>
      <c r="DV328" s="176"/>
      <c r="DW328" s="176"/>
      <c r="DX328" s="176"/>
      <c r="DY328" s="176"/>
      <c r="DZ328" s="176"/>
      <c r="EA328" s="176"/>
      <c r="EB328" s="176"/>
      <c r="EC328" s="176"/>
      <c r="ED328" s="176"/>
      <c r="EE328" s="176"/>
      <c r="EF328" s="176"/>
      <c r="EG328" s="176"/>
      <c r="EH328" s="176"/>
      <c r="EI328" s="176"/>
      <c r="EJ328" s="176"/>
      <c r="EK328" s="176"/>
      <c r="EL328" s="176"/>
      <c r="EM328" s="176"/>
      <c r="EN328" s="176"/>
      <c r="EO328" s="176"/>
      <c r="EP328" s="176"/>
      <c r="EQ328" s="176"/>
      <c r="ER328" s="176"/>
      <c r="ES328" s="176"/>
      <c r="ET328" s="176"/>
      <c r="EU328" s="176"/>
      <c r="EV328" s="176"/>
      <c r="EW328" s="176"/>
      <c r="EX328" s="176"/>
      <c r="EY328" s="176"/>
      <c r="EZ328" s="176"/>
      <c r="FA328" s="176"/>
      <c r="FB328" s="176"/>
      <c r="FC328" s="176"/>
      <c r="FD328" s="176"/>
      <c r="FE328" s="176"/>
      <c r="FF328" s="176"/>
      <c r="FG328" s="176"/>
      <c r="FH328" s="176"/>
      <c r="FI328" s="176"/>
      <c r="FJ328" s="176"/>
      <c r="FK328" s="176"/>
      <c r="FL328" s="176"/>
      <c r="FM328" s="176"/>
      <c r="FN328" s="176"/>
      <c r="FO328" s="176"/>
      <c r="FP328" s="176"/>
      <c r="FQ328" s="176"/>
      <c r="FR328" s="176"/>
      <c r="FS328" s="176"/>
      <c r="FT328" s="176"/>
      <c r="FU328" s="176"/>
      <c r="FV328" s="176"/>
      <c r="FW328" s="176"/>
      <c r="FX328" s="176"/>
      <c r="FY328" s="176"/>
      <c r="FZ328" s="176"/>
      <c r="GA328" s="176"/>
      <c r="GB328" s="176"/>
      <c r="GC328" s="176"/>
      <c r="GD328" s="176"/>
      <c r="GE328" s="176"/>
      <c r="GF328" s="176"/>
      <c r="GG328" s="176"/>
      <c r="GH328" s="176"/>
      <c r="GI328" s="176"/>
      <c r="GJ328" s="176"/>
      <c r="GK328" s="176"/>
      <c r="GL328" s="176"/>
      <c r="GM328" s="176"/>
      <c r="GN328" s="176"/>
      <c r="GO328" s="176"/>
      <c r="GP328" s="176"/>
      <c r="GQ328" s="176"/>
      <c r="GR328" s="176"/>
      <c r="GS328" s="176"/>
      <c r="GT328" s="176"/>
      <c r="GU328" s="176"/>
      <c r="GV328" s="176"/>
      <c r="GW328" s="176"/>
      <c r="GX328" s="176"/>
      <c r="GY328" s="176"/>
      <c r="GZ328" s="176"/>
      <c r="HA328" s="176"/>
      <c r="HB328" s="176"/>
      <c r="HC328" s="176"/>
      <c r="HD328" s="176"/>
      <c r="HE328" s="176"/>
      <c r="HF328" s="176"/>
      <c r="HG328" s="176"/>
      <c r="HH328" s="176"/>
      <c r="HI328" s="176"/>
      <c r="HJ328" s="176"/>
      <c r="HK328" s="176"/>
      <c r="HL328" s="176"/>
      <c r="HM328" s="176"/>
      <c r="HN328" s="176"/>
      <c r="HO328" s="176"/>
      <c r="HP328" s="176"/>
      <c r="HQ328" s="176"/>
      <c r="HR328" s="176"/>
      <c r="HS328" s="176"/>
      <c r="HT328" s="176"/>
      <c r="HU328" s="176"/>
      <c r="HV328" s="176"/>
      <c r="HW328" s="176"/>
      <c r="HX328" s="176"/>
      <c r="HY328" s="176"/>
      <c r="HZ328" s="176"/>
      <c r="IA328" s="176"/>
      <c r="IB328" s="176"/>
      <c r="IC328" s="176"/>
      <c r="ID328" s="176"/>
      <c r="IE328" s="176"/>
      <c r="IF328" s="176"/>
      <c r="IG328" s="176"/>
      <c r="IH328" s="176"/>
      <c r="II328" s="176"/>
      <c r="IJ328" s="176"/>
      <c r="IK328" s="176"/>
      <c r="IL328" s="176"/>
      <c r="IM328" s="176"/>
      <c r="IN328" s="176"/>
      <c r="IO328" s="176"/>
      <c r="IP328" s="176"/>
      <c r="IQ328" s="176"/>
      <c r="IR328" s="176"/>
      <c r="IS328" s="176"/>
      <c r="IT328" s="176"/>
      <c r="IU328" s="176"/>
      <c r="IV328" s="176"/>
      <c r="IW328" s="176"/>
      <c r="IX328" s="176"/>
      <c r="IY328" s="176"/>
      <c r="IZ328" s="176"/>
      <c r="JA328" s="176"/>
      <c r="JB328" s="176"/>
      <c r="JC328" s="176"/>
      <c r="JD328" s="176"/>
      <c r="JE328" s="176"/>
      <c r="JF328" s="176"/>
      <c r="JG328" s="176"/>
      <c r="JH328" s="176"/>
      <c r="JI328" s="176"/>
      <c r="JJ328" s="176"/>
      <c r="JK328" s="176"/>
      <c r="JL328" s="176"/>
      <c r="JM328" s="176"/>
      <c r="JN328" s="176"/>
      <c r="JO328" s="176"/>
      <c r="JP328" s="176"/>
      <c r="JQ328" s="176"/>
      <c r="JR328" s="176"/>
      <c r="JS328" s="176"/>
      <c r="JT328" s="176"/>
      <c r="JU328" s="176"/>
      <c r="JV328" s="176"/>
      <c r="JW328" s="131"/>
      <c r="JX328" s="131"/>
      <c r="JY328" s="131"/>
      <c r="JZ328" s="131"/>
      <c r="KA328" s="131"/>
      <c r="KB328" s="131"/>
      <c r="KC328" s="131"/>
      <c r="KD328" s="131"/>
      <c r="KE328" s="131"/>
      <c r="KF328" s="131"/>
      <c r="KG328" s="131"/>
      <c r="KH328" s="131"/>
      <c r="KI328" s="131"/>
      <c r="KJ328" s="131"/>
      <c r="KK328" s="131"/>
      <c r="KL328" s="131"/>
      <c r="KM328" s="131"/>
      <c r="KN328" s="131"/>
      <c r="KO328" s="131"/>
      <c r="KP328" s="131"/>
      <c r="KQ328" s="131"/>
      <c r="KR328" s="131"/>
      <c r="KS328" s="131"/>
      <c r="KT328" s="131"/>
      <c r="KU328" s="131"/>
      <c r="KV328" s="131"/>
      <c r="KW328" s="131"/>
      <c r="KX328" s="131"/>
      <c r="KY328" s="131"/>
      <c r="KZ328" s="131"/>
      <c r="LA328" s="131"/>
      <c r="LB328" s="131"/>
      <c r="LC328" s="131"/>
      <c r="LD328" s="131"/>
      <c r="LE328" s="131"/>
      <c r="LF328" s="131"/>
      <c r="LG328" s="131"/>
      <c r="LH328" s="131"/>
      <c r="LI328" s="131"/>
      <c r="LJ328" s="131"/>
      <c r="LK328" s="131"/>
      <c r="LL328" s="131"/>
      <c r="LM328" s="131"/>
      <c r="LN328" s="131"/>
      <c r="LO328" s="131"/>
      <c r="LP328" s="131"/>
      <c r="LQ328" s="131"/>
      <c r="LR328" s="131"/>
      <c r="LS328" s="131"/>
      <c r="LT328" s="131"/>
      <c r="LU328" s="131"/>
      <c r="LV328" s="131"/>
      <c r="LW328" s="131"/>
      <c r="LX328" s="131"/>
      <c r="LY328" s="131"/>
      <c r="LZ328" s="131"/>
      <c r="MA328" s="131"/>
      <c r="MB328" s="131"/>
      <c r="MC328" s="131"/>
      <c r="MD328" s="131"/>
      <c r="ME328" s="131"/>
      <c r="MF328" s="131"/>
      <c r="MG328" s="131"/>
      <c r="MH328" s="131"/>
      <c r="MI328" s="131"/>
      <c r="MJ328" s="131"/>
      <c r="MK328" s="131"/>
      <c r="ML328" s="131"/>
      <c r="MM328" s="131"/>
      <c r="MN328" s="131"/>
      <c r="MO328" s="131"/>
      <c r="MP328" s="131"/>
      <c r="MQ328" s="131"/>
      <c r="MR328" s="131"/>
      <c r="MS328" s="131"/>
      <c r="MT328" s="131"/>
      <c r="MU328" s="131"/>
      <c r="MV328" s="131"/>
      <c r="MW328" s="131"/>
      <c r="MX328" s="131"/>
      <c r="MY328" s="131"/>
      <c r="MZ328" s="131"/>
      <c r="NA328" s="131"/>
      <c r="NB328" s="131"/>
      <c r="NC328" s="131"/>
      <c r="ND328" s="131"/>
      <c r="NE328" s="131"/>
      <c r="NF328" s="131"/>
      <c r="NG328" s="131"/>
      <c r="NH328" s="131"/>
      <c r="NI328" s="131"/>
      <c r="NJ328" s="131"/>
      <c r="NK328" s="131"/>
      <c r="NL328" s="131"/>
      <c r="NM328" s="131"/>
      <c r="NN328" s="131"/>
      <c r="NO328" s="131"/>
      <c r="NP328" s="131"/>
      <c r="NQ328" s="131"/>
      <c r="NR328" s="131"/>
      <c r="NS328" s="131"/>
      <c r="NT328" s="131"/>
      <c r="NU328" s="131"/>
      <c r="NV328" s="131"/>
      <c r="NW328" s="131"/>
      <c r="NX328" s="131"/>
      <c r="NY328" s="131"/>
      <c r="NZ328" s="131"/>
      <c r="OA328" s="131"/>
      <c r="OB328" s="131"/>
      <c r="OC328" s="131"/>
      <c r="OD328" s="131"/>
      <c r="OE328" s="131"/>
      <c r="OF328" s="131"/>
      <c r="OG328" s="131"/>
      <c r="OH328" s="131"/>
      <c r="OI328" s="131"/>
      <c r="OJ328" s="131"/>
      <c r="OK328" s="131"/>
      <c r="OL328" s="131"/>
      <c r="OM328" s="131"/>
      <c r="ON328" s="131"/>
      <c r="OO328" s="131"/>
      <c r="OP328" s="131"/>
      <c r="OQ328" s="131"/>
      <c r="OR328" s="131"/>
      <c r="OS328" s="131"/>
      <c r="OT328" s="131"/>
      <c r="OU328" s="131"/>
      <c r="OV328" s="131"/>
      <c r="OW328" s="131"/>
      <c r="OX328" s="131"/>
      <c r="OY328" s="131"/>
      <c r="OZ328" s="131"/>
      <c r="PA328" s="131"/>
      <c r="PB328" s="131"/>
      <c r="PC328" s="131"/>
      <c r="PD328" s="131"/>
      <c r="PE328" s="131"/>
      <c r="PF328" s="131"/>
      <c r="PG328" s="131"/>
      <c r="PH328" s="131"/>
      <c r="PI328" s="131"/>
      <c r="PJ328" s="131"/>
      <c r="PK328" s="131"/>
      <c r="PL328" s="131"/>
      <c r="PM328" s="131"/>
      <c r="PN328" s="131"/>
      <c r="PO328" s="131"/>
      <c r="PP328" s="131"/>
      <c r="PQ328" s="131"/>
      <c r="PR328" s="131"/>
      <c r="PS328" s="131"/>
      <c r="PT328" s="131"/>
      <c r="PU328" s="131"/>
      <c r="PV328" s="131"/>
      <c r="PW328" s="131"/>
      <c r="PX328" s="131"/>
      <c r="PY328" s="131"/>
      <c r="PZ328" s="131"/>
      <c r="QA328" s="131"/>
      <c r="QB328" s="131"/>
      <c r="QC328" s="131"/>
      <c r="QD328" s="131"/>
      <c r="QE328" s="131"/>
      <c r="QF328" s="131"/>
      <c r="QG328" s="131"/>
      <c r="QH328" s="131"/>
      <c r="QI328" s="131"/>
      <c r="QJ328" s="131"/>
      <c r="QK328" s="131"/>
      <c r="QL328" s="131"/>
      <c r="QM328" s="131"/>
      <c r="QN328" s="131"/>
      <c r="QO328" s="131"/>
      <c r="QP328" s="131"/>
      <c r="QQ328" s="131"/>
      <c r="QR328" s="131"/>
      <c r="QS328" s="131"/>
      <c r="QT328" s="131"/>
      <c r="QU328" s="131"/>
      <c r="QV328" s="131"/>
      <c r="QW328" s="131"/>
      <c r="QX328" s="131"/>
      <c r="QY328" s="131"/>
      <c r="QZ328" s="131"/>
      <c r="RA328" s="131"/>
      <c r="RB328" s="131"/>
      <c r="RC328" s="131"/>
      <c r="RD328" s="131"/>
      <c r="RE328" s="131"/>
      <c r="RF328" s="131"/>
      <c r="RG328" s="131"/>
      <c r="RH328" s="131"/>
      <c r="RI328" s="131"/>
      <c r="RJ328" s="131"/>
      <c r="RK328" s="131"/>
      <c r="RL328" s="131"/>
      <c r="RM328" s="131"/>
      <c r="RN328" s="131"/>
      <c r="RO328" s="131"/>
      <c r="RP328" s="131"/>
      <c r="RQ328" s="131"/>
      <c r="RR328" s="131"/>
      <c r="RS328" s="131"/>
      <c r="RT328" s="131"/>
      <c r="RU328" s="131"/>
      <c r="RV328" s="131"/>
      <c r="RW328" s="131"/>
      <c r="RX328" s="131"/>
      <c r="RY328" s="131"/>
      <c r="RZ328" s="131"/>
      <c r="SA328" s="131"/>
      <c r="SB328" s="131"/>
      <c r="SC328" s="131"/>
      <c r="SD328" s="131"/>
      <c r="SE328" s="131"/>
      <c r="SF328" s="131"/>
      <c r="SG328" s="131"/>
      <c r="SH328" s="131"/>
      <c r="SI328" s="131"/>
      <c r="SJ328" s="131"/>
      <c r="SK328" s="131"/>
      <c r="SL328" s="131"/>
      <c r="SM328" s="131"/>
      <c r="SN328" s="131"/>
      <c r="SO328" s="131"/>
      <c r="SP328" s="131"/>
      <c r="SQ328" s="131"/>
      <c r="SR328" s="131"/>
      <c r="SS328" s="131"/>
      <c r="ST328" s="131"/>
      <c r="SU328" s="131"/>
      <c r="SV328" s="131"/>
      <c r="SW328" s="131"/>
      <c r="SX328" s="131"/>
      <c r="SY328" s="131"/>
      <c r="SZ328" s="131"/>
      <c r="TA328" s="131"/>
      <c r="TB328" s="131"/>
      <c r="TC328" s="131"/>
      <c r="TD328" s="131"/>
      <c r="TE328" s="131"/>
      <c r="TF328" s="131"/>
      <c r="TG328" s="131"/>
      <c r="TH328" s="131"/>
      <c r="TI328" s="131"/>
      <c r="TJ328" s="131"/>
      <c r="TK328" s="131"/>
      <c r="TL328" s="131"/>
      <c r="TM328" s="131"/>
      <c r="TN328" s="131"/>
      <c r="TO328" s="131"/>
      <c r="TP328" s="131"/>
      <c r="TQ328" s="131"/>
      <c r="TR328" s="131"/>
      <c r="TS328" s="131"/>
      <c r="TT328" s="131"/>
      <c r="TU328" s="131"/>
      <c r="TV328" s="131"/>
      <c r="TW328" s="131"/>
      <c r="TX328" s="131"/>
      <c r="TY328" s="131"/>
      <c r="TZ328" s="131"/>
      <c r="UA328" s="131"/>
      <c r="UB328" s="131"/>
      <c r="UC328" s="131"/>
      <c r="UD328" s="131"/>
      <c r="UE328" s="131"/>
      <c r="UF328" s="131"/>
      <c r="UG328" s="131"/>
      <c r="UH328" s="131"/>
      <c r="UI328" s="131"/>
      <c r="UJ328" s="131"/>
      <c r="UK328" s="131"/>
      <c r="UL328" s="131"/>
      <c r="UM328" s="131"/>
      <c r="UN328" s="131"/>
      <c r="UO328" s="131"/>
      <c r="UP328" s="131"/>
      <c r="UQ328" s="131"/>
      <c r="UR328" s="131"/>
      <c r="US328" s="131"/>
      <c r="UT328" s="131"/>
      <c r="UU328" s="131"/>
      <c r="UV328" s="131"/>
      <c r="UW328" s="131"/>
      <c r="UX328" s="131"/>
      <c r="UY328" s="131"/>
      <c r="UZ328" s="131"/>
      <c r="VA328" s="131"/>
      <c r="VB328" s="131"/>
      <c r="VC328" s="131"/>
      <c r="VD328" s="131"/>
      <c r="VE328" s="131"/>
      <c r="VF328" s="131"/>
      <c r="VG328" s="131"/>
      <c r="VH328" s="131"/>
      <c r="VI328" s="131"/>
      <c r="VJ328" s="131"/>
      <c r="VK328" s="131"/>
      <c r="VL328" s="131"/>
      <c r="VM328" s="131"/>
      <c r="VN328" s="131"/>
      <c r="VO328" s="131"/>
      <c r="VP328" s="131"/>
      <c r="VQ328" s="131"/>
      <c r="VR328" s="131"/>
      <c r="VS328" s="131"/>
      <c r="VT328" s="131"/>
      <c r="VU328" s="131"/>
      <c r="VV328" s="131"/>
      <c r="VW328" s="131"/>
      <c r="VX328" s="131"/>
      <c r="VY328" s="131"/>
      <c r="VZ328" s="131"/>
      <c r="WA328" s="131"/>
      <c r="WB328" s="131"/>
      <c r="WC328" s="131"/>
      <c r="WD328" s="131"/>
      <c r="WE328" s="131"/>
      <c r="WF328" s="131"/>
      <c r="WG328" s="131"/>
      <c r="WH328" s="131"/>
      <c r="WI328" s="131"/>
      <c r="WJ328" s="131"/>
      <c r="WK328" s="131"/>
      <c r="WL328" s="131"/>
      <c r="WM328" s="131"/>
      <c r="WN328" s="131"/>
      <c r="WO328" s="131"/>
      <c r="WP328" s="131"/>
      <c r="WQ328" s="131"/>
      <c r="WR328" s="131"/>
      <c r="WS328" s="131"/>
      <c r="WT328" s="131"/>
      <c r="WU328" s="131"/>
      <c r="WV328" s="131"/>
      <c r="WW328" s="131"/>
      <c r="WX328" s="131"/>
      <c r="WY328" s="131"/>
      <c r="WZ328" s="131"/>
      <c r="XA328" s="131"/>
      <c r="XB328" s="131"/>
      <c r="XC328" s="131"/>
      <c r="XD328" s="131"/>
      <c r="XE328" s="131"/>
      <c r="XF328" s="131"/>
      <c r="XG328" s="131"/>
      <c r="XH328" s="131"/>
      <c r="XI328" s="131"/>
      <c r="XJ328" s="131"/>
      <c r="XK328" s="131"/>
      <c r="XL328" s="131"/>
      <c r="XM328" s="131"/>
      <c r="XN328" s="131"/>
      <c r="XO328" s="131"/>
      <c r="XP328" s="131"/>
      <c r="XQ328" s="131"/>
      <c r="XR328" s="131"/>
      <c r="XS328" s="131"/>
      <c r="XT328" s="131"/>
      <c r="XU328" s="131"/>
      <c r="XV328" s="131"/>
      <c r="XW328" s="131"/>
      <c r="XX328" s="131"/>
      <c r="XY328" s="131"/>
      <c r="XZ328" s="131"/>
      <c r="YA328" s="131"/>
      <c r="YB328" s="131"/>
      <c r="YC328" s="131"/>
      <c r="YD328" s="131"/>
      <c r="YE328" s="131"/>
      <c r="YF328" s="131"/>
      <c r="YG328" s="131"/>
      <c r="YH328" s="131"/>
      <c r="YI328" s="131"/>
      <c r="YJ328" s="131"/>
      <c r="YK328" s="131"/>
      <c r="YL328" s="131"/>
      <c r="YM328" s="131"/>
      <c r="YN328" s="131"/>
      <c r="YO328" s="131"/>
      <c r="YP328" s="131"/>
      <c r="YQ328" s="131"/>
      <c r="YR328" s="131"/>
      <c r="YS328" s="131"/>
      <c r="YT328" s="131"/>
      <c r="YU328" s="131"/>
      <c r="YV328" s="131"/>
      <c r="YW328" s="131"/>
      <c r="YX328" s="131"/>
      <c r="YY328" s="131"/>
      <c r="YZ328" s="131"/>
      <c r="ZA328" s="131"/>
      <c r="ZB328" s="131"/>
      <c r="ZC328" s="131"/>
      <c r="ZD328" s="131"/>
      <c r="ZE328" s="131"/>
      <c r="ZF328" s="131"/>
      <c r="ZG328" s="131"/>
      <c r="ZH328" s="131"/>
      <c r="ZI328" s="131"/>
      <c r="ZJ328" s="131"/>
      <c r="ZK328" s="131"/>
      <c r="ZL328" s="131"/>
      <c r="ZM328" s="131"/>
      <c r="ZN328" s="131"/>
      <c r="ZO328" s="131"/>
      <c r="ZP328" s="131"/>
      <c r="ZQ328" s="131"/>
      <c r="ZR328" s="131"/>
      <c r="ZS328" s="131"/>
      <c r="ZT328" s="131"/>
      <c r="ZU328" s="131"/>
      <c r="ZV328" s="131"/>
      <c r="ZW328" s="131"/>
      <c r="ZX328" s="131"/>
      <c r="ZY328" s="131"/>
      <c r="ZZ328" s="131"/>
      <c r="AAA328" s="131"/>
      <c r="AAB328" s="131"/>
      <c r="AAC328" s="131"/>
      <c r="AAD328" s="131"/>
      <c r="AAE328" s="131"/>
      <c r="AAF328" s="131"/>
      <c r="AAG328" s="131"/>
      <c r="AAH328" s="131"/>
      <c r="AAI328" s="131"/>
      <c r="AAJ328" s="131"/>
      <c r="AAK328" s="131"/>
      <c r="AAL328" s="131"/>
      <c r="AAM328" s="131"/>
      <c r="AAN328" s="131"/>
      <c r="AAO328" s="131"/>
      <c r="AAP328" s="131"/>
      <c r="AAQ328" s="131"/>
      <c r="AAR328" s="131"/>
      <c r="AAS328" s="131"/>
      <c r="AAT328" s="131"/>
      <c r="AAU328" s="131"/>
      <c r="AAV328" s="131"/>
      <c r="AAW328" s="131"/>
      <c r="AAX328" s="131"/>
      <c r="AAY328" s="131"/>
      <c r="AAZ328" s="131"/>
      <c r="ABA328" s="131"/>
      <c r="ABB328" s="131"/>
      <c r="ABC328" s="131"/>
      <c r="ABD328" s="131"/>
      <c r="ABE328" s="131"/>
      <c r="ABF328" s="131"/>
      <c r="ABG328" s="131"/>
      <c r="ABH328" s="131"/>
      <c r="ABI328" s="131"/>
      <c r="ABJ328" s="131"/>
      <c r="ABK328" s="131"/>
      <c r="ABL328" s="131"/>
      <c r="ABM328" s="131"/>
      <c r="ABN328" s="131"/>
      <c r="ABO328" s="131"/>
      <c r="ABP328" s="131"/>
      <c r="ABQ328" s="131"/>
      <c r="ABR328" s="131"/>
      <c r="ABS328" s="131"/>
      <c r="ABT328" s="131"/>
      <c r="ABU328" s="131"/>
      <c r="ABV328" s="131"/>
      <c r="ABW328" s="131"/>
      <c r="ABX328" s="131"/>
      <c r="ABY328" s="131"/>
      <c r="ABZ328" s="131"/>
      <c r="ACA328" s="131"/>
      <c r="ACB328" s="131"/>
      <c r="ACC328" s="131"/>
      <c r="ACD328" s="131"/>
      <c r="ACE328" s="131"/>
      <c r="ACF328" s="131"/>
      <c r="ACG328" s="131"/>
      <c r="ACH328" s="131"/>
      <c r="ACI328" s="131"/>
      <c r="ACJ328" s="131"/>
      <c r="ACK328" s="131"/>
      <c r="ACL328" s="131"/>
      <c r="ACM328" s="131"/>
      <c r="ACN328" s="131"/>
      <c r="ACO328" s="131"/>
      <c r="ACP328" s="131"/>
      <c r="ACQ328" s="131"/>
      <c r="ACR328" s="131"/>
      <c r="ACS328" s="131"/>
      <c r="ACT328" s="131"/>
      <c r="ACU328" s="131"/>
      <c r="ACV328" s="131"/>
      <c r="ACW328" s="131"/>
      <c r="ACX328" s="131"/>
      <c r="ACY328" s="131"/>
      <c r="ACZ328" s="131"/>
      <c r="ADA328" s="131"/>
      <c r="ADB328" s="131"/>
      <c r="ADC328" s="131"/>
      <c r="ADD328" s="131"/>
      <c r="ADE328" s="131"/>
      <c r="ADF328" s="131"/>
      <c r="ADG328" s="131"/>
      <c r="ADH328" s="131"/>
      <c r="ADI328" s="131"/>
      <c r="ADJ328" s="131"/>
      <c r="ADK328" s="131"/>
      <c r="ADL328" s="131"/>
      <c r="ADM328" s="131"/>
      <c r="ADN328" s="131"/>
      <c r="ADO328" s="131"/>
      <c r="ADP328" s="131"/>
      <c r="ADQ328" s="131"/>
      <c r="ADR328" s="131"/>
      <c r="ADS328" s="131"/>
      <c r="ADT328" s="131"/>
      <c r="ADU328" s="131"/>
      <c r="ADV328" s="131"/>
      <c r="ADW328" s="131"/>
      <c r="ADX328" s="131"/>
      <c r="ADY328" s="131"/>
      <c r="ADZ328" s="131"/>
      <c r="AEA328" s="131"/>
      <c r="AEB328" s="131"/>
      <c r="AEC328" s="131"/>
      <c r="AED328" s="131"/>
      <c r="AEE328" s="131"/>
      <c r="AEF328" s="131"/>
      <c r="AEG328" s="131"/>
      <c r="AEH328" s="131"/>
      <c r="AEI328" s="131"/>
      <c r="AEJ328" s="131"/>
      <c r="AEK328" s="131"/>
      <c r="AEL328" s="131"/>
      <c r="AEM328" s="131"/>
      <c r="AEN328" s="131"/>
      <c r="AEO328" s="131"/>
      <c r="AEP328" s="131"/>
      <c r="AEQ328" s="131"/>
      <c r="AER328" s="131"/>
      <c r="AES328" s="131"/>
      <c r="AET328" s="131"/>
      <c r="AEU328" s="131"/>
      <c r="AEV328" s="131"/>
      <c r="AEW328" s="131"/>
      <c r="AEX328" s="131"/>
      <c r="AEY328" s="131"/>
      <c r="AEZ328" s="131"/>
      <c r="AFA328" s="131"/>
      <c r="AFB328" s="131"/>
      <c r="AFC328" s="131"/>
      <c r="AFD328" s="131"/>
      <c r="AFE328" s="131"/>
      <c r="AFF328" s="131"/>
      <c r="AFG328" s="131"/>
      <c r="AFH328" s="131"/>
      <c r="AFI328" s="131"/>
      <c r="AFJ328" s="131"/>
      <c r="AFK328" s="131"/>
      <c r="AFL328" s="131"/>
      <c r="AFM328" s="131"/>
      <c r="AFN328" s="131"/>
      <c r="AFO328" s="131"/>
      <c r="AFP328" s="131"/>
      <c r="AFQ328" s="131"/>
      <c r="AFR328" s="131"/>
      <c r="AFS328" s="131"/>
      <c r="AFT328" s="131"/>
      <c r="AFU328" s="131"/>
      <c r="AFV328" s="131"/>
      <c r="AFW328" s="131"/>
      <c r="AFX328" s="131"/>
      <c r="AFY328" s="131"/>
      <c r="AFZ328" s="131"/>
      <c r="AGA328" s="131"/>
      <c r="AGB328" s="131"/>
      <c r="AGC328" s="131"/>
      <c r="AGD328" s="131"/>
      <c r="AGE328" s="131"/>
      <c r="AGF328" s="131"/>
      <c r="AGG328" s="131"/>
      <c r="AGH328" s="131"/>
      <c r="AGI328" s="131"/>
      <c r="AGJ328" s="131"/>
      <c r="AGK328" s="131"/>
      <c r="AGL328" s="131"/>
      <c r="AGM328" s="131"/>
      <c r="AGN328" s="131"/>
      <c r="AGO328" s="131"/>
      <c r="AGP328" s="131"/>
      <c r="AGQ328" s="131"/>
      <c r="AGR328" s="131"/>
      <c r="AGS328" s="131"/>
      <c r="AGT328" s="131"/>
      <c r="AGU328" s="131"/>
      <c r="AGV328" s="131"/>
      <c r="AGW328" s="131"/>
      <c r="AGX328" s="131"/>
      <c r="AGY328" s="131"/>
      <c r="AGZ328" s="131"/>
      <c r="AHA328" s="131"/>
      <c r="AHB328" s="131"/>
      <c r="AHC328" s="131"/>
      <c r="AHD328" s="131"/>
      <c r="AHE328" s="131"/>
      <c r="AHF328" s="131"/>
      <c r="AHG328" s="131"/>
      <c r="AHH328" s="131"/>
      <c r="AHI328" s="131"/>
      <c r="AHJ328" s="131"/>
      <c r="AHK328" s="131"/>
      <c r="AHL328" s="131"/>
      <c r="AHM328" s="131"/>
      <c r="AHN328" s="131"/>
      <c r="AHO328" s="131"/>
      <c r="AHP328" s="131"/>
      <c r="AHQ328" s="131"/>
      <c r="AHR328" s="131"/>
      <c r="AHS328" s="131"/>
      <c r="AHT328" s="131"/>
      <c r="AHU328" s="131"/>
      <c r="AHV328" s="131"/>
      <c r="AHW328" s="131"/>
      <c r="AHX328" s="131"/>
      <c r="AHY328" s="131"/>
      <c r="AHZ328" s="131"/>
      <c r="AIA328" s="131"/>
      <c r="AIB328" s="131"/>
      <c r="AIC328" s="131"/>
      <c r="AID328" s="131"/>
      <c r="AIE328" s="131"/>
      <c r="AIF328" s="131"/>
      <c r="AIG328" s="131"/>
      <c r="AIH328" s="131"/>
      <c r="AII328" s="131"/>
      <c r="AIJ328" s="131"/>
      <c r="AIK328" s="131"/>
      <c r="AIL328" s="131"/>
      <c r="AIM328" s="131"/>
      <c r="AIN328" s="131"/>
      <c r="AIO328" s="131"/>
      <c r="AIP328" s="131"/>
      <c r="AIQ328" s="131"/>
      <c r="AIR328" s="131"/>
      <c r="AIS328" s="131"/>
      <c r="AIT328" s="131"/>
      <c r="AIU328" s="131"/>
      <c r="AIV328" s="131"/>
      <c r="AIW328" s="131"/>
      <c r="AIX328" s="131"/>
      <c r="AIY328" s="131"/>
      <c r="AIZ328" s="131"/>
      <c r="AJA328" s="131"/>
      <c r="AJB328" s="131"/>
      <c r="AJC328" s="131"/>
      <c r="AJD328" s="131"/>
      <c r="AJE328" s="131"/>
      <c r="AJF328" s="131"/>
      <c r="AJG328" s="131"/>
      <c r="AJH328" s="131"/>
      <c r="AJI328" s="131"/>
      <c r="AJJ328" s="131"/>
      <c r="AJK328" s="131"/>
      <c r="AJL328" s="131"/>
      <c r="AJM328" s="131"/>
      <c r="AJN328" s="131"/>
      <c r="AJO328" s="131"/>
      <c r="AJP328" s="131"/>
      <c r="AJQ328" s="131"/>
      <c r="AJR328" s="131"/>
      <c r="AJS328" s="131"/>
      <c r="AJT328" s="131"/>
      <c r="AJU328" s="131"/>
      <c r="AJV328" s="131"/>
      <c r="AJW328" s="131"/>
      <c r="AJX328" s="131"/>
      <c r="AJY328" s="131"/>
      <c r="AJZ328" s="131"/>
      <c r="AKA328" s="131"/>
      <c r="AKB328" s="131"/>
      <c r="AKC328" s="131"/>
      <c r="AKD328" s="131"/>
      <c r="AKE328" s="131"/>
      <c r="AKF328" s="131"/>
      <c r="AKG328" s="131"/>
      <c r="AKH328" s="131"/>
      <c r="AKI328" s="131"/>
      <c r="AKJ328" s="131"/>
      <c r="AKK328" s="131"/>
      <c r="AKL328" s="131"/>
      <c r="AKM328" s="131"/>
      <c r="AKN328" s="131"/>
      <c r="AKO328" s="131"/>
      <c r="AKP328" s="131"/>
      <c r="AKQ328" s="131"/>
      <c r="AKR328" s="131"/>
      <c r="AKS328" s="131"/>
      <c r="AKT328" s="131"/>
      <c r="AKU328" s="131"/>
      <c r="AKV328" s="131"/>
      <c r="AKW328" s="131"/>
      <c r="AKX328" s="131"/>
      <c r="AKY328" s="131"/>
      <c r="AKZ328" s="131"/>
      <c r="ALA328" s="131"/>
      <c r="ALB328" s="131"/>
      <c r="ALC328" s="131"/>
      <c r="ALD328" s="131"/>
      <c r="ALE328" s="131"/>
      <c r="ALF328" s="131"/>
      <c r="ALG328" s="131"/>
      <c r="ALH328" s="131"/>
      <c r="ALI328" s="131"/>
      <c r="ALJ328" s="131"/>
      <c r="ALK328" s="131"/>
      <c r="ALL328" s="131"/>
      <c r="ALM328" s="131"/>
      <c r="ALN328" s="131"/>
      <c r="ALO328" s="131"/>
      <c r="ALP328" s="131"/>
      <c r="ALQ328" s="131"/>
      <c r="ALR328" s="131"/>
      <c r="ALS328" s="131"/>
      <c r="ALT328" s="131"/>
      <c r="ALU328" s="131"/>
      <c r="ALV328" s="131"/>
      <c r="ALW328" s="131"/>
      <c r="ALX328" s="131"/>
      <c r="ALY328" s="131"/>
      <c r="ALZ328" s="131"/>
      <c r="AMA328" s="131"/>
      <c r="AMB328" s="131"/>
      <c r="AMC328" s="131"/>
      <c r="AMD328" s="131"/>
      <c r="AME328" s="131"/>
      <c r="AMF328" s="131"/>
      <c r="AMG328" s="131"/>
      <c r="AMH328" s="131"/>
      <c r="AMI328" s="131"/>
      <c r="AMJ328" s="131"/>
      <c r="AMK328" s="131"/>
      <c r="AML328" s="131"/>
      <c r="AMM328" s="131"/>
      <c r="AMN328" s="131"/>
      <c r="AMO328" s="131"/>
      <c r="AMP328" s="131"/>
      <c r="AMQ328" s="131"/>
      <c r="AMR328" s="131"/>
      <c r="AMS328" s="131"/>
      <c r="AMT328" s="131"/>
      <c r="AMU328" s="131"/>
      <c r="AMV328" s="131"/>
      <c r="AMW328" s="131"/>
      <c r="AMX328" s="131"/>
      <c r="AMY328" s="131"/>
      <c r="AMZ328" s="131"/>
      <c r="ANA328" s="131"/>
      <c r="ANB328" s="131"/>
      <c r="ANC328" s="131"/>
      <c r="AND328" s="131"/>
      <c r="ANE328" s="131"/>
      <c r="ANF328" s="131"/>
      <c r="ANG328" s="131"/>
      <c r="ANH328" s="131"/>
      <c r="ANI328" s="131"/>
      <c r="ANJ328" s="131"/>
      <c r="ANK328" s="131"/>
      <c r="ANL328" s="131"/>
      <c r="ANM328" s="131"/>
      <c r="ANN328" s="131"/>
      <c r="ANO328" s="131"/>
      <c r="ANP328" s="131"/>
      <c r="ANQ328" s="131"/>
      <c r="ANR328" s="131"/>
      <c r="ANS328" s="131"/>
      <c r="ANT328" s="131"/>
      <c r="ANU328" s="131"/>
      <c r="ANV328" s="131"/>
      <c r="ANW328" s="131"/>
      <c r="ANX328" s="131"/>
      <c r="ANY328" s="131"/>
      <c r="ANZ328" s="131"/>
      <c r="AOA328" s="131"/>
      <c r="AOB328" s="131"/>
      <c r="AOC328" s="131"/>
      <c r="AOD328" s="131"/>
      <c r="AOE328" s="131"/>
      <c r="AOF328" s="131"/>
      <c r="AOG328" s="131"/>
      <c r="AOH328" s="131"/>
      <c r="AOI328" s="131"/>
      <c r="AOJ328" s="131"/>
      <c r="AOK328" s="131"/>
      <c r="AOL328" s="131"/>
      <c r="AOM328" s="131"/>
      <c r="AON328" s="131"/>
      <c r="AOO328" s="131"/>
      <c r="AOP328" s="131"/>
      <c r="AOQ328" s="131"/>
      <c r="AOR328" s="131"/>
      <c r="AOS328" s="131"/>
      <c r="AOT328" s="131"/>
      <c r="AOU328" s="131"/>
      <c r="AOV328" s="131"/>
      <c r="AOW328" s="131"/>
      <c r="AOX328" s="131"/>
      <c r="AOY328" s="131"/>
      <c r="AOZ328" s="131"/>
      <c r="APA328" s="131"/>
      <c r="APB328" s="131"/>
      <c r="APC328" s="131"/>
      <c r="APD328" s="131"/>
      <c r="APE328" s="131"/>
      <c r="APF328" s="131"/>
      <c r="APG328" s="131"/>
      <c r="APH328" s="131"/>
      <c r="API328" s="131"/>
      <c r="APJ328" s="131"/>
      <c r="APK328" s="131"/>
      <c r="APL328" s="131"/>
      <c r="APM328" s="131"/>
      <c r="APN328" s="131"/>
      <c r="APO328" s="131"/>
      <c r="APP328" s="131"/>
      <c r="APQ328" s="131"/>
      <c r="APR328" s="131"/>
      <c r="APS328" s="131"/>
      <c r="APT328" s="131"/>
      <c r="APU328" s="131"/>
      <c r="APV328" s="131"/>
      <c r="APW328" s="131"/>
      <c r="APX328" s="131"/>
      <c r="APY328" s="131"/>
      <c r="APZ328" s="131"/>
      <c r="AQA328" s="131"/>
      <c r="AQB328" s="131"/>
      <c r="AQC328" s="131"/>
      <c r="AQD328" s="131"/>
      <c r="AQE328" s="131"/>
      <c r="AQF328" s="131"/>
      <c r="AQG328" s="131"/>
      <c r="AQH328" s="131"/>
      <c r="AQI328" s="131"/>
      <c r="AQJ328" s="131"/>
      <c r="AQK328" s="131"/>
      <c r="AQL328" s="131"/>
      <c r="AQM328" s="131"/>
      <c r="AQN328" s="131"/>
      <c r="AQO328" s="131"/>
      <c r="AQP328" s="131"/>
      <c r="AQQ328" s="131"/>
      <c r="AQR328" s="131"/>
      <c r="AQS328" s="131"/>
      <c r="AQT328" s="131"/>
      <c r="AQU328" s="131"/>
      <c r="AQV328" s="131"/>
      <c r="AQW328" s="131"/>
      <c r="AQX328" s="131"/>
      <c r="AQY328" s="131"/>
      <c r="AQZ328" s="131"/>
      <c r="ARA328" s="131"/>
      <c r="ARB328" s="131"/>
      <c r="ARC328" s="131"/>
      <c r="ARD328" s="131"/>
      <c r="ARE328" s="131"/>
      <c r="ARF328" s="131"/>
      <c r="ARG328" s="131"/>
      <c r="ARH328" s="131"/>
      <c r="ARI328" s="131"/>
      <c r="ARJ328" s="131"/>
      <c r="ARK328" s="131"/>
      <c r="ARL328" s="131"/>
      <c r="ARM328" s="131"/>
      <c r="ARN328" s="131"/>
      <c r="ARO328" s="131"/>
      <c r="ARP328" s="131"/>
      <c r="ARQ328" s="131"/>
      <c r="ARR328" s="131"/>
      <c r="ARS328" s="131"/>
      <c r="ART328" s="131"/>
      <c r="ARU328" s="131"/>
      <c r="ARV328" s="131"/>
      <c r="ARW328" s="131"/>
      <c r="ARX328" s="131"/>
      <c r="ARY328" s="131"/>
      <c r="ARZ328" s="131"/>
      <c r="ASA328" s="131"/>
      <c r="ASB328" s="131"/>
      <c r="ASC328" s="131"/>
      <c r="ASD328" s="131"/>
      <c r="ASE328" s="131"/>
      <c r="ASF328" s="131"/>
      <c r="ASG328" s="131"/>
      <c r="ASH328" s="131"/>
      <c r="ASI328" s="131"/>
      <c r="ASJ328" s="131"/>
      <c r="ASK328" s="131"/>
      <c r="ASL328" s="131"/>
      <c r="ASM328" s="131"/>
      <c r="ASN328" s="131"/>
      <c r="ASO328" s="131"/>
      <c r="ASP328" s="131"/>
      <c r="ASQ328" s="131"/>
      <c r="ASR328" s="131"/>
      <c r="ASS328" s="131"/>
      <c r="AST328" s="131"/>
      <c r="ASU328" s="131"/>
      <c r="ASV328" s="131"/>
      <c r="ASW328" s="131"/>
      <c r="ASX328" s="131"/>
      <c r="ASY328" s="131"/>
      <c r="ASZ328" s="131"/>
      <c r="ATA328" s="131"/>
      <c r="ATB328" s="131"/>
      <c r="ATC328" s="131"/>
    </row>
    <row r="329" spans="1:1199" ht="50.1" customHeight="1" outlineLevel="2" x14ac:dyDescent="0.3">
      <c r="A329" s="103" t="s">
        <v>326</v>
      </c>
      <c r="B329" s="96" t="s">
        <v>327</v>
      </c>
      <c r="C329" s="79" t="s">
        <v>37</v>
      </c>
      <c r="D329" s="81">
        <f t="shared" ref="D329" si="72">E329+F329</f>
        <v>726.23043999999993</v>
      </c>
      <c r="E329" s="82">
        <f t="shared" si="66"/>
        <v>97.405500000000004</v>
      </c>
      <c r="F329" s="83">
        <f t="shared" si="67"/>
        <v>628.82493999999997</v>
      </c>
      <c r="G329" s="84"/>
      <c r="H329" s="85"/>
      <c r="I329" s="85"/>
      <c r="J329" s="84"/>
      <c r="K329" s="85"/>
      <c r="L329" s="85"/>
      <c r="M329" s="85"/>
      <c r="N329" s="85"/>
      <c r="O329" s="82"/>
      <c r="P329" s="83"/>
      <c r="Q329" s="83"/>
      <c r="R329" s="83"/>
      <c r="S329" s="82"/>
      <c r="T329" s="83"/>
      <c r="U329" s="83"/>
      <c r="V329" s="84"/>
      <c r="W329" s="85"/>
      <c r="X329" s="87"/>
      <c r="Y329" s="83">
        <v>31.2</v>
      </c>
      <c r="Z329" s="84"/>
      <c r="AA329" s="85"/>
      <c r="AB329" s="84"/>
      <c r="AC329" s="85"/>
      <c r="AD329" s="89">
        <f t="shared" si="68"/>
        <v>0</v>
      </c>
      <c r="AE329" s="89"/>
      <c r="AF329" s="186"/>
      <c r="AG329" s="85"/>
      <c r="AH329" s="85"/>
      <c r="AI329" s="85"/>
      <c r="AJ329" s="84"/>
      <c r="AK329" s="85"/>
      <c r="AL329" s="84"/>
      <c r="AM329" s="88"/>
      <c r="AN329" s="84"/>
      <c r="AO329" s="85"/>
      <c r="AP329" s="84">
        <v>97.405500000000004</v>
      </c>
      <c r="AQ329" s="83">
        <v>192.94951</v>
      </c>
      <c r="AR329" s="83"/>
      <c r="AS329" s="83"/>
      <c r="AT329" s="85"/>
      <c r="AU329" s="85"/>
      <c r="AV329" s="85"/>
      <c r="AW329" s="88"/>
      <c r="AX329" s="84"/>
      <c r="AY329" s="85"/>
      <c r="AZ329" s="84"/>
      <c r="BA329" s="85"/>
      <c r="BB329" s="88"/>
      <c r="BC329" s="85"/>
      <c r="BD329" s="84"/>
      <c r="BE329" s="88"/>
      <c r="BF329" s="85"/>
      <c r="BG329" s="85"/>
      <c r="BH329" s="85"/>
      <c r="BI329" s="85"/>
      <c r="BJ329" s="85"/>
      <c r="BK329" s="85">
        <v>404.67543000000001</v>
      </c>
      <c r="BL329" s="85"/>
      <c r="BM329" s="85"/>
      <c r="BN329" s="85"/>
      <c r="BO329" s="85"/>
      <c r="BP329" s="85"/>
      <c r="BQ329" s="85"/>
      <c r="BR329" s="84"/>
      <c r="BS329" s="85"/>
      <c r="BT329" s="85"/>
      <c r="BU329" s="198"/>
      <c r="BV329" s="90"/>
      <c r="BW329" s="198"/>
      <c r="BX329" s="90"/>
      <c r="BY329" s="198"/>
      <c r="BZ329" s="90"/>
      <c r="CA329" s="91"/>
    </row>
    <row r="330" spans="1:1199" ht="50.1" customHeight="1" outlineLevel="2" x14ac:dyDescent="0.3">
      <c r="A330" s="103" t="s">
        <v>326</v>
      </c>
      <c r="B330" s="96" t="s">
        <v>328</v>
      </c>
      <c r="C330" s="79" t="s">
        <v>37</v>
      </c>
      <c r="D330" s="81">
        <f t="shared" ref="D330:D334" si="73">E330+F330</f>
        <v>922.49611000000004</v>
      </c>
      <c r="E330" s="82">
        <f t="shared" si="66"/>
        <v>268.36541</v>
      </c>
      <c r="F330" s="83">
        <f t="shared" si="67"/>
        <v>654.13070000000005</v>
      </c>
      <c r="G330" s="84"/>
      <c r="H330" s="85"/>
      <c r="I330" s="85"/>
      <c r="J330" s="84"/>
      <c r="K330" s="85"/>
      <c r="L330" s="85"/>
      <c r="M330" s="85"/>
      <c r="N330" s="85"/>
      <c r="O330" s="82"/>
      <c r="P330" s="83"/>
      <c r="Q330" s="83"/>
      <c r="R330" s="83"/>
      <c r="S330" s="82"/>
      <c r="T330" s="83"/>
      <c r="U330" s="83"/>
      <c r="V330" s="84"/>
      <c r="W330" s="85"/>
      <c r="X330" s="82"/>
      <c r="Y330" s="83"/>
      <c r="Z330" s="84"/>
      <c r="AA330" s="85"/>
      <c r="AB330" s="84"/>
      <c r="AC330" s="85"/>
      <c r="AD330" s="89">
        <f t="shared" si="68"/>
        <v>0</v>
      </c>
      <c r="AE330" s="89"/>
      <c r="AF330" s="186"/>
      <c r="AG330" s="85"/>
      <c r="AH330" s="85"/>
      <c r="AI330" s="85"/>
      <c r="AJ330" s="84"/>
      <c r="AK330" s="85"/>
      <c r="AL330" s="84"/>
      <c r="AM330" s="88"/>
      <c r="AN330" s="84"/>
      <c r="AO330" s="85"/>
      <c r="AP330" s="84">
        <v>194.91775999999999</v>
      </c>
      <c r="AQ330" s="83">
        <v>587.61782000000005</v>
      </c>
      <c r="AR330" s="83"/>
      <c r="AS330" s="83"/>
      <c r="AT330" s="85"/>
      <c r="AU330" s="85"/>
      <c r="AV330" s="85"/>
      <c r="AW330" s="88"/>
      <c r="AX330" s="84"/>
      <c r="AY330" s="85"/>
      <c r="AZ330" s="84">
        <v>73.447649999999996</v>
      </c>
      <c r="BA330" s="85">
        <v>66.512879999999996</v>
      </c>
      <c r="BB330" s="88"/>
      <c r="BC330" s="85"/>
      <c r="BD330" s="84"/>
      <c r="BE330" s="88"/>
      <c r="BF330" s="85"/>
      <c r="BG330" s="85"/>
      <c r="BH330" s="85"/>
      <c r="BI330" s="85"/>
      <c r="BJ330" s="85"/>
      <c r="BK330" s="85"/>
      <c r="BL330" s="85"/>
      <c r="BM330" s="85"/>
      <c r="BN330" s="85"/>
      <c r="BO330" s="85"/>
      <c r="BP330" s="85"/>
      <c r="BQ330" s="85"/>
      <c r="BR330" s="84"/>
      <c r="BS330" s="85"/>
      <c r="BT330" s="85"/>
      <c r="BU330" s="198"/>
      <c r="BV330" s="90"/>
      <c r="BW330" s="198"/>
      <c r="BX330" s="90"/>
      <c r="BY330" s="198"/>
      <c r="BZ330" s="90"/>
      <c r="CA330" s="91"/>
    </row>
    <row r="331" spans="1:1199" ht="50.1" customHeight="1" outlineLevel="2" x14ac:dyDescent="0.3">
      <c r="A331" s="103" t="s">
        <v>326</v>
      </c>
      <c r="B331" s="96" t="s">
        <v>330</v>
      </c>
      <c r="C331" s="79" t="s">
        <v>37</v>
      </c>
      <c r="D331" s="81">
        <f t="shared" si="73"/>
        <v>3359.0293999999999</v>
      </c>
      <c r="E331" s="82">
        <f t="shared" si="66"/>
        <v>213.64642000000001</v>
      </c>
      <c r="F331" s="83">
        <f t="shared" si="67"/>
        <v>3145.3829799999999</v>
      </c>
      <c r="G331" s="84"/>
      <c r="H331" s="85"/>
      <c r="I331" s="85"/>
      <c r="J331" s="84"/>
      <c r="K331" s="85"/>
      <c r="L331" s="85"/>
      <c r="M331" s="85"/>
      <c r="N331" s="85"/>
      <c r="O331" s="82"/>
      <c r="P331" s="83"/>
      <c r="Q331" s="83"/>
      <c r="R331" s="83"/>
      <c r="S331" s="82"/>
      <c r="T331" s="83"/>
      <c r="U331" s="83"/>
      <c r="V331" s="84"/>
      <c r="W331" s="85"/>
      <c r="X331" s="82"/>
      <c r="Y331" s="83"/>
      <c r="Z331" s="84"/>
      <c r="AA331" s="85"/>
      <c r="AB331" s="84"/>
      <c r="AC331" s="85"/>
      <c r="AD331" s="89">
        <f t="shared" si="68"/>
        <v>0</v>
      </c>
      <c r="AE331" s="89"/>
      <c r="AF331" s="186"/>
      <c r="AG331" s="85"/>
      <c r="AH331" s="85"/>
      <c r="AI331" s="85"/>
      <c r="AJ331" s="84"/>
      <c r="AK331" s="85"/>
      <c r="AL331" s="84"/>
      <c r="AM331" s="88"/>
      <c r="AN331" s="84"/>
      <c r="AO331" s="85"/>
      <c r="AP331" s="84">
        <v>149.37432000000001</v>
      </c>
      <c r="AQ331" s="83">
        <v>296.21933000000001</v>
      </c>
      <c r="AR331" s="83">
        <v>2790.96</v>
      </c>
      <c r="AS331" s="83"/>
      <c r="AT331" s="85"/>
      <c r="AU331" s="85"/>
      <c r="AV331" s="85"/>
      <c r="AW331" s="88"/>
      <c r="AX331" s="84"/>
      <c r="AY331" s="85"/>
      <c r="AZ331" s="84">
        <v>64.272099999999995</v>
      </c>
      <c r="BA331" s="85">
        <v>58.203650000000003</v>
      </c>
      <c r="BB331" s="88"/>
      <c r="BC331" s="85"/>
      <c r="BD331" s="84"/>
      <c r="BE331" s="88"/>
      <c r="BF331" s="85"/>
      <c r="BG331" s="85"/>
      <c r="BH331" s="85"/>
      <c r="BI331" s="85"/>
      <c r="BJ331" s="85"/>
      <c r="BK331" s="85"/>
      <c r="BL331" s="85"/>
      <c r="BM331" s="85"/>
      <c r="BN331" s="85"/>
      <c r="BO331" s="85"/>
      <c r="BP331" s="85"/>
      <c r="BQ331" s="85"/>
      <c r="BR331" s="84"/>
      <c r="BS331" s="85"/>
      <c r="BT331" s="85"/>
      <c r="BU331" s="198"/>
      <c r="BV331" s="90"/>
      <c r="BW331" s="198"/>
      <c r="BX331" s="90"/>
      <c r="BY331" s="198"/>
      <c r="BZ331" s="90"/>
      <c r="CA331" s="91"/>
    </row>
    <row r="332" spans="1:1199" ht="50.1" customHeight="1" outlineLevel="2" x14ac:dyDescent="0.3">
      <c r="A332" s="103" t="s">
        <v>326</v>
      </c>
      <c r="B332" s="96" t="s">
        <v>331</v>
      </c>
      <c r="C332" s="79" t="s">
        <v>37</v>
      </c>
      <c r="D332" s="81">
        <f t="shared" si="73"/>
        <v>405.52323000000001</v>
      </c>
      <c r="E332" s="82">
        <f t="shared" si="66"/>
        <v>129.14796999999999</v>
      </c>
      <c r="F332" s="83">
        <f t="shared" si="67"/>
        <v>276.37526000000003</v>
      </c>
      <c r="G332" s="84"/>
      <c r="H332" s="85"/>
      <c r="I332" s="85"/>
      <c r="J332" s="84"/>
      <c r="K332" s="85"/>
      <c r="L332" s="85"/>
      <c r="M332" s="85"/>
      <c r="N332" s="85"/>
      <c r="O332" s="82"/>
      <c r="P332" s="83"/>
      <c r="Q332" s="83"/>
      <c r="R332" s="83"/>
      <c r="S332" s="82"/>
      <c r="T332" s="83"/>
      <c r="U332" s="83"/>
      <c r="V332" s="84"/>
      <c r="W332" s="85"/>
      <c r="X332" s="82"/>
      <c r="Y332" s="83"/>
      <c r="Z332" s="84"/>
      <c r="AA332" s="85"/>
      <c r="AB332" s="84"/>
      <c r="AC332" s="85"/>
      <c r="AD332" s="89">
        <f t="shared" si="68"/>
        <v>0</v>
      </c>
      <c r="AE332" s="89"/>
      <c r="AF332" s="186"/>
      <c r="AG332" s="85"/>
      <c r="AH332" s="85"/>
      <c r="AI332" s="85"/>
      <c r="AJ332" s="84"/>
      <c r="AK332" s="85"/>
      <c r="AL332" s="84"/>
      <c r="AM332" s="88"/>
      <c r="AN332" s="84"/>
      <c r="AO332" s="85"/>
      <c r="AP332" s="84">
        <v>106.85945</v>
      </c>
      <c r="AQ332" s="83">
        <v>256.19117</v>
      </c>
      <c r="AR332" s="83"/>
      <c r="AS332" s="83"/>
      <c r="AT332" s="85"/>
      <c r="AU332" s="85"/>
      <c r="AV332" s="85"/>
      <c r="AW332" s="88"/>
      <c r="AX332" s="84"/>
      <c r="AY332" s="85"/>
      <c r="AZ332" s="84">
        <v>22.288519999999998</v>
      </c>
      <c r="BA332" s="85">
        <v>20.184090000000001</v>
      </c>
      <c r="BB332" s="88"/>
      <c r="BC332" s="85"/>
      <c r="BD332" s="84"/>
      <c r="BE332" s="88"/>
      <c r="BF332" s="85"/>
      <c r="BG332" s="85"/>
      <c r="BH332" s="85"/>
      <c r="BI332" s="85"/>
      <c r="BJ332" s="85"/>
      <c r="BK332" s="85"/>
      <c r="BL332" s="85"/>
      <c r="BM332" s="85"/>
      <c r="BN332" s="85"/>
      <c r="BO332" s="85"/>
      <c r="BP332" s="85"/>
      <c r="BQ332" s="85"/>
      <c r="BR332" s="84"/>
      <c r="BS332" s="85"/>
      <c r="BT332" s="85"/>
      <c r="BU332" s="198"/>
      <c r="BV332" s="90"/>
      <c r="BW332" s="198"/>
      <c r="BX332" s="90"/>
      <c r="BY332" s="198"/>
      <c r="BZ332" s="90"/>
      <c r="CA332" s="91"/>
    </row>
    <row r="333" spans="1:1199" ht="50.1" customHeight="1" outlineLevel="2" x14ac:dyDescent="0.3">
      <c r="A333" s="103" t="s">
        <v>326</v>
      </c>
      <c r="B333" s="96" t="s">
        <v>332</v>
      </c>
      <c r="C333" s="79" t="s">
        <v>55</v>
      </c>
      <c r="D333" s="81">
        <f t="shared" si="73"/>
        <v>305.10004000000004</v>
      </c>
      <c r="E333" s="82">
        <f t="shared" si="66"/>
        <v>128.9958</v>
      </c>
      <c r="F333" s="83">
        <f t="shared" si="67"/>
        <v>176.10424</v>
      </c>
      <c r="G333" s="84"/>
      <c r="H333" s="85"/>
      <c r="I333" s="85"/>
      <c r="J333" s="84"/>
      <c r="K333" s="85"/>
      <c r="L333" s="85"/>
      <c r="M333" s="85"/>
      <c r="N333" s="85"/>
      <c r="O333" s="82"/>
      <c r="P333" s="83"/>
      <c r="Q333" s="83"/>
      <c r="R333" s="83"/>
      <c r="S333" s="82"/>
      <c r="T333" s="83"/>
      <c r="U333" s="83"/>
      <c r="V333" s="84"/>
      <c r="W333" s="85">
        <v>58.741999999999997</v>
      </c>
      <c r="X333" s="82"/>
      <c r="Y333" s="83">
        <v>6.24</v>
      </c>
      <c r="Z333" s="84"/>
      <c r="AA333" s="85"/>
      <c r="AB333" s="84"/>
      <c r="AC333" s="85"/>
      <c r="AD333" s="89">
        <f t="shared" si="68"/>
        <v>0</v>
      </c>
      <c r="AE333" s="89"/>
      <c r="AF333" s="186"/>
      <c r="AG333" s="85"/>
      <c r="AH333" s="85"/>
      <c r="AI333" s="85"/>
      <c r="AJ333" s="84"/>
      <c r="AK333" s="85"/>
      <c r="AL333" s="84"/>
      <c r="AM333" s="88"/>
      <c r="AN333" s="84"/>
      <c r="AO333" s="85"/>
      <c r="AP333" s="84"/>
      <c r="AQ333" s="83"/>
      <c r="AR333" s="83"/>
      <c r="AS333" s="83"/>
      <c r="AT333" s="85"/>
      <c r="AU333" s="85"/>
      <c r="AV333" s="85"/>
      <c r="AW333" s="88"/>
      <c r="AX333" s="84"/>
      <c r="AY333" s="85"/>
      <c r="AZ333" s="84">
        <v>128.9958</v>
      </c>
      <c r="BA333" s="88">
        <v>90.207089999999994</v>
      </c>
      <c r="BB333" s="88">
        <v>20.915150000000001</v>
      </c>
      <c r="BC333" s="85"/>
      <c r="BD333" s="84"/>
      <c r="BE333" s="88"/>
      <c r="BF333" s="85"/>
      <c r="BG333" s="85"/>
      <c r="BH333" s="85"/>
      <c r="BI333" s="85"/>
      <c r="BJ333" s="85"/>
      <c r="BK333" s="85"/>
      <c r="BL333" s="85"/>
      <c r="BM333" s="85"/>
      <c r="BN333" s="85"/>
      <c r="BO333" s="85"/>
      <c r="BP333" s="85"/>
      <c r="BQ333" s="85"/>
      <c r="BR333" s="84"/>
      <c r="BS333" s="85"/>
      <c r="BT333" s="85"/>
      <c r="BU333" s="198"/>
      <c r="BV333" s="90"/>
      <c r="BW333" s="198"/>
      <c r="BX333" s="90"/>
      <c r="BY333" s="198"/>
      <c r="BZ333" s="90"/>
      <c r="CA333" s="91"/>
    </row>
    <row r="334" spans="1:1199" ht="50.1" customHeight="1" outlineLevel="2" x14ac:dyDescent="0.3">
      <c r="A334" s="103" t="s">
        <v>326</v>
      </c>
      <c r="B334" s="96" t="s">
        <v>333</v>
      </c>
      <c r="C334" s="79" t="s">
        <v>89</v>
      </c>
      <c r="D334" s="81">
        <f t="shared" si="73"/>
        <v>1163.34836</v>
      </c>
      <c r="E334" s="82">
        <f t="shared" si="66"/>
        <v>0</v>
      </c>
      <c r="F334" s="83">
        <f t="shared" si="67"/>
        <v>1163.34836</v>
      </c>
      <c r="G334" s="84"/>
      <c r="H334" s="85"/>
      <c r="I334" s="85"/>
      <c r="J334" s="84"/>
      <c r="K334" s="85"/>
      <c r="L334" s="85"/>
      <c r="M334" s="85"/>
      <c r="N334" s="85"/>
      <c r="O334" s="82"/>
      <c r="P334" s="83"/>
      <c r="Q334" s="83"/>
      <c r="R334" s="83"/>
      <c r="S334" s="82"/>
      <c r="T334" s="83"/>
      <c r="U334" s="83"/>
      <c r="V334" s="84"/>
      <c r="W334" s="85"/>
      <c r="X334" s="82"/>
      <c r="Y334" s="83"/>
      <c r="Z334" s="84"/>
      <c r="AA334" s="85"/>
      <c r="AB334" s="84"/>
      <c r="AC334" s="85"/>
      <c r="AD334" s="89">
        <f t="shared" si="68"/>
        <v>0</v>
      </c>
      <c r="AE334" s="89"/>
      <c r="AF334" s="186"/>
      <c r="AG334" s="85"/>
      <c r="AH334" s="85"/>
      <c r="AI334" s="85"/>
      <c r="AJ334" s="84"/>
      <c r="AK334" s="85"/>
      <c r="AL334" s="84"/>
      <c r="AM334" s="88"/>
      <c r="AN334" s="84"/>
      <c r="AO334" s="85"/>
      <c r="AP334" s="84"/>
      <c r="AQ334" s="83"/>
      <c r="AR334" s="83"/>
      <c r="AS334" s="83"/>
      <c r="AT334" s="85"/>
      <c r="AU334" s="85"/>
      <c r="AV334" s="88">
        <v>1030.1818000000001</v>
      </c>
      <c r="AW334" s="88"/>
      <c r="AX334" s="84"/>
      <c r="AY334" s="85"/>
      <c r="AZ334" s="84"/>
      <c r="BA334" s="85"/>
      <c r="BB334" s="88"/>
      <c r="BC334" s="85"/>
      <c r="BD334" s="84"/>
      <c r="BE334" s="88"/>
      <c r="BF334" s="85"/>
      <c r="BG334" s="85">
        <v>133.16656</v>
      </c>
      <c r="BH334" s="85"/>
      <c r="BI334" s="85"/>
      <c r="BJ334" s="85"/>
      <c r="BK334" s="85"/>
      <c r="BL334" s="85"/>
      <c r="BM334" s="85"/>
      <c r="BN334" s="85"/>
      <c r="BO334" s="85"/>
      <c r="BP334" s="85"/>
      <c r="BQ334" s="85"/>
      <c r="BR334" s="84"/>
      <c r="BS334" s="85"/>
      <c r="BT334" s="85"/>
      <c r="BU334" s="198"/>
      <c r="BV334" s="90"/>
      <c r="BW334" s="198"/>
      <c r="BX334" s="90"/>
      <c r="BY334" s="198"/>
      <c r="BZ334" s="90"/>
      <c r="CA334" s="91"/>
    </row>
    <row r="335" spans="1:1199" s="101" customFormat="1" ht="50.1" customHeight="1" outlineLevel="1" x14ac:dyDescent="0.3">
      <c r="A335" s="132" t="s">
        <v>334</v>
      </c>
      <c r="B335" s="229"/>
      <c r="C335" s="134" t="s">
        <v>94</v>
      </c>
      <c r="D335" s="114">
        <f t="shared" ref="D335:AI335" si="74">SUBTOTAL(9,D329:D334)</f>
        <v>6881.7275799999998</v>
      </c>
      <c r="E335" s="114">
        <f t="shared" si="74"/>
        <v>837.56110000000001</v>
      </c>
      <c r="F335" s="114">
        <f t="shared" si="74"/>
        <v>6044.1664799999999</v>
      </c>
      <c r="G335" s="114">
        <f t="shared" si="74"/>
        <v>0</v>
      </c>
      <c r="H335" s="114">
        <f t="shared" si="74"/>
        <v>0</v>
      </c>
      <c r="I335" s="114">
        <f t="shared" si="74"/>
        <v>0</v>
      </c>
      <c r="J335" s="114">
        <f t="shared" si="74"/>
        <v>0</v>
      </c>
      <c r="K335" s="114">
        <f t="shared" si="74"/>
        <v>0</v>
      </c>
      <c r="L335" s="114">
        <f t="shared" si="74"/>
        <v>0</v>
      </c>
      <c r="M335" s="114">
        <f t="shared" si="74"/>
        <v>0</v>
      </c>
      <c r="N335" s="114">
        <f t="shared" si="74"/>
        <v>0</v>
      </c>
      <c r="O335" s="114">
        <f t="shared" si="74"/>
        <v>0</v>
      </c>
      <c r="P335" s="114">
        <f t="shared" si="74"/>
        <v>0</v>
      </c>
      <c r="Q335" s="114">
        <f t="shared" si="74"/>
        <v>0</v>
      </c>
      <c r="R335" s="114">
        <f t="shared" si="74"/>
        <v>0</v>
      </c>
      <c r="S335" s="114">
        <f t="shared" si="74"/>
        <v>0</v>
      </c>
      <c r="T335" s="114">
        <f t="shared" si="74"/>
        <v>0</v>
      </c>
      <c r="U335" s="114">
        <f t="shared" si="74"/>
        <v>0</v>
      </c>
      <c r="V335" s="114">
        <f t="shared" si="74"/>
        <v>0</v>
      </c>
      <c r="W335" s="114">
        <f t="shared" si="74"/>
        <v>58.741999999999997</v>
      </c>
      <c r="X335" s="114">
        <f t="shared" si="74"/>
        <v>0</v>
      </c>
      <c r="Y335" s="114">
        <f t="shared" si="74"/>
        <v>37.44</v>
      </c>
      <c r="Z335" s="114">
        <f t="shared" si="74"/>
        <v>0</v>
      </c>
      <c r="AA335" s="114">
        <f t="shared" si="74"/>
        <v>0</v>
      </c>
      <c r="AB335" s="114">
        <f t="shared" si="74"/>
        <v>0</v>
      </c>
      <c r="AC335" s="114">
        <f t="shared" si="74"/>
        <v>0</v>
      </c>
      <c r="AD335" s="114">
        <f t="shared" si="74"/>
        <v>0</v>
      </c>
      <c r="AE335" s="114">
        <f t="shared" si="74"/>
        <v>0</v>
      </c>
      <c r="AF335" s="191">
        <f t="shared" si="74"/>
        <v>0</v>
      </c>
      <c r="AG335" s="114">
        <f t="shared" si="74"/>
        <v>0</v>
      </c>
      <c r="AH335" s="114">
        <f t="shared" si="74"/>
        <v>0</v>
      </c>
      <c r="AI335" s="114">
        <f t="shared" si="74"/>
        <v>0</v>
      </c>
      <c r="AJ335" s="114">
        <f t="shared" ref="AJ335:BO335" si="75">SUBTOTAL(9,AJ329:AJ334)</f>
        <v>0</v>
      </c>
      <c r="AK335" s="114">
        <f t="shared" si="75"/>
        <v>0</v>
      </c>
      <c r="AL335" s="114">
        <f t="shared" si="75"/>
        <v>0</v>
      </c>
      <c r="AM335" s="114">
        <f t="shared" si="75"/>
        <v>0</v>
      </c>
      <c r="AN335" s="114">
        <f t="shared" si="75"/>
        <v>0</v>
      </c>
      <c r="AO335" s="114">
        <f t="shared" si="75"/>
        <v>0</v>
      </c>
      <c r="AP335" s="114">
        <f t="shared" si="75"/>
        <v>548.55703000000005</v>
      </c>
      <c r="AQ335" s="114">
        <f t="shared" si="75"/>
        <v>1332.9778300000003</v>
      </c>
      <c r="AR335" s="114">
        <f t="shared" si="75"/>
        <v>2790.96</v>
      </c>
      <c r="AS335" s="114">
        <f t="shared" si="75"/>
        <v>0</v>
      </c>
      <c r="AT335" s="114">
        <f t="shared" si="75"/>
        <v>0</v>
      </c>
      <c r="AU335" s="114">
        <f t="shared" si="75"/>
        <v>0</v>
      </c>
      <c r="AV335" s="114">
        <f t="shared" si="75"/>
        <v>1030.1818000000001</v>
      </c>
      <c r="AW335" s="114">
        <f t="shared" si="75"/>
        <v>0</v>
      </c>
      <c r="AX335" s="114">
        <f t="shared" si="75"/>
        <v>0</v>
      </c>
      <c r="AY335" s="114">
        <f t="shared" si="75"/>
        <v>0</v>
      </c>
      <c r="AZ335" s="114">
        <f t="shared" si="75"/>
        <v>289.00406999999996</v>
      </c>
      <c r="BA335" s="114">
        <f t="shared" si="75"/>
        <v>235.10771</v>
      </c>
      <c r="BB335" s="114">
        <f t="shared" si="75"/>
        <v>20.915150000000001</v>
      </c>
      <c r="BC335" s="114">
        <f t="shared" si="75"/>
        <v>0</v>
      </c>
      <c r="BD335" s="114">
        <f t="shared" si="75"/>
        <v>0</v>
      </c>
      <c r="BE335" s="114">
        <f t="shared" si="75"/>
        <v>0</v>
      </c>
      <c r="BF335" s="114">
        <f t="shared" si="75"/>
        <v>0</v>
      </c>
      <c r="BG335" s="114">
        <f t="shared" si="75"/>
        <v>133.16656</v>
      </c>
      <c r="BH335" s="114">
        <f t="shared" si="75"/>
        <v>0</v>
      </c>
      <c r="BI335" s="114">
        <f t="shared" si="75"/>
        <v>0</v>
      </c>
      <c r="BJ335" s="114">
        <f t="shared" si="75"/>
        <v>0</v>
      </c>
      <c r="BK335" s="114">
        <f t="shared" si="75"/>
        <v>404.67543000000001</v>
      </c>
      <c r="BL335" s="114">
        <f t="shared" si="75"/>
        <v>0</v>
      </c>
      <c r="BM335" s="114">
        <f t="shared" si="75"/>
        <v>0</v>
      </c>
      <c r="BN335" s="114">
        <f t="shared" si="75"/>
        <v>0</v>
      </c>
      <c r="BO335" s="114">
        <f t="shared" si="75"/>
        <v>0</v>
      </c>
      <c r="BP335" s="114">
        <f t="shared" ref="BP335:CU335" si="76">SUBTOTAL(9,BP329:BP334)</f>
        <v>0</v>
      </c>
      <c r="BQ335" s="114">
        <f t="shared" si="76"/>
        <v>0</v>
      </c>
      <c r="BR335" s="114">
        <f t="shared" si="76"/>
        <v>0</v>
      </c>
      <c r="BS335" s="114">
        <f t="shared" si="76"/>
        <v>0</v>
      </c>
      <c r="BT335" s="114">
        <f t="shared" si="76"/>
        <v>0</v>
      </c>
      <c r="BU335" s="114">
        <f t="shared" si="76"/>
        <v>0</v>
      </c>
      <c r="BV335" s="114">
        <f t="shared" si="76"/>
        <v>0</v>
      </c>
      <c r="BW335" s="114">
        <f t="shared" si="76"/>
        <v>0</v>
      </c>
      <c r="BX335" s="114">
        <f t="shared" si="76"/>
        <v>0</v>
      </c>
      <c r="BY335" s="114">
        <f t="shared" si="76"/>
        <v>0</v>
      </c>
      <c r="BZ335" s="114">
        <f t="shared" si="76"/>
        <v>0</v>
      </c>
      <c r="CA335" s="114">
        <f t="shared" si="76"/>
        <v>0</v>
      </c>
      <c r="CB335" s="176"/>
      <c r="CC335" s="176"/>
      <c r="CD335" s="176"/>
      <c r="CE335" s="176"/>
      <c r="CF335" s="176"/>
      <c r="CG335" s="176"/>
      <c r="CH335" s="176"/>
      <c r="CI335" s="176"/>
      <c r="CJ335" s="176"/>
      <c r="CK335" s="176"/>
      <c r="CL335" s="176"/>
      <c r="CM335" s="176"/>
      <c r="CN335" s="176"/>
      <c r="CO335" s="176"/>
      <c r="CP335" s="176"/>
      <c r="CQ335" s="176"/>
      <c r="CR335" s="176"/>
      <c r="CS335" s="176"/>
      <c r="CT335" s="176"/>
      <c r="CU335" s="176"/>
      <c r="CV335" s="176"/>
      <c r="CW335" s="176"/>
      <c r="CX335" s="176"/>
      <c r="CY335" s="176"/>
      <c r="CZ335" s="176"/>
      <c r="DA335" s="176"/>
      <c r="DB335" s="176"/>
      <c r="DC335" s="176"/>
      <c r="DD335" s="176"/>
      <c r="DE335" s="176"/>
      <c r="DF335" s="176"/>
      <c r="DG335" s="176"/>
      <c r="DH335" s="176"/>
      <c r="DI335" s="176"/>
      <c r="DJ335" s="176"/>
      <c r="DK335" s="176"/>
      <c r="DL335" s="176"/>
      <c r="DM335" s="176"/>
      <c r="DN335" s="176"/>
      <c r="DO335" s="176"/>
      <c r="DP335" s="176"/>
      <c r="DQ335" s="176"/>
      <c r="DR335" s="176"/>
      <c r="DS335" s="176"/>
      <c r="DT335" s="176"/>
      <c r="DU335" s="176"/>
      <c r="DV335" s="176"/>
      <c r="DW335" s="176"/>
      <c r="DX335" s="176"/>
      <c r="DY335" s="176"/>
      <c r="DZ335" s="176"/>
      <c r="EA335" s="176"/>
      <c r="EB335" s="176"/>
      <c r="EC335" s="176"/>
      <c r="ED335" s="176"/>
      <c r="EE335" s="176"/>
      <c r="EF335" s="176"/>
      <c r="EG335" s="176"/>
      <c r="EH335" s="176"/>
      <c r="EI335" s="176"/>
      <c r="EJ335" s="176"/>
      <c r="EK335" s="176"/>
      <c r="EL335" s="176"/>
      <c r="EM335" s="176"/>
      <c r="EN335" s="176"/>
      <c r="EO335" s="176"/>
      <c r="EP335" s="176"/>
      <c r="EQ335" s="176"/>
      <c r="ER335" s="176"/>
      <c r="ES335" s="176"/>
      <c r="ET335" s="176"/>
      <c r="EU335" s="176"/>
      <c r="EV335" s="176"/>
      <c r="EW335" s="176"/>
      <c r="EX335" s="176"/>
      <c r="EY335" s="176"/>
      <c r="EZ335" s="176"/>
      <c r="FA335" s="176"/>
      <c r="FB335" s="176"/>
      <c r="FC335" s="176"/>
      <c r="FD335" s="176"/>
      <c r="FE335" s="176"/>
      <c r="FF335" s="176"/>
      <c r="FG335" s="176"/>
      <c r="FH335" s="176"/>
      <c r="FI335" s="176"/>
      <c r="FJ335" s="176"/>
      <c r="FK335" s="176"/>
      <c r="FL335" s="176"/>
      <c r="FM335" s="176"/>
      <c r="FN335" s="176"/>
      <c r="FO335" s="176"/>
      <c r="FP335" s="176"/>
      <c r="FQ335" s="176"/>
      <c r="FR335" s="176"/>
      <c r="FS335" s="176"/>
      <c r="FT335" s="176"/>
      <c r="FU335" s="176"/>
      <c r="FV335" s="176"/>
      <c r="FW335" s="176"/>
      <c r="FX335" s="176"/>
      <c r="FY335" s="176"/>
      <c r="FZ335" s="176"/>
      <c r="GA335" s="176"/>
      <c r="GB335" s="176"/>
      <c r="GC335" s="176"/>
      <c r="GD335" s="176"/>
      <c r="GE335" s="176"/>
      <c r="GF335" s="176"/>
      <c r="GG335" s="176"/>
      <c r="GH335" s="176"/>
      <c r="GI335" s="176"/>
      <c r="GJ335" s="176"/>
      <c r="GK335" s="176"/>
      <c r="GL335" s="176"/>
      <c r="GM335" s="176"/>
      <c r="GN335" s="176"/>
      <c r="GO335" s="176"/>
      <c r="GP335" s="176"/>
      <c r="GQ335" s="176"/>
      <c r="GR335" s="176"/>
      <c r="GS335" s="176"/>
      <c r="GT335" s="176"/>
      <c r="GU335" s="176"/>
      <c r="GV335" s="176"/>
      <c r="GW335" s="176"/>
      <c r="GX335" s="176"/>
      <c r="GY335" s="176"/>
      <c r="GZ335" s="176"/>
      <c r="HA335" s="176"/>
      <c r="HB335" s="176"/>
      <c r="HC335" s="176"/>
      <c r="HD335" s="176"/>
      <c r="HE335" s="176"/>
      <c r="HF335" s="176"/>
      <c r="HG335" s="176"/>
      <c r="HH335" s="176"/>
      <c r="HI335" s="176"/>
      <c r="HJ335" s="176"/>
      <c r="HK335" s="176"/>
      <c r="HL335" s="176"/>
      <c r="HM335" s="176"/>
      <c r="HN335" s="176"/>
      <c r="HO335" s="176"/>
      <c r="HP335" s="176"/>
      <c r="HQ335" s="176"/>
      <c r="HR335" s="176"/>
      <c r="HS335" s="176"/>
      <c r="HT335" s="176"/>
      <c r="HU335" s="176"/>
      <c r="HV335" s="176"/>
      <c r="HW335" s="176"/>
      <c r="HX335" s="176"/>
      <c r="HY335" s="176"/>
      <c r="HZ335" s="176"/>
      <c r="IA335" s="176"/>
      <c r="IB335" s="176"/>
      <c r="IC335" s="176"/>
      <c r="ID335" s="176"/>
      <c r="IE335" s="176"/>
      <c r="IF335" s="176"/>
      <c r="IG335" s="176"/>
      <c r="IH335" s="176"/>
      <c r="II335" s="176"/>
      <c r="IJ335" s="176"/>
      <c r="IK335" s="176"/>
      <c r="IL335" s="176"/>
      <c r="IM335" s="176"/>
      <c r="IN335" s="176"/>
      <c r="IO335" s="176"/>
      <c r="IP335" s="176"/>
      <c r="IQ335" s="176"/>
      <c r="IR335" s="176"/>
      <c r="IS335" s="176"/>
      <c r="IT335" s="176"/>
      <c r="IU335" s="176"/>
      <c r="IV335" s="176"/>
      <c r="IW335" s="176"/>
      <c r="IX335" s="176"/>
      <c r="IY335" s="176"/>
      <c r="IZ335" s="176"/>
      <c r="JA335" s="176"/>
      <c r="JB335" s="176"/>
      <c r="JC335" s="176"/>
      <c r="JD335" s="176"/>
      <c r="JE335" s="176"/>
      <c r="JF335" s="176"/>
      <c r="JG335" s="176"/>
      <c r="JH335" s="176"/>
      <c r="JI335" s="176"/>
      <c r="JJ335" s="176"/>
      <c r="JK335" s="176"/>
      <c r="JL335" s="176"/>
      <c r="JM335" s="176"/>
      <c r="JN335" s="176"/>
      <c r="JO335" s="176"/>
      <c r="JP335" s="176"/>
      <c r="JQ335" s="176"/>
      <c r="JR335" s="176"/>
      <c r="JS335" s="176"/>
      <c r="JT335" s="176"/>
      <c r="JU335" s="176"/>
      <c r="JV335" s="176"/>
      <c r="JW335" s="131"/>
      <c r="JX335" s="131"/>
      <c r="JY335" s="131"/>
      <c r="JZ335" s="131"/>
      <c r="KA335" s="131"/>
      <c r="KB335" s="131"/>
      <c r="KC335" s="131"/>
      <c r="KD335" s="131"/>
      <c r="KE335" s="131"/>
      <c r="KF335" s="131"/>
      <c r="KG335" s="131"/>
      <c r="KH335" s="131"/>
      <c r="KI335" s="131"/>
      <c r="KJ335" s="131"/>
      <c r="KK335" s="131"/>
      <c r="KL335" s="131"/>
      <c r="KM335" s="131"/>
      <c r="KN335" s="131"/>
      <c r="KO335" s="131"/>
      <c r="KP335" s="131"/>
      <c r="KQ335" s="131"/>
      <c r="KR335" s="131"/>
      <c r="KS335" s="131"/>
      <c r="KT335" s="131"/>
      <c r="KU335" s="131"/>
      <c r="KV335" s="131"/>
      <c r="KW335" s="131"/>
      <c r="KX335" s="131"/>
      <c r="KY335" s="131"/>
      <c r="KZ335" s="131"/>
      <c r="LA335" s="131"/>
      <c r="LB335" s="131"/>
      <c r="LC335" s="131"/>
      <c r="LD335" s="131"/>
      <c r="LE335" s="131"/>
      <c r="LF335" s="131"/>
      <c r="LG335" s="131"/>
      <c r="LH335" s="131"/>
      <c r="LI335" s="131"/>
      <c r="LJ335" s="131"/>
      <c r="LK335" s="131"/>
      <c r="LL335" s="131"/>
      <c r="LM335" s="131"/>
      <c r="LN335" s="131"/>
      <c r="LO335" s="131"/>
      <c r="LP335" s="131"/>
      <c r="LQ335" s="131"/>
      <c r="LR335" s="131"/>
      <c r="LS335" s="131"/>
      <c r="LT335" s="131"/>
      <c r="LU335" s="131"/>
      <c r="LV335" s="131"/>
      <c r="LW335" s="131"/>
      <c r="LX335" s="131"/>
      <c r="LY335" s="131"/>
      <c r="LZ335" s="131"/>
      <c r="MA335" s="131"/>
      <c r="MB335" s="131"/>
      <c r="MC335" s="131"/>
      <c r="MD335" s="131"/>
      <c r="ME335" s="131"/>
      <c r="MF335" s="131"/>
      <c r="MG335" s="131"/>
      <c r="MH335" s="131"/>
      <c r="MI335" s="131"/>
      <c r="MJ335" s="131"/>
      <c r="MK335" s="131"/>
      <c r="ML335" s="131"/>
      <c r="MM335" s="131"/>
      <c r="MN335" s="131"/>
      <c r="MO335" s="131"/>
      <c r="MP335" s="131"/>
      <c r="MQ335" s="131"/>
      <c r="MR335" s="131"/>
      <c r="MS335" s="131"/>
      <c r="MT335" s="131"/>
      <c r="MU335" s="131"/>
      <c r="MV335" s="131"/>
      <c r="MW335" s="131"/>
      <c r="MX335" s="131"/>
      <c r="MY335" s="131"/>
      <c r="MZ335" s="131"/>
      <c r="NA335" s="131"/>
      <c r="NB335" s="131"/>
      <c r="NC335" s="131"/>
      <c r="ND335" s="131"/>
      <c r="NE335" s="131"/>
      <c r="NF335" s="131"/>
      <c r="NG335" s="131"/>
      <c r="NH335" s="131"/>
      <c r="NI335" s="131"/>
      <c r="NJ335" s="131"/>
      <c r="NK335" s="131"/>
      <c r="NL335" s="131"/>
      <c r="NM335" s="131"/>
      <c r="NN335" s="131"/>
      <c r="NO335" s="131"/>
      <c r="NP335" s="131"/>
      <c r="NQ335" s="131"/>
      <c r="NR335" s="131"/>
      <c r="NS335" s="131"/>
      <c r="NT335" s="131"/>
      <c r="NU335" s="131"/>
      <c r="NV335" s="131"/>
      <c r="NW335" s="131"/>
      <c r="NX335" s="131"/>
      <c r="NY335" s="131"/>
      <c r="NZ335" s="131"/>
      <c r="OA335" s="131"/>
      <c r="OB335" s="131"/>
      <c r="OC335" s="131"/>
      <c r="OD335" s="131"/>
      <c r="OE335" s="131"/>
      <c r="OF335" s="131"/>
      <c r="OG335" s="131"/>
      <c r="OH335" s="131"/>
      <c r="OI335" s="131"/>
      <c r="OJ335" s="131"/>
      <c r="OK335" s="131"/>
      <c r="OL335" s="131"/>
      <c r="OM335" s="131"/>
      <c r="ON335" s="131"/>
      <c r="OO335" s="131"/>
      <c r="OP335" s="131"/>
      <c r="OQ335" s="131"/>
      <c r="OR335" s="131"/>
      <c r="OS335" s="131"/>
      <c r="OT335" s="131"/>
      <c r="OU335" s="131"/>
      <c r="OV335" s="131"/>
      <c r="OW335" s="131"/>
      <c r="OX335" s="131"/>
      <c r="OY335" s="131"/>
      <c r="OZ335" s="131"/>
      <c r="PA335" s="131"/>
      <c r="PB335" s="131"/>
      <c r="PC335" s="131"/>
      <c r="PD335" s="131"/>
      <c r="PE335" s="131"/>
      <c r="PF335" s="131"/>
      <c r="PG335" s="131"/>
      <c r="PH335" s="131"/>
      <c r="PI335" s="131"/>
      <c r="PJ335" s="131"/>
      <c r="PK335" s="131"/>
      <c r="PL335" s="131"/>
      <c r="PM335" s="131"/>
      <c r="PN335" s="131"/>
      <c r="PO335" s="131"/>
      <c r="PP335" s="131"/>
      <c r="PQ335" s="131"/>
      <c r="PR335" s="131"/>
      <c r="PS335" s="131"/>
      <c r="PT335" s="131"/>
      <c r="PU335" s="131"/>
      <c r="PV335" s="131"/>
      <c r="PW335" s="131"/>
      <c r="PX335" s="131"/>
      <c r="PY335" s="131"/>
      <c r="PZ335" s="131"/>
      <c r="QA335" s="131"/>
      <c r="QB335" s="131"/>
      <c r="QC335" s="131"/>
      <c r="QD335" s="131"/>
      <c r="QE335" s="131"/>
      <c r="QF335" s="131"/>
      <c r="QG335" s="131"/>
      <c r="QH335" s="131"/>
      <c r="QI335" s="131"/>
      <c r="QJ335" s="131"/>
      <c r="QK335" s="131"/>
      <c r="QL335" s="131"/>
      <c r="QM335" s="131"/>
      <c r="QN335" s="131"/>
      <c r="QO335" s="131"/>
      <c r="QP335" s="131"/>
      <c r="QQ335" s="131"/>
      <c r="QR335" s="131"/>
      <c r="QS335" s="131"/>
      <c r="QT335" s="131"/>
      <c r="QU335" s="131"/>
      <c r="QV335" s="131"/>
      <c r="QW335" s="131"/>
      <c r="QX335" s="131"/>
      <c r="QY335" s="131"/>
      <c r="QZ335" s="131"/>
      <c r="RA335" s="131"/>
      <c r="RB335" s="131"/>
      <c r="RC335" s="131"/>
      <c r="RD335" s="131"/>
      <c r="RE335" s="131"/>
      <c r="RF335" s="131"/>
      <c r="RG335" s="131"/>
      <c r="RH335" s="131"/>
      <c r="RI335" s="131"/>
      <c r="RJ335" s="131"/>
      <c r="RK335" s="131"/>
      <c r="RL335" s="131"/>
      <c r="RM335" s="131"/>
      <c r="RN335" s="131"/>
      <c r="RO335" s="131"/>
      <c r="RP335" s="131"/>
      <c r="RQ335" s="131"/>
      <c r="RR335" s="131"/>
      <c r="RS335" s="131"/>
      <c r="RT335" s="131"/>
      <c r="RU335" s="131"/>
      <c r="RV335" s="131"/>
      <c r="RW335" s="131"/>
      <c r="RX335" s="131"/>
      <c r="RY335" s="131"/>
      <c r="RZ335" s="131"/>
      <c r="SA335" s="131"/>
      <c r="SB335" s="131"/>
      <c r="SC335" s="131"/>
      <c r="SD335" s="131"/>
      <c r="SE335" s="131"/>
      <c r="SF335" s="131"/>
      <c r="SG335" s="131"/>
      <c r="SH335" s="131"/>
      <c r="SI335" s="131"/>
      <c r="SJ335" s="131"/>
      <c r="SK335" s="131"/>
      <c r="SL335" s="131"/>
      <c r="SM335" s="131"/>
      <c r="SN335" s="131"/>
      <c r="SO335" s="131"/>
      <c r="SP335" s="131"/>
      <c r="SQ335" s="131"/>
      <c r="SR335" s="131"/>
      <c r="SS335" s="131"/>
      <c r="ST335" s="131"/>
      <c r="SU335" s="131"/>
      <c r="SV335" s="131"/>
      <c r="SW335" s="131"/>
      <c r="SX335" s="131"/>
      <c r="SY335" s="131"/>
      <c r="SZ335" s="131"/>
      <c r="TA335" s="131"/>
      <c r="TB335" s="131"/>
      <c r="TC335" s="131"/>
      <c r="TD335" s="131"/>
      <c r="TE335" s="131"/>
      <c r="TF335" s="131"/>
      <c r="TG335" s="131"/>
      <c r="TH335" s="131"/>
      <c r="TI335" s="131"/>
      <c r="TJ335" s="131"/>
      <c r="TK335" s="131"/>
      <c r="TL335" s="131"/>
      <c r="TM335" s="131"/>
      <c r="TN335" s="131"/>
      <c r="TO335" s="131"/>
      <c r="TP335" s="131"/>
      <c r="TQ335" s="131"/>
      <c r="TR335" s="131"/>
      <c r="TS335" s="131"/>
      <c r="TT335" s="131"/>
      <c r="TU335" s="131"/>
      <c r="TV335" s="131"/>
      <c r="TW335" s="131"/>
      <c r="TX335" s="131"/>
      <c r="TY335" s="131"/>
      <c r="TZ335" s="131"/>
      <c r="UA335" s="131"/>
      <c r="UB335" s="131"/>
      <c r="UC335" s="131"/>
      <c r="UD335" s="131"/>
      <c r="UE335" s="131"/>
      <c r="UF335" s="131"/>
      <c r="UG335" s="131"/>
      <c r="UH335" s="131"/>
      <c r="UI335" s="131"/>
      <c r="UJ335" s="131"/>
      <c r="UK335" s="131"/>
      <c r="UL335" s="131"/>
      <c r="UM335" s="131"/>
      <c r="UN335" s="131"/>
      <c r="UO335" s="131"/>
      <c r="UP335" s="131"/>
      <c r="UQ335" s="131"/>
      <c r="UR335" s="131"/>
      <c r="US335" s="131"/>
      <c r="UT335" s="131"/>
      <c r="UU335" s="131"/>
      <c r="UV335" s="131"/>
      <c r="UW335" s="131"/>
      <c r="UX335" s="131"/>
      <c r="UY335" s="131"/>
      <c r="UZ335" s="131"/>
      <c r="VA335" s="131"/>
      <c r="VB335" s="131"/>
      <c r="VC335" s="131"/>
      <c r="VD335" s="131"/>
      <c r="VE335" s="131"/>
      <c r="VF335" s="131"/>
      <c r="VG335" s="131"/>
      <c r="VH335" s="131"/>
      <c r="VI335" s="131"/>
      <c r="VJ335" s="131"/>
      <c r="VK335" s="131"/>
      <c r="VL335" s="131"/>
      <c r="VM335" s="131"/>
      <c r="VN335" s="131"/>
      <c r="VO335" s="131"/>
      <c r="VP335" s="131"/>
      <c r="VQ335" s="131"/>
      <c r="VR335" s="131"/>
      <c r="VS335" s="131"/>
      <c r="VT335" s="131"/>
      <c r="VU335" s="131"/>
      <c r="VV335" s="131"/>
      <c r="VW335" s="131"/>
      <c r="VX335" s="131"/>
      <c r="VY335" s="131"/>
      <c r="VZ335" s="131"/>
      <c r="WA335" s="131"/>
      <c r="WB335" s="131"/>
      <c r="WC335" s="131"/>
      <c r="WD335" s="131"/>
      <c r="WE335" s="131"/>
      <c r="WF335" s="131"/>
      <c r="WG335" s="131"/>
      <c r="WH335" s="131"/>
      <c r="WI335" s="131"/>
      <c r="WJ335" s="131"/>
      <c r="WK335" s="131"/>
      <c r="WL335" s="131"/>
      <c r="WM335" s="131"/>
      <c r="WN335" s="131"/>
      <c r="WO335" s="131"/>
      <c r="WP335" s="131"/>
      <c r="WQ335" s="131"/>
      <c r="WR335" s="131"/>
      <c r="WS335" s="131"/>
      <c r="WT335" s="131"/>
      <c r="WU335" s="131"/>
      <c r="WV335" s="131"/>
      <c r="WW335" s="131"/>
      <c r="WX335" s="131"/>
      <c r="WY335" s="131"/>
      <c r="WZ335" s="131"/>
      <c r="XA335" s="131"/>
      <c r="XB335" s="131"/>
      <c r="XC335" s="131"/>
      <c r="XD335" s="131"/>
      <c r="XE335" s="131"/>
      <c r="XF335" s="131"/>
      <c r="XG335" s="131"/>
      <c r="XH335" s="131"/>
      <c r="XI335" s="131"/>
      <c r="XJ335" s="131"/>
      <c r="XK335" s="131"/>
      <c r="XL335" s="131"/>
      <c r="XM335" s="131"/>
      <c r="XN335" s="131"/>
      <c r="XO335" s="131"/>
      <c r="XP335" s="131"/>
      <c r="XQ335" s="131"/>
      <c r="XR335" s="131"/>
      <c r="XS335" s="131"/>
      <c r="XT335" s="131"/>
      <c r="XU335" s="131"/>
      <c r="XV335" s="131"/>
      <c r="XW335" s="131"/>
      <c r="XX335" s="131"/>
      <c r="XY335" s="131"/>
      <c r="XZ335" s="131"/>
      <c r="YA335" s="131"/>
      <c r="YB335" s="131"/>
      <c r="YC335" s="131"/>
      <c r="YD335" s="131"/>
      <c r="YE335" s="131"/>
      <c r="YF335" s="131"/>
      <c r="YG335" s="131"/>
      <c r="YH335" s="131"/>
      <c r="YI335" s="131"/>
      <c r="YJ335" s="131"/>
      <c r="YK335" s="131"/>
      <c r="YL335" s="131"/>
      <c r="YM335" s="131"/>
      <c r="YN335" s="131"/>
      <c r="YO335" s="131"/>
      <c r="YP335" s="131"/>
      <c r="YQ335" s="131"/>
      <c r="YR335" s="131"/>
      <c r="YS335" s="131"/>
      <c r="YT335" s="131"/>
      <c r="YU335" s="131"/>
      <c r="YV335" s="131"/>
      <c r="YW335" s="131"/>
      <c r="YX335" s="131"/>
      <c r="YY335" s="131"/>
      <c r="YZ335" s="131"/>
      <c r="ZA335" s="131"/>
      <c r="ZB335" s="131"/>
      <c r="ZC335" s="131"/>
      <c r="ZD335" s="131"/>
      <c r="ZE335" s="131"/>
      <c r="ZF335" s="131"/>
      <c r="ZG335" s="131"/>
      <c r="ZH335" s="131"/>
      <c r="ZI335" s="131"/>
      <c r="ZJ335" s="131"/>
      <c r="ZK335" s="131"/>
      <c r="ZL335" s="131"/>
      <c r="ZM335" s="131"/>
      <c r="ZN335" s="131"/>
      <c r="ZO335" s="131"/>
      <c r="ZP335" s="131"/>
      <c r="ZQ335" s="131"/>
      <c r="ZR335" s="131"/>
      <c r="ZS335" s="131"/>
      <c r="ZT335" s="131"/>
      <c r="ZU335" s="131"/>
      <c r="ZV335" s="131"/>
      <c r="ZW335" s="131"/>
      <c r="ZX335" s="131"/>
      <c r="ZY335" s="131"/>
      <c r="ZZ335" s="131"/>
      <c r="AAA335" s="131"/>
      <c r="AAB335" s="131"/>
      <c r="AAC335" s="131"/>
      <c r="AAD335" s="131"/>
      <c r="AAE335" s="131"/>
      <c r="AAF335" s="131"/>
      <c r="AAG335" s="131"/>
      <c r="AAH335" s="131"/>
      <c r="AAI335" s="131"/>
      <c r="AAJ335" s="131"/>
      <c r="AAK335" s="131"/>
      <c r="AAL335" s="131"/>
      <c r="AAM335" s="131"/>
      <c r="AAN335" s="131"/>
      <c r="AAO335" s="131"/>
      <c r="AAP335" s="131"/>
      <c r="AAQ335" s="131"/>
      <c r="AAR335" s="131"/>
      <c r="AAS335" s="131"/>
      <c r="AAT335" s="131"/>
      <c r="AAU335" s="131"/>
      <c r="AAV335" s="131"/>
      <c r="AAW335" s="131"/>
      <c r="AAX335" s="131"/>
      <c r="AAY335" s="131"/>
      <c r="AAZ335" s="131"/>
      <c r="ABA335" s="131"/>
      <c r="ABB335" s="131"/>
      <c r="ABC335" s="131"/>
      <c r="ABD335" s="131"/>
      <c r="ABE335" s="131"/>
      <c r="ABF335" s="131"/>
      <c r="ABG335" s="131"/>
      <c r="ABH335" s="131"/>
      <c r="ABI335" s="131"/>
      <c r="ABJ335" s="131"/>
      <c r="ABK335" s="131"/>
      <c r="ABL335" s="131"/>
      <c r="ABM335" s="131"/>
      <c r="ABN335" s="131"/>
      <c r="ABO335" s="131"/>
      <c r="ABP335" s="131"/>
      <c r="ABQ335" s="131"/>
      <c r="ABR335" s="131"/>
      <c r="ABS335" s="131"/>
      <c r="ABT335" s="131"/>
      <c r="ABU335" s="131"/>
      <c r="ABV335" s="131"/>
      <c r="ABW335" s="131"/>
      <c r="ABX335" s="131"/>
      <c r="ABY335" s="131"/>
      <c r="ABZ335" s="131"/>
      <c r="ACA335" s="131"/>
      <c r="ACB335" s="131"/>
      <c r="ACC335" s="131"/>
      <c r="ACD335" s="131"/>
      <c r="ACE335" s="131"/>
      <c r="ACF335" s="131"/>
      <c r="ACG335" s="131"/>
      <c r="ACH335" s="131"/>
      <c r="ACI335" s="131"/>
      <c r="ACJ335" s="131"/>
      <c r="ACK335" s="131"/>
      <c r="ACL335" s="131"/>
      <c r="ACM335" s="131"/>
      <c r="ACN335" s="131"/>
      <c r="ACO335" s="131"/>
      <c r="ACP335" s="131"/>
      <c r="ACQ335" s="131"/>
      <c r="ACR335" s="131"/>
      <c r="ACS335" s="131"/>
      <c r="ACT335" s="131"/>
      <c r="ACU335" s="131"/>
      <c r="ACV335" s="131"/>
      <c r="ACW335" s="131"/>
      <c r="ACX335" s="131"/>
      <c r="ACY335" s="131"/>
      <c r="ACZ335" s="131"/>
      <c r="ADA335" s="131"/>
      <c r="ADB335" s="131"/>
      <c r="ADC335" s="131"/>
      <c r="ADD335" s="131"/>
      <c r="ADE335" s="131"/>
      <c r="ADF335" s="131"/>
      <c r="ADG335" s="131"/>
      <c r="ADH335" s="131"/>
      <c r="ADI335" s="131"/>
      <c r="ADJ335" s="131"/>
      <c r="ADK335" s="131"/>
      <c r="ADL335" s="131"/>
      <c r="ADM335" s="131"/>
      <c r="ADN335" s="131"/>
      <c r="ADO335" s="131"/>
      <c r="ADP335" s="131"/>
      <c r="ADQ335" s="131"/>
      <c r="ADR335" s="131"/>
      <c r="ADS335" s="131"/>
      <c r="ADT335" s="131"/>
      <c r="ADU335" s="131"/>
      <c r="ADV335" s="131"/>
      <c r="ADW335" s="131"/>
      <c r="ADX335" s="131"/>
      <c r="ADY335" s="131"/>
      <c r="ADZ335" s="131"/>
      <c r="AEA335" s="131"/>
      <c r="AEB335" s="131"/>
      <c r="AEC335" s="131"/>
      <c r="AED335" s="131"/>
      <c r="AEE335" s="131"/>
      <c r="AEF335" s="131"/>
      <c r="AEG335" s="131"/>
      <c r="AEH335" s="131"/>
      <c r="AEI335" s="131"/>
      <c r="AEJ335" s="131"/>
      <c r="AEK335" s="131"/>
      <c r="AEL335" s="131"/>
      <c r="AEM335" s="131"/>
      <c r="AEN335" s="131"/>
      <c r="AEO335" s="131"/>
      <c r="AEP335" s="131"/>
      <c r="AEQ335" s="131"/>
      <c r="AER335" s="131"/>
      <c r="AES335" s="131"/>
      <c r="AET335" s="131"/>
      <c r="AEU335" s="131"/>
      <c r="AEV335" s="131"/>
      <c r="AEW335" s="131"/>
      <c r="AEX335" s="131"/>
      <c r="AEY335" s="131"/>
      <c r="AEZ335" s="131"/>
      <c r="AFA335" s="131"/>
      <c r="AFB335" s="131"/>
      <c r="AFC335" s="131"/>
      <c r="AFD335" s="131"/>
      <c r="AFE335" s="131"/>
      <c r="AFF335" s="131"/>
      <c r="AFG335" s="131"/>
      <c r="AFH335" s="131"/>
      <c r="AFI335" s="131"/>
      <c r="AFJ335" s="131"/>
      <c r="AFK335" s="131"/>
      <c r="AFL335" s="131"/>
      <c r="AFM335" s="131"/>
      <c r="AFN335" s="131"/>
      <c r="AFO335" s="131"/>
      <c r="AFP335" s="131"/>
      <c r="AFQ335" s="131"/>
      <c r="AFR335" s="131"/>
      <c r="AFS335" s="131"/>
      <c r="AFT335" s="131"/>
      <c r="AFU335" s="131"/>
      <c r="AFV335" s="131"/>
      <c r="AFW335" s="131"/>
      <c r="AFX335" s="131"/>
      <c r="AFY335" s="131"/>
      <c r="AFZ335" s="131"/>
      <c r="AGA335" s="131"/>
      <c r="AGB335" s="131"/>
      <c r="AGC335" s="131"/>
      <c r="AGD335" s="131"/>
      <c r="AGE335" s="131"/>
      <c r="AGF335" s="131"/>
      <c r="AGG335" s="131"/>
      <c r="AGH335" s="131"/>
      <c r="AGI335" s="131"/>
      <c r="AGJ335" s="131"/>
      <c r="AGK335" s="131"/>
      <c r="AGL335" s="131"/>
      <c r="AGM335" s="131"/>
      <c r="AGN335" s="131"/>
      <c r="AGO335" s="131"/>
      <c r="AGP335" s="131"/>
      <c r="AGQ335" s="131"/>
      <c r="AGR335" s="131"/>
      <c r="AGS335" s="131"/>
      <c r="AGT335" s="131"/>
      <c r="AGU335" s="131"/>
      <c r="AGV335" s="131"/>
      <c r="AGW335" s="131"/>
      <c r="AGX335" s="131"/>
      <c r="AGY335" s="131"/>
      <c r="AGZ335" s="131"/>
      <c r="AHA335" s="131"/>
      <c r="AHB335" s="131"/>
      <c r="AHC335" s="131"/>
      <c r="AHD335" s="131"/>
      <c r="AHE335" s="131"/>
      <c r="AHF335" s="131"/>
      <c r="AHG335" s="131"/>
      <c r="AHH335" s="131"/>
      <c r="AHI335" s="131"/>
      <c r="AHJ335" s="131"/>
      <c r="AHK335" s="131"/>
      <c r="AHL335" s="131"/>
      <c r="AHM335" s="131"/>
      <c r="AHN335" s="131"/>
      <c r="AHO335" s="131"/>
      <c r="AHP335" s="131"/>
      <c r="AHQ335" s="131"/>
      <c r="AHR335" s="131"/>
      <c r="AHS335" s="131"/>
      <c r="AHT335" s="131"/>
      <c r="AHU335" s="131"/>
      <c r="AHV335" s="131"/>
      <c r="AHW335" s="131"/>
      <c r="AHX335" s="131"/>
      <c r="AHY335" s="131"/>
      <c r="AHZ335" s="131"/>
      <c r="AIA335" s="131"/>
      <c r="AIB335" s="131"/>
      <c r="AIC335" s="131"/>
      <c r="AID335" s="131"/>
      <c r="AIE335" s="131"/>
      <c r="AIF335" s="131"/>
      <c r="AIG335" s="131"/>
      <c r="AIH335" s="131"/>
      <c r="AII335" s="131"/>
      <c r="AIJ335" s="131"/>
      <c r="AIK335" s="131"/>
      <c r="AIL335" s="131"/>
      <c r="AIM335" s="131"/>
      <c r="AIN335" s="131"/>
      <c r="AIO335" s="131"/>
      <c r="AIP335" s="131"/>
      <c r="AIQ335" s="131"/>
      <c r="AIR335" s="131"/>
      <c r="AIS335" s="131"/>
      <c r="AIT335" s="131"/>
      <c r="AIU335" s="131"/>
      <c r="AIV335" s="131"/>
      <c r="AIW335" s="131"/>
      <c r="AIX335" s="131"/>
      <c r="AIY335" s="131"/>
      <c r="AIZ335" s="131"/>
      <c r="AJA335" s="131"/>
      <c r="AJB335" s="131"/>
      <c r="AJC335" s="131"/>
      <c r="AJD335" s="131"/>
      <c r="AJE335" s="131"/>
      <c r="AJF335" s="131"/>
      <c r="AJG335" s="131"/>
      <c r="AJH335" s="131"/>
      <c r="AJI335" s="131"/>
      <c r="AJJ335" s="131"/>
      <c r="AJK335" s="131"/>
      <c r="AJL335" s="131"/>
      <c r="AJM335" s="131"/>
      <c r="AJN335" s="131"/>
      <c r="AJO335" s="131"/>
      <c r="AJP335" s="131"/>
      <c r="AJQ335" s="131"/>
      <c r="AJR335" s="131"/>
      <c r="AJS335" s="131"/>
      <c r="AJT335" s="131"/>
      <c r="AJU335" s="131"/>
      <c r="AJV335" s="131"/>
      <c r="AJW335" s="131"/>
      <c r="AJX335" s="131"/>
      <c r="AJY335" s="131"/>
      <c r="AJZ335" s="131"/>
      <c r="AKA335" s="131"/>
      <c r="AKB335" s="131"/>
      <c r="AKC335" s="131"/>
      <c r="AKD335" s="131"/>
      <c r="AKE335" s="131"/>
      <c r="AKF335" s="131"/>
      <c r="AKG335" s="131"/>
      <c r="AKH335" s="131"/>
      <c r="AKI335" s="131"/>
      <c r="AKJ335" s="131"/>
      <c r="AKK335" s="131"/>
      <c r="AKL335" s="131"/>
      <c r="AKM335" s="131"/>
      <c r="AKN335" s="131"/>
      <c r="AKO335" s="131"/>
      <c r="AKP335" s="131"/>
      <c r="AKQ335" s="131"/>
      <c r="AKR335" s="131"/>
      <c r="AKS335" s="131"/>
      <c r="AKT335" s="131"/>
      <c r="AKU335" s="131"/>
      <c r="AKV335" s="131"/>
      <c r="AKW335" s="131"/>
      <c r="AKX335" s="131"/>
      <c r="AKY335" s="131"/>
      <c r="AKZ335" s="131"/>
      <c r="ALA335" s="131"/>
      <c r="ALB335" s="131"/>
      <c r="ALC335" s="131"/>
      <c r="ALD335" s="131"/>
      <c r="ALE335" s="131"/>
      <c r="ALF335" s="131"/>
      <c r="ALG335" s="131"/>
      <c r="ALH335" s="131"/>
      <c r="ALI335" s="131"/>
      <c r="ALJ335" s="131"/>
      <c r="ALK335" s="131"/>
      <c r="ALL335" s="131"/>
      <c r="ALM335" s="131"/>
      <c r="ALN335" s="131"/>
      <c r="ALO335" s="131"/>
      <c r="ALP335" s="131"/>
      <c r="ALQ335" s="131"/>
      <c r="ALR335" s="131"/>
      <c r="ALS335" s="131"/>
      <c r="ALT335" s="131"/>
      <c r="ALU335" s="131"/>
      <c r="ALV335" s="131"/>
      <c r="ALW335" s="131"/>
      <c r="ALX335" s="131"/>
      <c r="ALY335" s="131"/>
      <c r="ALZ335" s="131"/>
      <c r="AMA335" s="131"/>
      <c r="AMB335" s="131"/>
      <c r="AMC335" s="131"/>
      <c r="AMD335" s="131"/>
      <c r="AME335" s="131"/>
      <c r="AMF335" s="131"/>
      <c r="AMG335" s="131"/>
      <c r="AMH335" s="131"/>
      <c r="AMI335" s="131"/>
      <c r="AMJ335" s="131"/>
      <c r="AMK335" s="131"/>
      <c r="AML335" s="131"/>
      <c r="AMM335" s="131"/>
      <c r="AMN335" s="131"/>
      <c r="AMO335" s="131"/>
      <c r="AMP335" s="131"/>
      <c r="AMQ335" s="131"/>
      <c r="AMR335" s="131"/>
      <c r="AMS335" s="131"/>
      <c r="AMT335" s="131"/>
      <c r="AMU335" s="131"/>
      <c r="AMV335" s="131"/>
      <c r="AMW335" s="131"/>
      <c r="AMX335" s="131"/>
      <c r="AMY335" s="131"/>
      <c r="AMZ335" s="131"/>
      <c r="ANA335" s="131"/>
      <c r="ANB335" s="131"/>
      <c r="ANC335" s="131"/>
      <c r="AND335" s="131"/>
      <c r="ANE335" s="131"/>
      <c r="ANF335" s="131"/>
      <c r="ANG335" s="131"/>
      <c r="ANH335" s="131"/>
      <c r="ANI335" s="131"/>
      <c r="ANJ335" s="131"/>
      <c r="ANK335" s="131"/>
      <c r="ANL335" s="131"/>
      <c r="ANM335" s="131"/>
      <c r="ANN335" s="131"/>
      <c r="ANO335" s="131"/>
      <c r="ANP335" s="131"/>
      <c r="ANQ335" s="131"/>
      <c r="ANR335" s="131"/>
      <c r="ANS335" s="131"/>
      <c r="ANT335" s="131"/>
      <c r="ANU335" s="131"/>
      <c r="ANV335" s="131"/>
      <c r="ANW335" s="131"/>
      <c r="ANX335" s="131"/>
      <c r="ANY335" s="131"/>
      <c r="ANZ335" s="131"/>
      <c r="AOA335" s="131"/>
      <c r="AOB335" s="131"/>
      <c r="AOC335" s="131"/>
      <c r="AOD335" s="131"/>
      <c r="AOE335" s="131"/>
      <c r="AOF335" s="131"/>
      <c r="AOG335" s="131"/>
      <c r="AOH335" s="131"/>
      <c r="AOI335" s="131"/>
      <c r="AOJ335" s="131"/>
      <c r="AOK335" s="131"/>
      <c r="AOL335" s="131"/>
      <c r="AOM335" s="131"/>
      <c r="AON335" s="131"/>
      <c r="AOO335" s="131"/>
      <c r="AOP335" s="131"/>
      <c r="AOQ335" s="131"/>
      <c r="AOR335" s="131"/>
      <c r="AOS335" s="131"/>
      <c r="AOT335" s="131"/>
      <c r="AOU335" s="131"/>
      <c r="AOV335" s="131"/>
      <c r="AOW335" s="131"/>
      <c r="AOX335" s="131"/>
      <c r="AOY335" s="131"/>
      <c r="AOZ335" s="131"/>
      <c r="APA335" s="131"/>
      <c r="APB335" s="131"/>
      <c r="APC335" s="131"/>
      <c r="APD335" s="131"/>
      <c r="APE335" s="131"/>
      <c r="APF335" s="131"/>
      <c r="APG335" s="131"/>
      <c r="APH335" s="131"/>
      <c r="API335" s="131"/>
      <c r="APJ335" s="131"/>
      <c r="APK335" s="131"/>
      <c r="APL335" s="131"/>
      <c r="APM335" s="131"/>
      <c r="APN335" s="131"/>
      <c r="APO335" s="131"/>
      <c r="APP335" s="131"/>
      <c r="APQ335" s="131"/>
      <c r="APR335" s="131"/>
      <c r="APS335" s="131"/>
      <c r="APT335" s="131"/>
      <c r="APU335" s="131"/>
      <c r="APV335" s="131"/>
      <c r="APW335" s="131"/>
      <c r="APX335" s="131"/>
      <c r="APY335" s="131"/>
      <c r="APZ335" s="131"/>
      <c r="AQA335" s="131"/>
      <c r="AQB335" s="131"/>
      <c r="AQC335" s="131"/>
      <c r="AQD335" s="131"/>
      <c r="AQE335" s="131"/>
      <c r="AQF335" s="131"/>
      <c r="AQG335" s="131"/>
      <c r="AQH335" s="131"/>
      <c r="AQI335" s="131"/>
      <c r="AQJ335" s="131"/>
      <c r="AQK335" s="131"/>
      <c r="AQL335" s="131"/>
      <c r="AQM335" s="131"/>
      <c r="AQN335" s="131"/>
      <c r="AQO335" s="131"/>
      <c r="AQP335" s="131"/>
      <c r="AQQ335" s="131"/>
      <c r="AQR335" s="131"/>
      <c r="AQS335" s="131"/>
      <c r="AQT335" s="131"/>
      <c r="AQU335" s="131"/>
      <c r="AQV335" s="131"/>
      <c r="AQW335" s="131"/>
      <c r="AQX335" s="131"/>
      <c r="AQY335" s="131"/>
      <c r="AQZ335" s="131"/>
      <c r="ARA335" s="131"/>
      <c r="ARB335" s="131"/>
      <c r="ARC335" s="131"/>
      <c r="ARD335" s="131"/>
      <c r="ARE335" s="131"/>
      <c r="ARF335" s="131"/>
      <c r="ARG335" s="131"/>
      <c r="ARH335" s="131"/>
      <c r="ARI335" s="131"/>
      <c r="ARJ335" s="131"/>
      <c r="ARK335" s="131"/>
      <c r="ARL335" s="131"/>
      <c r="ARM335" s="131"/>
      <c r="ARN335" s="131"/>
      <c r="ARO335" s="131"/>
      <c r="ARP335" s="131"/>
      <c r="ARQ335" s="131"/>
      <c r="ARR335" s="131"/>
      <c r="ARS335" s="131"/>
      <c r="ART335" s="131"/>
      <c r="ARU335" s="131"/>
      <c r="ARV335" s="131"/>
      <c r="ARW335" s="131"/>
      <c r="ARX335" s="131"/>
      <c r="ARY335" s="131"/>
      <c r="ARZ335" s="131"/>
      <c r="ASA335" s="131"/>
      <c r="ASB335" s="131"/>
      <c r="ASC335" s="131"/>
      <c r="ASD335" s="131"/>
      <c r="ASE335" s="131"/>
      <c r="ASF335" s="131"/>
      <c r="ASG335" s="131"/>
      <c r="ASH335" s="131"/>
      <c r="ASI335" s="131"/>
      <c r="ASJ335" s="131"/>
      <c r="ASK335" s="131"/>
      <c r="ASL335" s="131"/>
      <c r="ASM335" s="131"/>
      <c r="ASN335" s="131"/>
      <c r="ASO335" s="131"/>
      <c r="ASP335" s="131"/>
      <c r="ASQ335" s="131"/>
      <c r="ASR335" s="131"/>
      <c r="ASS335" s="131"/>
      <c r="AST335" s="131"/>
      <c r="ASU335" s="131"/>
      <c r="ASV335" s="131"/>
      <c r="ASW335" s="131"/>
      <c r="ASX335" s="131"/>
      <c r="ASY335" s="131"/>
      <c r="ASZ335" s="131"/>
      <c r="ATA335" s="131"/>
      <c r="ATB335" s="131"/>
      <c r="ATC335" s="131"/>
    </row>
    <row r="336" spans="1:1199" ht="50.1" customHeight="1" outlineLevel="2" x14ac:dyDescent="0.3">
      <c r="A336" s="103" t="s">
        <v>335</v>
      </c>
      <c r="B336" s="96" t="s">
        <v>336</v>
      </c>
      <c r="C336" s="79" t="s">
        <v>37</v>
      </c>
      <c r="D336" s="81">
        <f t="shared" ref="D336:D348" si="77">E336+F336</f>
        <v>27074.309180000004</v>
      </c>
      <c r="E336" s="82">
        <f t="shared" si="66"/>
        <v>3933.6835700000001</v>
      </c>
      <c r="F336" s="83">
        <f t="shared" si="67"/>
        <v>23140.625610000003</v>
      </c>
      <c r="G336" s="84"/>
      <c r="H336" s="85"/>
      <c r="I336" s="85"/>
      <c r="J336" s="84"/>
      <c r="K336" s="85"/>
      <c r="L336" s="85">
        <v>729.61335999999994</v>
      </c>
      <c r="M336" s="85"/>
      <c r="N336" s="85"/>
      <c r="O336" s="82"/>
      <c r="P336" s="83"/>
      <c r="Q336" s="83"/>
      <c r="R336" s="83"/>
      <c r="S336" s="82"/>
      <c r="T336" s="83"/>
      <c r="U336" s="83"/>
      <c r="V336" s="84">
        <v>49.748699999999999</v>
      </c>
      <c r="W336" s="85">
        <v>86.85</v>
      </c>
      <c r="X336" s="87"/>
      <c r="Y336" s="83">
        <v>312</v>
      </c>
      <c r="Z336" s="84"/>
      <c r="AA336" s="85"/>
      <c r="AB336" s="84"/>
      <c r="AC336" s="85"/>
      <c r="AD336" s="89">
        <f t="shared" si="68"/>
        <v>866.14737000000014</v>
      </c>
      <c r="AE336" s="89">
        <f>52.569+289.5543</f>
        <v>342.12330000000003</v>
      </c>
      <c r="AF336" s="186">
        <f>42.49483+143.98106+337.54818</f>
        <v>524.02407000000005</v>
      </c>
      <c r="AG336" s="85"/>
      <c r="AH336" s="85"/>
      <c r="AI336" s="85"/>
      <c r="AJ336" s="84"/>
      <c r="AK336" s="85"/>
      <c r="AL336" s="84"/>
      <c r="AM336" s="88"/>
      <c r="AN336" s="84"/>
      <c r="AO336" s="85"/>
      <c r="AP336" s="84">
        <v>523.26400000000001</v>
      </c>
      <c r="AQ336" s="83">
        <v>87.600239999999999</v>
      </c>
      <c r="AR336" s="83"/>
      <c r="AS336" s="83"/>
      <c r="AT336" s="85"/>
      <c r="AU336" s="85">
        <v>7405.18</v>
      </c>
      <c r="AV336" s="85">
        <f>450.11018+7615.29915</f>
        <v>8065.4093299999995</v>
      </c>
      <c r="AW336" s="88"/>
      <c r="AX336" s="84"/>
      <c r="AY336" s="85"/>
      <c r="AZ336" s="84">
        <v>1536.2635299999999</v>
      </c>
      <c r="BA336" s="85">
        <v>1391.2123799999999</v>
      </c>
      <c r="BB336" s="88">
        <v>87.903239999999997</v>
      </c>
      <c r="BC336" s="85"/>
      <c r="BD336" s="84"/>
      <c r="BE336" s="88"/>
      <c r="BF336" s="85"/>
      <c r="BG336" s="85">
        <v>2500.2994600000002</v>
      </c>
      <c r="BH336" s="85"/>
      <c r="BI336" s="85"/>
      <c r="BJ336" s="85"/>
      <c r="BK336" s="85"/>
      <c r="BL336" s="85"/>
      <c r="BM336" s="85"/>
      <c r="BN336" s="85"/>
      <c r="BO336" s="85"/>
      <c r="BP336" s="85"/>
      <c r="BQ336" s="85"/>
      <c r="BR336" s="84">
        <v>1824.40734</v>
      </c>
      <c r="BS336" s="85"/>
      <c r="BT336" s="85"/>
      <c r="BU336" s="97">
        <f>550.80005+1057.61018</f>
        <v>1608.41023</v>
      </c>
      <c r="BV336" s="90"/>
      <c r="BW336" s="198"/>
      <c r="BX336" s="90"/>
      <c r="BY336" s="198"/>
      <c r="BZ336" s="90"/>
      <c r="CA336" s="91"/>
    </row>
    <row r="337" spans="1:1199" ht="50.1" customHeight="1" outlineLevel="2" x14ac:dyDescent="0.3">
      <c r="A337" s="103" t="s">
        <v>335</v>
      </c>
      <c r="B337" s="96" t="s">
        <v>981</v>
      </c>
      <c r="C337" s="79" t="s">
        <v>37</v>
      </c>
      <c r="D337" s="81">
        <f t="shared" si="77"/>
        <v>901.26729</v>
      </c>
      <c r="E337" s="82">
        <f t="shared" ref="E337:E386" si="78">G337+J337+O337+S337+V337+X337+Z337+AB337+AJ337+AL337+AN337+AP337+AX337+AZ337+BD337+BV337+BX337+BZ337+BR337</f>
        <v>524.86527000000001</v>
      </c>
      <c r="F337" s="83">
        <f t="shared" si="67"/>
        <v>376.40201999999999</v>
      </c>
      <c r="G337" s="84"/>
      <c r="H337" s="85"/>
      <c r="I337" s="85"/>
      <c r="J337" s="84"/>
      <c r="K337" s="85"/>
      <c r="L337" s="85"/>
      <c r="M337" s="85"/>
      <c r="N337" s="85"/>
      <c r="O337" s="82"/>
      <c r="P337" s="83"/>
      <c r="Q337" s="83"/>
      <c r="R337" s="83"/>
      <c r="S337" s="82"/>
      <c r="T337" s="83"/>
      <c r="U337" s="83"/>
      <c r="V337" s="84"/>
      <c r="W337" s="85"/>
      <c r="X337" s="87"/>
      <c r="Y337" s="83"/>
      <c r="Z337" s="84"/>
      <c r="AA337" s="85"/>
      <c r="AB337" s="84"/>
      <c r="AC337" s="85"/>
      <c r="AD337" s="89">
        <f t="shared" si="68"/>
        <v>100.33564999999999</v>
      </c>
      <c r="AE337" s="89">
        <v>32.236499999999999</v>
      </c>
      <c r="AF337" s="186">
        <v>68.099149999999995</v>
      </c>
      <c r="AG337" s="85"/>
      <c r="AH337" s="85"/>
      <c r="AI337" s="85"/>
      <c r="AJ337" s="84"/>
      <c r="AK337" s="85"/>
      <c r="AL337" s="84"/>
      <c r="AM337" s="88"/>
      <c r="AN337" s="84"/>
      <c r="AO337" s="85"/>
      <c r="AP337" s="84"/>
      <c r="AQ337" s="83"/>
      <c r="AR337" s="83"/>
      <c r="AS337" s="83"/>
      <c r="AT337" s="85"/>
      <c r="AU337" s="85"/>
      <c r="AV337" s="85"/>
      <c r="AW337" s="88"/>
      <c r="AX337" s="84"/>
      <c r="AY337" s="85"/>
      <c r="AZ337" s="84">
        <v>304.84956</v>
      </c>
      <c r="BA337" s="85">
        <v>276.06637000000001</v>
      </c>
      <c r="BB337" s="88"/>
      <c r="BC337" s="85"/>
      <c r="BD337" s="84"/>
      <c r="BE337" s="88"/>
      <c r="BF337" s="85"/>
      <c r="BG337" s="85"/>
      <c r="BH337" s="85"/>
      <c r="BI337" s="85"/>
      <c r="BJ337" s="85"/>
      <c r="BK337" s="85"/>
      <c r="BL337" s="85"/>
      <c r="BM337" s="85"/>
      <c r="BN337" s="85"/>
      <c r="BO337" s="85"/>
      <c r="BP337" s="85"/>
      <c r="BQ337" s="85"/>
      <c r="BR337" s="84">
        <v>220.01571000000001</v>
      </c>
      <c r="BS337" s="85"/>
      <c r="BT337" s="85"/>
      <c r="BU337" s="198"/>
      <c r="BV337" s="90"/>
      <c r="BW337" s="198"/>
      <c r="BX337" s="90"/>
      <c r="BY337" s="198"/>
      <c r="BZ337" s="90"/>
      <c r="CA337" s="91"/>
    </row>
    <row r="338" spans="1:1199" ht="50.1" customHeight="1" outlineLevel="2" x14ac:dyDescent="0.3">
      <c r="A338" s="103" t="s">
        <v>335</v>
      </c>
      <c r="B338" s="96" t="s">
        <v>337</v>
      </c>
      <c r="C338" s="79" t="s">
        <v>55</v>
      </c>
      <c r="D338" s="81">
        <f t="shared" si="77"/>
        <v>5.6481700000000004</v>
      </c>
      <c r="E338" s="82">
        <f t="shared" si="78"/>
        <v>0</v>
      </c>
      <c r="F338" s="83">
        <f t="shared" si="67"/>
        <v>5.6481700000000004</v>
      </c>
      <c r="G338" s="84"/>
      <c r="H338" s="85"/>
      <c r="I338" s="85"/>
      <c r="J338" s="84"/>
      <c r="K338" s="85"/>
      <c r="L338" s="85"/>
      <c r="M338" s="85"/>
      <c r="N338" s="85"/>
      <c r="O338" s="82"/>
      <c r="P338" s="83"/>
      <c r="Q338" s="83"/>
      <c r="R338" s="83"/>
      <c r="S338" s="82"/>
      <c r="T338" s="83"/>
      <c r="U338" s="83"/>
      <c r="V338" s="84"/>
      <c r="W338" s="85"/>
      <c r="X338" s="82"/>
      <c r="Y338" s="83"/>
      <c r="Z338" s="84"/>
      <c r="AA338" s="85"/>
      <c r="AB338" s="84"/>
      <c r="AC338" s="85"/>
      <c r="AD338" s="89">
        <f t="shared" si="68"/>
        <v>0</v>
      </c>
      <c r="AE338" s="89"/>
      <c r="AF338" s="186"/>
      <c r="AG338" s="85"/>
      <c r="AH338" s="85"/>
      <c r="AI338" s="85"/>
      <c r="AJ338" s="84"/>
      <c r="AK338" s="85"/>
      <c r="AL338" s="84"/>
      <c r="AM338" s="88"/>
      <c r="AN338" s="84"/>
      <c r="AO338" s="85"/>
      <c r="AP338" s="84"/>
      <c r="AQ338" s="83"/>
      <c r="AR338" s="83"/>
      <c r="AS338" s="83"/>
      <c r="AT338" s="85"/>
      <c r="AU338" s="85"/>
      <c r="AV338" s="85"/>
      <c r="AW338" s="88"/>
      <c r="AX338" s="84"/>
      <c r="AY338" s="85"/>
      <c r="AZ338" s="84"/>
      <c r="BA338" s="85"/>
      <c r="BB338" s="88">
        <v>5.6481700000000004</v>
      </c>
      <c r="BC338" s="85"/>
      <c r="BD338" s="84"/>
      <c r="BE338" s="88"/>
      <c r="BF338" s="85"/>
      <c r="BG338" s="85"/>
      <c r="BH338" s="85"/>
      <c r="BI338" s="85"/>
      <c r="BJ338" s="85"/>
      <c r="BK338" s="85"/>
      <c r="BL338" s="85"/>
      <c r="BM338" s="85"/>
      <c r="BN338" s="85"/>
      <c r="BO338" s="85"/>
      <c r="BP338" s="85"/>
      <c r="BQ338" s="85"/>
      <c r="BR338" s="84"/>
      <c r="BS338" s="85"/>
      <c r="BT338" s="85"/>
      <c r="BU338" s="198"/>
      <c r="BV338" s="90"/>
      <c r="BW338" s="198"/>
      <c r="BX338" s="90"/>
      <c r="BY338" s="198"/>
      <c r="BZ338" s="90"/>
      <c r="CA338" s="91"/>
    </row>
    <row r="339" spans="1:1199" ht="50.1" customHeight="1" outlineLevel="2" x14ac:dyDescent="0.3">
      <c r="A339" s="103" t="s">
        <v>335</v>
      </c>
      <c r="B339" s="96" t="s">
        <v>1195</v>
      </c>
      <c r="C339" s="79" t="s">
        <v>55</v>
      </c>
      <c r="D339" s="81">
        <f t="shared" si="77"/>
        <v>2686.9870000000001</v>
      </c>
      <c r="E339" s="82">
        <f t="shared" si="78"/>
        <v>0</v>
      </c>
      <c r="F339" s="83">
        <f t="shared" si="67"/>
        <v>2686.9870000000001</v>
      </c>
      <c r="G339" s="84"/>
      <c r="H339" s="85"/>
      <c r="I339" s="85"/>
      <c r="J339" s="84"/>
      <c r="K339" s="85"/>
      <c r="L339" s="85"/>
      <c r="M339" s="85"/>
      <c r="N339" s="85"/>
      <c r="O339" s="82"/>
      <c r="P339" s="83"/>
      <c r="Q339" s="83"/>
      <c r="R339" s="83"/>
      <c r="S339" s="82"/>
      <c r="T339" s="83"/>
      <c r="U339" s="83"/>
      <c r="V339" s="84"/>
      <c r="W339" s="85"/>
      <c r="X339" s="82"/>
      <c r="Y339" s="83"/>
      <c r="Z339" s="84"/>
      <c r="AA339" s="85"/>
      <c r="AB339" s="84"/>
      <c r="AC339" s="85"/>
      <c r="AD339" s="89"/>
      <c r="AE339" s="89"/>
      <c r="AF339" s="186"/>
      <c r="AG339" s="85"/>
      <c r="AH339" s="85"/>
      <c r="AI339" s="85"/>
      <c r="AJ339" s="84"/>
      <c r="AK339" s="85"/>
      <c r="AL339" s="84"/>
      <c r="AM339" s="88"/>
      <c r="AN339" s="84"/>
      <c r="AO339" s="85"/>
      <c r="AP339" s="84"/>
      <c r="AQ339" s="83"/>
      <c r="AR339" s="83"/>
      <c r="AS339" s="83"/>
      <c r="AT339" s="85"/>
      <c r="AU339" s="85"/>
      <c r="AV339" s="85"/>
      <c r="AW339" s="88"/>
      <c r="AX339" s="84"/>
      <c r="AY339" s="85"/>
      <c r="AZ339" s="84"/>
      <c r="BA339" s="85"/>
      <c r="BB339" s="88"/>
      <c r="BC339" s="85"/>
      <c r="BD339" s="84"/>
      <c r="BE339" s="88"/>
      <c r="BF339" s="85"/>
      <c r="BG339" s="85"/>
      <c r="BH339" s="85"/>
      <c r="BI339" s="85"/>
      <c r="BJ339" s="85"/>
      <c r="BK339" s="85"/>
      <c r="BL339" s="85"/>
      <c r="BM339" s="85"/>
      <c r="BN339" s="85"/>
      <c r="BO339" s="85"/>
      <c r="BP339" s="85"/>
      <c r="BQ339" s="85"/>
      <c r="BR339" s="84"/>
      <c r="BS339" s="85"/>
      <c r="BT339" s="85"/>
      <c r="BU339" s="198"/>
      <c r="BV339" s="90"/>
      <c r="BW339" s="198">
        <v>2686.9870000000001</v>
      </c>
      <c r="BX339" s="90"/>
      <c r="BY339" s="198"/>
      <c r="BZ339" s="90"/>
      <c r="CA339" s="91"/>
    </row>
    <row r="340" spans="1:1199" ht="50.1" customHeight="1" outlineLevel="2" x14ac:dyDescent="0.3">
      <c r="A340" s="96" t="s">
        <v>335</v>
      </c>
      <c r="B340" s="96" t="s">
        <v>338</v>
      </c>
      <c r="C340" s="79" t="s">
        <v>55</v>
      </c>
      <c r="D340" s="81">
        <f t="shared" si="77"/>
        <v>171.41820999999999</v>
      </c>
      <c r="E340" s="82">
        <f t="shared" si="78"/>
        <v>76.93835</v>
      </c>
      <c r="F340" s="83">
        <f t="shared" si="67"/>
        <v>94.479860000000002</v>
      </c>
      <c r="G340" s="84">
        <v>1.80888</v>
      </c>
      <c r="H340" s="85">
        <v>0.90442999999999996</v>
      </c>
      <c r="I340" s="85"/>
      <c r="J340" s="84"/>
      <c r="K340" s="85"/>
      <c r="L340" s="85"/>
      <c r="M340" s="85"/>
      <c r="N340" s="85"/>
      <c r="O340" s="82"/>
      <c r="P340" s="83"/>
      <c r="Q340" s="83"/>
      <c r="R340" s="83"/>
      <c r="S340" s="82"/>
      <c r="T340" s="83"/>
      <c r="U340" s="83"/>
      <c r="V340" s="84">
        <v>3.47925</v>
      </c>
      <c r="W340" s="85">
        <v>6.0750000000000002</v>
      </c>
      <c r="X340" s="82"/>
      <c r="Y340" s="83">
        <v>12.48</v>
      </c>
      <c r="Z340" s="84"/>
      <c r="AA340" s="85"/>
      <c r="AB340" s="84"/>
      <c r="AC340" s="85"/>
      <c r="AD340" s="89">
        <f t="shared" si="68"/>
        <v>10.135269999999998</v>
      </c>
      <c r="AE340" s="89">
        <v>4.2981999999999996</v>
      </c>
      <c r="AF340" s="186">
        <v>5.8370699999999998</v>
      </c>
      <c r="AG340" s="85"/>
      <c r="AH340" s="85"/>
      <c r="AI340" s="85"/>
      <c r="AJ340" s="84"/>
      <c r="AK340" s="85"/>
      <c r="AL340" s="84"/>
      <c r="AM340" s="88"/>
      <c r="AN340" s="84"/>
      <c r="AO340" s="85"/>
      <c r="AP340" s="84"/>
      <c r="AQ340" s="83"/>
      <c r="AR340" s="83"/>
      <c r="AS340" s="83"/>
      <c r="AT340" s="85"/>
      <c r="AU340" s="85"/>
      <c r="AV340" s="85"/>
      <c r="AW340" s="88"/>
      <c r="AX340" s="84"/>
      <c r="AY340" s="85"/>
      <c r="AZ340" s="84">
        <v>71.650220000000004</v>
      </c>
      <c r="BA340" s="85">
        <v>64.885159999999999</v>
      </c>
      <c r="BB340" s="88"/>
      <c r="BC340" s="85"/>
      <c r="BD340" s="84"/>
      <c r="BE340" s="88"/>
      <c r="BF340" s="85"/>
      <c r="BG340" s="85"/>
      <c r="BH340" s="85"/>
      <c r="BI340" s="85"/>
      <c r="BJ340" s="85"/>
      <c r="BK340" s="85"/>
      <c r="BL340" s="85"/>
      <c r="BM340" s="85"/>
      <c r="BN340" s="85"/>
      <c r="BO340" s="85"/>
      <c r="BP340" s="85"/>
      <c r="BQ340" s="85"/>
      <c r="BR340" s="84"/>
      <c r="BS340" s="85"/>
      <c r="BT340" s="85"/>
      <c r="BU340" s="198"/>
      <c r="BV340" s="90"/>
      <c r="BW340" s="198"/>
      <c r="BX340" s="90"/>
      <c r="BY340" s="198"/>
      <c r="BZ340" s="90"/>
      <c r="CA340" s="91"/>
    </row>
    <row r="341" spans="1:1199" ht="50.1" customHeight="1" outlineLevel="2" x14ac:dyDescent="0.3">
      <c r="A341" s="96" t="s">
        <v>335</v>
      </c>
      <c r="B341" s="96" t="s">
        <v>339</v>
      </c>
      <c r="C341" s="79" t="s">
        <v>55</v>
      </c>
      <c r="D341" s="81">
        <f t="shared" si="77"/>
        <v>323.01156000000003</v>
      </c>
      <c r="E341" s="82">
        <f t="shared" si="78"/>
        <v>29.79224</v>
      </c>
      <c r="F341" s="83">
        <f t="shared" si="67"/>
        <v>293.21932000000004</v>
      </c>
      <c r="G341" s="84"/>
      <c r="H341" s="85"/>
      <c r="I341" s="85"/>
      <c r="J341" s="84"/>
      <c r="K341" s="85"/>
      <c r="L341" s="85"/>
      <c r="M341" s="85"/>
      <c r="N341" s="85"/>
      <c r="O341" s="82"/>
      <c r="P341" s="83"/>
      <c r="Q341" s="83"/>
      <c r="R341" s="83"/>
      <c r="S341" s="82"/>
      <c r="T341" s="83"/>
      <c r="U341" s="83"/>
      <c r="V341" s="84"/>
      <c r="W341" s="85"/>
      <c r="X341" s="82"/>
      <c r="Y341" s="83"/>
      <c r="Z341" s="84"/>
      <c r="AA341" s="85"/>
      <c r="AB341" s="84"/>
      <c r="AC341" s="85"/>
      <c r="AD341" s="89">
        <f t="shared" si="68"/>
        <v>0</v>
      </c>
      <c r="AE341" s="89"/>
      <c r="AF341" s="186"/>
      <c r="AG341" s="85"/>
      <c r="AH341" s="85"/>
      <c r="AI341" s="85"/>
      <c r="AJ341" s="84"/>
      <c r="AK341" s="85"/>
      <c r="AL341" s="84"/>
      <c r="AM341" s="88"/>
      <c r="AN341" s="84"/>
      <c r="AO341" s="85">
        <v>266.24</v>
      </c>
      <c r="AP341" s="84"/>
      <c r="AQ341" s="83"/>
      <c r="AR341" s="83"/>
      <c r="AS341" s="83"/>
      <c r="AT341" s="85"/>
      <c r="AU341" s="85"/>
      <c r="AV341" s="85"/>
      <c r="AW341" s="88"/>
      <c r="AX341" s="84"/>
      <c r="AY341" s="85"/>
      <c r="AZ341" s="84">
        <v>29.79224</v>
      </c>
      <c r="BA341" s="85">
        <v>26.979320000000001</v>
      </c>
      <c r="BB341" s="88"/>
      <c r="BC341" s="85"/>
      <c r="BD341" s="84"/>
      <c r="BE341" s="88"/>
      <c r="BF341" s="85"/>
      <c r="BG341" s="85"/>
      <c r="BH341" s="85"/>
      <c r="BI341" s="85"/>
      <c r="BJ341" s="85"/>
      <c r="BK341" s="85"/>
      <c r="BL341" s="85"/>
      <c r="BM341" s="85"/>
      <c r="BN341" s="85"/>
      <c r="BO341" s="85"/>
      <c r="BP341" s="85"/>
      <c r="BQ341" s="85"/>
      <c r="BR341" s="84"/>
      <c r="BS341" s="85"/>
      <c r="BT341" s="85"/>
      <c r="BU341" s="198"/>
      <c r="BV341" s="90"/>
      <c r="BW341" s="198"/>
      <c r="BX341" s="90"/>
      <c r="BY341" s="198"/>
      <c r="BZ341" s="90"/>
      <c r="CA341" s="91"/>
    </row>
    <row r="342" spans="1:1199" ht="50.1" customHeight="1" outlineLevel="2" x14ac:dyDescent="0.3">
      <c r="A342" s="103" t="s">
        <v>335</v>
      </c>
      <c r="B342" s="96" t="s">
        <v>340</v>
      </c>
      <c r="C342" s="79" t="s">
        <v>55</v>
      </c>
      <c r="D342" s="81">
        <f t="shared" si="77"/>
        <v>2504.1949100000002</v>
      </c>
      <c r="E342" s="82">
        <f t="shared" si="78"/>
        <v>659.63067000000001</v>
      </c>
      <c r="F342" s="83">
        <f t="shared" si="67"/>
        <v>1844.5642399999999</v>
      </c>
      <c r="G342" s="84"/>
      <c r="H342" s="85"/>
      <c r="I342" s="85"/>
      <c r="J342" s="84">
        <v>35.20214</v>
      </c>
      <c r="K342" s="85">
        <v>9.4529200000000007</v>
      </c>
      <c r="L342" s="85"/>
      <c r="M342" s="85"/>
      <c r="N342" s="85"/>
      <c r="O342" s="82"/>
      <c r="P342" s="83"/>
      <c r="Q342" s="83"/>
      <c r="R342" s="83"/>
      <c r="S342" s="82"/>
      <c r="T342" s="83"/>
      <c r="U342" s="83"/>
      <c r="V342" s="84"/>
      <c r="W342" s="85"/>
      <c r="X342" s="82"/>
      <c r="Y342" s="83">
        <v>53.04</v>
      </c>
      <c r="Z342" s="84"/>
      <c r="AA342" s="85"/>
      <c r="AB342" s="84"/>
      <c r="AC342" s="85"/>
      <c r="AD342" s="89">
        <f t="shared" si="68"/>
        <v>7.0133200000000002</v>
      </c>
      <c r="AE342" s="89">
        <v>2.1490999999999998</v>
      </c>
      <c r="AF342" s="186">
        <v>4.8642200000000004</v>
      </c>
      <c r="AG342" s="85"/>
      <c r="AH342" s="85"/>
      <c r="AI342" s="85"/>
      <c r="AJ342" s="84"/>
      <c r="AK342" s="85"/>
      <c r="AL342" s="84"/>
      <c r="AM342" s="88"/>
      <c r="AN342" s="84"/>
      <c r="AO342" s="85">
        <v>1214.72</v>
      </c>
      <c r="AP342" s="84"/>
      <c r="AQ342" s="83"/>
      <c r="AR342" s="83"/>
      <c r="AS342" s="83"/>
      <c r="AT342" s="85"/>
      <c r="AU342" s="85"/>
      <c r="AV342" s="85">
        <v>120.5538</v>
      </c>
      <c r="AW342" s="88"/>
      <c r="AX342" s="84"/>
      <c r="AY342" s="85"/>
      <c r="AZ342" s="84">
        <v>447.53955000000002</v>
      </c>
      <c r="BA342" s="85">
        <v>405.2842</v>
      </c>
      <c r="BB342" s="88"/>
      <c r="BC342" s="85"/>
      <c r="BD342" s="84"/>
      <c r="BE342" s="88"/>
      <c r="BF342" s="85"/>
      <c r="BG342" s="85"/>
      <c r="BH342" s="85"/>
      <c r="BI342" s="85"/>
      <c r="BJ342" s="85"/>
      <c r="BK342" s="85"/>
      <c r="BL342" s="85"/>
      <c r="BM342" s="85"/>
      <c r="BN342" s="85"/>
      <c r="BO342" s="85"/>
      <c r="BP342" s="85"/>
      <c r="BQ342" s="85"/>
      <c r="BR342" s="84">
        <v>176.88898</v>
      </c>
      <c r="BS342" s="85"/>
      <c r="BT342" s="85"/>
      <c r="BU342" s="97">
        <v>34.5</v>
      </c>
      <c r="BV342" s="90"/>
      <c r="BW342" s="198"/>
      <c r="BX342" s="90"/>
      <c r="BY342" s="198"/>
      <c r="BZ342" s="90"/>
      <c r="CA342" s="91"/>
    </row>
    <row r="343" spans="1:1199" ht="50.1" customHeight="1" outlineLevel="2" x14ac:dyDescent="0.3">
      <c r="A343" s="103" t="s">
        <v>335</v>
      </c>
      <c r="B343" s="96" t="s">
        <v>341</v>
      </c>
      <c r="C343" s="112" t="s">
        <v>55</v>
      </c>
      <c r="D343" s="81">
        <f t="shared" si="77"/>
        <v>241.53444999999999</v>
      </c>
      <c r="E343" s="82">
        <f t="shared" si="78"/>
        <v>76.489540000000005</v>
      </c>
      <c r="F343" s="83">
        <f t="shared" si="67"/>
        <v>165.04490999999999</v>
      </c>
      <c r="G343" s="84"/>
      <c r="H343" s="85"/>
      <c r="I343" s="85"/>
      <c r="J343" s="84"/>
      <c r="K343" s="85"/>
      <c r="L343" s="85"/>
      <c r="M343" s="85"/>
      <c r="N343" s="85"/>
      <c r="O343" s="82"/>
      <c r="P343" s="83"/>
      <c r="Q343" s="83"/>
      <c r="R343" s="83"/>
      <c r="S343" s="82"/>
      <c r="T343" s="83"/>
      <c r="U343" s="83"/>
      <c r="V343" s="84"/>
      <c r="W343" s="85"/>
      <c r="X343" s="82"/>
      <c r="Y343" s="83">
        <v>15.6</v>
      </c>
      <c r="Z343" s="84"/>
      <c r="AA343" s="85"/>
      <c r="AB343" s="84"/>
      <c r="AC343" s="85"/>
      <c r="AD343" s="89">
        <f t="shared" si="68"/>
        <v>0</v>
      </c>
      <c r="AE343" s="89"/>
      <c r="AF343" s="186"/>
      <c r="AG343" s="85"/>
      <c r="AH343" s="85"/>
      <c r="AI343" s="85"/>
      <c r="AJ343" s="84"/>
      <c r="AK343" s="85"/>
      <c r="AL343" s="84"/>
      <c r="AM343" s="88"/>
      <c r="AN343" s="84"/>
      <c r="AO343" s="85"/>
      <c r="AP343" s="84">
        <v>65.506960000000007</v>
      </c>
      <c r="AQ343" s="83">
        <v>139.49925999999999</v>
      </c>
      <c r="AR343" s="83"/>
      <c r="AS343" s="83"/>
      <c r="AT343" s="85"/>
      <c r="AU343" s="85"/>
      <c r="AV343" s="85"/>
      <c r="AW343" s="88"/>
      <c r="AX343" s="84"/>
      <c r="AY343" s="85"/>
      <c r="AZ343" s="84">
        <v>10.98258</v>
      </c>
      <c r="BA343" s="85">
        <v>9.9456500000000005</v>
      </c>
      <c r="BB343" s="88"/>
      <c r="BC343" s="85"/>
      <c r="BD343" s="84"/>
      <c r="BE343" s="88"/>
      <c r="BF343" s="85"/>
      <c r="BG343" s="85"/>
      <c r="BH343" s="85"/>
      <c r="BI343" s="85"/>
      <c r="BJ343" s="85"/>
      <c r="BK343" s="85"/>
      <c r="BL343" s="85"/>
      <c r="BM343" s="85"/>
      <c r="BN343" s="85"/>
      <c r="BO343" s="85"/>
      <c r="BP343" s="85"/>
      <c r="BQ343" s="85"/>
      <c r="BR343" s="84"/>
      <c r="BS343" s="85"/>
      <c r="BT343" s="85"/>
      <c r="BU343" s="198"/>
      <c r="BV343" s="90"/>
      <c r="BW343" s="198"/>
      <c r="BX343" s="90"/>
      <c r="BY343" s="198"/>
      <c r="BZ343" s="90"/>
      <c r="CA343" s="91"/>
    </row>
    <row r="344" spans="1:1199" ht="50.1" customHeight="1" outlineLevel="2" x14ac:dyDescent="0.3">
      <c r="A344" s="103" t="s">
        <v>335</v>
      </c>
      <c r="B344" s="96" t="s">
        <v>342</v>
      </c>
      <c r="C344" s="79" t="s">
        <v>55</v>
      </c>
      <c r="D344" s="81">
        <f t="shared" si="77"/>
        <v>227.32269000000002</v>
      </c>
      <c r="E344" s="82">
        <f t="shared" si="78"/>
        <v>18.655719999999999</v>
      </c>
      <c r="F344" s="83">
        <f t="shared" si="67"/>
        <v>208.66697000000002</v>
      </c>
      <c r="G344" s="84"/>
      <c r="H344" s="85"/>
      <c r="I344" s="85"/>
      <c r="J344" s="84"/>
      <c r="K344" s="85"/>
      <c r="L344" s="85"/>
      <c r="M344" s="85"/>
      <c r="N344" s="85"/>
      <c r="O344" s="82"/>
      <c r="P344" s="83"/>
      <c r="Q344" s="83"/>
      <c r="R344" s="83"/>
      <c r="S344" s="82"/>
      <c r="T344" s="83"/>
      <c r="U344" s="83"/>
      <c r="V344" s="84"/>
      <c r="W344" s="85"/>
      <c r="X344" s="82"/>
      <c r="Y344" s="83"/>
      <c r="Z344" s="84"/>
      <c r="AA344" s="85"/>
      <c r="AB344" s="84"/>
      <c r="AC344" s="85"/>
      <c r="AD344" s="89">
        <f t="shared" si="68"/>
        <v>0</v>
      </c>
      <c r="AE344" s="89"/>
      <c r="AF344" s="186"/>
      <c r="AG344" s="85"/>
      <c r="AH344" s="85"/>
      <c r="AI344" s="85"/>
      <c r="AJ344" s="84"/>
      <c r="AK344" s="85"/>
      <c r="AL344" s="84"/>
      <c r="AM344" s="88"/>
      <c r="AN344" s="84"/>
      <c r="AO344" s="85">
        <v>191.36</v>
      </c>
      <c r="AP344" s="84"/>
      <c r="AQ344" s="83"/>
      <c r="AR344" s="83"/>
      <c r="AS344" s="83"/>
      <c r="AT344" s="85"/>
      <c r="AU344" s="85"/>
      <c r="AV344" s="85"/>
      <c r="AW344" s="88"/>
      <c r="AX344" s="84"/>
      <c r="AY344" s="85"/>
      <c r="AZ344" s="84">
        <v>18.655719999999999</v>
      </c>
      <c r="BA344" s="85">
        <v>16.894290000000002</v>
      </c>
      <c r="BB344" s="88">
        <v>0.41267999999999999</v>
      </c>
      <c r="BC344" s="85"/>
      <c r="BD344" s="84"/>
      <c r="BE344" s="88"/>
      <c r="BF344" s="85"/>
      <c r="BG344" s="85"/>
      <c r="BH344" s="85"/>
      <c r="BI344" s="85"/>
      <c r="BJ344" s="85"/>
      <c r="BK344" s="85"/>
      <c r="BL344" s="85"/>
      <c r="BM344" s="85"/>
      <c r="BN344" s="85"/>
      <c r="BO344" s="85"/>
      <c r="BP344" s="85"/>
      <c r="BQ344" s="85"/>
      <c r="BR344" s="84"/>
      <c r="BS344" s="85"/>
      <c r="BT344" s="85"/>
      <c r="BU344" s="198"/>
      <c r="BV344" s="90"/>
      <c r="BW344" s="198"/>
      <c r="BX344" s="90"/>
      <c r="BY344" s="198"/>
      <c r="BZ344" s="90"/>
      <c r="CA344" s="91"/>
    </row>
    <row r="345" spans="1:1199" ht="50.1" customHeight="1" outlineLevel="2" x14ac:dyDescent="0.3">
      <c r="A345" s="103" t="s">
        <v>335</v>
      </c>
      <c r="B345" s="96" t="s">
        <v>343</v>
      </c>
      <c r="C345" s="79" t="s">
        <v>55</v>
      </c>
      <c r="D345" s="81">
        <f t="shared" si="77"/>
        <v>232.55331000000001</v>
      </c>
      <c r="E345" s="82">
        <f t="shared" si="78"/>
        <v>105.66507</v>
      </c>
      <c r="F345" s="83">
        <f t="shared" si="67"/>
        <v>126.88824</v>
      </c>
      <c r="G345" s="84"/>
      <c r="H345" s="85"/>
      <c r="I345" s="85"/>
      <c r="J345" s="84"/>
      <c r="K345" s="85"/>
      <c r="L345" s="85"/>
      <c r="M345" s="85"/>
      <c r="N345" s="85"/>
      <c r="O345" s="82"/>
      <c r="P345" s="83"/>
      <c r="Q345" s="83"/>
      <c r="R345" s="83"/>
      <c r="S345" s="82"/>
      <c r="T345" s="83"/>
      <c r="U345" s="83"/>
      <c r="V345" s="84"/>
      <c r="W345" s="85"/>
      <c r="X345" s="82"/>
      <c r="Y345" s="83">
        <v>31.2</v>
      </c>
      <c r="Z345" s="84"/>
      <c r="AA345" s="85"/>
      <c r="AB345" s="84"/>
      <c r="AC345" s="85"/>
      <c r="AD345" s="89">
        <f t="shared" si="68"/>
        <v>0</v>
      </c>
      <c r="AE345" s="89"/>
      <c r="AF345" s="186"/>
      <c r="AG345" s="85"/>
      <c r="AH345" s="85"/>
      <c r="AI345" s="85"/>
      <c r="AJ345" s="84"/>
      <c r="AK345" s="85"/>
      <c r="AL345" s="84"/>
      <c r="AM345" s="88"/>
      <c r="AN345" s="84"/>
      <c r="AO345" s="85"/>
      <c r="AP345" s="84"/>
      <c r="AQ345" s="83"/>
      <c r="AR345" s="83"/>
      <c r="AS345" s="83"/>
      <c r="AT345" s="85"/>
      <c r="AU345" s="85"/>
      <c r="AV345" s="85"/>
      <c r="AW345" s="88"/>
      <c r="AX345" s="84"/>
      <c r="AY345" s="85"/>
      <c r="AZ345" s="84">
        <v>105.66507</v>
      </c>
      <c r="BA345" s="85">
        <v>95.688239999999993</v>
      </c>
      <c r="BB345" s="88"/>
      <c r="BC345" s="85"/>
      <c r="BD345" s="84"/>
      <c r="BE345" s="88"/>
      <c r="BF345" s="85"/>
      <c r="BG345" s="85"/>
      <c r="BH345" s="85"/>
      <c r="BI345" s="85"/>
      <c r="BJ345" s="85"/>
      <c r="BK345" s="85"/>
      <c r="BL345" s="85"/>
      <c r="BM345" s="85"/>
      <c r="BN345" s="85"/>
      <c r="BO345" s="85"/>
      <c r="BP345" s="85"/>
      <c r="BQ345" s="85"/>
      <c r="BR345" s="84"/>
      <c r="BS345" s="85"/>
      <c r="BT345" s="85"/>
      <c r="BU345" s="198"/>
      <c r="BV345" s="90"/>
      <c r="BW345" s="198"/>
      <c r="BX345" s="90"/>
      <c r="BY345" s="198"/>
      <c r="BZ345" s="90"/>
      <c r="CA345" s="91"/>
    </row>
    <row r="346" spans="1:1199" ht="50.1" customHeight="1" outlineLevel="2" x14ac:dyDescent="0.3">
      <c r="A346" s="103" t="s">
        <v>335</v>
      </c>
      <c r="B346" s="96" t="s">
        <v>1171</v>
      </c>
      <c r="C346" s="79" t="s">
        <v>55</v>
      </c>
      <c r="D346" s="81">
        <f t="shared" si="77"/>
        <v>2959.2</v>
      </c>
      <c r="E346" s="82">
        <f t="shared" si="78"/>
        <v>2811.24</v>
      </c>
      <c r="F346" s="83">
        <f t="shared" si="67"/>
        <v>147.96</v>
      </c>
      <c r="G346" s="84"/>
      <c r="H346" s="85"/>
      <c r="I346" s="85"/>
      <c r="J346" s="84"/>
      <c r="K346" s="85"/>
      <c r="L346" s="85"/>
      <c r="M346" s="85"/>
      <c r="N346" s="85"/>
      <c r="O346" s="82"/>
      <c r="P346" s="83"/>
      <c r="Q346" s="83"/>
      <c r="R346" s="83"/>
      <c r="S346" s="82"/>
      <c r="T346" s="83"/>
      <c r="U346" s="83"/>
      <c r="V346" s="84"/>
      <c r="W346" s="85"/>
      <c r="X346" s="82"/>
      <c r="Y346" s="83"/>
      <c r="Z346" s="84"/>
      <c r="AA346" s="85"/>
      <c r="AB346" s="84"/>
      <c r="AC346" s="85"/>
      <c r="AD346" s="89"/>
      <c r="AE346" s="89"/>
      <c r="AF346" s="186"/>
      <c r="AG346" s="85"/>
      <c r="AH346" s="85"/>
      <c r="AI346" s="85"/>
      <c r="AJ346" s="84"/>
      <c r="AK346" s="85"/>
      <c r="AL346" s="84"/>
      <c r="AM346" s="88"/>
      <c r="AN346" s="84"/>
      <c r="AO346" s="85"/>
      <c r="AP346" s="84"/>
      <c r="AQ346" s="83"/>
      <c r="AR346" s="83"/>
      <c r="AS346" s="83"/>
      <c r="AT346" s="85"/>
      <c r="AU346" s="85"/>
      <c r="AV346" s="85"/>
      <c r="AW346" s="88"/>
      <c r="AX346" s="84"/>
      <c r="AY346" s="85"/>
      <c r="AZ346" s="84"/>
      <c r="BA346" s="85"/>
      <c r="BB346" s="88"/>
      <c r="BC346" s="85"/>
      <c r="BD346" s="84"/>
      <c r="BE346" s="88"/>
      <c r="BF346" s="85"/>
      <c r="BG346" s="85"/>
      <c r="BH346" s="85"/>
      <c r="BI346" s="85"/>
      <c r="BJ346" s="85"/>
      <c r="BK346" s="85"/>
      <c r="BL346" s="85"/>
      <c r="BM346" s="85"/>
      <c r="BN346" s="85"/>
      <c r="BO346" s="85"/>
      <c r="BP346" s="85"/>
      <c r="BQ346" s="85"/>
      <c r="BR346" s="84"/>
      <c r="BS346" s="85"/>
      <c r="BT346" s="85"/>
      <c r="BU346" s="198"/>
      <c r="BV346" s="90">
        <v>2811.24</v>
      </c>
      <c r="BW346" s="198">
        <v>147.96</v>
      </c>
      <c r="BX346" s="90"/>
      <c r="BY346" s="198"/>
      <c r="BZ346" s="90"/>
      <c r="CA346" s="91"/>
    </row>
    <row r="347" spans="1:1199" ht="50.1" customHeight="1" outlineLevel="2" x14ac:dyDescent="0.3">
      <c r="A347" s="103" t="s">
        <v>335</v>
      </c>
      <c r="B347" s="96" t="s">
        <v>1208</v>
      </c>
      <c r="C347" s="79" t="s">
        <v>55</v>
      </c>
      <c r="D347" s="81">
        <f t="shared" si="77"/>
        <v>3000</v>
      </c>
      <c r="E347" s="82">
        <f t="shared" si="78"/>
        <v>0</v>
      </c>
      <c r="F347" s="83">
        <f t="shared" si="67"/>
        <v>3000</v>
      </c>
      <c r="G347" s="84"/>
      <c r="H347" s="85"/>
      <c r="I347" s="85"/>
      <c r="J347" s="84"/>
      <c r="K347" s="85"/>
      <c r="L347" s="85"/>
      <c r="M347" s="85"/>
      <c r="N347" s="85"/>
      <c r="O347" s="82"/>
      <c r="P347" s="83"/>
      <c r="Q347" s="83"/>
      <c r="R347" s="83"/>
      <c r="S347" s="82"/>
      <c r="T347" s="83"/>
      <c r="U347" s="83"/>
      <c r="V347" s="84"/>
      <c r="W347" s="85"/>
      <c r="X347" s="82"/>
      <c r="Y347" s="83"/>
      <c r="Z347" s="84"/>
      <c r="AA347" s="85"/>
      <c r="AB347" s="84"/>
      <c r="AC347" s="85"/>
      <c r="AD347" s="89"/>
      <c r="AE347" s="89"/>
      <c r="AF347" s="186"/>
      <c r="AG347" s="85"/>
      <c r="AH347" s="85"/>
      <c r="AI347" s="85"/>
      <c r="AJ347" s="84"/>
      <c r="AK347" s="85"/>
      <c r="AL347" s="84"/>
      <c r="AM347" s="88"/>
      <c r="AN347" s="84"/>
      <c r="AO347" s="85"/>
      <c r="AP347" s="84"/>
      <c r="AQ347" s="83"/>
      <c r="AR347" s="83"/>
      <c r="AS347" s="83"/>
      <c r="AT347" s="85"/>
      <c r="AU347" s="85"/>
      <c r="AV347" s="85"/>
      <c r="AW347" s="88"/>
      <c r="AX347" s="84"/>
      <c r="AY347" s="85"/>
      <c r="AZ347" s="84"/>
      <c r="BA347" s="85"/>
      <c r="BB347" s="88"/>
      <c r="BC347" s="85"/>
      <c r="BD347" s="84"/>
      <c r="BE347" s="88"/>
      <c r="BF347" s="85"/>
      <c r="BG347" s="85"/>
      <c r="BH347" s="85"/>
      <c r="BI347" s="85"/>
      <c r="BJ347" s="85"/>
      <c r="BK347" s="85"/>
      <c r="BL347" s="85"/>
      <c r="BM347" s="85"/>
      <c r="BN347" s="85"/>
      <c r="BO347" s="85"/>
      <c r="BP347" s="85"/>
      <c r="BQ347" s="85"/>
      <c r="BR347" s="84"/>
      <c r="BS347" s="85"/>
      <c r="BT347" s="85"/>
      <c r="BU347" s="198"/>
      <c r="BV347" s="90"/>
      <c r="BW347" s="198">
        <v>3000</v>
      </c>
      <c r="BX347" s="90"/>
      <c r="BY347" s="198"/>
      <c r="BZ347" s="90"/>
      <c r="CA347" s="91"/>
    </row>
    <row r="348" spans="1:1199" ht="50.1" customHeight="1" outlineLevel="2" x14ac:dyDescent="0.3">
      <c r="A348" s="103" t="s">
        <v>335</v>
      </c>
      <c r="B348" s="111" t="s">
        <v>344</v>
      </c>
      <c r="C348" s="79"/>
      <c r="D348" s="81">
        <f t="shared" si="77"/>
        <v>18.925000000000001</v>
      </c>
      <c r="E348" s="82">
        <f t="shared" si="78"/>
        <v>0</v>
      </c>
      <c r="F348" s="83">
        <f t="shared" si="67"/>
        <v>18.925000000000001</v>
      </c>
      <c r="G348" s="84"/>
      <c r="H348" s="85"/>
      <c r="I348" s="85"/>
      <c r="J348" s="84"/>
      <c r="K348" s="85"/>
      <c r="L348" s="85"/>
      <c r="M348" s="85"/>
      <c r="N348" s="85"/>
      <c r="O348" s="82"/>
      <c r="P348" s="83"/>
      <c r="Q348" s="83"/>
      <c r="R348" s="83"/>
      <c r="S348" s="82"/>
      <c r="T348" s="83"/>
      <c r="U348" s="83"/>
      <c r="V348" s="84"/>
      <c r="W348" s="85"/>
      <c r="X348" s="82"/>
      <c r="Y348" s="83"/>
      <c r="Z348" s="84"/>
      <c r="AA348" s="85"/>
      <c r="AB348" s="84"/>
      <c r="AC348" s="85"/>
      <c r="AD348" s="89">
        <f t="shared" si="68"/>
        <v>0</v>
      </c>
      <c r="AE348" s="89"/>
      <c r="AF348" s="186"/>
      <c r="AG348" s="85"/>
      <c r="AH348" s="85"/>
      <c r="AI348" s="85"/>
      <c r="AJ348" s="84"/>
      <c r="AK348" s="85"/>
      <c r="AL348" s="84"/>
      <c r="AM348" s="88"/>
      <c r="AN348" s="84"/>
      <c r="AO348" s="85"/>
      <c r="AP348" s="84"/>
      <c r="AQ348" s="83"/>
      <c r="AR348" s="83"/>
      <c r="AS348" s="83"/>
      <c r="AT348" s="85"/>
      <c r="AU348" s="85"/>
      <c r="AV348" s="85"/>
      <c r="AW348" s="88"/>
      <c r="AX348" s="84"/>
      <c r="AY348" s="85"/>
      <c r="AZ348" s="84"/>
      <c r="BA348" s="85"/>
      <c r="BB348" s="88"/>
      <c r="BC348" s="85"/>
      <c r="BD348" s="84"/>
      <c r="BE348" s="88"/>
      <c r="BF348" s="85"/>
      <c r="BG348" s="85"/>
      <c r="BH348" s="85"/>
      <c r="BI348" s="85">
        <v>18.925000000000001</v>
      </c>
      <c r="BJ348" s="85"/>
      <c r="BK348" s="85"/>
      <c r="BL348" s="85"/>
      <c r="BM348" s="85"/>
      <c r="BN348" s="85"/>
      <c r="BO348" s="85"/>
      <c r="BP348" s="85"/>
      <c r="BQ348" s="85"/>
      <c r="BR348" s="84"/>
      <c r="BS348" s="85"/>
      <c r="BT348" s="85"/>
      <c r="BU348" s="198"/>
      <c r="BV348" s="90"/>
      <c r="BW348" s="198"/>
      <c r="BX348" s="90"/>
      <c r="BY348" s="198"/>
      <c r="BZ348" s="90"/>
      <c r="CA348" s="91"/>
    </row>
    <row r="349" spans="1:1199" s="101" customFormat="1" ht="50.1" customHeight="1" outlineLevel="1" x14ac:dyDescent="0.3">
      <c r="A349" s="132" t="s">
        <v>346</v>
      </c>
      <c r="B349" s="229"/>
      <c r="C349" s="134" t="s">
        <v>94</v>
      </c>
      <c r="D349" s="114">
        <f t="shared" ref="D349:AI349" si="79">SUBTOTAL(9,D336:D348)</f>
        <v>40346.371770000005</v>
      </c>
      <c r="E349" s="114">
        <f t="shared" si="79"/>
        <v>8236.9604299999992</v>
      </c>
      <c r="F349" s="114">
        <f t="shared" si="79"/>
        <v>32109.411340000002</v>
      </c>
      <c r="G349" s="114">
        <f t="shared" si="79"/>
        <v>1.80888</v>
      </c>
      <c r="H349" s="114">
        <f t="shared" si="79"/>
        <v>0.90442999999999996</v>
      </c>
      <c r="I349" s="114">
        <f t="shared" si="79"/>
        <v>0</v>
      </c>
      <c r="J349" s="114">
        <f t="shared" si="79"/>
        <v>35.20214</v>
      </c>
      <c r="K349" s="114">
        <f t="shared" si="79"/>
        <v>9.4529200000000007</v>
      </c>
      <c r="L349" s="114">
        <f t="shared" si="79"/>
        <v>729.61335999999994</v>
      </c>
      <c r="M349" s="114">
        <f t="shared" si="79"/>
        <v>0</v>
      </c>
      <c r="N349" s="114">
        <f t="shared" si="79"/>
        <v>0</v>
      </c>
      <c r="O349" s="114">
        <f t="shared" si="79"/>
        <v>0</v>
      </c>
      <c r="P349" s="114">
        <f t="shared" si="79"/>
        <v>0</v>
      </c>
      <c r="Q349" s="114">
        <f t="shared" si="79"/>
        <v>0</v>
      </c>
      <c r="R349" s="114">
        <f t="shared" si="79"/>
        <v>0</v>
      </c>
      <c r="S349" s="114">
        <f t="shared" si="79"/>
        <v>0</v>
      </c>
      <c r="T349" s="114">
        <f t="shared" si="79"/>
        <v>0</v>
      </c>
      <c r="U349" s="114">
        <f t="shared" si="79"/>
        <v>0</v>
      </c>
      <c r="V349" s="114">
        <f t="shared" si="79"/>
        <v>53.22795</v>
      </c>
      <c r="W349" s="114">
        <f t="shared" si="79"/>
        <v>92.924999999999997</v>
      </c>
      <c r="X349" s="114">
        <f t="shared" si="79"/>
        <v>0</v>
      </c>
      <c r="Y349" s="114">
        <f t="shared" si="79"/>
        <v>424.32000000000005</v>
      </c>
      <c r="Z349" s="114">
        <f t="shared" si="79"/>
        <v>0</v>
      </c>
      <c r="AA349" s="114">
        <f t="shared" si="79"/>
        <v>0</v>
      </c>
      <c r="AB349" s="114">
        <f t="shared" si="79"/>
        <v>0</v>
      </c>
      <c r="AC349" s="114">
        <f t="shared" si="79"/>
        <v>0</v>
      </c>
      <c r="AD349" s="114">
        <f t="shared" si="79"/>
        <v>983.63161000000014</v>
      </c>
      <c r="AE349" s="114">
        <f t="shared" si="79"/>
        <v>380.80709999999999</v>
      </c>
      <c r="AF349" s="191">
        <f t="shared" si="79"/>
        <v>602.82451000000015</v>
      </c>
      <c r="AG349" s="114">
        <f t="shared" si="79"/>
        <v>0</v>
      </c>
      <c r="AH349" s="114">
        <f t="shared" si="79"/>
        <v>0</v>
      </c>
      <c r="AI349" s="114">
        <f t="shared" si="79"/>
        <v>0</v>
      </c>
      <c r="AJ349" s="114">
        <f t="shared" ref="AJ349:BO349" si="80">SUBTOTAL(9,AJ336:AJ348)</f>
        <v>0</v>
      </c>
      <c r="AK349" s="114">
        <f t="shared" si="80"/>
        <v>0</v>
      </c>
      <c r="AL349" s="114">
        <f t="shared" si="80"/>
        <v>0</v>
      </c>
      <c r="AM349" s="114">
        <f t="shared" si="80"/>
        <v>0</v>
      </c>
      <c r="AN349" s="114">
        <f t="shared" si="80"/>
        <v>0</v>
      </c>
      <c r="AO349" s="114">
        <f t="shared" si="80"/>
        <v>1672.3200000000002</v>
      </c>
      <c r="AP349" s="114">
        <f t="shared" si="80"/>
        <v>588.77096000000006</v>
      </c>
      <c r="AQ349" s="114">
        <f t="shared" si="80"/>
        <v>227.09949999999998</v>
      </c>
      <c r="AR349" s="114">
        <f t="shared" si="80"/>
        <v>0</v>
      </c>
      <c r="AS349" s="114">
        <f t="shared" si="80"/>
        <v>0</v>
      </c>
      <c r="AT349" s="114">
        <f t="shared" si="80"/>
        <v>0</v>
      </c>
      <c r="AU349" s="114">
        <f t="shared" si="80"/>
        <v>7405.18</v>
      </c>
      <c r="AV349" s="114">
        <f t="shared" si="80"/>
        <v>8185.9631299999992</v>
      </c>
      <c r="AW349" s="114">
        <f t="shared" si="80"/>
        <v>0</v>
      </c>
      <c r="AX349" s="114">
        <f t="shared" si="80"/>
        <v>0</v>
      </c>
      <c r="AY349" s="114">
        <f t="shared" si="80"/>
        <v>0</v>
      </c>
      <c r="AZ349" s="114">
        <f t="shared" si="80"/>
        <v>2525.3984700000001</v>
      </c>
      <c r="BA349" s="114">
        <f t="shared" si="80"/>
        <v>2286.95561</v>
      </c>
      <c r="BB349" s="114">
        <f t="shared" si="80"/>
        <v>93.964089999999999</v>
      </c>
      <c r="BC349" s="114">
        <f t="shared" si="80"/>
        <v>0</v>
      </c>
      <c r="BD349" s="114">
        <f t="shared" si="80"/>
        <v>0</v>
      </c>
      <c r="BE349" s="114">
        <f t="shared" si="80"/>
        <v>0</v>
      </c>
      <c r="BF349" s="114">
        <f t="shared" si="80"/>
        <v>0</v>
      </c>
      <c r="BG349" s="114">
        <f t="shared" si="80"/>
        <v>2500.2994600000002</v>
      </c>
      <c r="BH349" s="114">
        <f t="shared" si="80"/>
        <v>0</v>
      </c>
      <c r="BI349" s="114">
        <f t="shared" si="80"/>
        <v>18.925000000000001</v>
      </c>
      <c r="BJ349" s="114">
        <f t="shared" si="80"/>
        <v>0</v>
      </c>
      <c r="BK349" s="114">
        <f t="shared" si="80"/>
        <v>0</v>
      </c>
      <c r="BL349" s="114">
        <f t="shared" si="80"/>
        <v>0</v>
      </c>
      <c r="BM349" s="114">
        <f t="shared" si="80"/>
        <v>0</v>
      </c>
      <c r="BN349" s="114">
        <f t="shared" si="80"/>
        <v>0</v>
      </c>
      <c r="BO349" s="114">
        <f t="shared" si="80"/>
        <v>0</v>
      </c>
      <c r="BP349" s="114">
        <f t="shared" ref="BP349:CU349" si="81">SUBTOTAL(9,BP336:BP348)</f>
        <v>0</v>
      </c>
      <c r="BQ349" s="114">
        <f t="shared" si="81"/>
        <v>0</v>
      </c>
      <c r="BR349" s="114">
        <f t="shared" si="81"/>
        <v>2221.31203</v>
      </c>
      <c r="BS349" s="114">
        <f t="shared" si="81"/>
        <v>0</v>
      </c>
      <c r="BT349" s="114">
        <f t="shared" si="81"/>
        <v>0</v>
      </c>
      <c r="BU349" s="114">
        <f t="shared" si="81"/>
        <v>1642.91023</v>
      </c>
      <c r="BV349" s="114">
        <f t="shared" si="81"/>
        <v>2811.24</v>
      </c>
      <c r="BW349" s="114">
        <f t="shared" si="81"/>
        <v>5834.9470000000001</v>
      </c>
      <c r="BX349" s="114">
        <f t="shared" si="81"/>
        <v>0</v>
      </c>
      <c r="BY349" s="114">
        <f t="shared" si="81"/>
        <v>0</v>
      </c>
      <c r="BZ349" s="114">
        <f t="shared" si="81"/>
        <v>0</v>
      </c>
      <c r="CA349" s="114">
        <f t="shared" si="81"/>
        <v>0</v>
      </c>
      <c r="CB349" s="176"/>
      <c r="CC349" s="176"/>
      <c r="CD349" s="176"/>
      <c r="CE349" s="176"/>
      <c r="CF349" s="176"/>
      <c r="CG349" s="176"/>
      <c r="CH349" s="176"/>
      <c r="CI349" s="176"/>
      <c r="CJ349" s="176"/>
      <c r="CK349" s="176"/>
      <c r="CL349" s="176"/>
      <c r="CM349" s="176"/>
      <c r="CN349" s="176"/>
      <c r="CO349" s="176"/>
      <c r="CP349" s="176"/>
      <c r="CQ349" s="176"/>
      <c r="CR349" s="176"/>
      <c r="CS349" s="176"/>
      <c r="CT349" s="176"/>
      <c r="CU349" s="176"/>
      <c r="CV349" s="176"/>
      <c r="CW349" s="176"/>
      <c r="CX349" s="176"/>
      <c r="CY349" s="176"/>
      <c r="CZ349" s="176"/>
      <c r="DA349" s="176"/>
      <c r="DB349" s="176"/>
      <c r="DC349" s="176"/>
      <c r="DD349" s="176"/>
      <c r="DE349" s="176"/>
      <c r="DF349" s="176"/>
      <c r="DG349" s="176"/>
      <c r="DH349" s="176"/>
      <c r="DI349" s="176"/>
      <c r="DJ349" s="176"/>
      <c r="DK349" s="176"/>
      <c r="DL349" s="176"/>
      <c r="DM349" s="176"/>
      <c r="DN349" s="176"/>
      <c r="DO349" s="176"/>
      <c r="DP349" s="176"/>
      <c r="DQ349" s="176"/>
      <c r="DR349" s="176"/>
      <c r="DS349" s="176"/>
      <c r="DT349" s="176"/>
      <c r="DU349" s="176"/>
      <c r="DV349" s="176"/>
      <c r="DW349" s="176"/>
      <c r="DX349" s="176"/>
      <c r="DY349" s="176"/>
      <c r="DZ349" s="176"/>
      <c r="EA349" s="176"/>
      <c r="EB349" s="176"/>
      <c r="EC349" s="176"/>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c r="FE349" s="176"/>
      <c r="FF349" s="176"/>
      <c r="FG349" s="176"/>
      <c r="FH349" s="176"/>
      <c r="FI349" s="176"/>
      <c r="FJ349" s="176"/>
      <c r="FK349" s="176"/>
      <c r="FL349" s="176"/>
      <c r="FM349" s="176"/>
      <c r="FN349" s="176"/>
      <c r="FO349" s="176"/>
      <c r="FP349" s="176"/>
      <c r="FQ349" s="176"/>
      <c r="FR349" s="176"/>
      <c r="FS349" s="176"/>
      <c r="FT349" s="176"/>
      <c r="FU349" s="176"/>
      <c r="FV349" s="176"/>
      <c r="FW349" s="176"/>
      <c r="FX349" s="176"/>
      <c r="FY349" s="176"/>
      <c r="FZ349" s="176"/>
      <c r="GA349" s="176"/>
      <c r="GB349" s="176"/>
      <c r="GC349" s="176"/>
      <c r="GD349" s="176"/>
      <c r="GE349" s="176"/>
      <c r="GF349" s="176"/>
      <c r="GG349" s="176"/>
      <c r="GH349" s="176"/>
      <c r="GI349" s="176"/>
      <c r="GJ349" s="176"/>
      <c r="GK349" s="176"/>
      <c r="GL349" s="176"/>
      <c r="GM349" s="176"/>
      <c r="GN349" s="176"/>
      <c r="GO349" s="176"/>
      <c r="GP349" s="176"/>
      <c r="GQ349" s="176"/>
      <c r="GR349" s="176"/>
      <c r="GS349" s="176"/>
      <c r="GT349" s="176"/>
      <c r="GU349" s="176"/>
      <c r="GV349" s="176"/>
      <c r="GW349" s="176"/>
      <c r="GX349" s="176"/>
      <c r="GY349" s="176"/>
      <c r="GZ349" s="176"/>
      <c r="HA349" s="176"/>
      <c r="HB349" s="176"/>
      <c r="HC349" s="176"/>
      <c r="HD349" s="176"/>
      <c r="HE349" s="176"/>
      <c r="HF349" s="176"/>
      <c r="HG349" s="176"/>
      <c r="HH349" s="176"/>
      <c r="HI349" s="176"/>
      <c r="HJ349" s="176"/>
      <c r="HK349" s="176"/>
      <c r="HL349" s="176"/>
      <c r="HM349" s="176"/>
      <c r="HN349" s="176"/>
      <c r="HO349" s="176"/>
      <c r="HP349" s="176"/>
      <c r="HQ349" s="176"/>
      <c r="HR349" s="176"/>
      <c r="HS349" s="176"/>
      <c r="HT349" s="176"/>
      <c r="HU349" s="176"/>
      <c r="HV349" s="176"/>
      <c r="HW349" s="176"/>
      <c r="HX349" s="176"/>
      <c r="HY349" s="176"/>
      <c r="HZ349" s="176"/>
      <c r="IA349" s="176"/>
      <c r="IB349" s="176"/>
      <c r="IC349" s="176"/>
      <c r="ID349" s="176"/>
      <c r="IE349" s="176"/>
      <c r="IF349" s="176"/>
      <c r="IG349" s="176"/>
      <c r="IH349" s="176"/>
      <c r="II349" s="176"/>
      <c r="IJ349" s="176"/>
      <c r="IK349" s="176"/>
      <c r="IL349" s="176"/>
      <c r="IM349" s="176"/>
      <c r="IN349" s="176"/>
      <c r="IO349" s="176"/>
      <c r="IP349" s="176"/>
      <c r="IQ349" s="176"/>
      <c r="IR349" s="176"/>
      <c r="IS349" s="176"/>
      <c r="IT349" s="176"/>
      <c r="IU349" s="176"/>
      <c r="IV349" s="176"/>
      <c r="IW349" s="176"/>
      <c r="IX349" s="176"/>
      <c r="IY349" s="176"/>
      <c r="IZ349" s="176"/>
      <c r="JA349" s="176"/>
      <c r="JB349" s="176"/>
      <c r="JC349" s="176"/>
      <c r="JD349" s="176"/>
      <c r="JE349" s="176"/>
      <c r="JF349" s="176"/>
      <c r="JG349" s="176"/>
      <c r="JH349" s="176"/>
      <c r="JI349" s="176"/>
      <c r="JJ349" s="176"/>
      <c r="JK349" s="176"/>
      <c r="JL349" s="176"/>
      <c r="JM349" s="176"/>
      <c r="JN349" s="176"/>
      <c r="JO349" s="176"/>
      <c r="JP349" s="176"/>
      <c r="JQ349" s="176"/>
      <c r="JR349" s="176"/>
      <c r="JS349" s="176"/>
      <c r="JT349" s="176"/>
      <c r="JU349" s="176"/>
      <c r="JV349" s="176"/>
      <c r="JW349" s="131"/>
      <c r="JX349" s="131"/>
      <c r="JY349" s="131"/>
      <c r="JZ349" s="131"/>
      <c r="KA349" s="131"/>
      <c r="KB349" s="131"/>
      <c r="KC349" s="131"/>
      <c r="KD349" s="131"/>
      <c r="KE349" s="131"/>
      <c r="KF349" s="131"/>
      <c r="KG349" s="131"/>
      <c r="KH349" s="131"/>
      <c r="KI349" s="131"/>
      <c r="KJ349" s="131"/>
      <c r="KK349" s="131"/>
      <c r="KL349" s="131"/>
      <c r="KM349" s="131"/>
      <c r="KN349" s="131"/>
      <c r="KO349" s="131"/>
      <c r="KP349" s="131"/>
      <c r="KQ349" s="131"/>
      <c r="KR349" s="131"/>
      <c r="KS349" s="131"/>
      <c r="KT349" s="131"/>
      <c r="KU349" s="131"/>
      <c r="KV349" s="131"/>
      <c r="KW349" s="131"/>
      <c r="KX349" s="131"/>
      <c r="KY349" s="131"/>
      <c r="KZ349" s="131"/>
      <c r="LA349" s="131"/>
      <c r="LB349" s="131"/>
      <c r="LC349" s="131"/>
      <c r="LD349" s="131"/>
      <c r="LE349" s="131"/>
      <c r="LF349" s="131"/>
      <c r="LG349" s="131"/>
      <c r="LH349" s="131"/>
      <c r="LI349" s="131"/>
      <c r="LJ349" s="131"/>
      <c r="LK349" s="131"/>
      <c r="LL349" s="131"/>
      <c r="LM349" s="131"/>
      <c r="LN349" s="131"/>
      <c r="LO349" s="131"/>
      <c r="LP349" s="131"/>
      <c r="LQ349" s="131"/>
      <c r="LR349" s="131"/>
      <c r="LS349" s="131"/>
      <c r="LT349" s="131"/>
      <c r="LU349" s="131"/>
      <c r="LV349" s="131"/>
      <c r="LW349" s="131"/>
      <c r="LX349" s="131"/>
      <c r="LY349" s="131"/>
      <c r="LZ349" s="131"/>
      <c r="MA349" s="131"/>
      <c r="MB349" s="131"/>
      <c r="MC349" s="131"/>
      <c r="MD349" s="131"/>
      <c r="ME349" s="131"/>
      <c r="MF349" s="131"/>
      <c r="MG349" s="131"/>
      <c r="MH349" s="131"/>
      <c r="MI349" s="131"/>
      <c r="MJ349" s="131"/>
      <c r="MK349" s="131"/>
      <c r="ML349" s="131"/>
      <c r="MM349" s="131"/>
      <c r="MN349" s="131"/>
      <c r="MO349" s="131"/>
      <c r="MP349" s="131"/>
      <c r="MQ349" s="131"/>
      <c r="MR349" s="131"/>
      <c r="MS349" s="131"/>
      <c r="MT349" s="131"/>
      <c r="MU349" s="131"/>
      <c r="MV349" s="131"/>
      <c r="MW349" s="131"/>
      <c r="MX349" s="131"/>
      <c r="MY349" s="131"/>
      <c r="MZ349" s="131"/>
      <c r="NA349" s="131"/>
      <c r="NB349" s="131"/>
      <c r="NC349" s="131"/>
      <c r="ND349" s="131"/>
      <c r="NE349" s="131"/>
      <c r="NF349" s="131"/>
      <c r="NG349" s="131"/>
      <c r="NH349" s="131"/>
      <c r="NI349" s="131"/>
      <c r="NJ349" s="131"/>
      <c r="NK349" s="131"/>
      <c r="NL349" s="131"/>
      <c r="NM349" s="131"/>
      <c r="NN349" s="131"/>
      <c r="NO349" s="131"/>
      <c r="NP349" s="131"/>
      <c r="NQ349" s="131"/>
      <c r="NR349" s="131"/>
      <c r="NS349" s="131"/>
      <c r="NT349" s="131"/>
      <c r="NU349" s="131"/>
      <c r="NV349" s="131"/>
      <c r="NW349" s="131"/>
      <c r="NX349" s="131"/>
      <c r="NY349" s="131"/>
      <c r="NZ349" s="131"/>
      <c r="OA349" s="131"/>
      <c r="OB349" s="131"/>
      <c r="OC349" s="131"/>
      <c r="OD349" s="131"/>
      <c r="OE349" s="131"/>
      <c r="OF349" s="131"/>
      <c r="OG349" s="131"/>
      <c r="OH349" s="131"/>
      <c r="OI349" s="131"/>
      <c r="OJ349" s="131"/>
      <c r="OK349" s="131"/>
      <c r="OL349" s="131"/>
      <c r="OM349" s="131"/>
      <c r="ON349" s="131"/>
      <c r="OO349" s="131"/>
      <c r="OP349" s="131"/>
      <c r="OQ349" s="131"/>
      <c r="OR349" s="131"/>
      <c r="OS349" s="131"/>
      <c r="OT349" s="131"/>
      <c r="OU349" s="131"/>
      <c r="OV349" s="131"/>
      <c r="OW349" s="131"/>
      <c r="OX349" s="131"/>
      <c r="OY349" s="131"/>
      <c r="OZ349" s="131"/>
      <c r="PA349" s="131"/>
      <c r="PB349" s="131"/>
      <c r="PC349" s="131"/>
      <c r="PD349" s="131"/>
      <c r="PE349" s="131"/>
      <c r="PF349" s="131"/>
      <c r="PG349" s="131"/>
      <c r="PH349" s="131"/>
      <c r="PI349" s="131"/>
      <c r="PJ349" s="131"/>
      <c r="PK349" s="131"/>
      <c r="PL349" s="131"/>
      <c r="PM349" s="131"/>
      <c r="PN349" s="131"/>
      <c r="PO349" s="131"/>
      <c r="PP349" s="131"/>
      <c r="PQ349" s="131"/>
      <c r="PR349" s="131"/>
      <c r="PS349" s="131"/>
      <c r="PT349" s="131"/>
      <c r="PU349" s="131"/>
      <c r="PV349" s="131"/>
      <c r="PW349" s="131"/>
      <c r="PX349" s="131"/>
      <c r="PY349" s="131"/>
      <c r="PZ349" s="131"/>
      <c r="QA349" s="131"/>
      <c r="QB349" s="131"/>
      <c r="QC349" s="131"/>
      <c r="QD349" s="131"/>
      <c r="QE349" s="131"/>
      <c r="QF349" s="131"/>
      <c r="QG349" s="131"/>
      <c r="QH349" s="131"/>
      <c r="QI349" s="131"/>
      <c r="QJ349" s="131"/>
      <c r="QK349" s="131"/>
      <c r="QL349" s="131"/>
      <c r="QM349" s="131"/>
      <c r="QN349" s="131"/>
      <c r="QO349" s="131"/>
      <c r="QP349" s="131"/>
      <c r="QQ349" s="131"/>
      <c r="QR349" s="131"/>
      <c r="QS349" s="131"/>
      <c r="QT349" s="131"/>
      <c r="QU349" s="131"/>
      <c r="QV349" s="131"/>
      <c r="QW349" s="131"/>
      <c r="QX349" s="131"/>
      <c r="QY349" s="131"/>
      <c r="QZ349" s="131"/>
      <c r="RA349" s="131"/>
      <c r="RB349" s="131"/>
      <c r="RC349" s="131"/>
      <c r="RD349" s="131"/>
      <c r="RE349" s="131"/>
      <c r="RF349" s="131"/>
      <c r="RG349" s="131"/>
      <c r="RH349" s="131"/>
      <c r="RI349" s="131"/>
      <c r="RJ349" s="131"/>
      <c r="RK349" s="131"/>
      <c r="RL349" s="131"/>
      <c r="RM349" s="131"/>
      <c r="RN349" s="131"/>
      <c r="RO349" s="131"/>
      <c r="RP349" s="131"/>
      <c r="RQ349" s="131"/>
      <c r="RR349" s="131"/>
      <c r="RS349" s="131"/>
      <c r="RT349" s="131"/>
      <c r="RU349" s="131"/>
      <c r="RV349" s="131"/>
      <c r="RW349" s="131"/>
      <c r="RX349" s="131"/>
      <c r="RY349" s="131"/>
      <c r="RZ349" s="131"/>
      <c r="SA349" s="131"/>
      <c r="SB349" s="131"/>
      <c r="SC349" s="131"/>
      <c r="SD349" s="131"/>
      <c r="SE349" s="131"/>
      <c r="SF349" s="131"/>
      <c r="SG349" s="131"/>
      <c r="SH349" s="131"/>
      <c r="SI349" s="131"/>
      <c r="SJ349" s="131"/>
      <c r="SK349" s="131"/>
      <c r="SL349" s="131"/>
      <c r="SM349" s="131"/>
      <c r="SN349" s="131"/>
      <c r="SO349" s="131"/>
      <c r="SP349" s="131"/>
      <c r="SQ349" s="131"/>
      <c r="SR349" s="131"/>
      <c r="SS349" s="131"/>
      <c r="ST349" s="131"/>
      <c r="SU349" s="131"/>
      <c r="SV349" s="131"/>
      <c r="SW349" s="131"/>
      <c r="SX349" s="131"/>
      <c r="SY349" s="131"/>
      <c r="SZ349" s="131"/>
      <c r="TA349" s="131"/>
      <c r="TB349" s="131"/>
      <c r="TC349" s="131"/>
      <c r="TD349" s="131"/>
      <c r="TE349" s="131"/>
      <c r="TF349" s="131"/>
      <c r="TG349" s="131"/>
      <c r="TH349" s="131"/>
      <c r="TI349" s="131"/>
      <c r="TJ349" s="131"/>
      <c r="TK349" s="131"/>
      <c r="TL349" s="131"/>
      <c r="TM349" s="131"/>
      <c r="TN349" s="131"/>
      <c r="TO349" s="131"/>
      <c r="TP349" s="131"/>
      <c r="TQ349" s="131"/>
      <c r="TR349" s="131"/>
      <c r="TS349" s="131"/>
      <c r="TT349" s="131"/>
      <c r="TU349" s="131"/>
      <c r="TV349" s="131"/>
      <c r="TW349" s="131"/>
      <c r="TX349" s="131"/>
      <c r="TY349" s="131"/>
      <c r="TZ349" s="131"/>
      <c r="UA349" s="131"/>
      <c r="UB349" s="131"/>
      <c r="UC349" s="131"/>
      <c r="UD349" s="131"/>
      <c r="UE349" s="131"/>
      <c r="UF349" s="131"/>
      <c r="UG349" s="131"/>
      <c r="UH349" s="131"/>
      <c r="UI349" s="131"/>
      <c r="UJ349" s="131"/>
      <c r="UK349" s="131"/>
      <c r="UL349" s="131"/>
      <c r="UM349" s="131"/>
      <c r="UN349" s="131"/>
      <c r="UO349" s="131"/>
      <c r="UP349" s="131"/>
      <c r="UQ349" s="131"/>
      <c r="UR349" s="131"/>
      <c r="US349" s="131"/>
      <c r="UT349" s="131"/>
      <c r="UU349" s="131"/>
      <c r="UV349" s="131"/>
      <c r="UW349" s="131"/>
      <c r="UX349" s="131"/>
      <c r="UY349" s="131"/>
      <c r="UZ349" s="131"/>
      <c r="VA349" s="131"/>
      <c r="VB349" s="131"/>
      <c r="VC349" s="131"/>
      <c r="VD349" s="131"/>
      <c r="VE349" s="131"/>
      <c r="VF349" s="131"/>
      <c r="VG349" s="131"/>
      <c r="VH349" s="131"/>
      <c r="VI349" s="131"/>
      <c r="VJ349" s="131"/>
      <c r="VK349" s="131"/>
      <c r="VL349" s="131"/>
      <c r="VM349" s="131"/>
      <c r="VN349" s="131"/>
      <c r="VO349" s="131"/>
      <c r="VP349" s="131"/>
      <c r="VQ349" s="131"/>
      <c r="VR349" s="131"/>
      <c r="VS349" s="131"/>
      <c r="VT349" s="131"/>
      <c r="VU349" s="131"/>
      <c r="VV349" s="131"/>
      <c r="VW349" s="131"/>
      <c r="VX349" s="131"/>
      <c r="VY349" s="131"/>
      <c r="VZ349" s="131"/>
      <c r="WA349" s="131"/>
      <c r="WB349" s="131"/>
      <c r="WC349" s="131"/>
      <c r="WD349" s="131"/>
      <c r="WE349" s="131"/>
      <c r="WF349" s="131"/>
      <c r="WG349" s="131"/>
      <c r="WH349" s="131"/>
      <c r="WI349" s="131"/>
      <c r="WJ349" s="131"/>
      <c r="WK349" s="131"/>
      <c r="WL349" s="131"/>
      <c r="WM349" s="131"/>
      <c r="WN349" s="131"/>
      <c r="WO349" s="131"/>
      <c r="WP349" s="131"/>
      <c r="WQ349" s="131"/>
      <c r="WR349" s="131"/>
      <c r="WS349" s="131"/>
      <c r="WT349" s="131"/>
      <c r="WU349" s="131"/>
      <c r="WV349" s="131"/>
      <c r="WW349" s="131"/>
      <c r="WX349" s="131"/>
      <c r="WY349" s="131"/>
      <c r="WZ349" s="131"/>
      <c r="XA349" s="131"/>
      <c r="XB349" s="131"/>
      <c r="XC349" s="131"/>
      <c r="XD349" s="131"/>
      <c r="XE349" s="131"/>
      <c r="XF349" s="131"/>
      <c r="XG349" s="131"/>
      <c r="XH349" s="131"/>
      <c r="XI349" s="131"/>
      <c r="XJ349" s="131"/>
      <c r="XK349" s="131"/>
      <c r="XL349" s="131"/>
      <c r="XM349" s="131"/>
      <c r="XN349" s="131"/>
      <c r="XO349" s="131"/>
      <c r="XP349" s="131"/>
      <c r="XQ349" s="131"/>
      <c r="XR349" s="131"/>
      <c r="XS349" s="131"/>
      <c r="XT349" s="131"/>
      <c r="XU349" s="131"/>
      <c r="XV349" s="131"/>
      <c r="XW349" s="131"/>
      <c r="XX349" s="131"/>
      <c r="XY349" s="131"/>
      <c r="XZ349" s="131"/>
      <c r="YA349" s="131"/>
      <c r="YB349" s="131"/>
      <c r="YC349" s="131"/>
      <c r="YD349" s="131"/>
      <c r="YE349" s="131"/>
      <c r="YF349" s="131"/>
      <c r="YG349" s="131"/>
      <c r="YH349" s="131"/>
      <c r="YI349" s="131"/>
      <c r="YJ349" s="131"/>
      <c r="YK349" s="131"/>
      <c r="YL349" s="131"/>
      <c r="YM349" s="131"/>
      <c r="YN349" s="131"/>
      <c r="YO349" s="131"/>
      <c r="YP349" s="131"/>
      <c r="YQ349" s="131"/>
      <c r="YR349" s="131"/>
      <c r="YS349" s="131"/>
      <c r="YT349" s="131"/>
      <c r="YU349" s="131"/>
      <c r="YV349" s="131"/>
      <c r="YW349" s="131"/>
      <c r="YX349" s="131"/>
      <c r="YY349" s="131"/>
      <c r="YZ349" s="131"/>
      <c r="ZA349" s="131"/>
      <c r="ZB349" s="131"/>
      <c r="ZC349" s="131"/>
      <c r="ZD349" s="131"/>
      <c r="ZE349" s="131"/>
      <c r="ZF349" s="131"/>
      <c r="ZG349" s="131"/>
      <c r="ZH349" s="131"/>
      <c r="ZI349" s="131"/>
      <c r="ZJ349" s="131"/>
      <c r="ZK349" s="131"/>
      <c r="ZL349" s="131"/>
      <c r="ZM349" s="131"/>
      <c r="ZN349" s="131"/>
      <c r="ZO349" s="131"/>
      <c r="ZP349" s="131"/>
      <c r="ZQ349" s="131"/>
      <c r="ZR349" s="131"/>
      <c r="ZS349" s="131"/>
      <c r="ZT349" s="131"/>
      <c r="ZU349" s="131"/>
      <c r="ZV349" s="131"/>
      <c r="ZW349" s="131"/>
      <c r="ZX349" s="131"/>
      <c r="ZY349" s="131"/>
      <c r="ZZ349" s="131"/>
      <c r="AAA349" s="131"/>
      <c r="AAB349" s="131"/>
      <c r="AAC349" s="131"/>
      <c r="AAD349" s="131"/>
      <c r="AAE349" s="131"/>
      <c r="AAF349" s="131"/>
      <c r="AAG349" s="131"/>
      <c r="AAH349" s="131"/>
      <c r="AAI349" s="131"/>
      <c r="AAJ349" s="131"/>
      <c r="AAK349" s="131"/>
      <c r="AAL349" s="131"/>
      <c r="AAM349" s="131"/>
      <c r="AAN349" s="131"/>
      <c r="AAO349" s="131"/>
      <c r="AAP349" s="131"/>
      <c r="AAQ349" s="131"/>
      <c r="AAR349" s="131"/>
      <c r="AAS349" s="131"/>
      <c r="AAT349" s="131"/>
      <c r="AAU349" s="131"/>
      <c r="AAV349" s="131"/>
      <c r="AAW349" s="131"/>
      <c r="AAX349" s="131"/>
      <c r="AAY349" s="131"/>
      <c r="AAZ349" s="131"/>
      <c r="ABA349" s="131"/>
      <c r="ABB349" s="131"/>
      <c r="ABC349" s="131"/>
      <c r="ABD349" s="131"/>
      <c r="ABE349" s="131"/>
      <c r="ABF349" s="131"/>
      <c r="ABG349" s="131"/>
      <c r="ABH349" s="131"/>
      <c r="ABI349" s="131"/>
      <c r="ABJ349" s="131"/>
      <c r="ABK349" s="131"/>
      <c r="ABL349" s="131"/>
      <c r="ABM349" s="131"/>
      <c r="ABN349" s="131"/>
      <c r="ABO349" s="131"/>
      <c r="ABP349" s="131"/>
      <c r="ABQ349" s="131"/>
      <c r="ABR349" s="131"/>
      <c r="ABS349" s="131"/>
      <c r="ABT349" s="131"/>
      <c r="ABU349" s="131"/>
      <c r="ABV349" s="131"/>
      <c r="ABW349" s="131"/>
      <c r="ABX349" s="131"/>
      <c r="ABY349" s="131"/>
      <c r="ABZ349" s="131"/>
      <c r="ACA349" s="131"/>
      <c r="ACB349" s="131"/>
      <c r="ACC349" s="131"/>
      <c r="ACD349" s="131"/>
      <c r="ACE349" s="131"/>
      <c r="ACF349" s="131"/>
      <c r="ACG349" s="131"/>
      <c r="ACH349" s="131"/>
      <c r="ACI349" s="131"/>
      <c r="ACJ349" s="131"/>
      <c r="ACK349" s="131"/>
      <c r="ACL349" s="131"/>
      <c r="ACM349" s="131"/>
      <c r="ACN349" s="131"/>
      <c r="ACO349" s="131"/>
      <c r="ACP349" s="131"/>
      <c r="ACQ349" s="131"/>
      <c r="ACR349" s="131"/>
      <c r="ACS349" s="131"/>
      <c r="ACT349" s="131"/>
      <c r="ACU349" s="131"/>
      <c r="ACV349" s="131"/>
      <c r="ACW349" s="131"/>
      <c r="ACX349" s="131"/>
      <c r="ACY349" s="131"/>
      <c r="ACZ349" s="131"/>
      <c r="ADA349" s="131"/>
      <c r="ADB349" s="131"/>
      <c r="ADC349" s="131"/>
      <c r="ADD349" s="131"/>
      <c r="ADE349" s="131"/>
      <c r="ADF349" s="131"/>
      <c r="ADG349" s="131"/>
      <c r="ADH349" s="131"/>
      <c r="ADI349" s="131"/>
      <c r="ADJ349" s="131"/>
      <c r="ADK349" s="131"/>
      <c r="ADL349" s="131"/>
      <c r="ADM349" s="131"/>
      <c r="ADN349" s="131"/>
      <c r="ADO349" s="131"/>
      <c r="ADP349" s="131"/>
      <c r="ADQ349" s="131"/>
      <c r="ADR349" s="131"/>
      <c r="ADS349" s="131"/>
      <c r="ADT349" s="131"/>
      <c r="ADU349" s="131"/>
      <c r="ADV349" s="131"/>
      <c r="ADW349" s="131"/>
      <c r="ADX349" s="131"/>
      <c r="ADY349" s="131"/>
      <c r="ADZ349" s="131"/>
      <c r="AEA349" s="131"/>
      <c r="AEB349" s="131"/>
      <c r="AEC349" s="131"/>
      <c r="AED349" s="131"/>
      <c r="AEE349" s="131"/>
      <c r="AEF349" s="131"/>
      <c r="AEG349" s="131"/>
      <c r="AEH349" s="131"/>
      <c r="AEI349" s="131"/>
      <c r="AEJ349" s="131"/>
      <c r="AEK349" s="131"/>
      <c r="AEL349" s="131"/>
      <c r="AEM349" s="131"/>
      <c r="AEN349" s="131"/>
      <c r="AEO349" s="131"/>
      <c r="AEP349" s="131"/>
      <c r="AEQ349" s="131"/>
      <c r="AER349" s="131"/>
      <c r="AES349" s="131"/>
      <c r="AET349" s="131"/>
      <c r="AEU349" s="131"/>
      <c r="AEV349" s="131"/>
      <c r="AEW349" s="131"/>
      <c r="AEX349" s="131"/>
      <c r="AEY349" s="131"/>
      <c r="AEZ349" s="131"/>
      <c r="AFA349" s="131"/>
      <c r="AFB349" s="131"/>
      <c r="AFC349" s="131"/>
      <c r="AFD349" s="131"/>
      <c r="AFE349" s="131"/>
      <c r="AFF349" s="131"/>
      <c r="AFG349" s="131"/>
      <c r="AFH349" s="131"/>
      <c r="AFI349" s="131"/>
      <c r="AFJ349" s="131"/>
      <c r="AFK349" s="131"/>
      <c r="AFL349" s="131"/>
      <c r="AFM349" s="131"/>
      <c r="AFN349" s="131"/>
      <c r="AFO349" s="131"/>
      <c r="AFP349" s="131"/>
      <c r="AFQ349" s="131"/>
      <c r="AFR349" s="131"/>
      <c r="AFS349" s="131"/>
      <c r="AFT349" s="131"/>
      <c r="AFU349" s="131"/>
      <c r="AFV349" s="131"/>
      <c r="AFW349" s="131"/>
      <c r="AFX349" s="131"/>
      <c r="AFY349" s="131"/>
      <c r="AFZ349" s="131"/>
      <c r="AGA349" s="131"/>
      <c r="AGB349" s="131"/>
      <c r="AGC349" s="131"/>
      <c r="AGD349" s="131"/>
      <c r="AGE349" s="131"/>
      <c r="AGF349" s="131"/>
      <c r="AGG349" s="131"/>
      <c r="AGH349" s="131"/>
      <c r="AGI349" s="131"/>
      <c r="AGJ349" s="131"/>
      <c r="AGK349" s="131"/>
      <c r="AGL349" s="131"/>
      <c r="AGM349" s="131"/>
      <c r="AGN349" s="131"/>
      <c r="AGO349" s="131"/>
      <c r="AGP349" s="131"/>
      <c r="AGQ349" s="131"/>
      <c r="AGR349" s="131"/>
      <c r="AGS349" s="131"/>
      <c r="AGT349" s="131"/>
      <c r="AGU349" s="131"/>
      <c r="AGV349" s="131"/>
      <c r="AGW349" s="131"/>
      <c r="AGX349" s="131"/>
      <c r="AGY349" s="131"/>
      <c r="AGZ349" s="131"/>
      <c r="AHA349" s="131"/>
      <c r="AHB349" s="131"/>
      <c r="AHC349" s="131"/>
      <c r="AHD349" s="131"/>
      <c r="AHE349" s="131"/>
      <c r="AHF349" s="131"/>
      <c r="AHG349" s="131"/>
      <c r="AHH349" s="131"/>
      <c r="AHI349" s="131"/>
      <c r="AHJ349" s="131"/>
      <c r="AHK349" s="131"/>
      <c r="AHL349" s="131"/>
      <c r="AHM349" s="131"/>
      <c r="AHN349" s="131"/>
      <c r="AHO349" s="131"/>
      <c r="AHP349" s="131"/>
      <c r="AHQ349" s="131"/>
      <c r="AHR349" s="131"/>
      <c r="AHS349" s="131"/>
      <c r="AHT349" s="131"/>
      <c r="AHU349" s="131"/>
      <c r="AHV349" s="131"/>
      <c r="AHW349" s="131"/>
      <c r="AHX349" s="131"/>
      <c r="AHY349" s="131"/>
      <c r="AHZ349" s="131"/>
      <c r="AIA349" s="131"/>
      <c r="AIB349" s="131"/>
      <c r="AIC349" s="131"/>
      <c r="AID349" s="131"/>
      <c r="AIE349" s="131"/>
      <c r="AIF349" s="131"/>
      <c r="AIG349" s="131"/>
      <c r="AIH349" s="131"/>
      <c r="AII349" s="131"/>
      <c r="AIJ349" s="131"/>
      <c r="AIK349" s="131"/>
      <c r="AIL349" s="131"/>
      <c r="AIM349" s="131"/>
      <c r="AIN349" s="131"/>
      <c r="AIO349" s="131"/>
      <c r="AIP349" s="131"/>
      <c r="AIQ349" s="131"/>
      <c r="AIR349" s="131"/>
      <c r="AIS349" s="131"/>
      <c r="AIT349" s="131"/>
      <c r="AIU349" s="131"/>
      <c r="AIV349" s="131"/>
      <c r="AIW349" s="131"/>
      <c r="AIX349" s="131"/>
      <c r="AIY349" s="131"/>
      <c r="AIZ349" s="131"/>
      <c r="AJA349" s="131"/>
      <c r="AJB349" s="131"/>
      <c r="AJC349" s="131"/>
      <c r="AJD349" s="131"/>
      <c r="AJE349" s="131"/>
      <c r="AJF349" s="131"/>
      <c r="AJG349" s="131"/>
      <c r="AJH349" s="131"/>
      <c r="AJI349" s="131"/>
      <c r="AJJ349" s="131"/>
      <c r="AJK349" s="131"/>
      <c r="AJL349" s="131"/>
      <c r="AJM349" s="131"/>
      <c r="AJN349" s="131"/>
      <c r="AJO349" s="131"/>
      <c r="AJP349" s="131"/>
      <c r="AJQ349" s="131"/>
      <c r="AJR349" s="131"/>
      <c r="AJS349" s="131"/>
      <c r="AJT349" s="131"/>
      <c r="AJU349" s="131"/>
      <c r="AJV349" s="131"/>
      <c r="AJW349" s="131"/>
      <c r="AJX349" s="131"/>
      <c r="AJY349" s="131"/>
      <c r="AJZ349" s="131"/>
      <c r="AKA349" s="131"/>
      <c r="AKB349" s="131"/>
      <c r="AKC349" s="131"/>
      <c r="AKD349" s="131"/>
      <c r="AKE349" s="131"/>
      <c r="AKF349" s="131"/>
      <c r="AKG349" s="131"/>
      <c r="AKH349" s="131"/>
      <c r="AKI349" s="131"/>
      <c r="AKJ349" s="131"/>
      <c r="AKK349" s="131"/>
      <c r="AKL349" s="131"/>
      <c r="AKM349" s="131"/>
      <c r="AKN349" s="131"/>
      <c r="AKO349" s="131"/>
      <c r="AKP349" s="131"/>
      <c r="AKQ349" s="131"/>
      <c r="AKR349" s="131"/>
      <c r="AKS349" s="131"/>
      <c r="AKT349" s="131"/>
      <c r="AKU349" s="131"/>
      <c r="AKV349" s="131"/>
      <c r="AKW349" s="131"/>
      <c r="AKX349" s="131"/>
      <c r="AKY349" s="131"/>
      <c r="AKZ349" s="131"/>
      <c r="ALA349" s="131"/>
      <c r="ALB349" s="131"/>
      <c r="ALC349" s="131"/>
      <c r="ALD349" s="131"/>
      <c r="ALE349" s="131"/>
      <c r="ALF349" s="131"/>
      <c r="ALG349" s="131"/>
      <c r="ALH349" s="131"/>
      <c r="ALI349" s="131"/>
      <c r="ALJ349" s="131"/>
      <c r="ALK349" s="131"/>
      <c r="ALL349" s="131"/>
      <c r="ALM349" s="131"/>
      <c r="ALN349" s="131"/>
      <c r="ALO349" s="131"/>
      <c r="ALP349" s="131"/>
      <c r="ALQ349" s="131"/>
      <c r="ALR349" s="131"/>
      <c r="ALS349" s="131"/>
      <c r="ALT349" s="131"/>
      <c r="ALU349" s="131"/>
      <c r="ALV349" s="131"/>
      <c r="ALW349" s="131"/>
      <c r="ALX349" s="131"/>
      <c r="ALY349" s="131"/>
      <c r="ALZ349" s="131"/>
      <c r="AMA349" s="131"/>
      <c r="AMB349" s="131"/>
      <c r="AMC349" s="131"/>
      <c r="AMD349" s="131"/>
      <c r="AME349" s="131"/>
      <c r="AMF349" s="131"/>
      <c r="AMG349" s="131"/>
      <c r="AMH349" s="131"/>
      <c r="AMI349" s="131"/>
      <c r="AMJ349" s="131"/>
      <c r="AMK349" s="131"/>
      <c r="AML349" s="131"/>
      <c r="AMM349" s="131"/>
      <c r="AMN349" s="131"/>
      <c r="AMO349" s="131"/>
      <c r="AMP349" s="131"/>
      <c r="AMQ349" s="131"/>
      <c r="AMR349" s="131"/>
      <c r="AMS349" s="131"/>
      <c r="AMT349" s="131"/>
      <c r="AMU349" s="131"/>
      <c r="AMV349" s="131"/>
      <c r="AMW349" s="131"/>
      <c r="AMX349" s="131"/>
      <c r="AMY349" s="131"/>
      <c r="AMZ349" s="131"/>
      <c r="ANA349" s="131"/>
      <c r="ANB349" s="131"/>
      <c r="ANC349" s="131"/>
      <c r="AND349" s="131"/>
      <c r="ANE349" s="131"/>
      <c r="ANF349" s="131"/>
      <c r="ANG349" s="131"/>
      <c r="ANH349" s="131"/>
      <c r="ANI349" s="131"/>
      <c r="ANJ349" s="131"/>
      <c r="ANK349" s="131"/>
      <c r="ANL349" s="131"/>
      <c r="ANM349" s="131"/>
      <c r="ANN349" s="131"/>
      <c r="ANO349" s="131"/>
      <c r="ANP349" s="131"/>
      <c r="ANQ349" s="131"/>
      <c r="ANR349" s="131"/>
      <c r="ANS349" s="131"/>
      <c r="ANT349" s="131"/>
      <c r="ANU349" s="131"/>
      <c r="ANV349" s="131"/>
      <c r="ANW349" s="131"/>
      <c r="ANX349" s="131"/>
      <c r="ANY349" s="131"/>
      <c r="ANZ349" s="131"/>
      <c r="AOA349" s="131"/>
      <c r="AOB349" s="131"/>
      <c r="AOC349" s="131"/>
      <c r="AOD349" s="131"/>
      <c r="AOE349" s="131"/>
      <c r="AOF349" s="131"/>
      <c r="AOG349" s="131"/>
      <c r="AOH349" s="131"/>
      <c r="AOI349" s="131"/>
      <c r="AOJ349" s="131"/>
      <c r="AOK349" s="131"/>
      <c r="AOL349" s="131"/>
      <c r="AOM349" s="131"/>
      <c r="AON349" s="131"/>
      <c r="AOO349" s="131"/>
      <c r="AOP349" s="131"/>
      <c r="AOQ349" s="131"/>
      <c r="AOR349" s="131"/>
      <c r="AOS349" s="131"/>
      <c r="AOT349" s="131"/>
      <c r="AOU349" s="131"/>
      <c r="AOV349" s="131"/>
      <c r="AOW349" s="131"/>
      <c r="AOX349" s="131"/>
      <c r="AOY349" s="131"/>
      <c r="AOZ349" s="131"/>
      <c r="APA349" s="131"/>
      <c r="APB349" s="131"/>
      <c r="APC349" s="131"/>
      <c r="APD349" s="131"/>
      <c r="APE349" s="131"/>
      <c r="APF349" s="131"/>
      <c r="APG349" s="131"/>
      <c r="APH349" s="131"/>
      <c r="API349" s="131"/>
      <c r="APJ349" s="131"/>
      <c r="APK349" s="131"/>
      <c r="APL349" s="131"/>
      <c r="APM349" s="131"/>
      <c r="APN349" s="131"/>
      <c r="APO349" s="131"/>
      <c r="APP349" s="131"/>
      <c r="APQ349" s="131"/>
      <c r="APR349" s="131"/>
      <c r="APS349" s="131"/>
      <c r="APT349" s="131"/>
      <c r="APU349" s="131"/>
      <c r="APV349" s="131"/>
      <c r="APW349" s="131"/>
      <c r="APX349" s="131"/>
      <c r="APY349" s="131"/>
      <c r="APZ349" s="131"/>
      <c r="AQA349" s="131"/>
      <c r="AQB349" s="131"/>
      <c r="AQC349" s="131"/>
      <c r="AQD349" s="131"/>
      <c r="AQE349" s="131"/>
      <c r="AQF349" s="131"/>
      <c r="AQG349" s="131"/>
      <c r="AQH349" s="131"/>
      <c r="AQI349" s="131"/>
      <c r="AQJ349" s="131"/>
      <c r="AQK349" s="131"/>
      <c r="AQL349" s="131"/>
      <c r="AQM349" s="131"/>
      <c r="AQN349" s="131"/>
      <c r="AQO349" s="131"/>
      <c r="AQP349" s="131"/>
      <c r="AQQ349" s="131"/>
      <c r="AQR349" s="131"/>
      <c r="AQS349" s="131"/>
      <c r="AQT349" s="131"/>
      <c r="AQU349" s="131"/>
      <c r="AQV349" s="131"/>
      <c r="AQW349" s="131"/>
      <c r="AQX349" s="131"/>
      <c r="AQY349" s="131"/>
      <c r="AQZ349" s="131"/>
      <c r="ARA349" s="131"/>
      <c r="ARB349" s="131"/>
      <c r="ARC349" s="131"/>
      <c r="ARD349" s="131"/>
      <c r="ARE349" s="131"/>
      <c r="ARF349" s="131"/>
      <c r="ARG349" s="131"/>
      <c r="ARH349" s="131"/>
      <c r="ARI349" s="131"/>
      <c r="ARJ349" s="131"/>
      <c r="ARK349" s="131"/>
      <c r="ARL349" s="131"/>
      <c r="ARM349" s="131"/>
      <c r="ARN349" s="131"/>
      <c r="ARO349" s="131"/>
      <c r="ARP349" s="131"/>
      <c r="ARQ349" s="131"/>
      <c r="ARR349" s="131"/>
      <c r="ARS349" s="131"/>
      <c r="ART349" s="131"/>
      <c r="ARU349" s="131"/>
      <c r="ARV349" s="131"/>
      <c r="ARW349" s="131"/>
      <c r="ARX349" s="131"/>
      <c r="ARY349" s="131"/>
      <c r="ARZ349" s="131"/>
      <c r="ASA349" s="131"/>
      <c r="ASB349" s="131"/>
      <c r="ASC349" s="131"/>
      <c r="ASD349" s="131"/>
      <c r="ASE349" s="131"/>
      <c r="ASF349" s="131"/>
      <c r="ASG349" s="131"/>
      <c r="ASH349" s="131"/>
      <c r="ASI349" s="131"/>
      <c r="ASJ349" s="131"/>
      <c r="ASK349" s="131"/>
      <c r="ASL349" s="131"/>
      <c r="ASM349" s="131"/>
      <c r="ASN349" s="131"/>
      <c r="ASO349" s="131"/>
      <c r="ASP349" s="131"/>
      <c r="ASQ349" s="131"/>
      <c r="ASR349" s="131"/>
      <c r="ASS349" s="131"/>
      <c r="AST349" s="131"/>
      <c r="ASU349" s="131"/>
      <c r="ASV349" s="131"/>
      <c r="ASW349" s="131"/>
      <c r="ASX349" s="131"/>
      <c r="ASY349" s="131"/>
      <c r="ASZ349" s="131"/>
      <c r="ATA349" s="131"/>
      <c r="ATB349" s="131"/>
      <c r="ATC349" s="131"/>
    </row>
    <row r="350" spans="1:1199" ht="50.1" customHeight="1" outlineLevel="2" x14ac:dyDescent="0.3">
      <c r="A350" s="103" t="s">
        <v>347</v>
      </c>
      <c r="B350" s="96" t="s">
        <v>348</v>
      </c>
      <c r="C350" s="79" t="s">
        <v>37</v>
      </c>
      <c r="D350" s="81">
        <f t="shared" ref="D350" si="82">E350+F350</f>
        <v>6496.5655699999998</v>
      </c>
      <c r="E350" s="82">
        <f t="shared" si="78"/>
        <v>3534.0935999999997</v>
      </c>
      <c r="F350" s="83">
        <f t="shared" si="67"/>
        <v>2962.4719700000001</v>
      </c>
      <c r="G350" s="84"/>
      <c r="H350" s="85"/>
      <c r="I350" s="85"/>
      <c r="J350" s="84"/>
      <c r="K350" s="85"/>
      <c r="L350" s="85"/>
      <c r="M350" s="85"/>
      <c r="N350" s="85"/>
      <c r="O350" s="82"/>
      <c r="P350" s="83"/>
      <c r="Q350" s="83"/>
      <c r="R350" s="83"/>
      <c r="S350" s="82"/>
      <c r="T350" s="83"/>
      <c r="U350" s="83"/>
      <c r="V350" s="84">
        <v>64.704899999999995</v>
      </c>
      <c r="W350" s="85">
        <v>112.95</v>
      </c>
      <c r="X350" s="87"/>
      <c r="Y350" s="83">
        <v>305.44799999999998</v>
      </c>
      <c r="Z350" s="84"/>
      <c r="AA350" s="85"/>
      <c r="AB350" s="84"/>
      <c r="AC350" s="85"/>
      <c r="AD350" s="89">
        <f t="shared" si="68"/>
        <v>238.33326000000002</v>
      </c>
      <c r="AE350" s="89">
        <f>26.2845+58.0257</f>
        <v>84.310200000000009</v>
      </c>
      <c r="AF350" s="186">
        <f>6.53767+119.65994+27.82545</f>
        <v>154.02306000000002</v>
      </c>
      <c r="AG350" s="85"/>
      <c r="AH350" s="85"/>
      <c r="AI350" s="85"/>
      <c r="AJ350" s="84"/>
      <c r="AK350" s="85"/>
      <c r="AL350" s="84"/>
      <c r="AM350" s="88"/>
      <c r="AN350" s="84"/>
      <c r="AO350" s="85">
        <v>1530.88</v>
      </c>
      <c r="AP350" s="84"/>
      <c r="AQ350" s="83"/>
      <c r="AR350" s="83"/>
      <c r="AS350" s="83"/>
      <c r="AT350" s="85"/>
      <c r="AU350" s="85"/>
      <c r="AV350" s="85"/>
      <c r="AW350" s="88"/>
      <c r="AX350" s="84"/>
      <c r="AY350" s="85"/>
      <c r="AZ350" s="84">
        <v>762.50726999999995</v>
      </c>
      <c r="BA350" s="85">
        <v>690.51284999999996</v>
      </c>
      <c r="BB350" s="88"/>
      <c r="BC350" s="85"/>
      <c r="BD350" s="84"/>
      <c r="BE350" s="88"/>
      <c r="BF350" s="85"/>
      <c r="BG350" s="85"/>
      <c r="BH350" s="85"/>
      <c r="BI350" s="85"/>
      <c r="BJ350" s="85"/>
      <c r="BK350" s="85"/>
      <c r="BL350" s="85"/>
      <c r="BM350" s="85"/>
      <c r="BN350" s="85"/>
      <c r="BO350" s="85"/>
      <c r="BP350" s="85"/>
      <c r="BQ350" s="85"/>
      <c r="BR350" s="84">
        <v>2706.8814299999999</v>
      </c>
      <c r="BS350" s="85"/>
      <c r="BT350" s="85">
        <v>84.347859999999997</v>
      </c>
      <c r="BU350" s="198"/>
      <c r="BV350" s="90"/>
      <c r="BW350" s="198"/>
      <c r="BX350" s="90"/>
      <c r="BY350" s="198"/>
      <c r="BZ350" s="90"/>
      <c r="CA350" s="91"/>
    </row>
    <row r="351" spans="1:1199" ht="50.1" customHeight="1" outlineLevel="2" x14ac:dyDescent="0.3">
      <c r="A351" s="103" t="s">
        <v>347</v>
      </c>
      <c r="B351" s="96" t="s">
        <v>349</v>
      </c>
      <c r="C351" s="79" t="s">
        <v>37</v>
      </c>
      <c r="D351" s="81">
        <f t="shared" ref="D351:D381" si="83">E351+F351</f>
        <v>708.23801000000003</v>
      </c>
      <c r="E351" s="82">
        <f t="shared" si="78"/>
        <v>228.27877999999998</v>
      </c>
      <c r="F351" s="83">
        <f t="shared" si="67"/>
        <v>479.95922999999999</v>
      </c>
      <c r="G351" s="84"/>
      <c r="H351" s="85"/>
      <c r="I351" s="85"/>
      <c r="J351" s="84"/>
      <c r="K351" s="85"/>
      <c r="L351" s="85"/>
      <c r="M351" s="85"/>
      <c r="N351" s="85"/>
      <c r="O351" s="82"/>
      <c r="P351" s="83"/>
      <c r="Q351" s="83"/>
      <c r="R351" s="83"/>
      <c r="S351" s="82"/>
      <c r="T351" s="83"/>
      <c r="U351" s="83"/>
      <c r="V351" s="84"/>
      <c r="W351" s="85"/>
      <c r="X351" s="87"/>
      <c r="Y351" s="83">
        <v>46.8</v>
      </c>
      <c r="Z351" s="84"/>
      <c r="AA351" s="85"/>
      <c r="AB351" s="84"/>
      <c r="AC351" s="85"/>
      <c r="AD351" s="89">
        <f t="shared" si="68"/>
        <v>0</v>
      </c>
      <c r="AE351" s="89"/>
      <c r="AF351" s="186"/>
      <c r="AG351" s="85"/>
      <c r="AH351" s="85"/>
      <c r="AI351" s="85"/>
      <c r="AJ351" s="84"/>
      <c r="AK351" s="85"/>
      <c r="AL351" s="84"/>
      <c r="AM351" s="88"/>
      <c r="AN351" s="84"/>
      <c r="AO351" s="85">
        <v>357.76</v>
      </c>
      <c r="AP351" s="84"/>
      <c r="AQ351" s="83"/>
      <c r="AR351" s="83"/>
      <c r="AS351" s="83"/>
      <c r="AT351" s="85"/>
      <c r="AU351" s="85"/>
      <c r="AV351" s="85"/>
      <c r="AW351" s="88"/>
      <c r="AX351" s="84"/>
      <c r="AY351" s="85"/>
      <c r="AZ351" s="84">
        <v>83.260459999999995</v>
      </c>
      <c r="BA351" s="85">
        <v>75.399230000000003</v>
      </c>
      <c r="BB351" s="88"/>
      <c r="BC351" s="85"/>
      <c r="BD351" s="84"/>
      <c r="BE351" s="88"/>
      <c r="BF351" s="85"/>
      <c r="BG351" s="85"/>
      <c r="BH351" s="85"/>
      <c r="BI351" s="85"/>
      <c r="BJ351" s="85"/>
      <c r="BK351" s="85"/>
      <c r="BL351" s="85"/>
      <c r="BM351" s="85"/>
      <c r="BN351" s="85"/>
      <c r="BO351" s="85"/>
      <c r="BP351" s="85"/>
      <c r="BQ351" s="85"/>
      <c r="BR351" s="84">
        <v>145.01831999999999</v>
      </c>
      <c r="BS351" s="85"/>
      <c r="BT351" s="85"/>
      <c r="BU351" s="198"/>
      <c r="BV351" s="90"/>
      <c r="BW351" s="198"/>
      <c r="BX351" s="90"/>
      <c r="BY351" s="198"/>
      <c r="BZ351" s="90"/>
      <c r="CA351" s="91"/>
    </row>
    <row r="352" spans="1:1199" ht="50.1" customHeight="1" outlineLevel="2" x14ac:dyDescent="0.3">
      <c r="A352" s="103" t="s">
        <v>347</v>
      </c>
      <c r="B352" s="96" t="s">
        <v>350</v>
      </c>
      <c r="C352" s="79" t="s">
        <v>37</v>
      </c>
      <c r="D352" s="81">
        <f t="shared" si="83"/>
        <v>4779.9086499999994</v>
      </c>
      <c r="E352" s="82">
        <f t="shared" si="78"/>
        <v>2224.4486999999999</v>
      </c>
      <c r="F352" s="83">
        <f t="shared" si="67"/>
        <v>2555.4599499999999</v>
      </c>
      <c r="G352" s="84"/>
      <c r="H352" s="85"/>
      <c r="I352" s="85"/>
      <c r="J352" s="84">
        <v>127.56818</v>
      </c>
      <c r="K352" s="85">
        <v>46.388420000000004</v>
      </c>
      <c r="L352" s="85">
        <v>200.64607000000001</v>
      </c>
      <c r="M352" s="85"/>
      <c r="N352" s="85"/>
      <c r="O352" s="82"/>
      <c r="P352" s="83"/>
      <c r="Q352" s="83"/>
      <c r="R352" s="83"/>
      <c r="S352" s="82"/>
      <c r="T352" s="83"/>
      <c r="U352" s="83"/>
      <c r="V352" s="84"/>
      <c r="W352" s="85">
        <v>29.681699999999999</v>
      </c>
      <c r="X352" s="87"/>
      <c r="Y352" s="83">
        <v>78</v>
      </c>
      <c r="Z352" s="84"/>
      <c r="AA352" s="85"/>
      <c r="AB352" s="84"/>
      <c r="AC352" s="85"/>
      <c r="AD352" s="89">
        <f t="shared" si="68"/>
        <v>161.44451000000001</v>
      </c>
      <c r="AE352" s="89">
        <v>19.341899999999999</v>
      </c>
      <c r="AF352" s="186">
        <f>101.24312+40.85949</f>
        <v>142.10261</v>
      </c>
      <c r="AG352" s="85"/>
      <c r="AH352" s="85"/>
      <c r="AI352" s="85"/>
      <c r="AJ352" s="84"/>
      <c r="AK352" s="85"/>
      <c r="AL352" s="84"/>
      <c r="AM352" s="88"/>
      <c r="AN352" s="84"/>
      <c r="AO352" s="85"/>
      <c r="AP352" s="84">
        <v>168.2473</v>
      </c>
      <c r="AQ352" s="83">
        <v>216.76521</v>
      </c>
      <c r="AR352" s="83"/>
      <c r="AS352" s="83"/>
      <c r="AT352" s="85"/>
      <c r="AU352" s="85"/>
      <c r="AV352" s="85">
        <f>1489.44187+54.84325</f>
        <v>1544.28512</v>
      </c>
      <c r="AW352" s="88"/>
      <c r="AX352" s="84"/>
      <c r="AY352" s="85"/>
      <c r="AZ352" s="84">
        <v>307.25992000000002</v>
      </c>
      <c r="BA352" s="85">
        <v>278.24892</v>
      </c>
      <c r="BB352" s="88"/>
      <c r="BC352" s="85"/>
      <c r="BD352" s="84"/>
      <c r="BE352" s="88"/>
      <c r="BF352" s="85"/>
      <c r="BG352" s="85"/>
      <c r="BH352" s="85"/>
      <c r="BI352" s="85"/>
      <c r="BJ352" s="85"/>
      <c r="BK352" s="85"/>
      <c r="BL352" s="85"/>
      <c r="BM352" s="85"/>
      <c r="BN352" s="85"/>
      <c r="BO352" s="85"/>
      <c r="BP352" s="85"/>
      <c r="BQ352" s="85"/>
      <c r="BR352" s="84">
        <v>1621.3733</v>
      </c>
      <c r="BS352" s="85"/>
      <c r="BT352" s="85"/>
      <c r="BU352" s="198"/>
      <c r="BV352" s="90"/>
      <c r="BW352" s="198"/>
      <c r="BX352" s="90"/>
      <c r="BY352" s="198"/>
      <c r="BZ352" s="90"/>
      <c r="CA352" s="91"/>
    </row>
    <row r="353" spans="1:283" ht="50.1" customHeight="1" outlineLevel="2" x14ac:dyDescent="0.3">
      <c r="A353" s="103" t="s">
        <v>347</v>
      </c>
      <c r="B353" s="96" t="s">
        <v>351</v>
      </c>
      <c r="C353" s="79" t="s">
        <v>37</v>
      </c>
      <c r="D353" s="81">
        <f t="shared" si="83"/>
        <v>2579.0046900000002</v>
      </c>
      <c r="E353" s="82">
        <f t="shared" si="78"/>
        <v>861.53264999999999</v>
      </c>
      <c r="F353" s="83">
        <f t="shared" si="67"/>
        <v>1717.4720400000001</v>
      </c>
      <c r="G353" s="84"/>
      <c r="H353" s="85"/>
      <c r="I353" s="85"/>
      <c r="J353" s="84"/>
      <c r="K353" s="85"/>
      <c r="L353" s="85">
        <v>3.7303500000000001</v>
      </c>
      <c r="M353" s="85"/>
      <c r="N353" s="85"/>
      <c r="O353" s="82"/>
      <c r="P353" s="83"/>
      <c r="Q353" s="83"/>
      <c r="R353" s="83"/>
      <c r="S353" s="82"/>
      <c r="T353" s="83"/>
      <c r="U353" s="83"/>
      <c r="V353" s="84">
        <v>126.367</v>
      </c>
      <c r="W353" s="85">
        <v>220.5</v>
      </c>
      <c r="X353" s="87"/>
      <c r="Y353" s="83">
        <v>249.6</v>
      </c>
      <c r="Z353" s="84"/>
      <c r="AA353" s="85"/>
      <c r="AB353" s="84"/>
      <c r="AC353" s="85"/>
      <c r="AD353" s="89">
        <f t="shared" si="68"/>
        <v>450.96524999999997</v>
      </c>
      <c r="AE353" s="89">
        <f>78.8535+70.9203+25.7892</f>
        <v>175.56299999999999</v>
      </c>
      <c r="AF353" s="186">
        <f>42.49483+121.60562+111.3018</f>
        <v>275.40224999999998</v>
      </c>
      <c r="AG353" s="85"/>
      <c r="AH353" s="85"/>
      <c r="AI353" s="85"/>
      <c r="AJ353" s="84"/>
      <c r="AK353" s="85"/>
      <c r="AL353" s="84"/>
      <c r="AM353" s="88"/>
      <c r="AN353" s="84"/>
      <c r="AO353" s="85"/>
      <c r="AP353" s="84"/>
      <c r="AQ353" s="83"/>
      <c r="AR353" s="83"/>
      <c r="AS353" s="83"/>
      <c r="AT353" s="85"/>
      <c r="AU353" s="85"/>
      <c r="AV353" s="85"/>
      <c r="AW353" s="88"/>
      <c r="AX353" s="84"/>
      <c r="AY353" s="85"/>
      <c r="AZ353" s="84">
        <v>735.16565000000003</v>
      </c>
      <c r="BA353" s="85">
        <v>665.75336000000004</v>
      </c>
      <c r="BB353" s="88">
        <v>126.92308</v>
      </c>
      <c r="BC353" s="85"/>
      <c r="BD353" s="84"/>
      <c r="BE353" s="88"/>
      <c r="BF353" s="85"/>
      <c r="BG353" s="85"/>
      <c r="BH353" s="85"/>
      <c r="BI353" s="85"/>
      <c r="BJ353" s="85"/>
      <c r="BK353" s="85"/>
      <c r="BL353" s="85"/>
      <c r="BM353" s="85"/>
      <c r="BN353" s="85"/>
      <c r="BO353" s="85"/>
      <c r="BP353" s="85"/>
      <c r="BQ353" s="85"/>
      <c r="BR353" s="84"/>
      <c r="BS353" s="85"/>
      <c r="BT353" s="85"/>
      <c r="BU353" s="198"/>
      <c r="BV353" s="90"/>
      <c r="BW353" s="198"/>
      <c r="BX353" s="90"/>
      <c r="BY353" s="198"/>
      <c r="BZ353" s="90"/>
      <c r="CA353" s="91"/>
    </row>
    <row r="354" spans="1:283" ht="50.1" customHeight="1" outlineLevel="2" x14ac:dyDescent="0.3">
      <c r="A354" s="96" t="s">
        <v>347</v>
      </c>
      <c r="B354" s="96" t="s">
        <v>352</v>
      </c>
      <c r="C354" s="79" t="s">
        <v>55</v>
      </c>
      <c r="D354" s="81">
        <f t="shared" si="83"/>
        <v>250.42667</v>
      </c>
      <c r="E354" s="82">
        <f t="shared" si="78"/>
        <v>140.18666999999999</v>
      </c>
      <c r="F354" s="83">
        <f t="shared" si="67"/>
        <v>110.24</v>
      </c>
      <c r="G354" s="84"/>
      <c r="H354" s="85"/>
      <c r="I354" s="85"/>
      <c r="J354" s="84"/>
      <c r="K354" s="85"/>
      <c r="L354" s="85"/>
      <c r="M354" s="85"/>
      <c r="N354" s="85"/>
      <c r="O354" s="82"/>
      <c r="P354" s="83"/>
      <c r="Q354" s="83"/>
      <c r="R354" s="83"/>
      <c r="S354" s="82"/>
      <c r="T354" s="83"/>
      <c r="U354" s="83"/>
      <c r="V354" s="84"/>
      <c r="W354" s="85"/>
      <c r="X354" s="82"/>
      <c r="Y354" s="83">
        <v>18.72</v>
      </c>
      <c r="Z354" s="84"/>
      <c r="AA354" s="85"/>
      <c r="AB354" s="84"/>
      <c r="AC354" s="85"/>
      <c r="AD354" s="89">
        <f t="shared" si="68"/>
        <v>0</v>
      </c>
      <c r="AE354" s="89"/>
      <c r="AF354" s="186"/>
      <c r="AG354" s="85"/>
      <c r="AH354" s="85"/>
      <c r="AI354" s="85"/>
      <c r="AJ354" s="84"/>
      <c r="AK354" s="85"/>
      <c r="AL354" s="84"/>
      <c r="AM354" s="88"/>
      <c r="AN354" s="84"/>
      <c r="AO354" s="85">
        <v>91.52</v>
      </c>
      <c r="AP354" s="84"/>
      <c r="AQ354" s="83"/>
      <c r="AR354" s="83"/>
      <c r="AS354" s="83"/>
      <c r="AT354" s="85"/>
      <c r="AU354" s="85"/>
      <c r="AV354" s="85"/>
      <c r="AW354" s="88"/>
      <c r="AX354" s="84"/>
      <c r="AY354" s="85"/>
      <c r="AZ354" s="84"/>
      <c r="BA354" s="85"/>
      <c r="BB354" s="88"/>
      <c r="BC354" s="85"/>
      <c r="BD354" s="84"/>
      <c r="BE354" s="88"/>
      <c r="BF354" s="85"/>
      <c r="BG354" s="85"/>
      <c r="BH354" s="85"/>
      <c r="BI354" s="85"/>
      <c r="BJ354" s="85"/>
      <c r="BK354" s="85"/>
      <c r="BL354" s="85"/>
      <c r="BM354" s="85"/>
      <c r="BN354" s="85"/>
      <c r="BO354" s="85"/>
      <c r="BP354" s="85"/>
      <c r="BQ354" s="85"/>
      <c r="BR354" s="84">
        <v>140.18666999999999</v>
      </c>
      <c r="BS354" s="85"/>
      <c r="BT354" s="85"/>
      <c r="BU354" s="198"/>
      <c r="BV354" s="90"/>
      <c r="BW354" s="198"/>
      <c r="BX354" s="90"/>
      <c r="BY354" s="198"/>
      <c r="BZ354" s="90"/>
      <c r="CA354" s="91"/>
    </row>
    <row r="355" spans="1:283" ht="50.1" customHeight="1" outlineLevel="2" x14ac:dyDescent="0.3">
      <c r="A355" s="103" t="s">
        <v>347</v>
      </c>
      <c r="B355" s="96" t="s">
        <v>353</v>
      </c>
      <c r="C355" s="79" t="s">
        <v>37</v>
      </c>
      <c r="D355" s="81">
        <f t="shared" si="83"/>
        <v>18257.26959</v>
      </c>
      <c r="E355" s="82">
        <f t="shared" si="78"/>
        <v>4585.9304900000006</v>
      </c>
      <c r="F355" s="83">
        <f t="shared" si="67"/>
        <v>13671.339099999999</v>
      </c>
      <c r="G355" s="84"/>
      <c r="H355" s="85"/>
      <c r="I355" s="85"/>
      <c r="J355" s="84">
        <f>379.19781+30.74672</f>
        <v>409.94452999999999</v>
      </c>
      <c r="K355" s="85">
        <f>137.8901+4.73823</f>
        <v>142.62832999999998</v>
      </c>
      <c r="L355" s="85"/>
      <c r="M355" s="85"/>
      <c r="N355" s="85"/>
      <c r="O355" s="82"/>
      <c r="P355" s="83"/>
      <c r="Q355" s="83"/>
      <c r="R355" s="83"/>
      <c r="S355" s="82"/>
      <c r="T355" s="83"/>
      <c r="U355" s="83"/>
      <c r="V355" s="84">
        <v>115.97499999999999</v>
      </c>
      <c r="W355" s="85">
        <v>202.5</v>
      </c>
      <c r="X355" s="87"/>
      <c r="Y355" s="83">
        <v>455.83199999999999</v>
      </c>
      <c r="Z355" s="84"/>
      <c r="AA355" s="85"/>
      <c r="AB355" s="84"/>
      <c r="AC355" s="85"/>
      <c r="AD355" s="89">
        <f t="shared" si="68"/>
        <v>267.77102000000002</v>
      </c>
      <c r="AE355" s="89">
        <f>77.3676+27.9383</f>
        <v>105.30589999999999</v>
      </c>
      <c r="AF355" s="186">
        <v>162.46512000000001</v>
      </c>
      <c r="AG355" s="85"/>
      <c r="AH355" s="85"/>
      <c r="AI355" s="85"/>
      <c r="AJ355" s="84">
        <v>2962.4</v>
      </c>
      <c r="AK355" s="85">
        <f>1706.6</f>
        <v>1706.6</v>
      </c>
      <c r="AL355" s="84"/>
      <c r="AM355" s="88"/>
      <c r="AN355" s="84"/>
      <c r="AO355" s="85">
        <v>5574.4</v>
      </c>
      <c r="AP355" s="84"/>
      <c r="AQ355" s="83"/>
      <c r="AR355" s="83"/>
      <c r="AS355" s="83"/>
      <c r="AT355" s="85"/>
      <c r="AU355" s="85"/>
      <c r="AV355" s="85">
        <f>2972.64323+1260.9204</f>
        <v>4233.5636300000006</v>
      </c>
      <c r="AW355" s="88"/>
      <c r="AX355" s="84"/>
      <c r="AY355" s="85"/>
      <c r="AZ355" s="84">
        <v>1097.61096</v>
      </c>
      <c r="BA355" s="85">
        <v>993.97632999999996</v>
      </c>
      <c r="BB355" s="117"/>
      <c r="BC355" s="85"/>
      <c r="BD355" s="84"/>
      <c r="BE355" s="88"/>
      <c r="BF355" s="85"/>
      <c r="BG355" s="85"/>
      <c r="BH355" s="85"/>
      <c r="BI355" s="85"/>
      <c r="BJ355" s="85"/>
      <c r="BK355" s="85"/>
      <c r="BL355" s="85"/>
      <c r="BM355" s="85"/>
      <c r="BN355" s="85"/>
      <c r="BO355" s="85"/>
      <c r="BP355" s="85"/>
      <c r="BQ355" s="85"/>
      <c r="BR355" s="84"/>
      <c r="BS355" s="85"/>
      <c r="BT355" s="85">
        <v>94.067790000000002</v>
      </c>
      <c r="BU355" s="198"/>
      <c r="BV355" s="90"/>
      <c r="BW355" s="198"/>
      <c r="BX355" s="90"/>
      <c r="BY355" s="198"/>
      <c r="BZ355" s="90"/>
      <c r="CA355" s="91"/>
    </row>
    <row r="356" spans="1:283" ht="50.1" customHeight="1" outlineLevel="2" x14ac:dyDescent="0.3">
      <c r="A356" s="103" t="s">
        <v>347</v>
      </c>
      <c r="B356" s="96" t="s">
        <v>354</v>
      </c>
      <c r="C356" s="79" t="s">
        <v>37</v>
      </c>
      <c r="D356" s="81">
        <f t="shared" si="83"/>
        <v>2074.1376700000001</v>
      </c>
      <c r="E356" s="82">
        <f t="shared" si="78"/>
        <v>1229.63525</v>
      </c>
      <c r="F356" s="83">
        <f t="shared" si="67"/>
        <v>844.50241999999992</v>
      </c>
      <c r="G356" s="84"/>
      <c r="H356" s="85"/>
      <c r="I356" s="85"/>
      <c r="J356" s="84">
        <v>161.12106</v>
      </c>
      <c r="K356" s="85">
        <v>58.589469999999999</v>
      </c>
      <c r="L356" s="85"/>
      <c r="M356" s="85"/>
      <c r="N356" s="85"/>
      <c r="O356" s="82"/>
      <c r="P356" s="83"/>
      <c r="Q356" s="83"/>
      <c r="R356" s="83"/>
      <c r="S356" s="82"/>
      <c r="T356" s="83"/>
      <c r="U356" s="83"/>
      <c r="V356" s="84"/>
      <c r="W356" s="85"/>
      <c r="X356" s="82"/>
      <c r="Y356" s="83">
        <v>31.2</v>
      </c>
      <c r="Z356" s="84"/>
      <c r="AA356" s="85"/>
      <c r="AB356" s="84"/>
      <c r="AC356" s="85"/>
      <c r="AD356" s="89">
        <f t="shared" si="68"/>
        <v>78.62145000000001</v>
      </c>
      <c r="AE356" s="89">
        <v>49.436100000000003</v>
      </c>
      <c r="AF356" s="186">
        <v>29.18535</v>
      </c>
      <c r="AG356" s="85"/>
      <c r="AH356" s="85"/>
      <c r="AI356" s="85"/>
      <c r="AJ356" s="84"/>
      <c r="AK356" s="85"/>
      <c r="AL356" s="84"/>
      <c r="AM356" s="88"/>
      <c r="AN356" s="84"/>
      <c r="AO356" s="85">
        <v>424.32</v>
      </c>
      <c r="AP356" s="84"/>
      <c r="AQ356" s="83"/>
      <c r="AR356" s="83"/>
      <c r="AS356" s="83"/>
      <c r="AT356" s="85"/>
      <c r="AU356" s="85"/>
      <c r="AV356" s="85">
        <f>27.1803</f>
        <v>27.180299999999999</v>
      </c>
      <c r="AW356" s="88"/>
      <c r="AX356" s="84"/>
      <c r="AY356" s="85"/>
      <c r="AZ356" s="84">
        <v>189.06108</v>
      </c>
      <c r="BA356" s="91">
        <v>171.21012999999999</v>
      </c>
      <c r="BB356" s="88"/>
      <c r="BC356" s="85"/>
      <c r="BD356" s="84"/>
      <c r="BE356" s="88"/>
      <c r="BF356" s="85"/>
      <c r="BG356" s="85">
        <v>53.381070000000001</v>
      </c>
      <c r="BH356" s="85"/>
      <c r="BI356" s="85"/>
      <c r="BJ356" s="85"/>
      <c r="BK356" s="85"/>
      <c r="BL356" s="85"/>
      <c r="BM356" s="85"/>
      <c r="BN356" s="85"/>
      <c r="BO356" s="85"/>
      <c r="BP356" s="85"/>
      <c r="BQ356" s="85"/>
      <c r="BR356" s="84">
        <v>879.45311000000004</v>
      </c>
      <c r="BS356" s="85"/>
      <c r="BT356" s="85"/>
      <c r="BU356" s="198"/>
      <c r="BV356" s="90"/>
      <c r="BW356" s="198"/>
      <c r="BX356" s="90"/>
      <c r="BY356" s="198"/>
      <c r="BZ356" s="90"/>
      <c r="CA356" s="91"/>
    </row>
    <row r="357" spans="1:283" ht="50.1" customHeight="1" outlineLevel="2" x14ac:dyDescent="0.3">
      <c r="A357" s="103" t="s">
        <v>347</v>
      </c>
      <c r="B357" s="96" t="s">
        <v>355</v>
      </c>
      <c r="C357" s="79" t="s">
        <v>37</v>
      </c>
      <c r="D357" s="81">
        <f t="shared" si="83"/>
        <v>11003.20102</v>
      </c>
      <c r="E357" s="82">
        <f t="shared" si="78"/>
        <v>7234.0385999999999</v>
      </c>
      <c r="F357" s="83">
        <f t="shared" si="67"/>
        <v>3769.1624199999997</v>
      </c>
      <c r="G357" s="84"/>
      <c r="H357" s="85"/>
      <c r="I357" s="85"/>
      <c r="J357" s="84">
        <f>52.59315+313.66154+22.70646+298.31133</f>
        <v>687.27247999999997</v>
      </c>
      <c r="K357" s="85">
        <f>76.3702+0.79561+71.27867</f>
        <v>148.44448</v>
      </c>
      <c r="L357" s="85">
        <v>106.97056000000001</v>
      </c>
      <c r="M357" s="85"/>
      <c r="N357" s="85"/>
      <c r="O357" s="82"/>
      <c r="P357" s="83"/>
      <c r="Q357" s="83">
        <v>51.979320000000001</v>
      </c>
      <c r="R357" s="83"/>
      <c r="S357" s="82">
        <v>380.61624999999998</v>
      </c>
      <c r="T357" s="83">
        <v>396.9024</v>
      </c>
      <c r="U357" s="83"/>
      <c r="V357" s="84"/>
      <c r="W357" s="85"/>
      <c r="X357" s="87"/>
      <c r="Y357" s="83">
        <v>530.4</v>
      </c>
      <c r="Z357" s="84"/>
      <c r="AA357" s="85"/>
      <c r="AB357" s="84"/>
      <c r="AC357" s="85"/>
      <c r="AD357" s="89">
        <f t="shared" si="68"/>
        <v>0</v>
      </c>
      <c r="AE357" s="89"/>
      <c r="AF357" s="186"/>
      <c r="AG357" s="85"/>
      <c r="AH357" s="85"/>
      <c r="AI357" s="85"/>
      <c r="AJ357" s="84"/>
      <c r="AK357" s="85"/>
      <c r="AL357" s="84"/>
      <c r="AM357" s="88"/>
      <c r="AN357" s="84"/>
      <c r="AO357" s="85">
        <v>1089.92</v>
      </c>
      <c r="AP357" s="84"/>
      <c r="AQ357" s="83"/>
      <c r="AR357" s="83"/>
      <c r="AS357" s="83"/>
      <c r="AT357" s="85"/>
      <c r="AU357" s="85"/>
      <c r="AV357" s="85"/>
      <c r="AW357" s="88"/>
      <c r="AX357" s="84"/>
      <c r="AY357" s="85"/>
      <c r="AZ357" s="84">
        <v>1148.1949500000001</v>
      </c>
      <c r="BA357" s="85">
        <v>1039.7852499999999</v>
      </c>
      <c r="BB357" s="88">
        <v>187.69825</v>
      </c>
      <c r="BC357" s="85"/>
      <c r="BD357" s="84"/>
      <c r="BE357" s="88"/>
      <c r="BF357" s="85"/>
      <c r="BG357" s="85">
        <v>217.06216000000001</v>
      </c>
      <c r="BH357" s="85"/>
      <c r="BI357" s="85"/>
      <c r="BJ357" s="85"/>
      <c r="BK357" s="85"/>
      <c r="BL357" s="85"/>
      <c r="BM357" s="85"/>
      <c r="BN357" s="85"/>
      <c r="BO357" s="85"/>
      <c r="BP357" s="85"/>
      <c r="BQ357" s="85"/>
      <c r="BR357" s="84">
        <v>5017.9549200000001</v>
      </c>
      <c r="BS357" s="85"/>
      <c r="BT357" s="85"/>
      <c r="BU357" s="198"/>
      <c r="BV357" s="90"/>
      <c r="BW357" s="198"/>
      <c r="BX357" s="90"/>
      <c r="BY357" s="198"/>
      <c r="BZ357" s="90"/>
      <c r="CA357" s="91"/>
    </row>
    <row r="358" spans="1:283" ht="50.1" customHeight="1" outlineLevel="2" x14ac:dyDescent="0.3">
      <c r="A358" s="109" t="s">
        <v>356</v>
      </c>
      <c r="B358" s="96" t="s">
        <v>357</v>
      </c>
      <c r="C358" s="79" t="s">
        <v>37</v>
      </c>
      <c r="D358" s="81">
        <f t="shared" si="83"/>
        <v>1958.9189299999998</v>
      </c>
      <c r="E358" s="82">
        <f t="shared" si="78"/>
        <v>1271.8268499999999</v>
      </c>
      <c r="F358" s="83">
        <f t="shared" si="67"/>
        <v>687.09208000000001</v>
      </c>
      <c r="G358" s="84"/>
      <c r="H358" s="85"/>
      <c r="I358" s="85"/>
      <c r="J358" s="84"/>
      <c r="K358" s="85"/>
      <c r="L358" s="85"/>
      <c r="M358" s="85"/>
      <c r="N358" s="85"/>
      <c r="O358" s="82"/>
      <c r="P358" s="83"/>
      <c r="Q358" s="83"/>
      <c r="R358" s="83"/>
      <c r="S358" s="82"/>
      <c r="T358" s="83"/>
      <c r="U358" s="83"/>
      <c r="V358" s="84"/>
      <c r="W358" s="85"/>
      <c r="X358" s="87"/>
      <c r="Y358" s="83">
        <v>87.36</v>
      </c>
      <c r="Z358" s="84"/>
      <c r="AA358" s="85"/>
      <c r="AB358" s="84"/>
      <c r="AC358" s="85"/>
      <c r="AD358" s="89">
        <f t="shared" si="68"/>
        <v>0</v>
      </c>
      <c r="AE358" s="89"/>
      <c r="AF358" s="186"/>
      <c r="AG358" s="85"/>
      <c r="AH358" s="85"/>
      <c r="AI358" s="85"/>
      <c r="AJ358" s="84"/>
      <c r="AK358" s="85"/>
      <c r="AL358" s="84"/>
      <c r="AM358" s="88"/>
      <c r="AN358" s="84"/>
      <c r="AO358" s="85"/>
      <c r="AP358" s="84"/>
      <c r="AQ358" s="83"/>
      <c r="AR358" s="83"/>
      <c r="AS358" s="83"/>
      <c r="AT358" s="85"/>
      <c r="AU358" s="85"/>
      <c r="AV358" s="85">
        <v>383.24335000000002</v>
      </c>
      <c r="AW358" s="88"/>
      <c r="AX358" s="84"/>
      <c r="AY358" s="85"/>
      <c r="AZ358" s="84">
        <v>239.05998</v>
      </c>
      <c r="BA358" s="85">
        <v>216.48873</v>
      </c>
      <c r="BB358" s="88"/>
      <c r="BC358" s="85"/>
      <c r="BD358" s="84"/>
      <c r="BE358" s="88"/>
      <c r="BF358" s="85"/>
      <c r="BG358" s="85"/>
      <c r="BH358" s="85"/>
      <c r="BI358" s="85"/>
      <c r="BJ358" s="85"/>
      <c r="BK358" s="85"/>
      <c r="BL358" s="85"/>
      <c r="BM358" s="85"/>
      <c r="BN358" s="85"/>
      <c r="BO358" s="85"/>
      <c r="BP358" s="85"/>
      <c r="BQ358" s="85"/>
      <c r="BR358" s="84">
        <v>1032.7668699999999</v>
      </c>
      <c r="BS358" s="85"/>
      <c r="BT358" s="85"/>
      <c r="BU358" s="198"/>
      <c r="BV358" s="90"/>
      <c r="BW358" s="198"/>
      <c r="BX358" s="90"/>
      <c r="BY358" s="198"/>
      <c r="BZ358" s="90"/>
      <c r="CA358" s="91"/>
    </row>
    <row r="359" spans="1:283" ht="50.1" customHeight="1" outlineLevel="2" x14ac:dyDescent="0.3">
      <c r="A359" s="103" t="s">
        <v>347</v>
      </c>
      <c r="B359" s="96" t="s">
        <v>358</v>
      </c>
      <c r="C359" s="79" t="s">
        <v>55</v>
      </c>
      <c r="D359" s="81">
        <f t="shared" si="83"/>
        <v>27.29439</v>
      </c>
      <c r="E359" s="82">
        <f t="shared" si="78"/>
        <v>14.32338</v>
      </c>
      <c r="F359" s="83">
        <f t="shared" si="67"/>
        <v>12.97101</v>
      </c>
      <c r="G359" s="84"/>
      <c r="H359" s="85"/>
      <c r="I359" s="85"/>
      <c r="J359" s="84"/>
      <c r="K359" s="85"/>
      <c r="L359" s="85"/>
      <c r="M359" s="85"/>
      <c r="N359" s="85"/>
      <c r="O359" s="82"/>
      <c r="P359" s="83"/>
      <c r="Q359" s="83"/>
      <c r="R359" s="83"/>
      <c r="S359" s="82"/>
      <c r="T359" s="83"/>
      <c r="U359" s="83"/>
      <c r="V359" s="84"/>
      <c r="W359" s="85"/>
      <c r="X359" s="87"/>
      <c r="Y359" s="83"/>
      <c r="Z359" s="84"/>
      <c r="AA359" s="85"/>
      <c r="AB359" s="84"/>
      <c r="AC359" s="85"/>
      <c r="AD359" s="89">
        <f t="shared" si="68"/>
        <v>0</v>
      </c>
      <c r="AE359" s="180"/>
      <c r="AF359" s="186"/>
      <c r="AG359" s="85"/>
      <c r="AH359" s="85"/>
      <c r="AI359" s="85"/>
      <c r="AJ359" s="84"/>
      <c r="AK359" s="85"/>
      <c r="AL359" s="84"/>
      <c r="AM359" s="88"/>
      <c r="AN359" s="84"/>
      <c r="AO359" s="85"/>
      <c r="AP359" s="84"/>
      <c r="AQ359" s="83"/>
      <c r="AR359" s="83"/>
      <c r="AS359" s="83"/>
      <c r="AT359" s="85"/>
      <c r="AU359" s="85"/>
      <c r="AV359" s="85"/>
      <c r="AW359" s="88"/>
      <c r="AX359" s="84"/>
      <c r="AY359" s="85"/>
      <c r="AZ359" s="84">
        <v>14.32338</v>
      </c>
      <c r="BA359" s="85">
        <v>12.97101</v>
      </c>
      <c r="BB359" s="88"/>
      <c r="BC359" s="85"/>
      <c r="BD359" s="84"/>
      <c r="BE359" s="88"/>
      <c r="BF359" s="85"/>
      <c r="BG359" s="85"/>
      <c r="BH359" s="85"/>
      <c r="BI359" s="85"/>
      <c r="BJ359" s="85"/>
      <c r="BK359" s="85"/>
      <c r="BL359" s="85"/>
      <c r="BM359" s="85"/>
      <c r="BN359" s="85"/>
      <c r="BO359" s="85"/>
      <c r="BP359" s="85"/>
      <c r="BQ359" s="85"/>
      <c r="BR359" s="84"/>
      <c r="BS359" s="85"/>
      <c r="BT359" s="85"/>
      <c r="BU359" s="198"/>
      <c r="BV359" s="90"/>
      <c r="BW359" s="198"/>
      <c r="BX359" s="90"/>
      <c r="BY359" s="198"/>
      <c r="BZ359" s="90"/>
      <c r="CA359" s="91"/>
    </row>
    <row r="360" spans="1:283" ht="50.1" customHeight="1" outlineLevel="2" x14ac:dyDescent="0.3">
      <c r="A360" s="103" t="s">
        <v>347</v>
      </c>
      <c r="B360" s="96" t="s">
        <v>359</v>
      </c>
      <c r="C360" s="79" t="s">
        <v>37</v>
      </c>
      <c r="D360" s="81">
        <f t="shared" si="83"/>
        <v>106.36588</v>
      </c>
      <c r="E360" s="82">
        <f t="shared" si="78"/>
        <v>0</v>
      </c>
      <c r="F360" s="83">
        <f t="shared" ref="F360:F413" si="84">H360+I360+K360+L360+M360+N360+P360+Q360+R360+T360+U360+W360+Y360+AA360+AC360+AD360+AG360+AH360+AI360+AK360+AM360+AO360+AQ360+AR360+AS360+AT360+AU360+AV360+AW360+AY360+BA360+BB360+BC360+BE360+BF360+BG360+BH360+BI360+BJ360+BK360+BL360+BO360+BP360+BQ360+BS360+BT360+BU360+BW360+BY360+CA360+BM360+BN360</f>
        <v>106.36588</v>
      </c>
      <c r="G360" s="84"/>
      <c r="H360" s="85"/>
      <c r="I360" s="85"/>
      <c r="J360" s="84"/>
      <c r="K360" s="85"/>
      <c r="L360" s="85"/>
      <c r="M360" s="85"/>
      <c r="N360" s="85"/>
      <c r="O360" s="82"/>
      <c r="P360" s="83"/>
      <c r="Q360" s="83"/>
      <c r="R360" s="83"/>
      <c r="S360" s="82"/>
      <c r="T360" s="83"/>
      <c r="U360" s="83"/>
      <c r="V360" s="84"/>
      <c r="W360" s="85"/>
      <c r="X360" s="87"/>
      <c r="Y360" s="83"/>
      <c r="Z360" s="84"/>
      <c r="AA360" s="85"/>
      <c r="AB360" s="84"/>
      <c r="AC360" s="85"/>
      <c r="AD360" s="89">
        <f t="shared" si="68"/>
        <v>106.36588</v>
      </c>
      <c r="AE360" s="89">
        <v>63.560699999999997</v>
      </c>
      <c r="AF360" s="186">
        <v>42.80518</v>
      </c>
      <c r="AG360" s="85"/>
      <c r="AH360" s="85"/>
      <c r="AI360" s="85"/>
      <c r="AJ360" s="84"/>
      <c r="AK360" s="85"/>
      <c r="AL360" s="84"/>
      <c r="AM360" s="88"/>
      <c r="AN360" s="84"/>
      <c r="AO360" s="85"/>
      <c r="AP360" s="84"/>
      <c r="AQ360" s="83"/>
      <c r="AR360" s="83"/>
      <c r="AS360" s="83"/>
      <c r="AT360" s="85"/>
      <c r="AU360" s="85"/>
      <c r="AV360" s="85"/>
      <c r="AW360" s="88"/>
      <c r="AX360" s="84"/>
      <c r="AY360" s="85"/>
      <c r="AZ360" s="84"/>
      <c r="BA360" s="85"/>
      <c r="BB360" s="88"/>
      <c r="BC360" s="85"/>
      <c r="BD360" s="84"/>
      <c r="BE360" s="88"/>
      <c r="BF360" s="85"/>
      <c r="BG360" s="85"/>
      <c r="BH360" s="85"/>
      <c r="BI360" s="85"/>
      <c r="BJ360" s="85"/>
      <c r="BK360" s="85"/>
      <c r="BL360" s="85"/>
      <c r="BM360" s="85"/>
      <c r="BN360" s="85"/>
      <c r="BO360" s="85"/>
      <c r="BP360" s="85"/>
      <c r="BQ360" s="85"/>
      <c r="BR360" s="84"/>
      <c r="BS360" s="85"/>
      <c r="BT360" s="85"/>
      <c r="BU360" s="198"/>
      <c r="BV360" s="90"/>
      <c r="BW360" s="198"/>
      <c r="BX360" s="90"/>
      <c r="BY360" s="198"/>
      <c r="BZ360" s="90"/>
      <c r="CA360" s="91"/>
    </row>
    <row r="361" spans="1:283" ht="50.1" customHeight="1" outlineLevel="2" x14ac:dyDescent="0.3">
      <c r="A361" s="103" t="s">
        <v>347</v>
      </c>
      <c r="B361" s="96" t="s">
        <v>360</v>
      </c>
      <c r="C361" s="79" t="s">
        <v>37</v>
      </c>
      <c r="D361" s="81">
        <f t="shared" si="83"/>
        <v>1815.7586400000002</v>
      </c>
      <c r="E361" s="82">
        <f t="shared" si="78"/>
        <v>301.72667000000001</v>
      </c>
      <c r="F361" s="83">
        <f t="shared" si="84"/>
        <v>1514.0319700000002</v>
      </c>
      <c r="G361" s="84"/>
      <c r="H361" s="85"/>
      <c r="I361" s="85"/>
      <c r="J361" s="84"/>
      <c r="K361" s="85"/>
      <c r="L361" s="85"/>
      <c r="M361" s="85"/>
      <c r="N361" s="85"/>
      <c r="O361" s="82"/>
      <c r="P361" s="83"/>
      <c r="Q361" s="83"/>
      <c r="R361" s="83"/>
      <c r="S361" s="82"/>
      <c r="T361" s="83"/>
      <c r="U361" s="83"/>
      <c r="V361" s="84"/>
      <c r="W361" s="85"/>
      <c r="X361" s="82"/>
      <c r="Y361" s="83"/>
      <c r="Z361" s="84"/>
      <c r="AA361" s="85"/>
      <c r="AB361" s="84"/>
      <c r="AC361" s="85"/>
      <c r="AD361" s="89">
        <f t="shared" si="68"/>
        <v>25.798739999999999</v>
      </c>
      <c r="AE361" s="89">
        <v>14.124599999999999</v>
      </c>
      <c r="AF361" s="186">
        <v>11.67414</v>
      </c>
      <c r="AG361" s="85"/>
      <c r="AH361" s="85"/>
      <c r="AI361" s="85"/>
      <c r="AJ361" s="84"/>
      <c r="AK361" s="85"/>
      <c r="AL361" s="84"/>
      <c r="AM361" s="88"/>
      <c r="AN361" s="84"/>
      <c r="AO361" s="85">
        <v>1322.88</v>
      </c>
      <c r="AP361" s="84"/>
      <c r="AQ361" s="83"/>
      <c r="AR361" s="83"/>
      <c r="AS361" s="83"/>
      <c r="AT361" s="85"/>
      <c r="AU361" s="85"/>
      <c r="AV361" s="85">
        <v>60.715200000000003</v>
      </c>
      <c r="AW361" s="88"/>
      <c r="AX361" s="84"/>
      <c r="AY361" s="85"/>
      <c r="AZ361" s="84">
        <v>115.5478</v>
      </c>
      <c r="BA361" s="85">
        <v>104.63803</v>
      </c>
      <c r="BB361" s="88"/>
      <c r="BC361" s="85"/>
      <c r="BD361" s="84"/>
      <c r="BE361" s="88"/>
      <c r="BF361" s="85"/>
      <c r="BG361" s="85"/>
      <c r="BH361" s="85"/>
      <c r="BI361" s="85"/>
      <c r="BJ361" s="85"/>
      <c r="BK361" s="85"/>
      <c r="BL361" s="85"/>
      <c r="BM361" s="85"/>
      <c r="BN361" s="85"/>
      <c r="BO361" s="85"/>
      <c r="BP361" s="85"/>
      <c r="BQ361" s="85"/>
      <c r="BR361" s="84">
        <v>186.17886999999999</v>
      </c>
      <c r="BS361" s="85"/>
      <c r="BT361" s="85"/>
      <c r="BU361" s="198"/>
      <c r="BV361" s="90"/>
      <c r="BW361" s="198"/>
      <c r="BX361" s="90"/>
      <c r="BY361" s="198"/>
      <c r="BZ361" s="90"/>
      <c r="CA361" s="91"/>
    </row>
    <row r="362" spans="1:283" ht="50.1" customHeight="1" outlineLevel="2" x14ac:dyDescent="0.3">
      <c r="A362" s="103" t="s">
        <v>347</v>
      </c>
      <c r="B362" s="96" t="s">
        <v>361</v>
      </c>
      <c r="C362" s="79" t="s">
        <v>37</v>
      </c>
      <c r="D362" s="81">
        <f t="shared" si="83"/>
        <v>2658.9577899999999</v>
      </c>
      <c r="E362" s="82">
        <f t="shared" si="78"/>
        <v>1722.2523200000001</v>
      </c>
      <c r="F362" s="83">
        <f t="shared" si="84"/>
        <v>936.70546999999999</v>
      </c>
      <c r="G362" s="84"/>
      <c r="H362" s="85"/>
      <c r="I362" s="85"/>
      <c r="J362" s="84">
        <v>48.606270000000002</v>
      </c>
      <c r="K362" s="85">
        <v>11.88011</v>
      </c>
      <c r="L362" s="85"/>
      <c r="M362" s="85"/>
      <c r="N362" s="85"/>
      <c r="O362" s="82"/>
      <c r="P362" s="83"/>
      <c r="Q362" s="83"/>
      <c r="R362" s="83"/>
      <c r="S362" s="82"/>
      <c r="T362" s="83"/>
      <c r="U362" s="83"/>
      <c r="V362" s="84"/>
      <c r="W362" s="85"/>
      <c r="X362" s="87"/>
      <c r="Y362" s="83">
        <v>62.4</v>
      </c>
      <c r="Z362" s="84"/>
      <c r="AA362" s="85"/>
      <c r="AB362" s="84"/>
      <c r="AC362" s="85"/>
      <c r="AD362" s="89">
        <f t="shared" si="68"/>
        <v>67.667770000000004</v>
      </c>
      <c r="AE362" s="89">
        <v>42.373800000000003</v>
      </c>
      <c r="AF362" s="186">
        <v>25.293970000000002</v>
      </c>
      <c r="AG362" s="85"/>
      <c r="AH362" s="85"/>
      <c r="AI362" s="85"/>
      <c r="AJ362" s="84"/>
      <c r="AK362" s="85"/>
      <c r="AL362" s="84"/>
      <c r="AM362" s="88"/>
      <c r="AN362" s="84"/>
      <c r="AO362" s="85">
        <v>590.72</v>
      </c>
      <c r="AP362" s="84"/>
      <c r="AQ362" s="83"/>
      <c r="AR362" s="83"/>
      <c r="AS362" s="83"/>
      <c r="AT362" s="85"/>
      <c r="AU362" s="85"/>
      <c r="AV362" s="85"/>
      <c r="AW362" s="88"/>
      <c r="AX362" s="84"/>
      <c r="AY362" s="85"/>
      <c r="AZ362" s="84">
        <v>126.54768</v>
      </c>
      <c r="BA362" s="85">
        <v>114.5994</v>
      </c>
      <c r="BB362" s="88"/>
      <c r="BC362" s="85"/>
      <c r="BD362" s="84"/>
      <c r="BE362" s="88"/>
      <c r="BF362" s="85"/>
      <c r="BG362" s="85">
        <v>89.438190000000006</v>
      </c>
      <c r="BH362" s="85"/>
      <c r="BI362" s="85"/>
      <c r="BJ362" s="85"/>
      <c r="BK362" s="85"/>
      <c r="BL362" s="85"/>
      <c r="BM362" s="85"/>
      <c r="BN362" s="85"/>
      <c r="BO362" s="85"/>
      <c r="BP362" s="85"/>
      <c r="BQ362" s="85"/>
      <c r="BR362" s="84">
        <v>1547.0983699999999</v>
      </c>
      <c r="BS362" s="85"/>
      <c r="BT362" s="85"/>
      <c r="BU362" s="198"/>
      <c r="BV362" s="90"/>
      <c r="BW362" s="198"/>
      <c r="BX362" s="90"/>
      <c r="BY362" s="215"/>
      <c r="BZ362" s="90"/>
      <c r="CA362" s="91"/>
    </row>
    <row r="363" spans="1:283" ht="50.1" customHeight="1" outlineLevel="2" x14ac:dyDescent="0.3">
      <c r="A363" s="103" t="s">
        <v>347</v>
      </c>
      <c r="B363" s="96" t="s">
        <v>362</v>
      </c>
      <c r="C363" s="119" t="s">
        <v>55</v>
      </c>
      <c r="D363" s="81">
        <f t="shared" si="83"/>
        <v>200.3888</v>
      </c>
      <c r="E363" s="82">
        <f t="shared" si="78"/>
        <v>18.382200000000001</v>
      </c>
      <c r="F363" s="83">
        <f t="shared" si="84"/>
        <v>182.00659999999999</v>
      </c>
      <c r="G363" s="84"/>
      <c r="H363" s="85"/>
      <c r="I363" s="85"/>
      <c r="J363" s="84"/>
      <c r="K363" s="85"/>
      <c r="L363" s="85"/>
      <c r="M363" s="85"/>
      <c r="N363" s="85"/>
      <c r="O363" s="82"/>
      <c r="P363" s="83"/>
      <c r="Q363" s="83"/>
      <c r="R363" s="83"/>
      <c r="S363" s="82"/>
      <c r="T363" s="83"/>
      <c r="U363" s="83"/>
      <c r="V363" s="84"/>
      <c r="W363" s="85"/>
      <c r="X363" s="87"/>
      <c r="Y363" s="83">
        <v>15.6</v>
      </c>
      <c r="Z363" s="84"/>
      <c r="AA363" s="85"/>
      <c r="AB363" s="84"/>
      <c r="AC363" s="85"/>
      <c r="AD363" s="89">
        <f t="shared" ref="AD363:AD417" si="85">AE363+AF363</f>
        <v>0</v>
      </c>
      <c r="AE363" s="89"/>
      <c r="AF363" s="186"/>
      <c r="AG363" s="85"/>
      <c r="AH363" s="85"/>
      <c r="AI363" s="85"/>
      <c r="AJ363" s="84"/>
      <c r="AK363" s="85"/>
      <c r="AL363" s="84"/>
      <c r="AM363" s="88"/>
      <c r="AN363" s="84"/>
      <c r="AO363" s="85">
        <v>149.76</v>
      </c>
      <c r="AP363" s="84"/>
      <c r="AQ363" s="83"/>
      <c r="AR363" s="83"/>
      <c r="AS363" s="83"/>
      <c r="AT363" s="85"/>
      <c r="AU363" s="85"/>
      <c r="AV363" s="85"/>
      <c r="AW363" s="88"/>
      <c r="AX363" s="84"/>
      <c r="AY363" s="85"/>
      <c r="AZ363" s="84">
        <v>18.382200000000001</v>
      </c>
      <c r="BA363" s="85">
        <v>16.646599999999999</v>
      </c>
      <c r="BB363" s="88"/>
      <c r="BC363" s="85"/>
      <c r="BD363" s="84"/>
      <c r="BE363" s="88"/>
      <c r="BF363" s="85"/>
      <c r="BG363" s="85"/>
      <c r="BH363" s="85"/>
      <c r="BI363" s="85"/>
      <c r="BJ363" s="85"/>
      <c r="BK363" s="85"/>
      <c r="BL363" s="85"/>
      <c r="BM363" s="85"/>
      <c r="BN363" s="85"/>
      <c r="BO363" s="85"/>
      <c r="BP363" s="85"/>
      <c r="BQ363" s="85"/>
      <c r="BR363" s="84"/>
      <c r="BS363" s="85"/>
      <c r="BT363" s="85"/>
      <c r="BU363" s="198"/>
      <c r="BV363" s="90"/>
      <c r="BW363" s="198"/>
      <c r="BX363" s="90"/>
      <c r="BY363" s="215"/>
      <c r="BZ363" s="90"/>
      <c r="CA363" s="91"/>
    </row>
    <row r="364" spans="1:283" s="120" customFormat="1" ht="50.1" customHeight="1" outlineLevel="2" x14ac:dyDescent="0.3">
      <c r="A364" s="103" t="s">
        <v>347</v>
      </c>
      <c r="B364" s="96" t="s">
        <v>363</v>
      </c>
      <c r="C364" s="119" t="s">
        <v>55</v>
      </c>
      <c r="D364" s="81">
        <f t="shared" si="83"/>
        <v>530.37623000000008</v>
      </c>
      <c r="E364" s="82">
        <f t="shared" si="78"/>
        <v>487.94906000000003</v>
      </c>
      <c r="F364" s="83">
        <f t="shared" si="84"/>
        <v>42.427169999999997</v>
      </c>
      <c r="G364" s="84"/>
      <c r="H364" s="85"/>
      <c r="I364" s="85"/>
      <c r="J364" s="84"/>
      <c r="K364" s="85"/>
      <c r="L364" s="85"/>
      <c r="M364" s="85"/>
      <c r="N364" s="85"/>
      <c r="O364" s="82"/>
      <c r="P364" s="83"/>
      <c r="Q364" s="83"/>
      <c r="R364" s="83"/>
      <c r="S364" s="82"/>
      <c r="T364" s="83"/>
      <c r="U364" s="83"/>
      <c r="V364" s="84"/>
      <c r="W364" s="85"/>
      <c r="X364" s="87"/>
      <c r="Y364" s="83"/>
      <c r="Z364" s="84"/>
      <c r="AA364" s="85"/>
      <c r="AB364" s="84"/>
      <c r="AC364" s="85"/>
      <c r="AD364" s="89">
        <f t="shared" si="85"/>
        <v>0</v>
      </c>
      <c r="AE364" s="89"/>
      <c r="AF364" s="186"/>
      <c r="AG364" s="85"/>
      <c r="AH364" s="85"/>
      <c r="AI364" s="85"/>
      <c r="AJ364" s="84"/>
      <c r="AK364" s="85"/>
      <c r="AL364" s="84"/>
      <c r="AM364" s="88"/>
      <c r="AN364" s="84"/>
      <c r="AO364" s="85"/>
      <c r="AP364" s="84"/>
      <c r="AQ364" s="83"/>
      <c r="AR364" s="83"/>
      <c r="AS364" s="83"/>
      <c r="AT364" s="85"/>
      <c r="AU364" s="85"/>
      <c r="AV364" s="85"/>
      <c r="AW364" s="88"/>
      <c r="AX364" s="84"/>
      <c r="AY364" s="85"/>
      <c r="AZ364" s="84">
        <v>46.850700000000003</v>
      </c>
      <c r="BA364" s="85">
        <v>42.427169999999997</v>
      </c>
      <c r="BB364" s="88"/>
      <c r="BC364" s="85"/>
      <c r="BD364" s="84"/>
      <c r="BE364" s="88"/>
      <c r="BF364" s="85"/>
      <c r="BG364" s="85"/>
      <c r="BH364" s="85"/>
      <c r="BI364" s="85"/>
      <c r="BJ364" s="85"/>
      <c r="BK364" s="85"/>
      <c r="BL364" s="85"/>
      <c r="BM364" s="85"/>
      <c r="BN364" s="85"/>
      <c r="BO364" s="85"/>
      <c r="BP364" s="85"/>
      <c r="BQ364" s="85"/>
      <c r="BR364" s="84">
        <v>441.09836000000001</v>
      </c>
      <c r="BS364" s="85"/>
      <c r="BT364" s="85"/>
      <c r="BU364" s="198"/>
      <c r="BV364" s="90"/>
      <c r="BW364" s="198"/>
      <c r="BX364" s="90"/>
      <c r="BY364" s="215"/>
      <c r="BZ364" s="90"/>
      <c r="CA364" s="91"/>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c r="DH364" s="175"/>
      <c r="DI364" s="175"/>
      <c r="DJ364" s="175"/>
      <c r="DK364" s="175"/>
      <c r="DL364" s="175"/>
      <c r="DM364" s="175"/>
      <c r="DN364" s="175"/>
      <c r="DO364" s="175"/>
      <c r="DP364" s="175"/>
      <c r="DQ364" s="175"/>
      <c r="DR364" s="175"/>
      <c r="DS364" s="175"/>
      <c r="DT364" s="175"/>
      <c r="DU364" s="175"/>
      <c r="DV364" s="175"/>
      <c r="DW364" s="175"/>
      <c r="DX364" s="175"/>
      <c r="DY364" s="175"/>
      <c r="DZ364" s="175"/>
      <c r="EA364" s="175"/>
      <c r="EB364" s="175"/>
      <c r="EC364" s="175"/>
      <c r="ED364" s="175"/>
      <c r="EE364" s="175"/>
      <c r="EF364" s="175"/>
      <c r="EG364" s="175"/>
      <c r="EH364" s="175"/>
      <c r="EI364" s="175"/>
      <c r="EJ364" s="175"/>
      <c r="EK364" s="175"/>
      <c r="EL364" s="175"/>
      <c r="EM364" s="175"/>
      <c r="EN364" s="175"/>
      <c r="EO364" s="175"/>
      <c r="EP364" s="175"/>
      <c r="EQ364" s="175"/>
      <c r="ER364" s="175"/>
      <c r="ES364" s="175"/>
      <c r="ET364" s="175"/>
      <c r="EU364" s="175"/>
      <c r="EV364" s="175"/>
      <c r="EW364" s="175"/>
      <c r="EX364" s="175"/>
      <c r="EY364" s="175"/>
      <c r="EZ364" s="175"/>
      <c r="FA364" s="175"/>
      <c r="FB364" s="175"/>
      <c r="FC364" s="175"/>
      <c r="FD364" s="175"/>
      <c r="FE364" s="175"/>
      <c r="FF364" s="175"/>
      <c r="FG364" s="175"/>
      <c r="FH364" s="175"/>
      <c r="FI364" s="175"/>
      <c r="FJ364" s="175"/>
      <c r="FK364" s="175"/>
      <c r="FL364" s="175"/>
      <c r="FM364" s="175"/>
      <c r="FN364" s="175"/>
      <c r="FO364" s="175"/>
      <c r="FP364" s="175"/>
      <c r="FQ364" s="175"/>
      <c r="FR364" s="175"/>
      <c r="FS364" s="175"/>
      <c r="FT364" s="175"/>
      <c r="FU364" s="175"/>
      <c r="FV364" s="175"/>
      <c r="FW364" s="175"/>
      <c r="FX364" s="175"/>
      <c r="FY364" s="175"/>
      <c r="FZ364" s="175"/>
      <c r="GA364" s="175"/>
      <c r="GB364" s="175"/>
      <c r="GC364" s="175"/>
      <c r="GD364" s="175"/>
      <c r="GE364" s="175"/>
      <c r="GF364" s="175"/>
      <c r="GG364" s="175"/>
      <c r="GH364" s="175"/>
      <c r="GI364" s="175"/>
      <c r="GJ364" s="175"/>
      <c r="GK364" s="175"/>
      <c r="GL364" s="175"/>
      <c r="GM364" s="175"/>
      <c r="GN364" s="175"/>
      <c r="GO364" s="175"/>
      <c r="GP364" s="175"/>
      <c r="GQ364" s="175"/>
      <c r="GR364" s="175"/>
      <c r="GS364" s="175"/>
      <c r="GT364" s="175"/>
      <c r="GU364" s="175"/>
      <c r="GV364" s="175"/>
      <c r="GW364" s="175"/>
      <c r="GX364" s="175"/>
      <c r="GY364" s="175"/>
      <c r="GZ364" s="175"/>
      <c r="HA364" s="175"/>
      <c r="HB364" s="175"/>
      <c r="HC364" s="175"/>
      <c r="HD364" s="175"/>
      <c r="HE364" s="175"/>
      <c r="HF364" s="175"/>
      <c r="HG364" s="175"/>
      <c r="HH364" s="175"/>
      <c r="HI364" s="175"/>
      <c r="HJ364" s="175"/>
      <c r="HK364" s="175"/>
      <c r="HL364" s="175"/>
      <c r="HM364" s="175"/>
      <c r="HN364" s="175"/>
      <c r="HO364" s="175"/>
      <c r="HP364" s="175"/>
      <c r="HQ364" s="175"/>
      <c r="HR364" s="175"/>
      <c r="HS364" s="175"/>
      <c r="HT364" s="175"/>
      <c r="HU364" s="175"/>
      <c r="HV364" s="175"/>
      <c r="HW364" s="175"/>
      <c r="HX364" s="175"/>
      <c r="HY364" s="175"/>
      <c r="HZ364" s="175"/>
      <c r="IA364" s="175"/>
      <c r="IB364" s="175"/>
      <c r="IC364" s="175"/>
      <c r="ID364" s="175"/>
      <c r="IE364" s="175"/>
      <c r="IF364" s="175"/>
      <c r="IG364" s="175"/>
      <c r="IH364" s="175"/>
      <c r="II364" s="175"/>
      <c r="IJ364" s="175"/>
      <c r="IK364" s="175"/>
      <c r="IL364" s="175"/>
      <c r="IM364" s="175"/>
      <c r="IN364" s="175"/>
      <c r="IO364" s="175"/>
      <c r="IP364" s="175"/>
      <c r="IQ364" s="175"/>
      <c r="IR364" s="175"/>
      <c r="IS364" s="175"/>
      <c r="IT364" s="175"/>
      <c r="IU364" s="175"/>
      <c r="IV364" s="175"/>
      <c r="IW364" s="175"/>
      <c r="IX364" s="175"/>
      <c r="IY364" s="175"/>
      <c r="IZ364" s="175"/>
      <c r="JA364" s="175"/>
      <c r="JB364" s="175"/>
      <c r="JC364" s="175"/>
      <c r="JD364" s="175"/>
      <c r="JE364" s="175"/>
      <c r="JF364" s="175"/>
      <c r="JG364" s="175"/>
      <c r="JH364" s="175"/>
      <c r="JI364" s="175"/>
      <c r="JJ364" s="175"/>
      <c r="JK364" s="175"/>
      <c r="JL364" s="175"/>
      <c r="JM364" s="175"/>
      <c r="JN364" s="175"/>
      <c r="JO364" s="175"/>
      <c r="JP364" s="175"/>
      <c r="JQ364" s="175"/>
      <c r="JR364" s="175"/>
      <c r="JS364" s="175"/>
      <c r="JT364" s="175"/>
      <c r="JU364" s="175"/>
      <c r="JV364" s="175"/>
      <c r="JW364" s="172"/>
    </row>
    <row r="365" spans="1:283" s="120" customFormat="1" ht="50.1" customHeight="1" outlineLevel="2" x14ac:dyDescent="0.3">
      <c r="A365" s="103" t="s">
        <v>347</v>
      </c>
      <c r="B365" s="96" t="s">
        <v>364</v>
      </c>
      <c r="C365" s="79" t="s">
        <v>55</v>
      </c>
      <c r="D365" s="81">
        <f t="shared" si="83"/>
        <v>211.39059999999998</v>
      </c>
      <c r="E365" s="82">
        <f t="shared" si="78"/>
        <v>32.342129999999997</v>
      </c>
      <c r="F365" s="83">
        <f t="shared" si="84"/>
        <v>179.04846999999998</v>
      </c>
      <c r="G365" s="84"/>
      <c r="H365" s="85"/>
      <c r="I365" s="85"/>
      <c r="J365" s="84"/>
      <c r="K365" s="85"/>
      <c r="L365" s="85"/>
      <c r="M365" s="85"/>
      <c r="N365" s="85"/>
      <c r="O365" s="82"/>
      <c r="P365" s="83"/>
      <c r="Q365" s="83"/>
      <c r="R365" s="83"/>
      <c r="S365" s="82"/>
      <c r="T365" s="83"/>
      <c r="U365" s="83"/>
      <c r="V365" s="84"/>
      <c r="W365" s="85"/>
      <c r="X365" s="87"/>
      <c r="Y365" s="83"/>
      <c r="Z365" s="84"/>
      <c r="AA365" s="85"/>
      <c r="AB365" s="84"/>
      <c r="AC365" s="85"/>
      <c r="AD365" s="89">
        <f t="shared" si="85"/>
        <v>0</v>
      </c>
      <c r="AE365" s="89"/>
      <c r="AF365" s="186"/>
      <c r="AG365" s="85"/>
      <c r="AH365" s="85"/>
      <c r="AI365" s="85"/>
      <c r="AJ365" s="84"/>
      <c r="AK365" s="85"/>
      <c r="AL365" s="84"/>
      <c r="AM365" s="88"/>
      <c r="AN365" s="84"/>
      <c r="AO365" s="85">
        <v>149.76</v>
      </c>
      <c r="AP365" s="84"/>
      <c r="AQ365" s="83"/>
      <c r="AR365" s="83"/>
      <c r="AS365" s="83"/>
      <c r="AT365" s="85"/>
      <c r="AU365" s="85"/>
      <c r="AV365" s="85"/>
      <c r="AW365" s="88"/>
      <c r="AX365" s="84"/>
      <c r="AY365" s="85"/>
      <c r="AZ365" s="84">
        <v>32.342129999999997</v>
      </c>
      <c r="BA365" s="85">
        <v>29.28847</v>
      </c>
      <c r="BB365" s="88"/>
      <c r="BC365" s="85"/>
      <c r="BD365" s="84"/>
      <c r="BE365" s="88"/>
      <c r="BF365" s="85"/>
      <c r="BG365" s="85"/>
      <c r="BH365" s="85"/>
      <c r="BI365" s="85"/>
      <c r="BJ365" s="85"/>
      <c r="BK365" s="85"/>
      <c r="BL365" s="85"/>
      <c r="BM365" s="85"/>
      <c r="BN365" s="85"/>
      <c r="BO365" s="85"/>
      <c r="BP365" s="85"/>
      <c r="BQ365" s="85"/>
      <c r="BR365" s="84"/>
      <c r="BS365" s="85"/>
      <c r="BT365" s="85"/>
      <c r="BU365" s="198"/>
      <c r="BV365" s="90"/>
      <c r="BW365" s="198"/>
      <c r="BX365" s="90"/>
      <c r="BY365" s="215"/>
      <c r="BZ365" s="90"/>
      <c r="CA365" s="91"/>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c r="DH365" s="175"/>
      <c r="DI365" s="175"/>
      <c r="DJ365" s="175"/>
      <c r="DK365" s="175"/>
      <c r="DL365" s="175"/>
      <c r="DM365" s="175"/>
      <c r="DN365" s="175"/>
      <c r="DO365" s="175"/>
      <c r="DP365" s="175"/>
      <c r="DQ365" s="175"/>
      <c r="DR365" s="175"/>
      <c r="DS365" s="175"/>
      <c r="DT365" s="175"/>
      <c r="DU365" s="175"/>
      <c r="DV365" s="175"/>
      <c r="DW365" s="175"/>
      <c r="DX365" s="175"/>
      <c r="DY365" s="175"/>
      <c r="DZ365" s="175"/>
      <c r="EA365" s="175"/>
      <c r="EB365" s="175"/>
      <c r="EC365" s="175"/>
      <c r="ED365" s="175"/>
      <c r="EE365" s="175"/>
      <c r="EF365" s="175"/>
      <c r="EG365" s="175"/>
      <c r="EH365" s="175"/>
      <c r="EI365" s="175"/>
      <c r="EJ365" s="175"/>
      <c r="EK365" s="175"/>
      <c r="EL365" s="175"/>
      <c r="EM365" s="175"/>
      <c r="EN365" s="175"/>
      <c r="EO365" s="175"/>
      <c r="EP365" s="175"/>
      <c r="EQ365" s="175"/>
      <c r="ER365" s="175"/>
      <c r="ES365" s="175"/>
      <c r="ET365" s="175"/>
      <c r="EU365" s="175"/>
      <c r="EV365" s="175"/>
      <c r="EW365" s="175"/>
      <c r="EX365" s="175"/>
      <c r="EY365" s="175"/>
      <c r="EZ365" s="175"/>
      <c r="FA365" s="175"/>
      <c r="FB365" s="175"/>
      <c r="FC365" s="175"/>
      <c r="FD365" s="175"/>
      <c r="FE365" s="175"/>
      <c r="FF365" s="175"/>
      <c r="FG365" s="175"/>
      <c r="FH365" s="175"/>
      <c r="FI365" s="175"/>
      <c r="FJ365" s="175"/>
      <c r="FK365" s="175"/>
      <c r="FL365" s="175"/>
      <c r="FM365" s="175"/>
      <c r="FN365" s="175"/>
      <c r="FO365" s="175"/>
      <c r="FP365" s="175"/>
      <c r="FQ365" s="175"/>
      <c r="FR365" s="175"/>
      <c r="FS365" s="175"/>
      <c r="FT365" s="175"/>
      <c r="FU365" s="175"/>
      <c r="FV365" s="175"/>
      <c r="FW365" s="175"/>
      <c r="FX365" s="175"/>
      <c r="FY365" s="175"/>
      <c r="FZ365" s="175"/>
      <c r="GA365" s="175"/>
      <c r="GB365" s="175"/>
      <c r="GC365" s="175"/>
      <c r="GD365" s="175"/>
      <c r="GE365" s="175"/>
      <c r="GF365" s="175"/>
      <c r="GG365" s="175"/>
      <c r="GH365" s="175"/>
      <c r="GI365" s="175"/>
      <c r="GJ365" s="175"/>
      <c r="GK365" s="175"/>
      <c r="GL365" s="175"/>
      <c r="GM365" s="175"/>
      <c r="GN365" s="175"/>
      <c r="GO365" s="175"/>
      <c r="GP365" s="175"/>
      <c r="GQ365" s="175"/>
      <c r="GR365" s="175"/>
      <c r="GS365" s="175"/>
      <c r="GT365" s="175"/>
      <c r="GU365" s="175"/>
      <c r="GV365" s="175"/>
      <c r="GW365" s="175"/>
      <c r="GX365" s="175"/>
      <c r="GY365" s="175"/>
      <c r="GZ365" s="175"/>
      <c r="HA365" s="175"/>
      <c r="HB365" s="175"/>
      <c r="HC365" s="175"/>
      <c r="HD365" s="175"/>
      <c r="HE365" s="175"/>
      <c r="HF365" s="175"/>
      <c r="HG365" s="175"/>
      <c r="HH365" s="175"/>
      <c r="HI365" s="175"/>
      <c r="HJ365" s="175"/>
      <c r="HK365" s="175"/>
      <c r="HL365" s="175"/>
      <c r="HM365" s="175"/>
      <c r="HN365" s="175"/>
      <c r="HO365" s="175"/>
      <c r="HP365" s="175"/>
      <c r="HQ365" s="175"/>
      <c r="HR365" s="175"/>
      <c r="HS365" s="175"/>
      <c r="HT365" s="175"/>
      <c r="HU365" s="175"/>
      <c r="HV365" s="175"/>
      <c r="HW365" s="175"/>
      <c r="HX365" s="175"/>
      <c r="HY365" s="175"/>
      <c r="HZ365" s="175"/>
      <c r="IA365" s="175"/>
      <c r="IB365" s="175"/>
      <c r="IC365" s="175"/>
      <c r="ID365" s="175"/>
      <c r="IE365" s="175"/>
      <c r="IF365" s="175"/>
      <c r="IG365" s="175"/>
      <c r="IH365" s="175"/>
      <c r="II365" s="175"/>
      <c r="IJ365" s="175"/>
      <c r="IK365" s="175"/>
      <c r="IL365" s="175"/>
      <c r="IM365" s="175"/>
      <c r="IN365" s="175"/>
      <c r="IO365" s="175"/>
      <c r="IP365" s="175"/>
      <c r="IQ365" s="175"/>
      <c r="IR365" s="175"/>
      <c r="IS365" s="175"/>
      <c r="IT365" s="175"/>
      <c r="IU365" s="175"/>
      <c r="IV365" s="175"/>
      <c r="IW365" s="175"/>
      <c r="IX365" s="175"/>
      <c r="IY365" s="175"/>
      <c r="IZ365" s="175"/>
      <c r="JA365" s="175"/>
      <c r="JB365" s="175"/>
      <c r="JC365" s="175"/>
      <c r="JD365" s="175"/>
      <c r="JE365" s="175"/>
      <c r="JF365" s="175"/>
      <c r="JG365" s="175"/>
      <c r="JH365" s="175"/>
      <c r="JI365" s="175"/>
      <c r="JJ365" s="175"/>
      <c r="JK365" s="175"/>
      <c r="JL365" s="175"/>
      <c r="JM365" s="175"/>
      <c r="JN365" s="175"/>
      <c r="JO365" s="175"/>
      <c r="JP365" s="175"/>
      <c r="JQ365" s="175"/>
      <c r="JR365" s="175"/>
      <c r="JS365" s="175"/>
      <c r="JT365" s="175"/>
      <c r="JU365" s="175"/>
      <c r="JV365" s="175"/>
      <c r="JW365" s="172"/>
    </row>
    <row r="366" spans="1:283" ht="50.1" customHeight="1" outlineLevel="2" x14ac:dyDescent="0.3">
      <c r="A366" s="103" t="s">
        <v>347</v>
      </c>
      <c r="B366" s="96" t="s">
        <v>365</v>
      </c>
      <c r="C366" s="79" t="s">
        <v>55</v>
      </c>
      <c r="D366" s="81">
        <f t="shared" si="83"/>
        <v>512.30377999999996</v>
      </c>
      <c r="E366" s="82">
        <f t="shared" si="78"/>
        <v>343.57428000000004</v>
      </c>
      <c r="F366" s="83">
        <f t="shared" si="84"/>
        <v>168.72949999999997</v>
      </c>
      <c r="G366" s="84"/>
      <c r="H366" s="85"/>
      <c r="I366" s="85"/>
      <c r="J366" s="84"/>
      <c r="K366" s="85"/>
      <c r="L366" s="85"/>
      <c r="M366" s="85"/>
      <c r="N366" s="85"/>
      <c r="O366" s="82"/>
      <c r="P366" s="83"/>
      <c r="Q366" s="83"/>
      <c r="R366" s="83"/>
      <c r="S366" s="82"/>
      <c r="T366" s="83"/>
      <c r="U366" s="83"/>
      <c r="V366" s="84"/>
      <c r="W366" s="85"/>
      <c r="X366" s="87"/>
      <c r="Y366" s="83">
        <v>62.4</v>
      </c>
      <c r="Z366" s="84"/>
      <c r="AA366" s="85"/>
      <c r="AB366" s="84"/>
      <c r="AC366" s="85"/>
      <c r="AD366" s="89">
        <f t="shared" si="85"/>
        <v>27.080459999999999</v>
      </c>
      <c r="AE366" s="89">
        <v>8.5963999999999992</v>
      </c>
      <c r="AF366" s="186">
        <v>18.484059999999999</v>
      </c>
      <c r="AG366" s="85"/>
      <c r="AH366" s="85"/>
      <c r="AI366" s="85"/>
      <c r="AJ366" s="84"/>
      <c r="AK366" s="85"/>
      <c r="AL366" s="84"/>
      <c r="AM366" s="88"/>
      <c r="AN366" s="84"/>
      <c r="AO366" s="85"/>
      <c r="AP366" s="84"/>
      <c r="AQ366" s="83"/>
      <c r="AR366" s="83"/>
      <c r="AS366" s="83"/>
      <c r="AT366" s="85"/>
      <c r="AU366" s="85"/>
      <c r="AV366" s="85"/>
      <c r="AW366" s="88"/>
      <c r="AX366" s="84"/>
      <c r="AY366" s="85"/>
      <c r="AZ366" s="84">
        <v>87.511650000000003</v>
      </c>
      <c r="BA366" s="85">
        <v>79.249039999999994</v>
      </c>
      <c r="BB366" s="88"/>
      <c r="BC366" s="85"/>
      <c r="BD366" s="84"/>
      <c r="BE366" s="88"/>
      <c r="BF366" s="85"/>
      <c r="BG366" s="85"/>
      <c r="BH366" s="85"/>
      <c r="BI366" s="85"/>
      <c r="BJ366" s="85"/>
      <c r="BK366" s="85"/>
      <c r="BL366" s="85"/>
      <c r="BM366" s="85"/>
      <c r="BN366" s="85"/>
      <c r="BO366" s="85"/>
      <c r="BP366" s="85"/>
      <c r="BQ366" s="85"/>
      <c r="BR366" s="84">
        <v>256.06263000000001</v>
      </c>
      <c r="BS366" s="85"/>
      <c r="BT366" s="85"/>
      <c r="BU366" s="198"/>
      <c r="BV366" s="90"/>
      <c r="BW366" s="198"/>
      <c r="BX366" s="90"/>
      <c r="BY366" s="215"/>
      <c r="BZ366" s="90"/>
      <c r="CA366" s="91"/>
    </row>
    <row r="367" spans="1:283" ht="50.1" customHeight="1" outlineLevel="2" x14ac:dyDescent="0.3">
      <c r="A367" s="103" t="s">
        <v>347</v>
      </c>
      <c r="B367" s="96" t="s">
        <v>366</v>
      </c>
      <c r="C367" s="119" t="s">
        <v>55</v>
      </c>
      <c r="D367" s="81">
        <f t="shared" si="83"/>
        <v>351.99239</v>
      </c>
      <c r="E367" s="82">
        <f t="shared" si="78"/>
        <v>322.35383999999999</v>
      </c>
      <c r="F367" s="83">
        <f t="shared" si="84"/>
        <v>29.638549999999999</v>
      </c>
      <c r="G367" s="84"/>
      <c r="H367" s="85"/>
      <c r="I367" s="85"/>
      <c r="J367" s="84"/>
      <c r="K367" s="85"/>
      <c r="L367" s="85"/>
      <c r="M367" s="85"/>
      <c r="N367" s="85"/>
      <c r="O367" s="82"/>
      <c r="P367" s="83"/>
      <c r="Q367" s="83"/>
      <c r="R367" s="83"/>
      <c r="S367" s="82"/>
      <c r="T367" s="83"/>
      <c r="U367" s="83"/>
      <c r="V367" s="84"/>
      <c r="W367" s="85"/>
      <c r="X367" s="87"/>
      <c r="Y367" s="83"/>
      <c r="Z367" s="84"/>
      <c r="AA367" s="85"/>
      <c r="AB367" s="84"/>
      <c r="AC367" s="85"/>
      <c r="AD367" s="89">
        <f t="shared" si="85"/>
        <v>0</v>
      </c>
      <c r="AE367" s="89"/>
      <c r="AF367" s="186"/>
      <c r="AG367" s="85"/>
      <c r="AH367" s="85"/>
      <c r="AI367" s="85"/>
      <c r="AJ367" s="84"/>
      <c r="AK367" s="85"/>
      <c r="AL367" s="84"/>
      <c r="AM367" s="88"/>
      <c r="AN367" s="84"/>
      <c r="AO367" s="85"/>
      <c r="AP367" s="84"/>
      <c r="AQ367" s="83"/>
      <c r="AR367" s="83"/>
      <c r="AS367" s="83"/>
      <c r="AT367" s="85"/>
      <c r="AU367" s="85"/>
      <c r="AV367" s="85"/>
      <c r="AW367" s="88"/>
      <c r="AX367" s="84"/>
      <c r="AY367" s="85"/>
      <c r="AZ367" s="84">
        <v>32.728720000000003</v>
      </c>
      <c r="BA367" s="85">
        <v>29.638549999999999</v>
      </c>
      <c r="BB367" s="88"/>
      <c r="BC367" s="85"/>
      <c r="BD367" s="84"/>
      <c r="BE367" s="88"/>
      <c r="BF367" s="85"/>
      <c r="BG367" s="85"/>
      <c r="BH367" s="85"/>
      <c r="BI367" s="85"/>
      <c r="BJ367" s="85"/>
      <c r="BK367" s="85"/>
      <c r="BL367" s="85"/>
      <c r="BM367" s="85"/>
      <c r="BN367" s="85"/>
      <c r="BO367" s="85"/>
      <c r="BP367" s="85"/>
      <c r="BQ367" s="85"/>
      <c r="BR367" s="84">
        <v>289.62511999999998</v>
      </c>
      <c r="BS367" s="85"/>
      <c r="BT367" s="85"/>
      <c r="BU367" s="198"/>
      <c r="BV367" s="90"/>
      <c r="BW367" s="198"/>
      <c r="BX367" s="90"/>
      <c r="BY367" s="215"/>
      <c r="BZ367" s="90"/>
      <c r="CA367" s="91"/>
    </row>
    <row r="368" spans="1:283" ht="50.1" customHeight="1" outlineLevel="2" x14ac:dyDescent="0.3">
      <c r="A368" s="103" t="s">
        <v>347</v>
      </c>
      <c r="B368" s="96" t="s">
        <v>367</v>
      </c>
      <c r="C368" s="119" t="s">
        <v>55</v>
      </c>
      <c r="D368" s="81">
        <f t="shared" si="83"/>
        <v>410.52255000000002</v>
      </c>
      <c r="E368" s="82">
        <f t="shared" si="78"/>
        <v>168.19499999999999</v>
      </c>
      <c r="F368" s="83">
        <f t="shared" si="84"/>
        <v>242.32755</v>
      </c>
      <c r="G368" s="84"/>
      <c r="H368" s="85"/>
      <c r="I368" s="85"/>
      <c r="J368" s="84"/>
      <c r="K368" s="85"/>
      <c r="L368" s="85"/>
      <c r="M368" s="85"/>
      <c r="N368" s="85"/>
      <c r="O368" s="82"/>
      <c r="P368" s="83"/>
      <c r="Q368" s="83"/>
      <c r="R368" s="83"/>
      <c r="S368" s="82"/>
      <c r="T368" s="83"/>
      <c r="U368" s="83"/>
      <c r="V368" s="84"/>
      <c r="W368" s="85"/>
      <c r="X368" s="87"/>
      <c r="Y368" s="83"/>
      <c r="Z368" s="84"/>
      <c r="AA368" s="85"/>
      <c r="AB368" s="84"/>
      <c r="AC368" s="85"/>
      <c r="AD368" s="89">
        <f t="shared" si="85"/>
        <v>0</v>
      </c>
      <c r="AE368" s="89"/>
      <c r="AF368" s="186"/>
      <c r="AG368" s="85"/>
      <c r="AH368" s="85"/>
      <c r="AI368" s="85"/>
      <c r="AJ368" s="84"/>
      <c r="AK368" s="85"/>
      <c r="AL368" s="84"/>
      <c r="AM368" s="88"/>
      <c r="AN368" s="84"/>
      <c r="AO368" s="85"/>
      <c r="AP368" s="84">
        <v>60.183610000000002</v>
      </c>
      <c r="AQ368" s="83">
        <v>132.12681000000001</v>
      </c>
      <c r="AR368" s="83"/>
      <c r="AS368" s="83"/>
      <c r="AT368" s="85"/>
      <c r="AU368" s="85"/>
      <c r="AV368" s="85"/>
      <c r="AW368" s="88"/>
      <c r="AX368" s="84"/>
      <c r="AY368" s="85"/>
      <c r="AZ368" s="84">
        <v>9.6101799999999997</v>
      </c>
      <c r="BA368" s="85">
        <v>8.7027999999999999</v>
      </c>
      <c r="BB368" s="88"/>
      <c r="BC368" s="85"/>
      <c r="BD368" s="84"/>
      <c r="BE368" s="88"/>
      <c r="BF368" s="85"/>
      <c r="BG368" s="85">
        <v>101.49794</v>
      </c>
      <c r="BH368" s="85"/>
      <c r="BI368" s="85"/>
      <c r="BJ368" s="85"/>
      <c r="BK368" s="85"/>
      <c r="BL368" s="85"/>
      <c r="BM368" s="85"/>
      <c r="BN368" s="85"/>
      <c r="BO368" s="85"/>
      <c r="BP368" s="85"/>
      <c r="BQ368" s="85"/>
      <c r="BR368" s="84">
        <v>98.401210000000006</v>
      </c>
      <c r="BS368" s="85"/>
      <c r="BT368" s="85"/>
      <c r="BU368" s="198"/>
      <c r="BV368" s="84"/>
      <c r="BW368" s="198"/>
      <c r="BX368" s="90"/>
      <c r="BY368" s="215"/>
      <c r="BZ368" s="90"/>
      <c r="CA368" s="91"/>
    </row>
    <row r="369" spans="1:1199" ht="50.1" customHeight="1" outlineLevel="2" x14ac:dyDescent="0.3">
      <c r="A369" s="103" t="s">
        <v>347</v>
      </c>
      <c r="B369" s="96" t="s">
        <v>368</v>
      </c>
      <c r="C369" s="119" t="s">
        <v>55</v>
      </c>
      <c r="D369" s="81">
        <f t="shared" si="83"/>
        <v>79.597629999999995</v>
      </c>
      <c r="E369" s="82">
        <f t="shared" si="78"/>
        <v>31.129390000000001</v>
      </c>
      <c r="F369" s="83">
        <f t="shared" si="84"/>
        <v>48.468239999999994</v>
      </c>
      <c r="G369" s="84"/>
      <c r="H369" s="85"/>
      <c r="I369" s="85"/>
      <c r="J369" s="84"/>
      <c r="K369" s="85"/>
      <c r="L369" s="85"/>
      <c r="M369" s="85"/>
      <c r="N369" s="85"/>
      <c r="O369" s="82"/>
      <c r="P369" s="83"/>
      <c r="Q369" s="83"/>
      <c r="R369" s="83"/>
      <c r="S369" s="82"/>
      <c r="T369" s="83"/>
      <c r="U369" s="83"/>
      <c r="V369" s="84">
        <v>9.2780000000000005</v>
      </c>
      <c r="W369" s="85">
        <v>16.2</v>
      </c>
      <c r="X369" s="87"/>
      <c r="Y369" s="83">
        <v>12.48</v>
      </c>
      <c r="Z369" s="84"/>
      <c r="AA369" s="85"/>
      <c r="AB369" s="84"/>
      <c r="AC369" s="85"/>
      <c r="AD369" s="89">
        <f t="shared" si="85"/>
        <v>0</v>
      </c>
      <c r="AE369" s="89"/>
      <c r="AF369" s="186"/>
      <c r="AG369" s="85"/>
      <c r="AH369" s="85"/>
      <c r="AI369" s="85"/>
      <c r="AJ369" s="84"/>
      <c r="AK369" s="85"/>
      <c r="AL369" s="84"/>
      <c r="AM369" s="88"/>
      <c r="AN369" s="84"/>
      <c r="AO369" s="85"/>
      <c r="AP369" s="84"/>
      <c r="AQ369" s="83"/>
      <c r="AR369" s="83"/>
      <c r="AS369" s="83"/>
      <c r="AT369" s="85"/>
      <c r="AU369" s="85"/>
      <c r="AV369" s="85"/>
      <c r="AW369" s="88"/>
      <c r="AX369" s="84"/>
      <c r="AY369" s="85"/>
      <c r="AZ369" s="84">
        <v>21.851389999999999</v>
      </c>
      <c r="BA369" s="85">
        <v>19.788239999999998</v>
      </c>
      <c r="BB369" s="88"/>
      <c r="BC369" s="85"/>
      <c r="BD369" s="84"/>
      <c r="BE369" s="88"/>
      <c r="BF369" s="85"/>
      <c r="BG369" s="85"/>
      <c r="BH369" s="85"/>
      <c r="BI369" s="85"/>
      <c r="BJ369" s="85"/>
      <c r="BK369" s="85"/>
      <c r="BL369" s="85"/>
      <c r="BM369" s="85"/>
      <c r="BN369" s="85"/>
      <c r="BO369" s="85"/>
      <c r="BP369" s="85"/>
      <c r="BQ369" s="85"/>
      <c r="BR369" s="84"/>
      <c r="BS369" s="85"/>
      <c r="BT369" s="85"/>
      <c r="BU369" s="198"/>
      <c r="BV369" s="90"/>
      <c r="BW369" s="198"/>
      <c r="BX369" s="90"/>
      <c r="BY369" s="198"/>
      <c r="BZ369" s="90"/>
      <c r="CA369" s="91"/>
    </row>
    <row r="370" spans="1:1199" ht="50.1" customHeight="1" outlineLevel="2" x14ac:dyDescent="0.3">
      <c r="A370" s="103" t="s">
        <v>347</v>
      </c>
      <c r="B370" s="96" t="s">
        <v>1153</v>
      </c>
      <c r="C370" s="119" t="s">
        <v>55</v>
      </c>
      <c r="D370" s="81">
        <f t="shared" si="83"/>
        <v>4.68</v>
      </c>
      <c r="E370" s="82">
        <f t="shared" si="78"/>
        <v>0</v>
      </c>
      <c r="F370" s="83">
        <f t="shared" si="84"/>
        <v>4.68</v>
      </c>
      <c r="G370" s="84"/>
      <c r="H370" s="85"/>
      <c r="I370" s="85"/>
      <c r="J370" s="84"/>
      <c r="K370" s="85"/>
      <c r="L370" s="85"/>
      <c r="M370" s="85"/>
      <c r="N370" s="85"/>
      <c r="O370" s="82"/>
      <c r="P370" s="83"/>
      <c r="Q370" s="83"/>
      <c r="R370" s="83"/>
      <c r="S370" s="82"/>
      <c r="T370" s="83"/>
      <c r="U370" s="83"/>
      <c r="V370" s="84"/>
      <c r="W370" s="85"/>
      <c r="X370" s="87"/>
      <c r="Y370" s="83">
        <v>4.68</v>
      </c>
      <c r="Z370" s="84"/>
      <c r="AA370" s="85"/>
      <c r="AB370" s="84"/>
      <c r="AC370" s="85"/>
      <c r="AD370" s="89"/>
      <c r="AE370" s="89"/>
      <c r="AF370" s="186"/>
      <c r="AG370" s="85"/>
      <c r="AH370" s="85"/>
      <c r="AI370" s="85"/>
      <c r="AJ370" s="84"/>
      <c r="AK370" s="85"/>
      <c r="AL370" s="84"/>
      <c r="AM370" s="88"/>
      <c r="AN370" s="84"/>
      <c r="AO370" s="85"/>
      <c r="AP370" s="84"/>
      <c r="AQ370" s="83"/>
      <c r="AR370" s="83"/>
      <c r="AS370" s="83"/>
      <c r="AT370" s="85"/>
      <c r="AU370" s="85"/>
      <c r="AV370" s="85"/>
      <c r="AW370" s="88"/>
      <c r="AX370" s="84"/>
      <c r="AY370" s="85"/>
      <c r="AZ370" s="84"/>
      <c r="BA370" s="85"/>
      <c r="BB370" s="88"/>
      <c r="BC370" s="85"/>
      <c r="BD370" s="84"/>
      <c r="BE370" s="88"/>
      <c r="BF370" s="85"/>
      <c r="BG370" s="85"/>
      <c r="BH370" s="85"/>
      <c r="BI370" s="85"/>
      <c r="BJ370" s="85"/>
      <c r="BK370" s="85"/>
      <c r="BL370" s="85"/>
      <c r="BM370" s="85"/>
      <c r="BN370" s="85"/>
      <c r="BO370" s="85"/>
      <c r="BP370" s="85"/>
      <c r="BQ370" s="85"/>
      <c r="BR370" s="84"/>
      <c r="BS370" s="85"/>
      <c r="BT370" s="85"/>
      <c r="BU370" s="198"/>
      <c r="BV370" s="90"/>
      <c r="BW370" s="198"/>
      <c r="BX370" s="90"/>
      <c r="BY370" s="198"/>
      <c r="BZ370" s="90"/>
      <c r="CA370" s="91"/>
    </row>
    <row r="371" spans="1:1199" ht="50.1" customHeight="1" outlineLevel="2" x14ac:dyDescent="0.3">
      <c r="A371" s="103" t="s">
        <v>347</v>
      </c>
      <c r="B371" s="96" t="s">
        <v>1172</v>
      </c>
      <c r="C371" s="119" t="s">
        <v>55</v>
      </c>
      <c r="D371" s="81">
        <f t="shared" si="83"/>
        <v>2883.6</v>
      </c>
      <c r="E371" s="82">
        <f t="shared" si="78"/>
        <v>2739.42</v>
      </c>
      <c r="F371" s="83">
        <f t="shared" si="84"/>
        <v>144.18</v>
      </c>
      <c r="G371" s="84"/>
      <c r="H371" s="85"/>
      <c r="I371" s="85"/>
      <c r="J371" s="84"/>
      <c r="K371" s="85"/>
      <c r="L371" s="85"/>
      <c r="M371" s="85"/>
      <c r="N371" s="85"/>
      <c r="O371" s="82"/>
      <c r="P371" s="83"/>
      <c r="Q371" s="83"/>
      <c r="R371" s="83"/>
      <c r="S371" s="82"/>
      <c r="T371" s="83"/>
      <c r="U371" s="83"/>
      <c r="V371" s="84"/>
      <c r="W371" s="85"/>
      <c r="X371" s="87"/>
      <c r="Y371" s="83"/>
      <c r="Z371" s="84"/>
      <c r="AA371" s="85"/>
      <c r="AB371" s="84"/>
      <c r="AC371" s="85"/>
      <c r="AD371" s="89"/>
      <c r="AE371" s="89"/>
      <c r="AF371" s="186"/>
      <c r="AG371" s="85"/>
      <c r="AH371" s="85"/>
      <c r="AI371" s="85"/>
      <c r="AJ371" s="84"/>
      <c r="AK371" s="85"/>
      <c r="AL371" s="84"/>
      <c r="AM371" s="88"/>
      <c r="AN371" s="84"/>
      <c r="AO371" s="85"/>
      <c r="AP371" s="84"/>
      <c r="AQ371" s="83"/>
      <c r="AR371" s="83"/>
      <c r="AS371" s="83"/>
      <c r="AT371" s="85"/>
      <c r="AU371" s="85"/>
      <c r="AV371" s="85"/>
      <c r="AW371" s="88"/>
      <c r="AX371" s="84"/>
      <c r="AY371" s="85"/>
      <c r="AZ371" s="84"/>
      <c r="BA371" s="85"/>
      <c r="BB371" s="88"/>
      <c r="BC371" s="85"/>
      <c r="BD371" s="84"/>
      <c r="BE371" s="88"/>
      <c r="BF371" s="85"/>
      <c r="BG371" s="85"/>
      <c r="BH371" s="85"/>
      <c r="BI371" s="85"/>
      <c r="BJ371" s="85"/>
      <c r="BK371" s="85"/>
      <c r="BL371" s="85"/>
      <c r="BM371" s="85"/>
      <c r="BN371" s="85"/>
      <c r="BO371" s="85"/>
      <c r="BP371" s="85"/>
      <c r="BQ371" s="85"/>
      <c r="BR371" s="84"/>
      <c r="BS371" s="85"/>
      <c r="BT371" s="85"/>
      <c r="BU371" s="198"/>
      <c r="BV371" s="90">
        <v>2739.42</v>
      </c>
      <c r="BW371" s="198">
        <v>144.18</v>
      </c>
      <c r="BX371" s="90"/>
      <c r="BY371" s="198"/>
      <c r="BZ371" s="90"/>
      <c r="CA371" s="91"/>
    </row>
    <row r="372" spans="1:1199" ht="50.1" customHeight="1" outlineLevel="2" x14ac:dyDescent="0.3">
      <c r="A372" s="103" t="s">
        <v>347</v>
      </c>
      <c r="B372" s="96" t="s">
        <v>1203</v>
      </c>
      <c r="C372" s="119" t="s">
        <v>55</v>
      </c>
      <c r="D372" s="81">
        <f t="shared" si="83"/>
        <v>2985.9940000000001</v>
      </c>
      <c r="E372" s="82">
        <f t="shared" si="78"/>
        <v>0</v>
      </c>
      <c r="F372" s="83">
        <f t="shared" si="84"/>
        <v>2985.9940000000001</v>
      </c>
      <c r="G372" s="84"/>
      <c r="H372" s="85"/>
      <c r="I372" s="85"/>
      <c r="J372" s="84"/>
      <c r="K372" s="85"/>
      <c r="L372" s="85"/>
      <c r="M372" s="85"/>
      <c r="N372" s="85"/>
      <c r="O372" s="82"/>
      <c r="P372" s="83"/>
      <c r="Q372" s="83"/>
      <c r="R372" s="83"/>
      <c r="S372" s="82"/>
      <c r="T372" s="83"/>
      <c r="U372" s="83"/>
      <c r="V372" s="84"/>
      <c r="W372" s="85"/>
      <c r="X372" s="87"/>
      <c r="Y372" s="83"/>
      <c r="Z372" s="84"/>
      <c r="AA372" s="85"/>
      <c r="AB372" s="84"/>
      <c r="AC372" s="85"/>
      <c r="AD372" s="89"/>
      <c r="AE372" s="89"/>
      <c r="AF372" s="186"/>
      <c r="AG372" s="85"/>
      <c r="AH372" s="85"/>
      <c r="AI372" s="85"/>
      <c r="AJ372" s="84"/>
      <c r="AK372" s="85"/>
      <c r="AL372" s="84"/>
      <c r="AM372" s="88"/>
      <c r="AN372" s="84"/>
      <c r="AO372" s="85"/>
      <c r="AP372" s="84"/>
      <c r="AQ372" s="83"/>
      <c r="AR372" s="83"/>
      <c r="AS372" s="83"/>
      <c r="AT372" s="85"/>
      <c r="AU372" s="85"/>
      <c r="AV372" s="85"/>
      <c r="AW372" s="88"/>
      <c r="AX372" s="84"/>
      <c r="AY372" s="85"/>
      <c r="AZ372" s="84"/>
      <c r="BA372" s="85"/>
      <c r="BB372" s="88"/>
      <c r="BC372" s="85"/>
      <c r="BD372" s="84"/>
      <c r="BE372" s="88"/>
      <c r="BF372" s="85"/>
      <c r="BG372" s="85"/>
      <c r="BH372" s="85"/>
      <c r="BI372" s="85"/>
      <c r="BJ372" s="85"/>
      <c r="BK372" s="85"/>
      <c r="BL372" s="85"/>
      <c r="BM372" s="85"/>
      <c r="BN372" s="85"/>
      <c r="BO372" s="85"/>
      <c r="BP372" s="85"/>
      <c r="BQ372" s="85"/>
      <c r="BR372" s="84"/>
      <c r="BS372" s="85"/>
      <c r="BT372" s="85"/>
      <c r="BU372" s="198"/>
      <c r="BV372" s="90"/>
      <c r="BW372" s="198">
        <v>2985.9940000000001</v>
      </c>
      <c r="BX372" s="90"/>
      <c r="BY372" s="198"/>
      <c r="BZ372" s="90"/>
      <c r="CA372" s="91"/>
    </row>
    <row r="373" spans="1:1199" ht="50.1" customHeight="1" outlineLevel="2" x14ac:dyDescent="0.3">
      <c r="A373" s="103" t="s">
        <v>347</v>
      </c>
      <c r="B373" s="96" t="s">
        <v>1209</v>
      </c>
      <c r="C373" s="119" t="s">
        <v>55</v>
      </c>
      <c r="D373" s="81">
        <f t="shared" si="83"/>
        <v>3000</v>
      </c>
      <c r="E373" s="82">
        <f t="shared" si="78"/>
        <v>0</v>
      </c>
      <c r="F373" s="83">
        <f t="shared" si="84"/>
        <v>3000</v>
      </c>
      <c r="G373" s="84"/>
      <c r="H373" s="85"/>
      <c r="I373" s="85"/>
      <c r="J373" s="84"/>
      <c r="K373" s="85"/>
      <c r="L373" s="85"/>
      <c r="M373" s="85"/>
      <c r="N373" s="85"/>
      <c r="O373" s="82"/>
      <c r="P373" s="83"/>
      <c r="Q373" s="83"/>
      <c r="R373" s="83"/>
      <c r="S373" s="82"/>
      <c r="T373" s="83"/>
      <c r="U373" s="83"/>
      <c r="V373" s="84"/>
      <c r="W373" s="85"/>
      <c r="X373" s="87"/>
      <c r="Y373" s="83"/>
      <c r="Z373" s="84"/>
      <c r="AA373" s="85"/>
      <c r="AB373" s="84"/>
      <c r="AC373" s="85"/>
      <c r="AD373" s="89"/>
      <c r="AE373" s="89"/>
      <c r="AF373" s="186"/>
      <c r="AG373" s="85"/>
      <c r="AH373" s="85"/>
      <c r="AI373" s="85"/>
      <c r="AJ373" s="84"/>
      <c r="AK373" s="85"/>
      <c r="AL373" s="84"/>
      <c r="AM373" s="88"/>
      <c r="AN373" s="84"/>
      <c r="AO373" s="85"/>
      <c r="AP373" s="84"/>
      <c r="AQ373" s="83"/>
      <c r="AR373" s="83"/>
      <c r="AS373" s="83"/>
      <c r="AT373" s="85"/>
      <c r="AU373" s="85"/>
      <c r="AV373" s="85"/>
      <c r="AW373" s="88"/>
      <c r="AX373" s="84"/>
      <c r="AY373" s="85"/>
      <c r="AZ373" s="84"/>
      <c r="BA373" s="85"/>
      <c r="BB373" s="88"/>
      <c r="BC373" s="85"/>
      <c r="BD373" s="84"/>
      <c r="BE373" s="88"/>
      <c r="BF373" s="85"/>
      <c r="BG373" s="85"/>
      <c r="BH373" s="85"/>
      <c r="BI373" s="85"/>
      <c r="BJ373" s="85"/>
      <c r="BK373" s="85"/>
      <c r="BL373" s="85"/>
      <c r="BM373" s="85"/>
      <c r="BN373" s="85"/>
      <c r="BO373" s="85"/>
      <c r="BP373" s="85"/>
      <c r="BQ373" s="85"/>
      <c r="BR373" s="84"/>
      <c r="BS373" s="85"/>
      <c r="BT373" s="85"/>
      <c r="BU373" s="198"/>
      <c r="BV373" s="90"/>
      <c r="BW373" s="198">
        <v>3000</v>
      </c>
      <c r="BX373" s="90"/>
      <c r="BY373" s="198"/>
      <c r="BZ373" s="90"/>
      <c r="CA373" s="91"/>
    </row>
    <row r="374" spans="1:1199" ht="50.1" customHeight="1" outlineLevel="2" x14ac:dyDescent="0.3">
      <c r="A374" s="103" t="s">
        <v>347</v>
      </c>
      <c r="B374" s="96" t="s">
        <v>369</v>
      </c>
      <c r="C374" s="79" t="s">
        <v>89</v>
      </c>
      <c r="D374" s="81">
        <f t="shared" si="83"/>
        <v>319.33499999999998</v>
      </c>
      <c r="E374" s="82">
        <f t="shared" si="78"/>
        <v>0</v>
      </c>
      <c r="F374" s="83">
        <f t="shared" si="84"/>
        <v>319.33499999999998</v>
      </c>
      <c r="G374" s="84"/>
      <c r="H374" s="85"/>
      <c r="I374" s="85"/>
      <c r="J374" s="84"/>
      <c r="K374" s="85"/>
      <c r="L374" s="85"/>
      <c r="M374" s="85"/>
      <c r="N374" s="85"/>
      <c r="O374" s="82"/>
      <c r="P374" s="83"/>
      <c r="Q374" s="83"/>
      <c r="R374" s="83"/>
      <c r="S374" s="82"/>
      <c r="T374" s="83"/>
      <c r="U374" s="83"/>
      <c r="V374" s="84"/>
      <c r="W374" s="85"/>
      <c r="X374" s="82"/>
      <c r="Y374" s="83"/>
      <c r="Z374" s="84"/>
      <c r="AA374" s="85"/>
      <c r="AB374" s="84"/>
      <c r="AC374" s="85"/>
      <c r="AD374" s="89">
        <f t="shared" si="85"/>
        <v>0</v>
      </c>
      <c r="AE374" s="89"/>
      <c r="AF374" s="186"/>
      <c r="AG374" s="85"/>
      <c r="AH374" s="85"/>
      <c r="AI374" s="85"/>
      <c r="AJ374" s="84"/>
      <c r="AK374" s="85"/>
      <c r="AL374" s="84"/>
      <c r="AM374" s="88"/>
      <c r="AN374" s="84"/>
      <c r="AO374" s="85"/>
      <c r="AP374" s="84"/>
      <c r="AQ374" s="83"/>
      <c r="AR374" s="83"/>
      <c r="AS374" s="83"/>
      <c r="AT374" s="85"/>
      <c r="AU374" s="85"/>
      <c r="AV374" s="85"/>
      <c r="AW374" s="88"/>
      <c r="AX374" s="84"/>
      <c r="AY374" s="85"/>
      <c r="AZ374" s="84"/>
      <c r="BA374" s="85"/>
      <c r="BB374" s="88"/>
      <c r="BC374" s="85"/>
      <c r="BD374" s="84"/>
      <c r="BE374" s="88"/>
      <c r="BF374" s="85"/>
      <c r="BG374" s="85"/>
      <c r="BH374" s="85"/>
      <c r="BI374" s="85"/>
      <c r="BJ374" s="85"/>
      <c r="BK374" s="85"/>
      <c r="BL374" s="85"/>
      <c r="BM374" s="85"/>
      <c r="BN374" s="85"/>
      <c r="BO374" s="85"/>
      <c r="BP374" s="85">
        <v>319.33499999999998</v>
      </c>
      <c r="BQ374" s="85"/>
      <c r="BR374" s="84"/>
      <c r="BS374" s="85"/>
      <c r="BT374" s="85"/>
      <c r="BU374" s="198"/>
      <c r="BV374" s="90"/>
      <c r="BW374" s="198"/>
      <c r="BX374" s="90"/>
      <c r="BY374" s="198"/>
      <c r="BZ374" s="90"/>
      <c r="CA374" s="91"/>
    </row>
    <row r="375" spans="1:1199" ht="50.1" customHeight="1" outlineLevel="2" x14ac:dyDescent="0.3">
      <c r="A375" s="103" t="s">
        <v>347</v>
      </c>
      <c r="B375" s="96" t="s">
        <v>370</v>
      </c>
      <c r="C375" s="79" t="s">
        <v>89</v>
      </c>
      <c r="D375" s="81">
        <f t="shared" si="83"/>
        <v>17462.175900000002</v>
      </c>
      <c r="E375" s="82">
        <f t="shared" si="78"/>
        <v>0</v>
      </c>
      <c r="F375" s="83">
        <f t="shared" si="84"/>
        <v>17462.175900000002</v>
      </c>
      <c r="G375" s="84"/>
      <c r="H375" s="85"/>
      <c r="I375" s="85"/>
      <c r="J375" s="84"/>
      <c r="K375" s="85"/>
      <c r="L375" s="85"/>
      <c r="M375" s="85"/>
      <c r="N375" s="85"/>
      <c r="O375" s="82"/>
      <c r="P375" s="83"/>
      <c r="Q375" s="83"/>
      <c r="R375" s="83"/>
      <c r="S375" s="82"/>
      <c r="T375" s="83"/>
      <c r="U375" s="83"/>
      <c r="V375" s="84"/>
      <c r="W375" s="85"/>
      <c r="X375" s="82"/>
      <c r="Y375" s="83"/>
      <c r="Z375" s="84"/>
      <c r="AA375" s="85"/>
      <c r="AB375" s="84"/>
      <c r="AC375" s="85"/>
      <c r="AD375" s="89">
        <f t="shared" si="85"/>
        <v>0</v>
      </c>
      <c r="AE375" s="89"/>
      <c r="AF375" s="186"/>
      <c r="AG375" s="85"/>
      <c r="AH375" s="85"/>
      <c r="AI375" s="85"/>
      <c r="AJ375" s="84"/>
      <c r="AK375" s="85"/>
      <c r="AL375" s="84"/>
      <c r="AM375" s="88"/>
      <c r="AN375" s="84"/>
      <c r="AO375" s="85"/>
      <c r="AP375" s="84"/>
      <c r="AQ375" s="83"/>
      <c r="AR375" s="83"/>
      <c r="AS375" s="83"/>
      <c r="AT375" s="85"/>
      <c r="AU375" s="85"/>
      <c r="AV375" s="85"/>
      <c r="AW375" s="88"/>
      <c r="AX375" s="84"/>
      <c r="AY375" s="85"/>
      <c r="AZ375" s="84"/>
      <c r="BA375" s="85"/>
      <c r="BB375" s="88"/>
      <c r="BC375" s="85">
        <f>1554.24+2483.36</f>
        <v>4037.6000000000004</v>
      </c>
      <c r="BD375" s="84"/>
      <c r="BE375" s="88"/>
      <c r="BF375" s="85"/>
      <c r="BG375" s="85"/>
      <c r="BH375" s="85"/>
      <c r="BI375" s="85"/>
      <c r="BJ375" s="85"/>
      <c r="BK375" s="85"/>
      <c r="BL375" s="85"/>
      <c r="BM375" s="85"/>
      <c r="BN375" s="85"/>
      <c r="BO375" s="85"/>
      <c r="BP375" s="85">
        <v>2351.2698999999998</v>
      </c>
      <c r="BQ375" s="85"/>
      <c r="BR375" s="84"/>
      <c r="BS375" s="85"/>
      <c r="BT375" s="85"/>
      <c r="BU375" s="198"/>
      <c r="BV375" s="90"/>
      <c r="BW375" s="198"/>
      <c r="BX375" s="90"/>
      <c r="BY375" s="198">
        <v>11073.306</v>
      </c>
      <c r="BZ375" s="90"/>
      <c r="CA375" s="91"/>
    </row>
    <row r="376" spans="1:1199" ht="50.1" customHeight="1" outlineLevel="2" x14ac:dyDescent="0.3">
      <c r="A376" s="103" t="s">
        <v>347</v>
      </c>
      <c r="B376" s="96" t="s">
        <v>371</v>
      </c>
      <c r="C376" s="79" t="s">
        <v>89</v>
      </c>
      <c r="D376" s="81">
        <f t="shared" si="83"/>
        <v>14827.908449999999</v>
      </c>
      <c r="E376" s="82">
        <f t="shared" si="78"/>
        <v>0</v>
      </c>
      <c r="F376" s="83">
        <f t="shared" si="84"/>
        <v>14827.908449999999</v>
      </c>
      <c r="G376" s="84"/>
      <c r="H376" s="85"/>
      <c r="I376" s="85"/>
      <c r="J376" s="84"/>
      <c r="K376" s="85"/>
      <c r="L376" s="85"/>
      <c r="M376" s="85"/>
      <c r="N376" s="85"/>
      <c r="O376" s="82"/>
      <c r="P376" s="83"/>
      <c r="Q376" s="83"/>
      <c r="R376" s="83"/>
      <c r="S376" s="82"/>
      <c r="T376" s="83"/>
      <c r="U376" s="83"/>
      <c r="V376" s="84"/>
      <c r="W376" s="85"/>
      <c r="X376" s="82"/>
      <c r="Y376" s="83"/>
      <c r="Z376" s="84"/>
      <c r="AA376" s="85"/>
      <c r="AB376" s="84"/>
      <c r="AC376" s="85"/>
      <c r="AD376" s="89">
        <f t="shared" si="85"/>
        <v>0</v>
      </c>
      <c r="AE376" s="89"/>
      <c r="AF376" s="186"/>
      <c r="AG376" s="85"/>
      <c r="AH376" s="85"/>
      <c r="AI376" s="85"/>
      <c r="AJ376" s="84"/>
      <c r="AK376" s="85"/>
      <c r="AL376" s="84"/>
      <c r="AM376" s="88"/>
      <c r="AN376" s="84"/>
      <c r="AO376" s="85"/>
      <c r="AP376" s="84"/>
      <c r="AQ376" s="83"/>
      <c r="AR376" s="83"/>
      <c r="AS376" s="83"/>
      <c r="AT376" s="85"/>
      <c r="AU376" s="85"/>
      <c r="AV376" s="85"/>
      <c r="AW376" s="88"/>
      <c r="AX376" s="84"/>
      <c r="AY376" s="85"/>
      <c r="AZ376" s="84"/>
      <c r="BA376" s="85"/>
      <c r="BB376" s="88"/>
      <c r="BC376" s="85">
        <v>231.87271999999999</v>
      </c>
      <c r="BD376" s="84"/>
      <c r="BE376" s="88"/>
      <c r="BF376" s="85"/>
      <c r="BG376" s="85">
        <v>355.16949</v>
      </c>
      <c r="BH376" s="85"/>
      <c r="BI376" s="85"/>
      <c r="BJ376" s="85"/>
      <c r="BK376" s="85">
        <v>708.14179000000001</v>
      </c>
      <c r="BL376" s="85"/>
      <c r="BM376" s="85"/>
      <c r="BN376" s="85"/>
      <c r="BO376" s="85"/>
      <c r="BP376" s="85">
        <v>13532.72445</v>
      </c>
      <c r="BQ376" s="85"/>
      <c r="BR376" s="84"/>
      <c r="BS376" s="85"/>
      <c r="BT376" s="85"/>
      <c r="BU376" s="198"/>
      <c r="BV376" s="90"/>
      <c r="BW376" s="198"/>
      <c r="BX376" s="90"/>
      <c r="BY376" s="198"/>
      <c r="BZ376" s="90"/>
      <c r="CA376" s="91"/>
    </row>
    <row r="377" spans="1:1199" ht="50.1" customHeight="1" outlineLevel="2" x14ac:dyDescent="0.3">
      <c r="A377" s="103" t="s">
        <v>347</v>
      </c>
      <c r="B377" s="111" t="s">
        <v>1040</v>
      </c>
      <c r="C377" s="79"/>
      <c r="D377" s="81">
        <f t="shared" si="83"/>
        <v>300</v>
      </c>
      <c r="E377" s="82">
        <f t="shared" si="78"/>
        <v>0</v>
      </c>
      <c r="F377" s="83">
        <f t="shared" si="84"/>
        <v>300</v>
      </c>
      <c r="G377" s="84"/>
      <c r="H377" s="85"/>
      <c r="I377" s="85"/>
      <c r="J377" s="84"/>
      <c r="K377" s="85"/>
      <c r="L377" s="85"/>
      <c r="M377" s="85"/>
      <c r="N377" s="85"/>
      <c r="O377" s="82"/>
      <c r="P377" s="83"/>
      <c r="Q377" s="83"/>
      <c r="R377" s="83"/>
      <c r="S377" s="82"/>
      <c r="T377" s="83"/>
      <c r="U377" s="83"/>
      <c r="V377" s="84"/>
      <c r="W377" s="85"/>
      <c r="X377" s="82"/>
      <c r="Y377" s="83"/>
      <c r="Z377" s="84"/>
      <c r="AA377" s="85"/>
      <c r="AB377" s="84"/>
      <c r="AC377" s="85"/>
      <c r="AD377" s="89">
        <f t="shared" si="85"/>
        <v>0</v>
      </c>
      <c r="AE377" s="89"/>
      <c r="AF377" s="186"/>
      <c r="AG377" s="85"/>
      <c r="AH377" s="85"/>
      <c r="AI377" s="85"/>
      <c r="AJ377" s="84"/>
      <c r="AK377" s="85"/>
      <c r="AL377" s="84"/>
      <c r="AM377" s="88"/>
      <c r="AN377" s="84"/>
      <c r="AO377" s="85"/>
      <c r="AP377" s="84"/>
      <c r="AQ377" s="83"/>
      <c r="AR377" s="83"/>
      <c r="AS377" s="83"/>
      <c r="AT377" s="85"/>
      <c r="AU377" s="85"/>
      <c r="AV377" s="85"/>
      <c r="AW377" s="88"/>
      <c r="AX377" s="84"/>
      <c r="AY377" s="85"/>
      <c r="AZ377" s="84"/>
      <c r="BA377" s="85"/>
      <c r="BB377" s="88"/>
      <c r="BC377" s="85"/>
      <c r="BD377" s="84"/>
      <c r="BE377" s="88"/>
      <c r="BF377" s="85"/>
      <c r="BG377" s="85"/>
      <c r="BH377" s="85">
        <v>300</v>
      </c>
      <c r="BI377" s="85"/>
      <c r="BJ377" s="85"/>
      <c r="BK377" s="85"/>
      <c r="BL377" s="85"/>
      <c r="BM377" s="85"/>
      <c r="BN377" s="85"/>
      <c r="BO377" s="85"/>
      <c r="BP377" s="85"/>
      <c r="BQ377" s="85"/>
      <c r="BR377" s="84"/>
      <c r="BS377" s="85"/>
      <c r="BT377" s="85"/>
      <c r="BU377" s="198"/>
      <c r="BV377" s="90"/>
      <c r="BW377" s="198"/>
      <c r="BX377" s="90"/>
      <c r="BY377" s="198"/>
      <c r="BZ377" s="90"/>
      <c r="CA377" s="91"/>
    </row>
    <row r="378" spans="1:1199" ht="50.1" customHeight="1" outlineLevel="2" x14ac:dyDescent="0.3">
      <c r="A378" s="103" t="s">
        <v>347</v>
      </c>
      <c r="B378" s="111" t="s">
        <v>1047</v>
      </c>
      <c r="C378" s="79"/>
      <c r="D378" s="81">
        <f t="shared" si="83"/>
        <v>19.760000000000002</v>
      </c>
      <c r="E378" s="82">
        <f t="shared" si="78"/>
        <v>0</v>
      </c>
      <c r="F378" s="83">
        <f t="shared" si="84"/>
        <v>19.760000000000002</v>
      </c>
      <c r="G378" s="84"/>
      <c r="H378" s="85"/>
      <c r="I378" s="85"/>
      <c r="J378" s="84"/>
      <c r="K378" s="85"/>
      <c r="L378" s="85"/>
      <c r="M378" s="85"/>
      <c r="N378" s="85"/>
      <c r="O378" s="82"/>
      <c r="P378" s="83"/>
      <c r="Q378" s="83"/>
      <c r="R378" s="83"/>
      <c r="S378" s="82"/>
      <c r="T378" s="83"/>
      <c r="U378" s="83"/>
      <c r="V378" s="84"/>
      <c r="W378" s="85"/>
      <c r="X378" s="82"/>
      <c r="Y378" s="83"/>
      <c r="Z378" s="84"/>
      <c r="AA378" s="85"/>
      <c r="AB378" s="84"/>
      <c r="AC378" s="85"/>
      <c r="AD378" s="89">
        <f t="shared" si="85"/>
        <v>0</v>
      </c>
      <c r="AE378" s="89"/>
      <c r="AF378" s="186"/>
      <c r="AG378" s="85"/>
      <c r="AH378" s="85"/>
      <c r="AI378" s="85"/>
      <c r="AJ378" s="84"/>
      <c r="AK378" s="85"/>
      <c r="AL378" s="84"/>
      <c r="AM378" s="88"/>
      <c r="AN378" s="84"/>
      <c r="AO378" s="85"/>
      <c r="AP378" s="84"/>
      <c r="AQ378" s="83"/>
      <c r="AR378" s="83"/>
      <c r="AS378" s="83"/>
      <c r="AT378" s="85"/>
      <c r="AU378" s="85"/>
      <c r="AV378" s="85"/>
      <c r="AW378" s="88"/>
      <c r="AX378" s="84"/>
      <c r="AY378" s="85"/>
      <c r="AZ378" s="84"/>
      <c r="BA378" s="85"/>
      <c r="BB378" s="88"/>
      <c r="BC378" s="85"/>
      <c r="BD378" s="84"/>
      <c r="BE378" s="88"/>
      <c r="BF378" s="85"/>
      <c r="BG378" s="85"/>
      <c r="BH378" s="85"/>
      <c r="BI378" s="85">
        <v>19.760000000000002</v>
      </c>
      <c r="BJ378" s="85"/>
      <c r="BK378" s="85"/>
      <c r="BL378" s="85"/>
      <c r="BM378" s="85"/>
      <c r="BN378" s="85"/>
      <c r="BO378" s="85"/>
      <c r="BP378" s="85"/>
      <c r="BQ378" s="85"/>
      <c r="BR378" s="84"/>
      <c r="BS378" s="85"/>
      <c r="BT378" s="85"/>
      <c r="BU378" s="198"/>
      <c r="BV378" s="90"/>
      <c r="BW378" s="198"/>
      <c r="BX378" s="90"/>
      <c r="BY378" s="198"/>
      <c r="BZ378" s="90"/>
      <c r="CA378" s="91"/>
    </row>
    <row r="379" spans="1:1199" ht="50.1" customHeight="1" outlineLevel="2" x14ac:dyDescent="0.3">
      <c r="A379" s="103" t="s">
        <v>347</v>
      </c>
      <c r="B379" s="111" t="s">
        <v>1121</v>
      </c>
      <c r="C379" s="79"/>
      <c r="D379" s="81">
        <f t="shared" si="83"/>
        <v>46.42</v>
      </c>
      <c r="E379" s="82">
        <f t="shared" si="78"/>
        <v>0</v>
      </c>
      <c r="F379" s="83">
        <f t="shared" si="84"/>
        <v>46.42</v>
      </c>
      <c r="G379" s="84"/>
      <c r="H379" s="85"/>
      <c r="I379" s="85"/>
      <c r="J379" s="84"/>
      <c r="K379" s="85"/>
      <c r="L379" s="85"/>
      <c r="M379" s="85"/>
      <c r="N379" s="85"/>
      <c r="O379" s="82"/>
      <c r="P379" s="83"/>
      <c r="Q379" s="83"/>
      <c r="R379" s="83"/>
      <c r="S379" s="82"/>
      <c r="T379" s="83"/>
      <c r="U379" s="83"/>
      <c r="V379" s="84"/>
      <c r="W379" s="85"/>
      <c r="X379" s="82"/>
      <c r="Y379" s="83"/>
      <c r="Z379" s="84"/>
      <c r="AA379" s="85"/>
      <c r="AB379" s="84"/>
      <c r="AC379" s="85"/>
      <c r="AD379" s="89"/>
      <c r="AE379" s="89"/>
      <c r="AF379" s="186"/>
      <c r="AG379" s="85"/>
      <c r="AH379" s="85"/>
      <c r="AI379" s="85"/>
      <c r="AJ379" s="84"/>
      <c r="AK379" s="85"/>
      <c r="AL379" s="84"/>
      <c r="AM379" s="88"/>
      <c r="AN379" s="84"/>
      <c r="AO379" s="85"/>
      <c r="AP379" s="84"/>
      <c r="AQ379" s="83"/>
      <c r="AR379" s="83"/>
      <c r="AS379" s="83"/>
      <c r="AT379" s="85"/>
      <c r="AU379" s="85"/>
      <c r="AV379" s="85"/>
      <c r="AW379" s="88"/>
      <c r="AX379" s="84"/>
      <c r="AY379" s="85"/>
      <c r="AZ379" s="84"/>
      <c r="BA379" s="85"/>
      <c r="BB379" s="88"/>
      <c r="BC379" s="85"/>
      <c r="BD379" s="84"/>
      <c r="BE379" s="88"/>
      <c r="BF379" s="85"/>
      <c r="BG379" s="85"/>
      <c r="BH379" s="85"/>
      <c r="BI379" s="85">
        <v>46.42</v>
      </c>
      <c r="BJ379" s="85"/>
      <c r="BK379" s="85"/>
      <c r="BL379" s="85"/>
      <c r="BM379" s="85"/>
      <c r="BN379" s="85"/>
      <c r="BO379" s="85"/>
      <c r="BP379" s="85"/>
      <c r="BQ379" s="85"/>
      <c r="BR379" s="84"/>
      <c r="BS379" s="85"/>
      <c r="BT379" s="85"/>
      <c r="BU379" s="198"/>
      <c r="BV379" s="90"/>
      <c r="BW379" s="198"/>
      <c r="BX379" s="90"/>
      <c r="BY379" s="198"/>
      <c r="BZ379" s="90"/>
      <c r="CA379" s="91"/>
    </row>
    <row r="380" spans="1:1199" ht="50.1" customHeight="1" outlineLevel="2" x14ac:dyDescent="0.3">
      <c r="A380" s="103" t="s">
        <v>347</v>
      </c>
      <c r="B380" s="111" t="s">
        <v>1079</v>
      </c>
      <c r="C380" s="79"/>
      <c r="D380" s="81">
        <f t="shared" si="83"/>
        <v>300</v>
      </c>
      <c r="E380" s="82">
        <f t="shared" si="78"/>
        <v>0</v>
      </c>
      <c r="F380" s="83">
        <f t="shared" si="84"/>
        <v>300</v>
      </c>
      <c r="G380" s="84"/>
      <c r="H380" s="85"/>
      <c r="I380" s="85"/>
      <c r="J380" s="84"/>
      <c r="K380" s="85"/>
      <c r="L380" s="85"/>
      <c r="M380" s="85"/>
      <c r="N380" s="85"/>
      <c r="O380" s="82"/>
      <c r="P380" s="83"/>
      <c r="Q380" s="83"/>
      <c r="R380" s="83"/>
      <c r="S380" s="82"/>
      <c r="T380" s="83"/>
      <c r="U380" s="83"/>
      <c r="V380" s="84"/>
      <c r="W380" s="85"/>
      <c r="X380" s="82"/>
      <c r="Y380" s="83"/>
      <c r="Z380" s="84"/>
      <c r="AA380" s="85"/>
      <c r="AB380" s="84"/>
      <c r="AC380" s="85"/>
      <c r="AD380" s="89"/>
      <c r="AE380" s="89"/>
      <c r="AF380" s="186"/>
      <c r="AG380" s="85"/>
      <c r="AH380" s="85"/>
      <c r="AI380" s="85"/>
      <c r="AJ380" s="84"/>
      <c r="AK380" s="85"/>
      <c r="AL380" s="84"/>
      <c r="AM380" s="88"/>
      <c r="AN380" s="84"/>
      <c r="AO380" s="85"/>
      <c r="AP380" s="84"/>
      <c r="AQ380" s="83"/>
      <c r="AR380" s="83"/>
      <c r="AS380" s="83"/>
      <c r="AT380" s="85"/>
      <c r="AU380" s="85"/>
      <c r="AV380" s="85"/>
      <c r="AW380" s="88"/>
      <c r="AX380" s="84"/>
      <c r="AY380" s="85"/>
      <c r="AZ380" s="84"/>
      <c r="BA380" s="85"/>
      <c r="BB380" s="88"/>
      <c r="BC380" s="85"/>
      <c r="BD380" s="84"/>
      <c r="BE380" s="88"/>
      <c r="BF380" s="85"/>
      <c r="BG380" s="85"/>
      <c r="BH380" s="85">
        <v>300</v>
      </c>
      <c r="BI380" s="85"/>
      <c r="BJ380" s="85"/>
      <c r="BK380" s="85"/>
      <c r="BL380" s="85"/>
      <c r="BM380" s="85"/>
      <c r="BN380" s="85"/>
      <c r="BO380" s="85"/>
      <c r="BP380" s="85"/>
      <c r="BQ380" s="85"/>
      <c r="BR380" s="84"/>
      <c r="BS380" s="85"/>
      <c r="BT380" s="85"/>
      <c r="BU380" s="198"/>
      <c r="BV380" s="90"/>
      <c r="BW380" s="198"/>
      <c r="BX380" s="90"/>
      <c r="BY380" s="198"/>
      <c r="BZ380" s="90"/>
      <c r="CA380" s="91"/>
    </row>
    <row r="381" spans="1:1199" ht="50.1" customHeight="1" outlineLevel="2" x14ac:dyDescent="0.3">
      <c r="A381" s="103" t="s">
        <v>347</v>
      </c>
      <c r="B381" s="111" t="s">
        <v>372</v>
      </c>
      <c r="C381" s="79"/>
      <c r="D381" s="81">
        <f t="shared" si="83"/>
        <v>36.965000000000003</v>
      </c>
      <c r="E381" s="82">
        <f t="shared" si="78"/>
        <v>0</v>
      </c>
      <c r="F381" s="83">
        <f t="shared" si="84"/>
        <v>36.965000000000003</v>
      </c>
      <c r="G381" s="84"/>
      <c r="H381" s="85"/>
      <c r="I381" s="85"/>
      <c r="J381" s="84"/>
      <c r="K381" s="85"/>
      <c r="L381" s="85"/>
      <c r="M381" s="85"/>
      <c r="N381" s="85"/>
      <c r="O381" s="82"/>
      <c r="P381" s="83"/>
      <c r="Q381" s="83"/>
      <c r="R381" s="83"/>
      <c r="S381" s="82"/>
      <c r="T381" s="83"/>
      <c r="U381" s="83"/>
      <c r="V381" s="84"/>
      <c r="W381" s="85"/>
      <c r="X381" s="87"/>
      <c r="Y381" s="83"/>
      <c r="Z381" s="84"/>
      <c r="AA381" s="85"/>
      <c r="AB381" s="84"/>
      <c r="AC381" s="85"/>
      <c r="AD381" s="89">
        <f t="shared" si="85"/>
        <v>0</v>
      </c>
      <c r="AE381" s="89"/>
      <c r="AF381" s="186"/>
      <c r="AG381" s="85"/>
      <c r="AH381" s="85"/>
      <c r="AI381" s="85"/>
      <c r="AJ381" s="84"/>
      <c r="AK381" s="85"/>
      <c r="AL381" s="84"/>
      <c r="AM381" s="88"/>
      <c r="AN381" s="84"/>
      <c r="AO381" s="85"/>
      <c r="AP381" s="84"/>
      <c r="AQ381" s="83"/>
      <c r="AR381" s="83"/>
      <c r="AS381" s="83"/>
      <c r="AT381" s="85"/>
      <c r="AU381" s="85"/>
      <c r="AV381" s="85"/>
      <c r="AW381" s="88"/>
      <c r="AX381" s="84"/>
      <c r="AY381" s="85"/>
      <c r="AZ381" s="84"/>
      <c r="BA381" s="85"/>
      <c r="BB381" s="88"/>
      <c r="BC381" s="85"/>
      <c r="BD381" s="84"/>
      <c r="BE381" s="88"/>
      <c r="BF381" s="85"/>
      <c r="BG381" s="85"/>
      <c r="BH381" s="85"/>
      <c r="BI381" s="85">
        <v>36.965000000000003</v>
      </c>
      <c r="BJ381" s="85"/>
      <c r="BK381" s="85"/>
      <c r="BL381" s="85"/>
      <c r="BM381" s="85"/>
      <c r="BN381" s="85"/>
      <c r="BO381" s="85"/>
      <c r="BP381" s="85"/>
      <c r="BQ381" s="85"/>
      <c r="BR381" s="84"/>
      <c r="BS381" s="85"/>
      <c r="BT381" s="85"/>
      <c r="BU381" s="198"/>
      <c r="BV381" s="90"/>
      <c r="BW381" s="198"/>
      <c r="BX381" s="90"/>
      <c r="BY381" s="198"/>
      <c r="BZ381" s="90"/>
      <c r="CA381" s="91"/>
    </row>
    <row r="382" spans="1:1199" s="101" customFormat="1" ht="50.1" customHeight="1" outlineLevel="1" x14ac:dyDescent="0.3">
      <c r="A382" s="132" t="s">
        <v>373</v>
      </c>
      <c r="B382" s="229"/>
      <c r="C382" s="134" t="s">
        <v>94</v>
      </c>
      <c r="D382" s="114">
        <f t="shared" ref="D382:AI382" si="86">SUBTOTAL(9,D350:D381)</f>
        <v>97199.457829999985</v>
      </c>
      <c r="E382" s="114">
        <f t="shared" si="86"/>
        <v>27491.619859999999</v>
      </c>
      <c r="F382" s="114">
        <f t="shared" si="86"/>
        <v>69707.837969999993</v>
      </c>
      <c r="G382" s="114">
        <f t="shared" si="86"/>
        <v>0</v>
      </c>
      <c r="H382" s="114">
        <f t="shared" si="86"/>
        <v>0</v>
      </c>
      <c r="I382" s="114">
        <f t="shared" si="86"/>
        <v>0</v>
      </c>
      <c r="J382" s="114">
        <f t="shared" si="86"/>
        <v>1434.51252</v>
      </c>
      <c r="K382" s="114">
        <f t="shared" si="86"/>
        <v>407.93081000000001</v>
      </c>
      <c r="L382" s="114">
        <f t="shared" si="86"/>
        <v>311.34698000000003</v>
      </c>
      <c r="M382" s="114">
        <f t="shared" si="86"/>
        <v>0</v>
      </c>
      <c r="N382" s="114">
        <f t="shared" si="86"/>
        <v>0</v>
      </c>
      <c r="O382" s="114">
        <f t="shared" si="86"/>
        <v>0</v>
      </c>
      <c r="P382" s="114">
        <f t="shared" si="86"/>
        <v>0</v>
      </c>
      <c r="Q382" s="114">
        <f t="shared" si="86"/>
        <v>51.979320000000001</v>
      </c>
      <c r="R382" s="114">
        <f t="shared" si="86"/>
        <v>0</v>
      </c>
      <c r="S382" s="114">
        <f t="shared" si="86"/>
        <v>380.61624999999998</v>
      </c>
      <c r="T382" s="114">
        <f t="shared" si="86"/>
        <v>396.9024</v>
      </c>
      <c r="U382" s="114">
        <f t="shared" si="86"/>
        <v>0</v>
      </c>
      <c r="V382" s="114">
        <f t="shared" si="86"/>
        <v>316.32490000000001</v>
      </c>
      <c r="W382" s="114">
        <f t="shared" si="86"/>
        <v>581.83170000000007</v>
      </c>
      <c r="X382" s="114">
        <f t="shared" si="86"/>
        <v>0</v>
      </c>
      <c r="Y382" s="114">
        <f t="shared" si="86"/>
        <v>1960.92</v>
      </c>
      <c r="Z382" s="114">
        <f t="shared" si="86"/>
        <v>0</v>
      </c>
      <c r="AA382" s="114">
        <f t="shared" si="86"/>
        <v>0</v>
      </c>
      <c r="AB382" s="114">
        <f t="shared" si="86"/>
        <v>0</v>
      </c>
      <c r="AC382" s="114">
        <f t="shared" si="86"/>
        <v>0</v>
      </c>
      <c r="AD382" s="114">
        <f t="shared" si="86"/>
        <v>1424.0483400000001</v>
      </c>
      <c r="AE382" s="114">
        <f t="shared" si="86"/>
        <v>562.61260000000004</v>
      </c>
      <c r="AF382" s="191">
        <f t="shared" si="86"/>
        <v>861.4357399999999</v>
      </c>
      <c r="AG382" s="114">
        <f t="shared" si="86"/>
        <v>0</v>
      </c>
      <c r="AH382" s="114">
        <f t="shared" si="86"/>
        <v>0</v>
      </c>
      <c r="AI382" s="114">
        <f t="shared" si="86"/>
        <v>0</v>
      </c>
      <c r="AJ382" s="114">
        <f t="shared" ref="AJ382:BO382" si="87">SUBTOTAL(9,AJ350:AJ381)</f>
        <v>2962.4</v>
      </c>
      <c r="AK382" s="114">
        <f t="shared" si="87"/>
        <v>1706.6</v>
      </c>
      <c r="AL382" s="114">
        <f t="shared" si="87"/>
        <v>0</v>
      </c>
      <c r="AM382" s="114">
        <f t="shared" si="87"/>
        <v>0</v>
      </c>
      <c r="AN382" s="114">
        <f t="shared" si="87"/>
        <v>0</v>
      </c>
      <c r="AO382" s="114">
        <f t="shared" si="87"/>
        <v>11281.92</v>
      </c>
      <c r="AP382" s="114">
        <f t="shared" si="87"/>
        <v>228.43090999999998</v>
      </c>
      <c r="AQ382" s="114">
        <f t="shared" si="87"/>
        <v>348.89202</v>
      </c>
      <c r="AR382" s="114">
        <f t="shared" si="87"/>
        <v>0</v>
      </c>
      <c r="AS382" s="114">
        <f t="shared" si="87"/>
        <v>0</v>
      </c>
      <c r="AT382" s="114">
        <f t="shared" si="87"/>
        <v>0</v>
      </c>
      <c r="AU382" s="114">
        <f t="shared" si="87"/>
        <v>0</v>
      </c>
      <c r="AV382" s="114">
        <f t="shared" si="87"/>
        <v>6248.9876000000004</v>
      </c>
      <c r="AW382" s="114">
        <f t="shared" si="87"/>
        <v>0</v>
      </c>
      <c r="AX382" s="114">
        <f t="shared" si="87"/>
        <v>0</v>
      </c>
      <c r="AY382" s="114">
        <f t="shared" si="87"/>
        <v>0</v>
      </c>
      <c r="AZ382" s="114">
        <f t="shared" si="87"/>
        <v>5067.8160999999991</v>
      </c>
      <c r="BA382" s="114">
        <f t="shared" si="87"/>
        <v>4589.3241099999996</v>
      </c>
      <c r="BB382" s="114">
        <f t="shared" si="87"/>
        <v>314.62133</v>
      </c>
      <c r="BC382" s="114">
        <f t="shared" si="87"/>
        <v>4269.4727200000007</v>
      </c>
      <c r="BD382" s="114">
        <f t="shared" si="87"/>
        <v>0</v>
      </c>
      <c r="BE382" s="114">
        <f t="shared" si="87"/>
        <v>0</v>
      </c>
      <c r="BF382" s="114">
        <f t="shared" si="87"/>
        <v>0</v>
      </c>
      <c r="BG382" s="114">
        <f t="shared" si="87"/>
        <v>816.54885000000002</v>
      </c>
      <c r="BH382" s="114">
        <f t="shared" si="87"/>
        <v>600</v>
      </c>
      <c r="BI382" s="114">
        <f t="shared" si="87"/>
        <v>103.14500000000001</v>
      </c>
      <c r="BJ382" s="114">
        <f t="shared" si="87"/>
        <v>0</v>
      </c>
      <c r="BK382" s="114">
        <f t="shared" si="87"/>
        <v>708.14179000000001</v>
      </c>
      <c r="BL382" s="114">
        <f t="shared" si="87"/>
        <v>0</v>
      </c>
      <c r="BM382" s="114">
        <f t="shared" si="87"/>
        <v>0</v>
      </c>
      <c r="BN382" s="114">
        <f t="shared" si="87"/>
        <v>0</v>
      </c>
      <c r="BO382" s="114">
        <f t="shared" si="87"/>
        <v>0</v>
      </c>
      <c r="BP382" s="114">
        <f t="shared" ref="BP382:CU382" si="88">SUBTOTAL(9,BP350:BP381)</f>
        <v>16203.32935</v>
      </c>
      <c r="BQ382" s="114">
        <f t="shared" si="88"/>
        <v>0</v>
      </c>
      <c r="BR382" s="114">
        <f t="shared" si="88"/>
        <v>14362.099180000001</v>
      </c>
      <c r="BS382" s="114">
        <f t="shared" si="88"/>
        <v>0</v>
      </c>
      <c r="BT382" s="114">
        <f t="shared" si="88"/>
        <v>178.41565</v>
      </c>
      <c r="BU382" s="114">
        <f t="shared" si="88"/>
        <v>0</v>
      </c>
      <c r="BV382" s="114">
        <f t="shared" si="88"/>
        <v>2739.42</v>
      </c>
      <c r="BW382" s="114">
        <f t="shared" si="88"/>
        <v>6130.174</v>
      </c>
      <c r="BX382" s="114">
        <f t="shared" si="88"/>
        <v>0</v>
      </c>
      <c r="BY382" s="114">
        <f t="shared" si="88"/>
        <v>11073.306</v>
      </c>
      <c r="BZ382" s="114">
        <f t="shared" si="88"/>
        <v>0</v>
      </c>
      <c r="CA382" s="114">
        <f t="shared" si="88"/>
        <v>0</v>
      </c>
      <c r="CB382" s="176"/>
      <c r="CC382" s="176"/>
      <c r="CD382" s="176"/>
      <c r="CE382" s="176"/>
      <c r="CF382" s="176"/>
      <c r="CG382" s="176"/>
      <c r="CH382" s="176"/>
      <c r="CI382" s="176"/>
      <c r="CJ382" s="176"/>
      <c r="CK382" s="176"/>
      <c r="CL382" s="176"/>
      <c r="CM382" s="176"/>
      <c r="CN382" s="176"/>
      <c r="CO382" s="176"/>
      <c r="CP382" s="176"/>
      <c r="CQ382" s="176"/>
      <c r="CR382" s="176"/>
      <c r="CS382" s="176"/>
      <c r="CT382" s="176"/>
      <c r="CU382" s="176"/>
      <c r="CV382" s="176"/>
      <c r="CW382" s="176"/>
      <c r="CX382" s="176"/>
      <c r="CY382" s="176"/>
      <c r="CZ382" s="176"/>
      <c r="DA382" s="176"/>
      <c r="DB382" s="176"/>
      <c r="DC382" s="176"/>
      <c r="DD382" s="176"/>
      <c r="DE382" s="176"/>
      <c r="DF382" s="176"/>
      <c r="DG382" s="176"/>
      <c r="DH382" s="176"/>
      <c r="DI382" s="176"/>
      <c r="DJ382" s="176"/>
      <c r="DK382" s="176"/>
      <c r="DL382" s="176"/>
      <c r="DM382" s="176"/>
      <c r="DN382" s="176"/>
      <c r="DO382" s="176"/>
      <c r="DP382" s="176"/>
      <c r="DQ382" s="176"/>
      <c r="DR382" s="176"/>
      <c r="DS382" s="176"/>
      <c r="DT382" s="176"/>
      <c r="DU382" s="176"/>
      <c r="DV382" s="176"/>
      <c r="DW382" s="176"/>
      <c r="DX382" s="176"/>
      <c r="DY382" s="176"/>
      <c r="DZ382" s="176"/>
      <c r="EA382" s="176"/>
      <c r="EB382" s="176"/>
      <c r="EC382" s="176"/>
      <c r="ED382" s="176"/>
      <c r="EE382" s="176"/>
      <c r="EF382" s="176"/>
      <c r="EG382" s="176"/>
      <c r="EH382" s="176"/>
      <c r="EI382" s="176"/>
      <c r="EJ382" s="176"/>
      <c r="EK382" s="176"/>
      <c r="EL382" s="176"/>
      <c r="EM382" s="176"/>
      <c r="EN382" s="176"/>
      <c r="EO382" s="176"/>
      <c r="EP382" s="176"/>
      <c r="EQ382" s="176"/>
      <c r="ER382" s="176"/>
      <c r="ES382" s="176"/>
      <c r="ET382" s="176"/>
      <c r="EU382" s="176"/>
      <c r="EV382" s="176"/>
      <c r="EW382" s="176"/>
      <c r="EX382" s="176"/>
      <c r="EY382" s="176"/>
      <c r="EZ382" s="176"/>
      <c r="FA382" s="176"/>
      <c r="FB382" s="176"/>
      <c r="FC382" s="176"/>
      <c r="FD382" s="176"/>
      <c r="FE382" s="176"/>
      <c r="FF382" s="176"/>
      <c r="FG382" s="176"/>
      <c r="FH382" s="176"/>
      <c r="FI382" s="176"/>
      <c r="FJ382" s="176"/>
      <c r="FK382" s="176"/>
      <c r="FL382" s="176"/>
      <c r="FM382" s="176"/>
      <c r="FN382" s="176"/>
      <c r="FO382" s="176"/>
      <c r="FP382" s="176"/>
      <c r="FQ382" s="176"/>
      <c r="FR382" s="176"/>
      <c r="FS382" s="176"/>
      <c r="FT382" s="176"/>
      <c r="FU382" s="176"/>
      <c r="FV382" s="176"/>
      <c r="FW382" s="176"/>
      <c r="FX382" s="176"/>
      <c r="FY382" s="176"/>
      <c r="FZ382" s="176"/>
      <c r="GA382" s="176"/>
      <c r="GB382" s="176"/>
      <c r="GC382" s="176"/>
      <c r="GD382" s="176"/>
      <c r="GE382" s="176"/>
      <c r="GF382" s="176"/>
      <c r="GG382" s="176"/>
      <c r="GH382" s="176"/>
      <c r="GI382" s="176"/>
      <c r="GJ382" s="176"/>
      <c r="GK382" s="176"/>
      <c r="GL382" s="176"/>
      <c r="GM382" s="176"/>
      <c r="GN382" s="176"/>
      <c r="GO382" s="176"/>
      <c r="GP382" s="176"/>
      <c r="GQ382" s="176"/>
      <c r="GR382" s="176"/>
      <c r="GS382" s="176"/>
      <c r="GT382" s="176"/>
      <c r="GU382" s="176"/>
      <c r="GV382" s="176"/>
      <c r="GW382" s="176"/>
      <c r="GX382" s="176"/>
      <c r="GY382" s="176"/>
      <c r="GZ382" s="176"/>
      <c r="HA382" s="176"/>
      <c r="HB382" s="176"/>
      <c r="HC382" s="176"/>
      <c r="HD382" s="176"/>
      <c r="HE382" s="176"/>
      <c r="HF382" s="176"/>
      <c r="HG382" s="176"/>
      <c r="HH382" s="176"/>
      <c r="HI382" s="176"/>
      <c r="HJ382" s="176"/>
      <c r="HK382" s="176"/>
      <c r="HL382" s="176"/>
      <c r="HM382" s="176"/>
      <c r="HN382" s="176"/>
      <c r="HO382" s="176"/>
      <c r="HP382" s="176"/>
      <c r="HQ382" s="176"/>
      <c r="HR382" s="176"/>
      <c r="HS382" s="176"/>
      <c r="HT382" s="176"/>
      <c r="HU382" s="176"/>
      <c r="HV382" s="176"/>
      <c r="HW382" s="176"/>
      <c r="HX382" s="176"/>
      <c r="HY382" s="176"/>
      <c r="HZ382" s="176"/>
      <c r="IA382" s="176"/>
      <c r="IB382" s="176"/>
      <c r="IC382" s="176"/>
      <c r="ID382" s="176"/>
      <c r="IE382" s="176"/>
      <c r="IF382" s="176"/>
      <c r="IG382" s="176"/>
      <c r="IH382" s="176"/>
      <c r="II382" s="176"/>
      <c r="IJ382" s="176"/>
      <c r="IK382" s="176"/>
      <c r="IL382" s="176"/>
      <c r="IM382" s="176"/>
      <c r="IN382" s="176"/>
      <c r="IO382" s="176"/>
      <c r="IP382" s="176"/>
      <c r="IQ382" s="176"/>
      <c r="IR382" s="176"/>
      <c r="IS382" s="176"/>
      <c r="IT382" s="176"/>
      <c r="IU382" s="176"/>
      <c r="IV382" s="176"/>
      <c r="IW382" s="176"/>
      <c r="IX382" s="176"/>
      <c r="IY382" s="176"/>
      <c r="IZ382" s="176"/>
      <c r="JA382" s="176"/>
      <c r="JB382" s="176"/>
      <c r="JC382" s="176"/>
      <c r="JD382" s="176"/>
      <c r="JE382" s="176"/>
      <c r="JF382" s="176"/>
      <c r="JG382" s="176"/>
      <c r="JH382" s="176"/>
      <c r="JI382" s="176"/>
      <c r="JJ382" s="176"/>
      <c r="JK382" s="176"/>
      <c r="JL382" s="176"/>
      <c r="JM382" s="176"/>
      <c r="JN382" s="176"/>
      <c r="JO382" s="176"/>
      <c r="JP382" s="176"/>
      <c r="JQ382" s="176"/>
      <c r="JR382" s="176"/>
      <c r="JS382" s="176"/>
      <c r="JT382" s="176"/>
      <c r="JU382" s="176"/>
      <c r="JV382" s="176"/>
      <c r="JW382" s="131"/>
      <c r="JX382" s="131"/>
      <c r="JY382" s="131"/>
      <c r="JZ382" s="131"/>
      <c r="KA382" s="131"/>
      <c r="KB382" s="131"/>
      <c r="KC382" s="131"/>
      <c r="KD382" s="131"/>
      <c r="KE382" s="131"/>
      <c r="KF382" s="131"/>
      <c r="KG382" s="131"/>
      <c r="KH382" s="131"/>
      <c r="KI382" s="131"/>
      <c r="KJ382" s="131"/>
      <c r="KK382" s="131"/>
      <c r="KL382" s="131"/>
      <c r="KM382" s="131"/>
      <c r="KN382" s="131"/>
      <c r="KO382" s="131"/>
      <c r="KP382" s="131"/>
      <c r="KQ382" s="131"/>
      <c r="KR382" s="131"/>
      <c r="KS382" s="131"/>
      <c r="KT382" s="131"/>
      <c r="KU382" s="131"/>
      <c r="KV382" s="131"/>
      <c r="KW382" s="131"/>
      <c r="KX382" s="131"/>
      <c r="KY382" s="131"/>
      <c r="KZ382" s="131"/>
      <c r="LA382" s="131"/>
      <c r="LB382" s="131"/>
      <c r="LC382" s="131"/>
      <c r="LD382" s="131"/>
      <c r="LE382" s="131"/>
      <c r="LF382" s="131"/>
      <c r="LG382" s="131"/>
      <c r="LH382" s="131"/>
      <c r="LI382" s="131"/>
      <c r="LJ382" s="131"/>
      <c r="LK382" s="131"/>
      <c r="LL382" s="131"/>
      <c r="LM382" s="131"/>
      <c r="LN382" s="131"/>
      <c r="LO382" s="131"/>
      <c r="LP382" s="131"/>
      <c r="LQ382" s="131"/>
      <c r="LR382" s="131"/>
      <c r="LS382" s="131"/>
      <c r="LT382" s="131"/>
      <c r="LU382" s="131"/>
      <c r="LV382" s="131"/>
      <c r="LW382" s="131"/>
      <c r="LX382" s="131"/>
      <c r="LY382" s="131"/>
      <c r="LZ382" s="131"/>
      <c r="MA382" s="131"/>
      <c r="MB382" s="131"/>
      <c r="MC382" s="131"/>
      <c r="MD382" s="131"/>
      <c r="ME382" s="131"/>
      <c r="MF382" s="131"/>
      <c r="MG382" s="131"/>
      <c r="MH382" s="131"/>
      <c r="MI382" s="131"/>
      <c r="MJ382" s="131"/>
      <c r="MK382" s="131"/>
      <c r="ML382" s="131"/>
      <c r="MM382" s="131"/>
      <c r="MN382" s="131"/>
      <c r="MO382" s="131"/>
      <c r="MP382" s="131"/>
      <c r="MQ382" s="131"/>
      <c r="MR382" s="131"/>
      <c r="MS382" s="131"/>
      <c r="MT382" s="131"/>
      <c r="MU382" s="131"/>
      <c r="MV382" s="131"/>
      <c r="MW382" s="131"/>
      <c r="MX382" s="131"/>
      <c r="MY382" s="131"/>
      <c r="MZ382" s="131"/>
      <c r="NA382" s="131"/>
      <c r="NB382" s="131"/>
      <c r="NC382" s="131"/>
      <c r="ND382" s="131"/>
      <c r="NE382" s="131"/>
      <c r="NF382" s="131"/>
      <c r="NG382" s="131"/>
      <c r="NH382" s="131"/>
      <c r="NI382" s="131"/>
      <c r="NJ382" s="131"/>
      <c r="NK382" s="131"/>
      <c r="NL382" s="131"/>
      <c r="NM382" s="131"/>
      <c r="NN382" s="131"/>
      <c r="NO382" s="131"/>
      <c r="NP382" s="131"/>
      <c r="NQ382" s="131"/>
      <c r="NR382" s="131"/>
      <c r="NS382" s="131"/>
      <c r="NT382" s="131"/>
      <c r="NU382" s="131"/>
      <c r="NV382" s="131"/>
      <c r="NW382" s="131"/>
      <c r="NX382" s="131"/>
      <c r="NY382" s="131"/>
      <c r="NZ382" s="131"/>
      <c r="OA382" s="131"/>
      <c r="OB382" s="131"/>
      <c r="OC382" s="131"/>
      <c r="OD382" s="131"/>
      <c r="OE382" s="131"/>
      <c r="OF382" s="131"/>
      <c r="OG382" s="131"/>
      <c r="OH382" s="131"/>
      <c r="OI382" s="131"/>
      <c r="OJ382" s="131"/>
      <c r="OK382" s="131"/>
      <c r="OL382" s="131"/>
      <c r="OM382" s="131"/>
      <c r="ON382" s="131"/>
      <c r="OO382" s="131"/>
      <c r="OP382" s="131"/>
      <c r="OQ382" s="131"/>
      <c r="OR382" s="131"/>
      <c r="OS382" s="131"/>
      <c r="OT382" s="131"/>
      <c r="OU382" s="131"/>
      <c r="OV382" s="131"/>
      <c r="OW382" s="131"/>
      <c r="OX382" s="131"/>
      <c r="OY382" s="131"/>
      <c r="OZ382" s="131"/>
      <c r="PA382" s="131"/>
      <c r="PB382" s="131"/>
      <c r="PC382" s="131"/>
      <c r="PD382" s="131"/>
      <c r="PE382" s="131"/>
      <c r="PF382" s="131"/>
      <c r="PG382" s="131"/>
      <c r="PH382" s="131"/>
      <c r="PI382" s="131"/>
      <c r="PJ382" s="131"/>
      <c r="PK382" s="131"/>
      <c r="PL382" s="131"/>
      <c r="PM382" s="131"/>
      <c r="PN382" s="131"/>
      <c r="PO382" s="131"/>
      <c r="PP382" s="131"/>
      <c r="PQ382" s="131"/>
      <c r="PR382" s="131"/>
      <c r="PS382" s="131"/>
      <c r="PT382" s="131"/>
      <c r="PU382" s="131"/>
      <c r="PV382" s="131"/>
      <c r="PW382" s="131"/>
      <c r="PX382" s="131"/>
      <c r="PY382" s="131"/>
      <c r="PZ382" s="131"/>
      <c r="QA382" s="131"/>
      <c r="QB382" s="131"/>
      <c r="QC382" s="131"/>
      <c r="QD382" s="131"/>
      <c r="QE382" s="131"/>
      <c r="QF382" s="131"/>
      <c r="QG382" s="131"/>
      <c r="QH382" s="131"/>
      <c r="QI382" s="131"/>
      <c r="QJ382" s="131"/>
      <c r="QK382" s="131"/>
      <c r="QL382" s="131"/>
      <c r="QM382" s="131"/>
      <c r="QN382" s="131"/>
      <c r="QO382" s="131"/>
      <c r="QP382" s="131"/>
      <c r="QQ382" s="131"/>
      <c r="QR382" s="131"/>
      <c r="QS382" s="131"/>
      <c r="QT382" s="131"/>
      <c r="QU382" s="131"/>
      <c r="QV382" s="131"/>
      <c r="QW382" s="131"/>
      <c r="QX382" s="131"/>
      <c r="QY382" s="131"/>
      <c r="QZ382" s="131"/>
      <c r="RA382" s="131"/>
      <c r="RB382" s="131"/>
      <c r="RC382" s="131"/>
      <c r="RD382" s="131"/>
      <c r="RE382" s="131"/>
      <c r="RF382" s="131"/>
      <c r="RG382" s="131"/>
      <c r="RH382" s="131"/>
      <c r="RI382" s="131"/>
      <c r="RJ382" s="131"/>
      <c r="RK382" s="131"/>
      <c r="RL382" s="131"/>
      <c r="RM382" s="131"/>
      <c r="RN382" s="131"/>
      <c r="RO382" s="131"/>
      <c r="RP382" s="131"/>
      <c r="RQ382" s="131"/>
      <c r="RR382" s="131"/>
      <c r="RS382" s="131"/>
      <c r="RT382" s="131"/>
      <c r="RU382" s="131"/>
      <c r="RV382" s="131"/>
      <c r="RW382" s="131"/>
      <c r="RX382" s="131"/>
      <c r="RY382" s="131"/>
      <c r="RZ382" s="131"/>
      <c r="SA382" s="131"/>
      <c r="SB382" s="131"/>
      <c r="SC382" s="131"/>
      <c r="SD382" s="131"/>
      <c r="SE382" s="131"/>
      <c r="SF382" s="131"/>
      <c r="SG382" s="131"/>
      <c r="SH382" s="131"/>
      <c r="SI382" s="131"/>
      <c r="SJ382" s="131"/>
      <c r="SK382" s="131"/>
      <c r="SL382" s="131"/>
      <c r="SM382" s="131"/>
      <c r="SN382" s="131"/>
      <c r="SO382" s="131"/>
      <c r="SP382" s="131"/>
      <c r="SQ382" s="131"/>
      <c r="SR382" s="131"/>
      <c r="SS382" s="131"/>
      <c r="ST382" s="131"/>
      <c r="SU382" s="131"/>
      <c r="SV382" s="131"/>
      <c r="SW382" s="131"/>
      <c r="SX382" s="131"/>
      <c r="SY382" s="131"/>
      <c r="SZ382" s="131"/>
      <c r="TA382" s="131"/>
      <c r="TB382" s="131"/>
      <c r="TC382" s="131"/>
      <c r="TD382" s="131"/>
      <c r="TE382" s="131"/>
      <c r="TF382" s="131"/>
      <c r="TG382" s="131"/>
      <c r="TH382" s="131"/>
      <c r="TI382" s="131"/>
      <c r="TJ382" s="131"/>
      <c r="TK382" s="131"/>
      <c r="TL382" s="131"/>
      <c r="TM382" s="131"/>
      <c r="TN382" s="131"/>
      <c r="TO382" s="131"/>
      <c r="TP382" s="131"/>
      <c r="TQ382" s="131"/>
      <c r="TR382" s="131"/>
      <c r="TS382" s="131"/>
      <c r="TT382" s="131"/>
      <c r="TU382" s="131"/>
      <c r="TV382" s="131"/>
      <c r="TW382" s="131"/>
      <c r="TX382" s="131"/>
      <c r="TY382" s="131"/>
      <c r="TZ382" s="131"/>
      <c r="UA382" s="131"/>
      <c r="UB382" s="131"/>
      <c r="UC382" s="131"/>
      <c r="UD382" s="131"/>
      <c r="UE382" s="131"/>
      <c r="UF382" s="131"/>
      <c r="UG382" s="131"/>
      <c r="UH382" s="131"/>
      <c r="UI382" s="131"/>
      <c r="UJ382" s="131"/>
      <c r="UK382" s="131"/>
      <c r="UL382" s="131"/>
      <c r="UM382" s="131"/>
      <c r="UN382" s="131"/>
      <c r="UO382" s="131"/>
      <c r="UP382" s="131"/>
      <c r="UQ382" s="131"/>
      <c r="UR382" s="131"/>
      <c r="US382" s="131"/>
      <c r="UT382" s="131"/>
      <c r="UU382" s="131"/>
      <c r="UV382" s="131"/>
      <c r="UW382" s="131"/>
      <c r="UX382" s="131"/>
      <c r="UY382" s="131"/>
      <c r="UZ382" s="131"/>
      <c r="VA382" s="131"/>
      <c r="VB382" s="131"/>
      <c r="VC382" s="131"/>
      <c r="VD382" s="131"/>
      <c r="VE382" s="131"/>
      <c r="VF382" s="131"/>
      <c r="VG382" s="131"/>
      <c r="VH382" s="131"/>
      <c r="VI382" s="131"/>
      <c r="VJ382" s="131"/>
      <c r="VK382" s="131"/>
      <c r="VL382" s="131"/>
      <c r="VM382" s="131"/>
      <c r="VN382" s="131"/>
      <c r="VO382" s="131"/>
      <c r="VP382" s="131"/>
      <c r="VQ382" s="131"/>
      <c r="VR382" s="131"/>
      <c r="VS382" s="131"/>
      <c r="VT382" s="131"/>
      <c r="VU382" s="131"/>
      <c r="VV382" s="131"/>
      <c r="VW382" s="131"/>
      <c r="VX382" s="131"/>
      <c r="VY382" s="131"/>
      <c r="VZ382" s="131"/>
      <c r="WA382" s="131"/>
      <c r="WB382" s="131"/>
      <c r="WC382" s="131"/>
      <c r="WD382" s="131"/>
      <c r="WE382" s="131"/>
      <c r="WF382" s="131"/>
      <c r="WG382" s="131"/>
      <c r="WH382" s="131"/>
      <c r="WI382" s="131"/>
      <c r="WJ382" s="131"/>
      <c r="WK382" s="131"/>
      <c r="WL382" s="131"/>
      <c r="WM382" s="131"/>
      <c r="WN382" s="131"/>
      <c r="WO382" s="131"/>
      <c r="WP382" s="131"/>
      <c r="WQ382" s="131"/>
      <c r="WR382" s="131"/>
      <c r="WS382" s="131"/>
      <c r="WT382" s="131"/>
      <c r="WU382" s="131"/>
      <c r="WV382" s="131"/>
      <c r="WW382" s="131"/>
      <c r="WX382" s="131"/>
      <c r="WY382" s="131"/>
      <c r="WZ382" s="131"/>
      <c r="XA382" s="131"/>
      <c r="XB382" s="131"/>
      <c r="XC382" s="131"/>
      <c r="XD382" s="131"/>
      <c r="XE382" s="131"/>
      <c r="XF382" s="131"/>
      <c r="XG382" s="131"/>
      <c r="XH382" s="131"/>
      <c r="XI382" s="131"/>
      <c r="XJ382" s="131"/>
      <c r="XK382" s="131"/>
      <c r="XL382" s="131"/>
      <c r="XM382" s="131"/>
      <c r="XN382" s="131"/>
      <c r="XO382" s="131"/>
      <c r="XP382" s="131"/>
      <c r="XQ382" s="131"/>
      <c r="XR382" s="131"/>
      <c r="XS382" s="131"/>
      <c r="XT382" s="131"/>
      <c r="XU382" s="131"/>
      <c r="XV382" s="131"/>
      <c r="XW382" s="131"/>
      <c r="XX382" s="131"/>
      <c r="XY382" s="131"/>
      <c r="XZ382" s="131"/>
      <c r="YA382" s="131"/>
      <c r="YB382" s="131"/>
      <c r="YC382" s="131"/>
      <c r="YD382" s="131"/>
      <c r="YE382" s="131"/>
      <c r="YF382" s="131"/>
      <c r="YG382" s="131"/>
      <c r="YH382" s="131"/>
      <c r="YI382" s="131"/>
      <c r="YJ382" s="131"/>
      <c r="YK382" s="131"/>
      <c r="YL382" s="131"/>
      <c r="YM382" s="131"/>
      <c r="YN382" s="131"/>
      <c r="YO382" s="131"/>
      <c r="YP382" s="131"/>
      <c r="YQ382" s="131"/>
      <c r="YR382" s="131"/>
      <c r="YS382" s="131"/>
      <c r="YT382" s="131"/>
      <c r="YU382" s="131"/>
      <c r="YV382" s="131"/>
      <c r="YW382" s="131"/>
      <c r="YX382" s="131"/>
      <c r="YY382" s="131"/>
      <c r="YZ382" s="131"/>
      <c r="ZA382" s="131"/>
      <c r="ZB382" s="131"/>
      <c r="ZC382" s="131"/>
      <c r="ZD382" s="131"/>
      <c r="ZE382" s="131"/>
      <c r="ZF382" s="131"/>
      <c r="ZG382" s="131"/>
      <c r="ZH382" s="131"/>
      <c r="ZI382" s="131"/>
      <c r="ZJ382" s="131"/>
      <c r="ZK382" s="131"/>
      <c r="ZL382" s="131"/>
      <c r="ZM382" s="131"/>
      <c r="ZN382" s="131"/>
      <c r="ZO382" s="131"/>
      <c r="ZP382" s="131"/>
      <c r="ZQ382" s="131"/>
      <c r="ZR382" s="131"/>
      <c r="ZS382" s="131"/>
      <c r="ZT382" s="131"/>
      <c r="ZU382" s="131"/>
      <c r="ZV382" s="131"/>
      <c r="ZW382" s="131"/>
      <c r="ZX382" s="131"/>
      <c r="ZY382" s="131"/>
      <c r="ZZ382" s="131"/>
      <c r="AAA382" s="131"/>
      <c r="AAB382" s="131"/>
      <c r="AAC382" s="131"/>
      <c r="AAD382" s="131"/>
      <c r="AAE382" s="131"/>
      <c r="AAF382" s="131"/>
      <c r="AAG382" s="131"/>
      <c r="AAH382" s="131"/>
      <c r="AAI382" s="131"/>
      <c r="AAJ382" s="131"/>
      <c r="AAK382" s="131"/>
      <c r="AAL382" s="131"/>
      <c r="AAM382" s="131"/>
      <c r="AAN382" s="131"/>
      <c r="AAO382" s="131"/>
      <c r="AAP382" s="131"/>
      <c r="AAQ382" s="131"/>
      <c r="AAR382" s="131"/>
      <c r="AAS382" s="131"/>
      <c r="AAT382" s="131"/>
      <c r="AAU382" s="131"/>
      <c r="AAV382" s="131"/>
      <c r="AAW382" s="131"/>
      <c r="AAX382" s="131"/>
      <c r="AAY382" s="131"/>
      <c r="AAZ382" s="131"/>
      <c r="ABA382" s="131"/>
      <c r="ABB382" s="131"/>
      <c r="ABC382" s="131"/>
      <c r="ABD382" s="131"/>
      <c r="ABE382" s="131"/>
      <c r="ABF382" s="131"/>
      <c r="ABG382" s="131"/>
      <c r="ABH382" s="131"/>
      <c r="ABI382" s="131"/>
      <c r="ABJ382" s="131"/>
      <c r="ABK382" s="131"/>
      <c r="ABL382" s="131"/>
      <c r="ABM382" s="131"/>
      <c r="ABN382" s="131"/>
      <c r="ABO382" s="131"/>
      <c r="ABP382" s="131"/>
      <c r="ABQ382" s="131"/>
      <c r="ABR382" s="131"/>
      <c r="ABS382" s="131"/>
      <c r="ABT382" s="131"/>
      <c r="ABU382" s="131"/>
      <c r="ABV382" s="131"/>
      <c r="ABW382" s="131"/>
      <c r="ABX382" s="131"/>
      <c r="ABY382" s="131"/>
      <c r="ABZ382" s="131"/>
      <c r="ACA382" s="131"/>
      <c r="ACB382" s="131"/>
      <c r="ACC382" s="131"/>
      <c r="ACD382" s="131"/>
      <c r="ACE382" s="131"/>
      <c r="ACF382" s="131"/>
      <c r="ACG382" s="131"/>
      <c r="ACH382" s="131"/>
      <c r="ACI382" s="131"/>
      <c r="ACJ382" s="131"/>
      <c r="ACK382" s="131"/>
      <c r="ACL382" s="131"/>
      <c r="ACM382" s="131"/>
      <c r="ACN382" s="131"/>
      <c r="ACO382" s="131"/>
      <c r="ACP382" s="131"/>
      <c r="ACQ382" s="131"/>
      <c r="ACR382" s="131"/>
      <c r="ACS382" s="131"/>
      <c r="ACT382" s="131"/>
      <c r="ACU382" s="131"/>
      <c r="ACV382" s="131"/>
      <c r="ACW382" s="131"/>
      <c r="ACX382" s="131"/>
      <c r="ACY382" s="131"/>
      <c r="ACZ382" s="131"/>
      <c r="ADA382" s="131"/>
      <c r="ADB382" s="131"/>
      <c r="ADC382" s="131"/>
      <c r="ADD382" s="131"/>
      <c r="ADE382" s="131"/>
      <c r="ADF382" s="131"/>
      <c r="ADG382" s="131"/>
      <c r="ADH382" s="131"/>
      <c r="ADI382" s="131"/>
      <c r="ADJ382" s="131"/>
      <c r="ADK382" s="131"/>
      <c r="ADL382" s="131"/>
      <c r="ADM382" s="131"/>
      <c r="ADN382" s="131"/>
      <c r="ADO382" s="131"/>
      <c r="ADP382" s="131"/>
      <c r="ADQ382" s="131"/>
      <c r="ADR382" s="131"/>
      <c r="ADS382" s="131"/>
      <c r="ADT382" s="131"/>
      <c r="ADU382" s="131"/>
      <c r="ADV382" s="131"/>
      <c r="ADW382" s="131"/>
      <c r="ADX382" s="131"/>
      <c r="ADY382" s="131"/>
      <c r="ADZ382" s="131"/>
      <c r="AEA382" s="131"/>
      <c r="AEB382" s="131"/>
      <c r="AEC382" s="131"/>
      <c r="AED382" s="131"/>
      <c r="AEE382" s="131"/>
      <c r="AEF382" s="131"/>
      <c r="AEG382" s="131"/>
      <c r="AEH382" s="131"/>
      <c r="AEI382" s="131"/>
      <c r="AEJ382" s="131"/>
      <c r="AEK382" s="131"/>
      <c r="AEL382" s="131"/>
      <c r="AEM382" s="131"/>
      <c r="AEN382" s="131"/>
      <c r="AEO382" s="131"/>
      <c r="AEP382" s="131"/>
      <c r="AEQ382" s="131"/>
      <c r="AER382" s="131"/>
      <c r="AES382" s="131"/>
      <c r="AET382" s="131"/>
      <c r="AEU382" s="131"/>
      <c r="AEV382" s="131"/>
      <c r="AEW382" s="131"/>
      <c r="AEX382" s="131"/>
      <c r="AEY382" s="131"/>
      <c r="AEZ382" s="131"/>
      <c r="AFA382" s="131"/>
      <c r="AFB382" s="131"/>
      <c r="AFC382" s="131"/>
      <c r="AFD382" s="131"/>
      <c r="AFE382" s="131"/>
      <c r="AFF382" s="131"/>
      <c r="AFG382" s="131"/>
      <c r="AFH382" s="131"/>
      <c r="AFI382" s="131"/>
      <c r="AFJ382" s="131"/>
      <c r="AFK382" s="131"/>
      <c r="AFL382" s="131"/>
      <c r="AFM382" s="131"/>
      <c r="AFN382" s="131"/>
      <c r="AFO382" s="131"/>
      <c r="AFP382" s="131"/>
      <c r="AFQ382" s="131"/>
      <c r="AFR382" s="131"/>
      <c r="AFS382" s="131"/>
      <c r="AFT382" s="131"/>
      <c r="AFU382" s="131"/>
      <c r="AFV382" s="131"/>
      <c r="AFW382" s="131"/>
      <c r="AFX382" s="131"/>
      <c r="AFY382" s="131"/>
      <c r="AFZ382" s="131"/>
      <c r="AGA382" s="131"/>
      <c r="AGB382" s="131"/>
      <c r="AGC382" s="131"/>
      <c r="AGD382" s="131"/>
      <c r="AGE382" s="131"/>
      <c r="AGF382" s="131"/>
      <c r="AGG382" s="131"/>
      <c r="AGH382" s="131"/>
      <c r="AGI382" s="131"/>
      <c r="AGJ382" s="131"/>
      <c r="AGK382" s="131"/>
      <c r="AGL382" s="131"/>
      <c r="AGM382" s="131"/>
      <c r="AGN382" s="131"/>
      <c r="AGO382" s="131"/>
      <c r="AGP382" s="131"/>
      <c r="AGQ382" s="131"/>
      <c r="AGR382" s="131"/>
      <c r="AGS382" s="131"/>
      <c r="AGT382" s="131"/>
      <c r="AGU382" s="131"/>
      <c r="AGV382" s="131"/>
      <c r="AGW382" s="131"/>
      <c r="AGX382" s="131"/>
      <c r="AGY382" s="131"/>
      <c r="AGZ382" s="131"/>
      <c r="AHA382" s="131"/>
      <c r="AHB382" s="131"/>
      <c r="AHC382" s="131"/>
      <c r="AHD382" s="131"/>
      <c r="AHE382" s="131"/>
      <c r="AHF382" s="131"/>
      <c r="AHG382" s="131"/>
      <c r="AHH382" s="131"/>
      <c r="AHI382" s="131"/>
      <c r="AHJ382" s="131"/>
      <c r="AHK382" s="131"/>
      <c r="AHL382" s="131"/>
      <c r="AHM382" s="131"/>
      <c r="AHN382" s="131"/>
      <c r="AHO382" s="131"/>
      <c r="AHP382" s="131"/>
      <c r="AHQ382" s="131"/>
      <c r="AHR382" s="131"/>
      <c r="AHS382" s="131"/>
      <c r="AHT382" s="131"/>
      <c r="AHU382" s="131"/>
      <c r="AHV382" s="131"/>
      <c r="AHW382" s="131"/>
      <c r="AHX382" s="131"/>
      <c r="AHY382" s="131"/>
      <c r="AHZ382" s="131"/>
      <c r="AIA382" s="131"/>
      <c r="AIB382" s="131"/>
      <c r="AIC382" s="131"/>
      <c r="AID382" s="131"/>
      <c r="AIE382" s="131"/>
      <c r="AIF382" s="131"/>
      <c r="AIG382" s="131"/>
      <c r="AIH382" s="131"/>
      <c r="AII382" s="131"/>
      <c r="AIJ382" s="131"/>
      <c r="AIK382" s="131"/>
      <c r="AIL382" s="131"/>
      <c r="AIM382" s="131"/>
      <c r="AIN382" s="131"/>
      <c r="AIO382" s="131"/>
      <c r="AIP382" s="131"/>
      <c r="AIQ382" s="131"/>
      <c r="AIR382" s="131"/>
      <c r="AIS382" s="131"/>
      <c r="AIT382" s="131"/>
      <c r="AIU382" s="131"/>
      <c r="AIV382" s="131"/>
      <c r="AIW382" s="131"/>
      <c r="AIX382" s="131"/>
      <c r="AIY382" s="131"/>
      <c r="AIZ382" s="131"/>
      <c r="AJA382" s="131"/>
      <c r="AJB382" s="131"/>
      <c r="AJC382" s="131"/>
      <c r="AJD382" s="131"/>
      <c r="AJE382" s="131"/>
      <c r="AJF382" s="131"/>
      <c r="AJG382" s="131"/>
      <c r="AJH382" s="131"/>
      <c r="AJI382" s="131"/>
      <c r="AJJ382" s="131"/>
      <c r="AJK382" s="131"/>
      <c r="AJL382" s="131"/>
      <c r="AJM382" s="131"/>
      <c r="AJN382" s="131"/>
      <c r="AJO382" s="131"/>
      <c r="AJP382" s="131"/>
      <c r="AJQ382" s="131"/>
      <c r="AJR382" s="131"/>
      <c r="AJS382" s="131"/>
      <c r="AJT382" s="131"/>
      <c r="AJU382" s="131"/>
      <c r="AJV382" s="131"/>
      <c r="AJW382" s="131"/>
      <c r="AJX382" s="131"/>
      <c r="AJY382" s="131"/>
      <c r="AJZ382" s="131"/>
      <c r="AKA382" s="131"/>
      <c r="AKB382" s="131"/>
      <c r="AKC382" s="131"/>
      <c r="AKD382" s="131"/>
      <c r="AKE382" s="131"/>
      <c r="AKF382" s="131"/>
      <c r="AKG382" s="131"/>
      <c r="AKH382" s="131"/>
      <c r="AKI382" s="131"/>
      <c r="AKJ382" s="131"/>
      <c r="AKK382" s="131"/>
      <c r="AKL382" s="131"/>
      <c r="AKM382" s="131"/>
      <c r="AKN382" s="131"/>
      <c r="AKO382" s="131"/>
      <c r="AKP382" s="131"/>
      <c r="AKQ382" s="131"/>
      <c r="AKR382" s="131"/>
      <c r="AKS382" s="131"/>
      <c r="AKT382" s="131"/>
      <c r="AKU382" s="131"/>
      <c r="AKV382" s="131"/>
      <c r="AKW382" s="131"/>
      <c r="AKX382" s="131"/>
      <c r="AKY382" s="131"/>
      <c r="AKZ382" s="131"/>
      <c r="ALA382" s="131"/>
      <c r="ALB382" s="131"/>
      <c r="ALC382" s="131"/>
      <c r="ALD382" s="131"/>
      <c r="ALE382" s="131"/>
      <c r="ALF382" s="131"/>
      <c r="ALG382" s="131"/>
      <c r="ALH382" s="131"/>
      <c r="ALI382" s="131"/>
      <c r="ALJ382" s="131"/>
      <c r="ALK382" s="131"/>
      <c r="ALL382" s="131"/>
      <c r="ALM382" s="131"/>
      <c r="ALN382" s="131"/>
      <c r="ALO382" s="131"/>
      <c r="ALP382" s="131"/>
      <c r="ALQ382" s="131"/>
      <c r="ALR382" s="131"/>
      <c r="ALS382" s="131"/>
      <c r="ALT382" s="131"/>
      <c r="ALU382" s="131"/>
      <c r="ALV382" s="131"/>
      <c r="ALW382" s="131"/>
      <c r="ALX382" s="131"/>
      <c r="ALY382" s="131"/>
      <c r="ALZ382" s="131"/>
      <c r="AMA382" s="131"/>
      <c r="AMB382" s="131"/>
      <c r="AMC382" s="131"/>
      <c r="AMD382" s="131"/>
      <c r="AME382" s="131"/>
      <c r="AMF382" s="131"/>
      <c r="AMG382" s="131"/>
      <c r="AMH382" s="131"/>
      <c r="AMI382" s="131"/>
      <c r="AMJ382" s="131"/>
      <c r="AMK382" s="131"/>
      <c r="AML382" s="131"/>
      <c r="AMM382" s="131"/>
      <c r="AMN382" s="131"/>
      <c r="AMO382" s="131"/>
      <c r="AMP382" s="131"/>
      <c r="AMQ382" s="131"/>
      <c r="AMR382" s="131"/>
      <c r="AMS382" s="131"/>
      <c r="AMT382" s="131"/>
      <c r="AMU382" s="131"/>
      <c r="AMV382" s="131"/>
      <c r="AMW382" s="131"/>
      <c r="AMX382" s="131"/>
      <c r="AMY382" s="131"/>
      <c r="AMZ382" s="131"/>
      <c r="ANA382" s="131"/>
      <c r="ANB382" s="131"/>
      <c r="ANC382" s="131"/>
      <c r="AND382" s="131"/>
      <c r="ANE382" s="131"/>
      <c r="ANF382" s="131"/>
      <c r="ANG382" s="131"/>
      <c r="ANH382" s="131"/>
      <c r="ANI382" s="131"/>
      <c r="ANJ382" s="131"/>
      <c r="ANK382" s="131"/>
      <c r="ANL382" s="131"/>
      <c r="ANM382" s="131"/>
      <c r="ANN382" s="131"/>
      <c r="ANO382" s="131"/>
      <c r="ANP382" s="131"/>
      <c r="ANQ382" s="131"/>
      <c r="ANR382" s="131"/>
      <c r="ANS382" s="131"/>
      <c r="ANT382" s="131"/>
      <c r="ANU382" s="131"/>
      <c r="ANV382" s="131"/>
      <c r="ANW382" s="131"/>
      <c r="ANX382" s="131"/>
      <c r="ANY382" s="131"/>
      <c r="ANZ382" s="131"/>
      <c r="AOA382" s="131"/>
      <c r="AOB382" s="131"/>
      <c r="AOC382" s="131"/>
      <c r="AOD382" s="131"/>
      <c r="AOE382" s="131"/>
      <c r="AOF382" s="131"/>
      <c r="AOG382" s="131"/>
      <c r="AOH382" s="131"/>
      <c r="AOI382" s="131"/>
      <c r="AOJ382" s="131"/>
      <c r="AOK382" s="131"/>
      <c r="AOL382" s="131"/>
      <c r="AOM382" s="131"/>
      <c r="AON382" s="131"/>
      <c r="AOO382" s="131"/>
      <c r="AOP382" s="131"/>
      <c r="AOQ382" s="131"/>
      <c r="AOR382" s="131"/>
      <c r="AOS382" s="131"/>
      <c r="AOT382" s="131"/>
      <c r="AOU382" s="131"/>
      <c r="AOV382" s="131"/>
      <c r="AOW382" s="131"/>
      <c r="AOX382" s="131"/>
      <c r="AOY382" s="131"/>
      <c r="AOZ382" s="131"/>
      <c r="APA382" s="131"/>
      <c r="APB382" s="131"/>
      <c r="APC382" s="131"/>
      <c r="APD382" s="131"/>
      <c r="APE382" s="131"/>
      <c r="APF382" s="131"/>
      <c r="APG382" s="131"/>
      <c r="APH382" s="131"/>
      <c r="API382" s="131"/>
      <c r="APJ382" s="131"/>
      <c r="APK382" s="131"/>
      <c r="APL382" s="131"/>
      <c r="APM382" s="131"/>
      <c r="APN382" s="131"/>
      <c r="APO382" s="131"/>
      <c r="APP382" s="131"/>
      <c r="APQ382" s="131"/>
      <c r="APR382" s="131"/>
      <c r="APS382" s="131"/>
      <c r="APT382" s="131"/>
      <c r="APU382" s="131"/>
      <c r="APV382" s="131"/>
      <c r="APW382" s="131"/>
      <c r="APX382" s="131"/>
      <c r="APY382" s="131"/>
      <c r="APZ382" s="131"/>
      <c r="AQA382" s="131"/>
      <c r="AQB382" s="131"/>
      <c r="AQC382" s="131"/>
      <c r="AQD382" s="131"/>
      <c r="AQE382" s="131"/>
      <c r="AQF382" s="131"/>
      <c r="AQG382" s="131"/>
      <c r="AQH382" s="131"/>
      <c r="AQI382" s="131"/>
      <c r="AQJ382" s="131"/>
      <c r="AQK382" s="131"/>
      <c r="AQL382" s="131"/>
      <c r="AQM382" s="131"/>
      <c r="AQN382" s="131"/>
      <c r="AQO382" s="131"/>
      <c r="AQP382" s="131"/>
      <c r="AQQ382" s="131"/>
      <c r="AQR382" s="131"/>
      <c r="AQS382" s="131"/>
      <c r="AQT382" s="131"/>
      <c r="AQU382" s="131"/>
      <c r="AQV382" s="131"/>
      <c r="AQW382" s="131"/>
      <c r="AQX382" s="131"/>
      <c r="AQY382" s="131"/>
      <c r="AQZ382" s="131"/>
      <c r="ARA382" s="131"/>
      <c r="ARB382" s="131"/>
      <c r="ARC382" s="131"/>
      <c r="ARD382" s="131"/>
      <c r="ARE382" s="131"/>
      <c r="ARF382" s="131"/>
      <c r="ARG382" s="131"/>
      <c r="ARH382" s="131"/>
      <c r="ARI382" s="131"/>
      <c r="ARJ382" s="131"/>
      <c r="ARK382" s="131"/>
      <c r="ARL382" s="131"/>
      <c r="ARM382" s="131"/>
      <c r="ARN382" s="131"/>
      <c r="ARO382" s="131"/>
      <c r="ARP382" s="131"/>
      <c r="ARQ382" s="131"/>
      <c r="ARR382" s="131"/>
      <c r="ARS382" s="131"/>
      <c r="ART382" s="131"/>
      <c r="ARU382" s="131"/>
      <c r="ARV382" s="131"/>
      <c r="ARW382" s="131"/>
      <c r="ARX382" s="131"/>
      <c r="ARY382" s="131"/>
      <c r="ARZ382" s="131"/>
      <c r="ASA382" s="131"/>
      <c r="ASB382" s="131"/>
      <c r="ASC382" s="131"/>
      <c r="ASD382" s="131"/>
      <c r="ASE382" s="131"/>
      <c r="ASF382" s="131"/>
      <c r="ASG382" s="131"/>
      <c r="ASH382" s="131"/>
      <c r="ASI382" s="131"/>
      <c r="ASJ382" s="131"/>
      <c r="ASK382" s="131"/>
      <c r="ASL382" s="131"/>
      <c r="ASM382" s="131"/>
      <c r="ASN382" s="131"/>
      <c r="ASO382" s="131"/>
      <c r="ASP382" s="131"/>
      <c r="ASQ382" s="131"/>
      <c r="ASR382" s="131"/>
      <c r="ASS382" s="131"/>
      <c r="AST382" s="131"/>
      <c r="ASU382" s="131"/>
      <c r="ASV382" s="131"/>
      <c r="ASW382" s="131"/>
      <c r="ASX382" s="131"/>
      <c r="ASY382" s="131"/>
      <c r="ASZ382" s="131"/>
      <c r="ATA382" s="131"/>
      <c r="ATB382" s="131"/>
      <c r="ATC382" s="131"/>
    </row>
    <row r="383" spans="1:1199" ht="50.1" customHeight="1" outlineLevel="2" x14ac:dyDescent="0.3">
      <c r="A383" s="103" t="s">
        <v>374</v>
      </c>
      <c r="B383" s="96" t="s">
        <v>375</v>
      </c>
      <c r="C383" s="79" t="s">
        <v>37</v>
      </c>
      <c r="D383" s="81">
        <f t="shared" ref="D383" si="89">E383+F383</f>
        <v>579.23702000000003</v>
      </c>
      <c r="E383" s="82">
        <f t="shared" si="78"/>
        <v>268.74123000000003</v>
      </c>
      <c r="F383" s="83">
        <f t="shared" si="84"/>
        <v>310.49579</v>
      </c>
      <c r="G383" s="84"/>
      <c r="H383" s="85"/>
      <c r="I383" s="85"/>
      <c r="J383" s="84"/>
      <c r="K383" s="85"/>
      <c r="L383" s="85"/>
      <c r="M383" s="85"/>
      <c r="N383" s="85"/>
      <c r="O383" s="82"/>
      <c r="P383" s="83"/>
      <c r="Q383" s="83"/>
      <c r="R383" s="83"/>
      <c r="S383" s="82"/>
      <c r="T383" s="83"/>
      <c r="U383" s="83"/>
      <c r="V383" s="84"/>
      <c r="W383" s="85"/>
      <c r="X383" s="87"/>
      <c r="Y383" s="83"/>
      <c r="Z383" s="84"/>
      <c r="AA383" s="85"/>
      <c r="AB383" s="84"/>
      <c r="AC383" s="85"/>
      <c r="AD383" s="89">
        <f t="shared" si="85"/>
        <v>0</v>
      </c>
      <c r="AE383" s="89"/>
      <c r="AF383" s="186"/>
      <c r="AG383" s="85"/>
      <c r="AH383" s="85"/>
      <c r="AI383" s="85"/>
      <c r="AJ383" s="84"/>
      <c r="AK383" s="85"/>
      <c r="AL383" s="84"/>
      <c r="AM383" s="88"/>
      <c r="AN383" s="84"/>
      <c r="AO383" s="85"/>
      <c r="AP383" s="84">
        <v>111.59820000000001</v>
      </c>
      <c r="AQ383" s="83">
        <v>168.18984</v>
      </c>
      <c r="AR383" s="83"/>
      <c r="AS383" s="83"/>
      <c r="AT383" s="85"/>
      <c r="AU383" s="85"/>
      <c r="AV383" s="85"/>
      <c r="AW383" s="88"/>
      <c r="AX383" s="84"/>
      <c r="AY383" s="85"/>
      <c r="AZ383" s="84">
        <v>157.14303000000001</v>
      </c>
      <c r="BA383" s="85">
        <v>142.30595</v>
      </c>
      <c r="BB383" s="88"/>
      <c r="BC383" s="85"/>
      <c r="BD383" s="84"/>
      <c r="BE383" s="88"/>
      <c r="BF383" s="85"/>
      <c r="BG383" s="85"/>
      <c r="BH383" s="85"/>
      <c r="BI383" s="85"/>
      <c r="BJ383" s="85"/>
      <c r="BK383" s="85"/>
      <c r="BL383" s="85"/>
      <c r="BM383" s="85"/>
      <c r="BN383" s="85"/>
      <c r="BO383" s="85"/>
      <c r="BP383" s="85"/>
      <c r="BQ383" s="85"/>
      <c r="BR383" s="84"/>
      <c r="BS383" s="85"/>
      <c r="BT383" s="85"/>
      <c r="BU383" s="198"/>
      <c r="BV383" s="90"/>
      <c r="BW383" s="198"/>
      <c r="BX383" s="90"/>
      <c r="BY383" s="198"/>
      <c r="BZ383" s="90"/>
      <c r="CA383" s="91"/>
    </row>
    <row r="384" spans="1:1199" ht="50.1" customHeight="1" outlineLevel="2" x14ac:dyDescent="0.3">
      <c r="A384" s="103" t="s">
        <v>374</v>
      </c>
      <c r="B384" s="96" t="s">
        <v>376</v>
      </c>
      <c r="C384" s="79" t="s">
        <v>37</v>
      </c>
      <c r="D384" s="81">
        <f t="shared" ref="D384:D402" si="90">E384+F384</f>
        <v>2943.3014600000001</v>
      </c>
      <c r="E384" s="82">
        <f t="shared" si="78"/>
        <v>1267.4729500000001</v>
      </c>
      <c r="F384" s="83">
        <f t="shared" si="84"/>
        <v>1675.8285100000001</v>
      </c>
      <c r="G384" s="84"/>
      <c r="H384" s="85"/>
      <c r="I384" s="85"/>
      <c r="J384" s="84"/>
      <c r="K384" s="85"/>
      <c r="L384" s="85"/>
      <c r="M384" s="85"/>
      <c r="N384" s="85"/>
      <c r="O384" s="82"/>
      <c r="P384" s="83"/>
      <c r="Q384" s="83"/>
      <c r="R384" s="83"/>
      <c r="S384" s="82"/>
      <c r="T384" s="83"/>
      <c r="U384" s="83"/>
      <c r="V384" s="84"/>
      <c r="W384" s="85"/>
      <c r="X384" s="87"/>
      <c r="Y384" s="83">
        <v>265.2</v>
      </c>
      <c r="Z384" s="84"/>
      <c r="AA384" s="85"/>
      <c r="AB384" s="84"/>
      <c r="AC384" s="85"/>
      <c r="AD384" s="89">
        <f t="shared" si="85"/>
        <v>0</v>
      </c>
      <c r="AE384" s="89"/>
      <c r="AF384" s="186"/>
      <c r="AG384" s="85"/>
      <c r="AH384" s="85"/>
      <c r="AI384" s="85"/>
      <c r="AJ384" s="84"/>
      <c r="AK384" s="85"/>
      <c r="AL384" s="84"/>
      <c r="AM384" s="88"/>
      <c r="AN384" s="84"/>
      <c r="AO384" s="85"/>
      <c r="AP384" s="84">
        <v>772.11247000000003</v>
      </c>
      <c r="AQ384" s="83">
        <v>962.03893000000005</v>
      </c>
      <c r="AR384" s="83"/>
      <c r="AS384" s="83"/>
      <c r="AT384" s="85"/>
      <c r="AU384" s="85"/>
      <c r="AV384" s="85"/>
      <c r="AW384" s="88"/>
      <c r="AX384" s="84"/>
      <c r="AY384" s="85"/>
      <c r="AZ384" s="84">
        <v>495.36048</v>
      </c>
      <c r="BA384" s="85">
        <v>448.58958000000001</v>
      </c>
      <c r="BB384" s="88"/>
      <c r="BC384" s="85"/>
      <c r="BD384" s="84"/>
      <c r="BE384" s="88"/>
      <c r="BF384" s="85"/>
      <c r="BG384" s="85"/>
      <c r="BH384" s="85"/>
      <c r="BI384" s="85"/>
      <c r="BJ384" s="85"/>
      <c r="BK384" s="85"/>
      <c r="BL384" s="85"/>
      <c r="BM384" s="85"/>
      <c r="BN384" s="85"/>
      <c r="BO384" s="85"/>
      <c r="BP384" s="85"/>
      <c r="BQ384" s="85"/>
      <c r="BR384" s="84"/>
      <c r="BS384" s="85"/>
      <c r="BT384" s="85"/>
      <c r="BU384" s="198"/>
      <c r="BV384" s="90"/>
      <c r="BW384" s="198"/>
      <c r="BX384" s="90"/>
      <c r="BY384" s="198"/>
      <c r="BZ384" s="90"/>
      <c r="CA384" s="91"/>
    </row>
    <row r="385" spans="1:79" ht="50.1" customHeight="1" outlineLevel="2" x14ac:dyDescent="0.3">
      <c r="A385" s="103" t="s">
        <v>374</v>
      </c>
      <c r="B385" s="96" t="s">
        <v>377</v>
      </c>
      <c r="C385" s="79" t="s">
        <v>55</v>
      </c>
      <c r="D385" s="81">
        <f t="shared" si="90"/>
        <v>484.53165999999999</v>
      </c>
      <c r="E385" s="82">
        <f t="shared" si="78"/>
        <v>100.76412999999999</v>
      </c>
      <c r="F385" s="83">
        <f t="shared" si="84"/>
        <v>383.76752999999997</v>
      </c>
      <c r="G385" s="84"/>
      <c r="H385" s="85"/>
      <c r="I385" s="85"/>
      <c r="J385" s="84"/>
      <c r="K385" s="85"/>
      <c r="L385" s="85"/>
      <c r="M385" s="85"/>
      <c r="N385" s="85"/>
      <c r="O385" s="82"/>
      <c r="P385" s="83"/>
      <c r="Q385" s="83"/>
      <c r="R385" s="83"/>
      <c r="S385" s="82"/>
      <c r="T385" s="83"/>
      <c r="U385" s="83"/>
      <c r="V385" s="84"/>
      <c r="W385" s="85"/>
      <c r="X385" s="82"/>
      <c r="Y385" s="83">
        <v>214.5</v>
      </c>
      <c r="Z385" s="84"/>
      <c r="AA385" s="85"/>
      <c r="AB385" s="84"/>
      <c r="AC385" s="85"/>
      <c r="AD385" s="89">
        <f t="shared" si="85"/>
        <v>0</v>
      </c>
      <c r="AE385" s="89"/>
      <c r="AF385" s="186"/>
      <c r="AG385" s="85"/>
      <c r="AH385" s="85"/>
      <c r="AI385" s="85"/>
      <c r="AJ385" s="84"/>
      <c r="AK385" s="85"/>
      <c r="AL385" s="84"/>
      <c r="AM385" s="88"/>
      <c r="AN385" s="84"/>
      <c r="AO385" s="85"/>
      <c r="AP385" s="84"/>
      <c r="AQ385" s="83"/>
      <c r="AR385" s="83"/>
      <c r="AS385" s="83"/>
      <c r="AT385" s="85"/>
      <c r="AU385" s="85"/>
      <c r="AV385" s="85">
        <f>78.01745</f>
        <v>78.017449999999997</v>
      </c>
      <c r="AW385" s="88"/>
      <c r="AX385" s="84"/>
      <c r="AY385" s="85"/>
      <c r="AZ385" s="84">
        <v>100.76412999999999</v>
      </c>
      <c r="BA385" s="85">
        <v>91.250079999999997</v>
      </c>
      <c r="BB385" s="88"/>
      <c r="BC385" s="85"/>
      <c r="BD385" s="84"/>
      <c r="BE385" s="88"/>
      <c r="BF385" s="85"/>
      <c r="BG385" s="85"/>
      <c r="BH385" s="85"/>
      <c r="BI385" s="85"/>
      <c r="BJ385" s="85"/>
      <c r="BK385" s="85"/>
      <c r="BL385" s="85"/>
      <c r="BM385" s="85"/>
      <c r="BN385" s="85"/>
      <c r="BO385" s="85"/>
      <c r="BP385" s="85"/>
      <c r="BQ385" s="85"/>
      <c r="BR385" s="84"/>
      <c r="BS385" s="85"/>
      <c r="BT385" s="85"/>
      <c r="BU385" s="198"/>
      <c r="BV385" s="90"/>
      <c r="BW385" s="198"/>
      <c r="BX385" s="90"/>
      <c r="BY385" s="198"/>
      <c r="BZ385" s="90"/>
      <c r="CA385" s="91"/>
    </row>
    <row r="386" spans="1:79" ht="50.1" customHeight="1" outlineLevel="2" x14ac:dyDescent="0.3">
      <c r="A386" s="103" t="s">
        <v>374</v>
      </c>
      <c r="B386" s="96" t="s">
        <v>378</v>
      </c>
      <c r="C386" s="79" t="s">
        <v>55</v>
      </c>
      <c r="D386" s="81">
        <f t="shared" si="90"/>
        <v>378.64409999999998</v>
      </c>
      <c r="E386" s="82">
        <f t="shared" si="78"/>
        <v>58.222340000000003</v>
      </c>
      <c r="F386" s="83">
        <f t="shared" si="84"/>
        <v>320.42176000000001</v>
      </c>
      <c r="G386" s="84"/>
      <c r="H386" s="85"/>
      <c r="I386" s="85"/>
      <c r="J386" s="84"/>
      <c r="K386" s="85"/>
      <c r="L386" s="85"/>
      <c r="M386" s="85"/>
      <c r="N386" s="85"/>
      <c r="O386" s="82"/>
      <c r="P386" s="83"/>
      <c r="Q386" s="83"/>
      <c r="R386" s="83"/>
      <c r="S386" s="82"/>
      <c r="T386" s="83"/>
      <c r="U386" s="83"/>
      <c r="V386" s="84"/>
      <c r="W386" s="85"/>
      <c r="X386" s="82"/>
      <c r="Y386" s="83">
        <v>218.4</v>
      </c>
      <c r="Z386" s="84"/>
      <c r="AA386" s="85"/>
      <c r="AB386" s="84"/>
      <c r="AC386" s="85"/>
      <c r="AD386" s="89">
        <f t="shared" si="85"/>
        <v>49.296679999999995</v>
      </c>
      <c r="AE386" s="89">
        <v>17.192799999999998</v>
      </c>
      <c r="AF386" s="186">
        <v>32.103879999999997</v>
      </c>
      <c r="AG386" s="85"/>
      <c r="AH386" s="85"/>
      <c r="AI386" s="85"/>
      <c r="AJ386" s="84"/>
      <c r="AK386" s="85"/>
      <c r="AL386" s="84"/>
      <c r="AM386" s="88"/>
      <c r="AN386" s="84"/>
      <c r="AO386" s="85"/>
      <c r="AP386" s="84"/>
      <c r="AQ386" s="83"/>
      <c r="AR386" s="83"/>
      <c r="AS386" s="83"/>
      <c r="AT386" s="85"/>
      <c r="AU386" s="85"/>
      <c r="AV386" s="85"/>
      <c r="AW386" s="88"/>
      <c r="AX386" s="84"/>
      <c r="AY386" s="85"/>
      <c r="AZ386" s="84">
        <v>58.222340000000003</v>
      </c>
      <c r="BA386" s="85">
        <v>52.725079999999998</v>
      </c>
      <c r="BB386" s="88"/>
      <c r="BC386" s="85"/>
      <c r="BD386" s="84"/>
      <c r="BE386" s="88"/>
      <c r="BF386" s="85"/>
      <c r="BG386" s="85"/>
      <c r="BH386" s="85"/>
      <c r="BI386" s="85"/>
      <c r="BJ386" s="85"/>
      <c r="BK386" s="85"/>
      <c r="BL386" s="85"/>
      <c r="BM386" s="85"/>
      <c r="BN386" s="85"/>
      <c r="BO386" s="85"/>
      <c r="BP386" s="85"/>
      <c r="BQ386" s="85"/>
      <c r="BR386" s="84"/>
      <c r="BS386" s="85"/>
      <c r="BT386" s="85"/>
      <c r="BU386" s="198"/>
      <c r="BV386" s="90"/>
      <c r="BW386" s="198"/>
      <c r="BX386" s="90"/>
      <c r="BY386" s="198"/>
      <c r="BZ386" s="90"/>
      <c r="CA386" s="91"/>
    </row>
    <row r="387" spans="1:79" ht="50.1" customHeight="1" outlineLevel="2" x14ac:dyDescent="0.3">
      <c r="A387" s="96" t="s">
        <v>374</v>
      </c>
      <c r="B387" s="96" t="s">
        <v>379</v>
      </c>
      <c r="C387" s="79" t="s">
        <v>55</v>
      </c>
      <c r="D387" s="81">
        <f t="shared" si="90"/>
        <v>675.22360000000003</v>
      </c>
      <c r="E387" s="82">
        <f t="shared" ref="E387:E438" si="91">G387+J387+O387+S387+V387+X387+Z387+AB387+AJ387+AL387+AN387+AP387+AX387+AZ387+BD387+BV387+BX387+BZ387+BR387</f>
        <v>239.52934999999999</v>
      </c>
      <c r="F387" s="83">
        <f t="shared" si="84"/>
        <v>435.69425000000001</v>
      </c>
      <c r="G387" s="84"/>
      <c r="H387" s="85"/>
      <c r="I387" s="85"/>
      <c r="J387" s="84"/>
      <c r="K387" s="85"/>
      <c r="L387" s="85"/>
      <c r="M387" s="85"/>
      <c r="N387" s="85"/>
      <c r="O387" s="82"/>
      <c r="P387" s="83"/>
      <c r="Q387" s="83"/>
      <c r="R387" s="83"/>
      <c r="S387" s="82"/>
      <c r="T387" s="83"/>
      <c r="U387" s="83"/>
      <c r="V387" s="84"/>
      <c r="W387" s="85"/>
      <c r="X387" s="87"/>
      <c r="Y387" s="83">
        <v>206.7</v>
      </c>
      <c r="Z387" s="84"/>
      <c r="AA387" s="85"/>
      <c r="AB387" s="84"/>
      <c r="AC387" s="85"/>
      <c r="AD387" s="89">
        <f t="shared" si="85"/>
        <v>12.080959999999999</v>
      </c>
      <c r="AE387" s="89">
        <v>4.2981999999999996</v>
      </c>
      <c r="AF387" s="186">
        <v>7.7827599999999997</v>
      </c>
      <c r="AG387" s="85"/>
      <c r="AH387" s="85"/>
      <c r="AI387" s="85"/>
      <c r="AJ387" s="84"/>
      <c r="AK387" s="85"/>
      <c r="AL387" s="84"/>
      <c r="AM387" s="88"/>
      <c r="AN387" s="84"/>
      <c r="AO387" s="85"/>
      <c r="AP387" s="84"/>
      <c r="AQ387" s="83"/>
      <c r="AR387" s="83"/>
      <c r="AS387" s="83"/>
      <c r="AT387" s="85"/>
      <c r="AU387" s="85"/>
      <c r="AV387" s="85"/>
      <c r="AW387" s="88"/>
      <c r="AX387" s="84"/>
      <c r="AY387" s="85"/>
      <c r="AZ387" s="84">
        <v>239.52934999999999</v>
      </c>
      <c r="BA387" s="85">
        <v>216.91328999999999</v>
      </c>
      <c r="BB387" s="88"/>
      <c r="BC387" s="85"/>
      <c r="BD387" s="84"/>
      <c r="BE387" s="88"/>
      <c r="BF387" s="85"/>
      <c r="BG387" s="85"/>
      <c r="BH387" s="85"/>
      <c r="BI387" s="85"/>
      <c r="BJ387" s="85"/>
      <c r="BK387" s="85"/>
      <c r="BL387" s="85"/>
      <c r="BM387" s="85"/>
      <c r="BN387" s="85"/>
      <c r="BO387" s="85"/>
      <c r="BP387" s="85"/>
      <c r="BQ387" s="85"/>
      <c r="BR387" s="84"/>
      <c r="BS387" s="85"/>
      <c r="BT387" s="85"/>
      <c r="BU387" s="198"/>
      <c r="BV387" s="90"/>
      <c r="BW387" s="198"/>
      <c r="BX387" s="90"/>
      <c r="BY387" s="198"/>
      <c r="BZ387" s="90"/>
      <c r="CA387" s="91"/>
    </row>
    <row r="388" spans="1:79" ht="50.1" customHeight="1" outlineLevel="2" x14ac:dyDescent="0.3">
      <c r="A388" s="103" t="s">
        <v>374</v>
      </c>
      <c r="B388" s="96" t="s">
        <v>380</v>
      </c>
      <c r="C388" s="79" t="s">
        <v>55</v>
      </c>
      <c r="D388" s="81">
        <f t="shared" si="90"/>
        <v>531.25648999999999</v>
      </c>
      <c r="E388" s="82">
        <f t="shared" si="91"/>
        <v>196.05504999999999</v>
      </c>
      <c r="F388" s="83">
        <f t="shared" si="84"/>
        <v>335.20143999999999</v>
      </c>
      <c r="G388" s="84"/>
      <c r="H388" s="85"/>
      <c r="I388" s="85"/>
      <c r="J388" s="84"/>
      <c r="K388" s="85"/>
      <c r="L388" s="85"/>
      <c r="M388" s="85"/>
      <c r="N388" s="85"/>
      <c r="O388" s="82"/>
      <c r="P388" s="83"/>
      <c r="Q388" s="83"/>
      <c r="R388" s="83"/>
      <c r="S388" s="82"/>
      <c r="T388" s="83"/>
      <c r="U388" s="83"/>
      <c r="V388" s="84"/>
      <c r="W388" s="85"/>
      <c r="X388" s="87"/>
      <c r="Y388" s="83"/>
      <c r="Z388" s="84"/>
      <c r="AA388" s="85"/>
      <c r="AB388" s="84"/>
      <c r="AC388" s="85"/>
      <c r="AD388" s="89">
        <f t="shared" si="85"/>
        <v>0</v>
      </c>
      <c r="AE388" s="89"/>
      <c r="AF388" s="186"/>
      <c r="AG388" s="85"/>
      <c r="AH388" s="85"/>
      <c r="AI388" s="85"/>
      <c r="AJ388" s="84"/>
      <c r="AK388" s="85"/>
      <c r="AL388" s="84"/>
      <c r="AM388" s="88"/>
      <c r="AN388" s="84"/>
      <c r="AO388" s="85"/>
      <c r="AP388" s="84">
        <v>145.15517</v>
      </c>
      <c r="AQ388" s="83">
        <v>262.63373999999999</v>
      </c>
      <c r="AR388" s="83"/>
      <c r="AS388" s="83"/>
      <c r="AT388" s="85"/>
      <c r="AU388" s="85"/>
      <c r="AV388" s="85">
        <f>8.95475+17.5189</f>
        <v>26.473649999999999</v>
      </c>
      <c r="AW388" s="88"/>
      <c r="AX388" s="84"/>
      <c r="AY388" s="85"/>
      <c r="AZ388" s="84">
        <v>50.899880000000003</v>
      </c>
      <c r="BA388" s="85">
        <v>46.094050000000003</v>
      </c>
      <c r="BB388" s="88"/>
      <c r="BC388" s="85"/>
      <c r="BD388" s="84"/>
      <c r="BE388" s="88"/>
      <c r="BF388" s="85"/>
      <c r="BG388" s="85"/>
      <c r="BH388" s="85"/>
      <c r="BI388" s="85"/>
      <c r="BJ388" s="85"/>
      <c r="BK388" s="85"/>
      <c r="BL388" s="85"/>
      <c r="BM388" s="85"/>
      <c r="BN388" s="85"/>
      <c r="BO388" s="85"/>
      <c r="BP388" s="85"/>
      <c r="BQ388" s="85"/>
      <c r="BR388" s="84"/>
      <c r="BS388" s="85"/>
      <c r="BT388" s="85"/>
      <c r="BU388" s="198"/>
      <c r="BV388" s="90"/>
      <c r="BW388" s="198"/>
      <c r="BX388" s="90"/>
      <c r="BY388" s="198"/>
      <c r="BZ388" s="90"/>
      <c r="CA388" s="91"/>
    </row>
    <row r="389" spans="1:79" ht="50.1" customHeight="1" outlineLevel="2" x14ac:dyDescent="0.3">
      <c r="A389" s="103" t="s">
        <v>374</v>
      </c>
      <c r="B389" s="96" t="s">
        <v>381</v>
      </c>
      <c r="C389" s="119" t="s">
        <v>55</v>
      </c>
      <c r="D389" s="81">
        <f t="shared" si="90"/>
        <v>154.35016999999999</v>
      </c>
      <c r="E389" s="82">
        <f t="shared" si="91"/>
        <v>51.527679999999997</v>
      </c>
      <c r="F389" s="83">
        <f t="shared" si="84"/>
        <v>102.82248999999999</v>
      </c>
      <c r="G389" s="84"/>
      <c r="H389" s="85"/>
      <c r="I389" s="85"/>
      <c r="J389" s="84"/>
      <c r="K389" s="85"/>
      <c r="L389" s="85"/>
      <c r="M389" s="85"/>
      <c r="N389" s="85"/>
      <c r="O389" s="82"/>
      <c r="P389" s="83"/>
      <c r="Q389" s="83"/>
      <c r="R389" s="83"/>
      <c r="S389" s="82"/>
      <c r="T389" s="83"/>
      <c r="U389" s="83"/>
      <c r="V389" s="84"/>
      <c r="W389" s="85"/>
      <c r="X389" s="87"/>
      <c r="Y389" s="83">
        <v>56.16</v>
      </c>
      <c r="Z389" s="84"/>
      <c r="AA389" s="85"/>
      <c r="AB389" s="84"/>
      <c r="AC389" s="85"/>
      <c r="AD389" s="89">
        <f t="shared" si="85"/>
        <v>0</v>
      </c>
      <c r="AE389" s="89"/>
      <c r="AF389" s="186"/>
      <c r="AG389" s="85"/>
      <c r="AH389" s="85"/>
      <c r="AI389" s="85"/>
      <c r="AJ389" s="84"/>
      <c r="AK389" s="85"/>
      <c r="AL389" s="84"/>
      <c r="AM389" s="88"/>
      <c r="AN389" s="84"/>
      <c r="AO389" s="85"/>
      <c r="AP389" s="84"/>
      <c r="AQ389" s="83"/>
      <c r="AR389" s="83"/>
      <c r="AS389" s="83"/>
      <c r="AT389" s="85"/>
      <c r="AU389" s="85"/>
      <c r="AV389" s="85"/>
      <c r="AW389" s="88"/>
      <c r="AX389" s="84"/>
      <c r="AY389" s="85"/>
      <c r="AZ389" s="84">
        <v>51.527679999999997</v>
      </c>
      <c r="BA389" s="85">
        <v>46.662489999999998</v>
      </c>
      <c r="BB389" s="88"/>
      <c r="BC389" s="85"/>
      <c r="BD389" s="84"/>
      <c r="BE389" s="88"/>
      <c r="BF389" s="85"/>
      <c r="BG389" s="85"/>
      <c r="BH389" s="85"/>
      <c r="BI389" s="85"/>
      <c r="BJ389" s="85"/>
      <c r="BK389" s="85"/>
      <c r="BL389" s="85"/>
      <c r="BM389" s="85"/>
      <c r="BN389" s="85"/>
      <c r="BO389" s="85"/>
      <c r="BP389" s="85"/>
      <c r="BQ389" s="85"/>
      <c r="BR389" s="84"/>
      <c r="BS389" s="85"/>
      <c r="BT389" s="85"/>
      <c r="BU389" s="198"/>
      <c r="BV389" s="90"/>
      <c r="BW389" s="198"/>
      <c r="BX389" s="90"/>
      <c r="BY389" s="198"/>
      <c r="BZ389" s="90"/>
      <c r="CA389" s="91"/>
    </row>
    <row r="390" spans="1:79" ht="50.1" customHeight="1" outlineLevel="2" x14ac:dyDescent="0.3">
      <c r="A390" s="103" t="s">
        <v>374</v>
      </c>
      <c r="B390" s="96" t="s">
        <v>382</v>
      </c>
      <c r="C390" s="79" t="s">
        <v>55</v>
      </c>
      <c r="D390" s="81">
        <f t="shared" si="90"/>
        <v>475.18914000000001</v>
      </c>
      <c r="E390" s="82">
        <f t="shared" si="91"/>
        <v>129.55529000000001</v>
      </c>
      <c r="F390" s="83">
        <f t="shared" si="84"/>
        <v>345.63385</v>
      </c>
      <c r="G390" s="84"/>
      <c r="H390" s="85"/>
      <c r="I390" s="85"/>
      <c r="J390" s="84"/>
      <c r="K390" s="85"/>
      <c r="L390" s="85"/>
      <c r="M390" s="85"/>
      <c r="N390" s="85"/>
      <c r="O390" s="82"/>
      <c r="P390" s="83"/>
      <c r="Q390" s="83"/>
      <c r="R390" s="83"/>
      <c r="S390" s="82"/>
      <c r="T390" s="83"/>
      <c r="U390" s="83"/>
      <c r="V390" s="84"/>
      <c r="W390" s="85"/>
      <c r="X390" s="87"/>
      <c r="Y390" s="83">
        <v>180.96</v>
      </c>
      <c r="Z390" s="84"/>
      <c r="AA390" s="85"/>
      <c r="AB390" s="84"/>
      <c r="AC390" s="85"/>
      <c r="AD390" s="89">
        <f t="shared" si="85"/>
        <v>47.350999999999999</v>
      </c>
      <c r="AE390" s="89">
        <v>17.192799999999998</v>
      </c>
      <c r="AF390" s="186">
        <v>30.158200000000001</v>
      </c>
      <c r="AG390" s="85"/>
      <c r="AH390" s="85"/>
      <c r="AI390" s="85"/>
      <c r="AJ390" s="84"/>
      <c r="AK390" s="85"/>
      <c r="AL390" s="84"/>
      <c r="AM390" s="88"/>
      <c r="AN390" s="84"/>
      <c r="AO390" s="85"/>
      <c r="AP390" s="84"/>
      <c r="AQ390" s="83"/>
      <c r="AR390" s="83"/>
      <c r="AS390" s="83"/>
      <c r="AT390" s="85"/>
      <c r="AU390" s="85"/>
      <c r="AV390" s="85"/>
      <c r="AW390" s="88"/>
      <c r="AX390" s="84"/>
      <c r="AY390" s="85"/>
      <c r="AZ390" s="84">
        <v>129.55529000000001</v>
      </c>
      <c r="BA390" s="85">
        <v>117.32285</v>
      </c>
      <c r="BB390" s="88"/>
      <c r="BC390" s="85"/>
      <c r="BD390" s="84"/>
      <c r="BE390" s="88"/>
      <c r="BF390" s="85"/>
      <c r="BG390" s="85"/>
      <c r="BH390" s="85"/>
      <c r="BI390" s="85"/>
      <c r="BJ390" s="85"/>
      <c r="BK390" s="85"/>
      <c r="BL390" s="85"/>
      <c r="BM390" s="85"/>
      <c r="BN390" s="85"/>
      <c r="BO390" s="85"/>
      <c r="BP390" s="85"/>
      <c r="BQ390" s="85"/>
      <c r="BR390" s="84"/>
      <c r="BS390" s="85"/>
      <c r="BT390" s="85"/>
      <c r="BU390" s="198"/>
      <c r="BV390" s="90"/>
      <c r="BW390" s="198"/>
      <c r="BX390" s="90"/>
      <c r="BY390" s="198"/>
      <c r="BZ390" s="90"/>
      <c r="CA390" s="91"/>
    </row>
    <row r="391" spans="1:79" ht="50.1" customHeight="1" outlineLevel="2" x14ac:dyDescent="0.3">
      <c r="A391" s="103" t="s">
        <v>374</v>
      </c>
      <c r="B391" s="96" t="s">
        <v>383</v>
      </c>
      <c r="C391" s="79" t="s">
        <v>55</v>
      </c>
      <c r="D391" s="81">
        <f t="shared" si="90"/>
        <v>367.17171999999999</v>
      </c>
      <c r="E391" s="82">
        <f t="shared" si="91"/>
        <v>115.47393</v>
      </c>
      <c r="F391" s="83">
        <f t="shared" si="84"/>
        <v>251.69779</v>
      </c>
      <c r="G391" s="84"/>
      <c r="H391" s="85"/>
      <c r="I391" s="85"/>
      <c r="J391" s="84"/>
      <c r="K391" s="85"/>
      <c r="L391" s="85"/>
      <c r="M391" s="85"/>
      <c r="N391" s="85"/>
      <c r="O391" s="82"/>
      <c r="P391" s="83"/>
      <c r="Q391" s="83"/>
      <c r="R391" s="83"/>
      <c r="S391" s="82"/>
      <c r="T391" s="83"/>
      <c r="U391" s="83"/>
      <c r="V391" s="84"/>
      <c r="W391" s="85"/>
      <c r="X391" s="87"/>
      <c r="Y391" s="83">
        <v>112.32</v>
      </c>
      <c r="Z391" s="84"/>
      <c r="AA391" s="85"/>
      <c r="AB391" s="84"/>
      <c r="AC391" s="85"/>
      <c r="AD391" s="89">
        <f t="shared" si="85"/>
        <v>34.806730000000002</v>
      </c>
      <c r="AE391" s="89">
        <v>21.186900000000001</v>
      </c>
      <c r="AF391" s="186">
        <v>13.61983</v>
      </c>
      <c r="AG391" s="85"/>
      <c r="AH391" s="85"/>
      <c r="AI391" s="85"/>
      <c r="AJ391" s="84"/>
      <c r="AK391" s="85"/>
      <c r="AL391" s="84"/>
      <c r="AM391" s="88"/>
      <c r="AN391" s="84"/>
      <c r="AO391" s="85"/>
      <c r="AP391" s="84"/>
      <c r="AQ391" s="83"/>
      <c r="AR391" s="83"/>
      <c r="AS391" s="83"/>
      <c r="AT391" s="85"/>
      <c r="AU391" s="85"/>
      <c r="AV391" s="85"/>
      <c r="AW391" s="88"/>
      <c r="AX391" s="84"/>
      <c r="AY391" s="85"/>
      <c r="AZ391" s="84">
        <v>115.47393</v>
      </c>
      <c r="BA391" s="85">
        <v>104.57106</v>
      </c>
      <c r="BB391" s="88"/>
      <c r="BC391" s="85"/>
      <c r="BD391" s="84"/>
      <c r="BE391" s="88"/>
      <c r="BF391" s="85"/>
      <c r="BG391" s="85"/>
      <c r="BH391" s="85"/>
      <c r="BI391" s="85"/>
      <c r="BJ391" s="85"/>
      <c r="BK391" s="85"/>
      <c r="BL391" s="85"/>
      <c r="BM391" s="85"/>
      <c r="BN391" s="85"/>
      <c r="BO391" s="85"/>
      <c r="BP391" s="85"/>
      <c r="BQ391" s="85"/>
      <c r="BR391" s="84"/>
      <c r="BS391" s="85"/>
      <c r="BT391" s="85"/>
      <c r="BU391" s="198"/>
      <c r="BV391" s="90"/>
      <c r="BW391" s="198"/>
      <c r="BX391" s="90"/>
      <c r="BY391" s="198"/>
      <c r="BZ391" s="90"/>
      <c r="CA391" s="91"/>
    </row>
    <row r="392" spans="1:79" ht="50.1" customHeight="1" outlineLevel="2" x14ac:dyDescent="0.3">
      <c r="A392" s="103" t="s">
        <v>374</v>
      </c>
      <c r="B392" s="96" t="s">
        <v>384</v>
      </c>
      <c r="C392" s="79" t="s">
        <v>55</v>
      </c>
      <c r="D392" s="81">
        <f t="shared" si="90"/>
        <v>160.15845999999999</v>
      </c>
      <c r="E392" s="82">
        <f t="shared" si="91"/>
        <v>66.855440000000002</v>
      </c>
      <c r="F392" s="83">
        <f t="shared" si="84"/>
        <v>93.303020000000004</v>
      </c>
      <c r="G392" s="84"/>
      <c r="H392" s="85"/>
      <c r="I392" s="85"/>
      <c r="J392" s="84"/>
      <c r="K392" s="85"/>
      <c r="L392" s="85"/>
      <c r="M392" s="85"/>
      <c r="N392" s="85"/>
      <c r="O392" s="82"/>
      <c r="P392" s="83"/>
      <c r="Q392" s="83"/>
      <c r="R392" s="83"/>
      <c r="S392" s="82"/>
      <c r="T392" s="83"/>
      <c r="U392" s="83"/>
      <c r="V392" s="84"/>
      <c r="W392" s="85"/>
      <c r="X392" s="87"/>
      <c r="Y392" s="83">
        <v>32.76</v>
      </c>
      <c r="Z392" s="84"/>
      <c r="AA392" s="85"/>
      <c r="AB392" s="84"/>
      <c r="AC392" s="85"/>
      <c r="AD392" s="89">
        <f t="shared" si="85"/>
        <v>0</v>
      </c>
      <c r="AE392" s="89"/>
      <c r="AF392" s="186"/>
      <c r="AG392" s="85"/>
      <c r="AH392" s="85"/>
      <c r="AI392" s="85"/>
      <c r="AJ392" s="84"/>
      <c r="AK392" s="85"/>
      <c r="AL392" s="84"/>
      <c r="AM392" s="88"/>
      <c r="AN392" s="84"/>
      <c r="AO392" s="85"/>
      <c r="AP392" s="84"/>
      <c r="AQ392" s="83"/>
      <c r="AR392" s="83"/>
      <c r="AS392" s="83"/>
      <c r="AT392" s="85"/>
      <c r="AU392" s="85"/>
      <c r="AV392" s="85"/>
      <c r="AW392" s="88"/>
      <c r="AX392" s="84"/>
      <c r="AY392" s="85"/>
      <c r="AZ392" s="84">
        <v>66.855440000000002</v>
      </c>
      <c r="BA392" s="85">
        <v>60.543019999999999</v>
      </c>
      <c r="BB392" s="88"/>
      <c r="BC392" s="85"/>
      <c r="BD392" s="84"/>
      <c r="BE392" s="88"/>
      <c r="BF392" s="85"/>
      <c r="BG392" s="85"/>
      <c r="BH392" s="85"/>
      <c r="BI392" s="85"/>
      <c r="BJ392" s="85"/>
      <c r="BK392" s="85"/>
      <c r="BL392" s="85"/>
      <c r="BM392" s="85"/>
      <c r="BN392" s="85"/>
      <c r="BO392" s="85"/>
      <c r="BP392" s="85"/>
      <c r="BQ392" s="85"/>
      <c r="BR392" s="84"/>
      <c r="BS392" s="85"/>
      <c r="BT392" s="85"/>
      <c r="BU392" s="198"/>
      <c r="BV392" s="90"/>
      <c r="BW392" s="198"/>
      <c r="BX392" s="90"/>
      <c r="BY392" s="198"/>
      <c r="BZ392" s="90"/>
      <c r="CA392" s="91"/>
    </row>
    <row r="393" spans="1:79" ht="50.1" customHeight="1" outlineLevel="2" x14ac:dyDescent="0.3">
      <c r="A393" s="103" t="s">
        <v>374</v>
      </c>
      <c r="B393" s="96" t="s">
        <v>385</v>
      </c>
      <c r="C393" s="79" t="s">
        <v>55</v>
      </c>
      <c r="D393" s="81">
        <f t="shared" si="90"/>
        <v>102.9936</v>
      </c>
      <c r="E393" s="82">
        <f t="shared" si="91"/>
        <v>32.933999999999997</v>
      </c>
      <c r="F393" s="83">
        <f t="shared" si="84"/>
        <v>70.059600000000003</v>
      </c>
      <c r="G393" s="84"/>
      <c r="H393" s="85"/>
      <c r="I393" s="85"/>
      <c r="J393" s="84"/>
      <c r="K393" s="85"/>
      <c r="L393" s="85"/>
      <c r="M393" s="85"/>
      <c r="N393" s="85"/>
      <c r="O393" s="82"/>
      <c r="P393" s="83"/>
      <c r="Q393" s="83"/>
      <c r="R393" s="83"/>
      <c r="S393" s="82"/>
      <c r="T393" s="83"/>
      <c r="U393" s="83"/>
      <c r="V393" s="84"/>
      <c r="W393" s="85"/>
      <c r="X393" s="87"/>
      <c r="Y393" s="83"/>
      <c r="Z393" s="84"/>
      <c r="AA393" s="85"/>
      <c r="AB393" s="84"/>
      <c r="AC393" s="85"/>
      <c r="AD393" s="89">
        <f t="shared" si="85"/>
        <v>0</v>
      </c>
      <c r="AE393" s="83"/>
      <c r="AF393" s="123"/>
      <c r="AG393" s="85"/>
      <c r="AH393" s="85"/>
      <c r="AI393" s="85"/>
      <c r="AJ393" s="84"/>
      <c r="AK393" s="85"/>
      <c r="AL393" s="84"/>
      <c r="AM393" s="85"/>
      <c r="AN393" s="84"/>
      <c r="AO393" s="85"/>
      <c r="AP393" s="84">
        <v>32.933999999999997</v>
      </c>
      <c r="AQ393" s="83">
        <v>70.059600000000003</v>
      </c>
      <c r="AR393" s="83"/>
      <c r="AS393" s="83"/>
      <c r="AT393" s="85"/>
      <c r="AU393" s="85"/>
      <c r="AV393" s="85"/>
      <c r="AW393" s="88"/>
      <c r="AX393" s="84"/>
      <c r="AY393" s="85"/>
      <c r="AZ393" s="84"/>
      <c r="BA393" s="85"/>
      <c r="BB393" s="85"/>
      <c r="BC393" s="85"/>
      <c r="BD393" s="84"/>
      <c r="BE393" s="85"/>
      <c r="BF393" s="85"/>
      <c r="BG393" s="85"/>
      <c r="BH393" s="85"/>
      <c r="BI393" s="85"/>
      <c r="BJ393" s="85"/>
      <c r="BK393" s="85"/>
      <c r="BL393" s="85"/>
      <c r="BM393" s="85"/>
      <c r="BN393" s="85"/>
      <c r="BO393" s="85"/>
      <c r="BP393" s="85"/>
      <c r="BQ393" s="85"/>
      <c r="BR393" s="84"/>
      <c r="BS393" s="85"/>
      <c r="BT393" s="85"/>
      <c r="BU393" s="198"/>
      <c r="BV393" s="90"/>
      <c r="BW393" s="198"/>
      <c r="BX393" s="90"/>
      <c r="BY393" s="198"/>
      <c r="BZ393" s="90"/>
      <c r="CA393" s="91"/>
    </row>
    <row r="394" spans="1:79" ht="50.1" customHeight="1" outlineLevel="2" x14ac:dyDescent="0.3">
      <c r="A394" s="103" t="s">
        <v>374</v>
      </c>
      <c r="B394" s="96" t="s">
        <v>386</v>
      </c>
      <c r="C394" s="79" t="s">
        <v>55</v>
      </c>
      <c r="D394" s="81">
        <f t="shared" si="90"/>
        <v>245.23880000000003</v>
      </c>
      <c r="E394" s="82">
        <f t="shared" si="91"/>
        <v>104.1356</v>
      </c>
      <c r="F394" s="83">
        <f t="shared" si="84"/>
        <v>141.10320000000002</v>
      </c>
      <c r="G394" s="84"/>
      <c r="H394" s="85"/>
      <c r="I394" s="85"/>
      <c r="J394" s="84"/>
      <c r="K394" s="85"/>
      <c r="L394" s="85"/>
      <c r="M394" s="85"/>
      <c r="N394" s="85"/>
      <c r="O394" s="82"/>
      <c r="P394" s="83"/>
      <c r="Q394" s="83"/>
      <c r="R394" s="83"/>
      <c r="S394" s="82"/>
      <c r="T394" s="83"/>
      <c r="U394" s="83"/>
      <c r="V394" s="84"/>
      <c r="W394" s="85"/>
      <c r="X394" s="87"/>
      <c r="Y394" s="83">
        <v>46.8</v>
      </c>
      <c r="Z394" s="84"/>
      <c r="AA394" s="85"/>
      <c r="AB394" s="84"/>
      <c r="AC394" s="85"/>
      <c r="AD394" s="89">
        <f t="shared" si="85"/>
        <v>0</v>
      </c>
      <c r="AE394" s="89"/>
      <c r="AF394" s="186"/>
      <c r="AG394" s="85"/>
      <c r="AH394" s="85"/>
      <c r="AI394" s="85"/>
      <c r="AJ394" s="84"/>
      <c r="AK394" s="85"/>
      <c r="AL394" s="84"/>
      <c r="AM394" s="88"/>
      <c r="AN394" s="84"/>
      <c r="AO394" s="85"/>
      <c r="AP394" s="84"/>
      <c r="AQ394" s="83"/>
      <c r="AR394" s="83"/>
      <c r="AS394" s="83"/>
      <c r="AT394" s="85"/>
      <c r="AU394" s="85"/>
      <c r="AV394" s="85"/>
      <c r="AW394" s="88"/>
      <c r="AX394" s="84"/>
      <c r="AY394" s="85"/>
      <c r="AZ394" s="84">
        <v>104.1356</v>
      </c>
      <c r="BA394" s="85">
        <v>94.303200000000004</v>
      </c>
      <c r="BB394" s="88"/>
      <c r="BC394" s="85"/>
      <c r="BD394" s="84"/>
      <c r="BE394" s="88"/>
      <c r="BF394" s="85"/>
      <c r="BG394" s="85"/>
      <c r="BH394" s="85"/>
      <c r="BI394" s="85"/>
      <c r="BJ394" s="85"/>
      <c r="BK394" s="85"/>
      <c r="BL394" s="85"/>
      <c r="BM394" s="85"/>
      <c r="BN394" s="85"/>
      <c r="BO394" s="85"/>
      <c r="BP394" s="85"/>
      <c r="BQ394" s="85"/>
      <c r="BR394" s="84"/>
      <c r="BS394" s="85"/>
      <c r="BT394" s="85"/>
      <c r="BU394" s="198"/>
      <c r="BV394" s="90"/>
      <c r="BW394" s="198"/>
      <c r="BX394" s="90"/>
      <c r="BY394" s="198"/>
      <c r="BZ394" s="90"/>
      <c r="CA394" s="91"/>
    </row>
    <row r="395" spans="1:79" ht="50.1" customHeight="1" outlineLevel="2" x14ac:dyDescent="0.3">
      <c r="A395" s="103" t="s">
        <v>374</v>
      </c>
      <c r="B395" s="96" t="s">
        <v>387</v>
      </c>
      <c r="C395" s="79" t="s">
        <v>55</v>
      </c>
      <c r="D395" s="81">
        <f t="shared" si="90"/>
        <v>183.24301</v>
      </c>
      <c r="E395" s="82">
        <f t="shared" si="91"/>
        <v>58.503390000000003</v>
      </c>
      <c r="F395" s="83">
        <f t="shared" si="84"/>
        <v>124.73962</v>
      </c>
      <c r="G395" s="84"/>
      <c r="H395" s="85"/>
      <c r="I395" s="85"/>
      <c r="J395" s="84"/>
      <c r="K395" s="85"/>
      <c r="L395" s="85"/>
      <c r="M395" s="85"/>
      <c r="N395" s="85"/>
      <c r="O395" s="82"/>
      <c r="P395" s="83"/>
      <c r="Q395" s="83"/>
      <c r="R395" s="83"/>
      <c r="S395" s="82"/>
      <c r="T395" s="83"/>
      <c r="U395" s="83"/>
      <c r="V395" s="84"/>
      <c r="W395" s="85"/>
      <c r="X395" s="87"/>
      <c r="Y395" s="83">
        <v>71.760000000000005</v>
      </c>
      <c r="Z395" s="84"/>
      <c r="AA395" s="85"/>
      <c r="AB395" s="84"/>
      <c r="AC395" s="85"/>
      <c r="AD395" s="89">
        <f t="shared" si="85"/>
        <v>0</v>
      </c>
      <c r="AE395" s="89"/>
      <c r="AF395" s="186"/>
      <c r="AG395" s="85"/>
      <c r="AH395" s="85"/>
      <c r="AI395" s="85"/>
      <c r="AJ395" s="84"/>
      <c r="AK395" s="85"/>
      <c r="AL395" s="84"/>
      <c r="AM395" s="88"/>
      <c r="AN395" s="84"/>
      <c r="AO395" s="85"/>
      <c r="AP395" s="84"/>
      <c r="AQ395" s="83"/>
      <c r="AR395" s="83"/>
      <c r="AS395" s="83"/>
      <c r="AT395" s="85"/>
      <c r="AU395" s="85"/>
      <c r="AV395" s="85"/>
      <c r="AW395" s="88"/>
      <c r="AX395" s="84"/>
      <c r="AY395" s="85"/>
      <c r="AZ395" s="84">
        <v>58.503390000000003</v>
      </c>
      <c r="BA395" s="85">
        <v>52.979619999999997</v>
      </c>
      <c r="BB395" s="88"/>
      <c r="BC395" s="85"/>
      <c r="BD395" s="84"/>
      <c r="BE395" s="88"/>
      <c r="BF395" s="85"/>
      <c r="BG395" s="85"/>
      <c r="BH395" s="85"/>
      <c r="BI395" s="85"/>
      <c r="BJ395" s="85"/>
      <c r="BK395" s="85"/>
      <c r="BL395" s="85"/>
      <c r="BM395" s="85"/>
      <c r="BN395" s="85"/>
      <c r="BO395" s="85"/>
      <c r="BP395" s="85"/>
      <c r="BQ395" s="85"/>
      <c r="BR395" s="84"/>
      <c r="BS395" s="85"/>
      <c r="BT395" s="85"/>
      <c r="BU395" s="198"/>
      <c r="BV395" s="90"/>
      <c r="BW395" s="198"/>
      <c r="BX395" s="90"/>
      <c r="BY395" s="198"/>
      <c r="BZ395" s="90"/>
      <c r="CA395" s="91"/>
    </row>
    <row r="396" spans="1:79" ht="50.1" customHeight="1" outlineLevel="2" x14ac:dyDescent="0.3">
      <c r="A396" s="103" t="s">
        <v>374</v>
      </c>
      <c r="B396" s="96" t="s">
        <v>388</v>
      </c>
      <c r="C396" s="79" t="s">
        <v>55</v>
      </c>
      <c r="D396" s="81">
        <f t="shared" si="90"/>
        <v>52.642539999999997</v>
      </c>
      <c r="E396" s="82">
        <f t="shared" si="91"/>
        <v>21.485589999999998</v>
      </c>
      <c r="F396" s="83">
        <f t="shared" si="84"/>
        <v>31.156949999999998</v>
      </c>
      <c r="G396" s="84"/>
      <c r="H396" s="85"/>
      <c r="I396" s="85"/>
      <c r="J396" s="84"/>
      <c r="K396" s="85"/>
      <c r="L396" s="85"/>
      <c r="M396" s="85"/>
      <c r="N396" s="85"/>
      <c r="O396" s="82"/>
      <c r="P396" s="83"/>
      <c r="Q396" s="83"/>
      <c r="R396" s="83"/>
      <c r="S396" s="82"/>
      <c r="T396" s="83"/>
      <c r="U396" s="83"/>
      <c r="V396" s="84"/>
      <c r="W396" s="85"/>
      <c r="X396" s="87"/>
      <c r="Y396" s="83">
        <v>11.7</v>
      </c>
      <c r="Z396" s="84"/>
      <c r="AA396" s="85"/>
      <c r="AB396" s="84"/>
      <c r="AC396" s="85"/>
      <c r="AD396" s="89">
        <f t="shared" si="85"/>
        <v>0</v>
      </c>
      <c r="AE396" s="89"/>
      <c r="AF396" s="186"/>
      <c r="AG396" s="85"/>
      <c r="AH396" s="85"/>
      <c r="AI396" s="85"/>
      <c r="AJ396" s="84"/>
      <c r="AK396" s="85"/>
      <c r="AL396" s="84"/>
      <c r="AM396" s="88"/>
      <c r="AN396" s="84"/>
      <c r="AO396" s="85"/>
      <c r="AP396" s="84"/>
      <c r="AQ396" s="83"/>
      <c r="AR396" s="83"/>
      <c r="AS396" s="83"/>
      <c r="AT396" s="85"/>
      <c r="AU396" s="85"/>
      <c r="AV396" s="85"/>
      <c r="AW396" s="88"/>
      <c r="AX396" s="84"/>
      <c r="AY396" s="85"/>
      <c r="AZ396" s="84">
        <v>21.485589999999998</v>
      </c>
      <c r="BA396" s="85">
        <v>19.456949999999999</v>
      </c>
      <c r="BB396" s="88"/>
      <c r="BC396" s="85"/>
      <c r="BD396" s="84"/>
      <c r="BE396" s="88"/>
      <c r="BF396" s="85"/>
      <c r="BG396" s="85"/>
      <c r="BH396" s="85"/>
      <c r="BI396" s="85"/>
      <c r="BJ396" s="85"/>
      <c r="BK396" s="85"/>
      <c r="BL396" s="85"/>
      <c r="BM396" s="85"/>
      <c r="BN396" s="85"/>
      <c r="BO396" s="85"/>
      <c r="BP396" s="85"/>
      <c r="BQ396" s="85"/>
      <c r="BR396" s="84"/>
      <c r="BS396" s="85"/>
      <c r="BT396" s="85"/>
      <c r="BU396" s="198"/>
      <c r="BV396" s="90"/>
      <c r="BW396" s="198"/>
      <c r="BX396" s="90"/>
      <c r="BY396" s="198"/>
      <c r="BZ396" s="90"/>
      <c r="CA396" s="91"/>
    </row>
    <row r="397" spans="1:79" ht="50.1" customHeight="1" outlineLevel="2" x14ac:dyDescent="0.3">
      <c r="A397" s="103" t="s">
        <v>374</v>
      </c>
      <c r="B397" s="96" t="s">
        <v>389</v>
      </c>
      <c r="C397" s="79" t="s">
        <v>55</v>
      </c>
      <c r="D397" s="81">
        <f t="shared" si="90"/>
        <v>92.43</v>
      </c>
      <c r="E397" s="82">
        <f t="shared" si="91"/>
        <v>0</v>
      </c>
      <c r="F397" s="83">
        <f t="shared" si="84"/>
        <v>92.43</v>
      </c>
      <c r="G397" s="84"/>
      <c r="H397" s="85"/>
      <c r="I397" s="85"/>
      <c r="J397" s="84"/>
      <c r="K397" s="85"/>
      <c r="L397" s="85"/>
      <c r="M397" s="85"/>
      <c r="N397" s="85"/>
      <c r="O397" s="82"/>
      <c r="P397" s="83"/>
      <c r="Q397" s="83"/>
      <c r="R397" s="83"/>
      <c r="S397" s="82"/>
      <c r="T397" s="83"/>
      <c r="U397" s="83"/>
      <c r="V397" s="84"/>
      <c r="W397" s="85"/>
      <c r="X397" s="87"/>
      <c r="Y397" s="83">
        <v>92.43</v>
      </c>
      <c r="Z397" s="84"/>
      <c r="AA397" s="85"/>
      <c r="AB397" s="84"/>
      <c r="AC397" s="85"/>
      <c r="AD397" s="89">
        <f t="shared" si="85"/>
        <v>0</v>
      </c>
      <c r="AE397" s="89"/>
      <c r="AF397" s="186"/>
      <c r="AG397" s="85"/>
      <c r="AH397" s="85"/>
      <c r="AI397" s="85"/>
      <c r="AJ397" s="84"/>
      <c r="AK397" s="85"/>
      <c r="AL397" s="84"/>
      <c r="AM397" s="88"/>
      <c r="AN397" s="84"/>
      <c r="AO397" s="85"/>
      <c r="AP397" s="84"/>
      <c r="AQ397" s="83"/>
      <c r="AR397" s="83"/>
      <c r="AS397" s="83"/>
      <c r="AT397" s="85"/>
      <c r="AU397" s="85"/>
      <c r="AV397" s="85"/>
      <c r="AW397" s="88"/>
      <c r="AX397" s="84"/>
      <c r="AY397" s="85"/>
      <c r="AZ397" s="84"/>
      <c r="BA397" s="85"/>
      <c r="BB397" s="88"/>
      <c r="BC397" s="85"/>
      <c r="BD397" s="84"/>
      <c r="BE397" s="88"/>
      <c r="BF397" s="85"/>
      <c r="BG397" s="85"/>
      <c r="BH397" s="85"/>
      <c r="BI397" s="85"/>
      <c r="BJ397" s="85"/>
      <c r="BK397" s="85"/>
      <c r="BL397" s="85"/>
      <c r="BM397" s="85"/>
      <c r="BN397" s="85"/>
      <c r="BO397" s="85"/>
      <c r="BP397" s="85"/>
      <c r="BQ397" s="85"/>
      <c r="BR397" s="84"/>
      <c r="BS397" s="85"/>
      <c r="BT397" s="85"/>
      <c r="BU397" s="198"/>
      <c r="BV397" s="90"/>
      <c r="BW397" s="198"/>
      <c r="BX397" s="90"/>
      <c r="BY397" s="198"/>
      <c r="BZ397" s="90"/>
      <c r="CA397" s="91"/>
    </row>
    <row r="398" spans="1:79" ht="50.1" customHeight="1" outlineLevel="2" x14ac:dyDescent="0.3">
      <c r="A398" s="103" t="s">
        <v>374</v>
      </c>
      <c r="B398" s="96" t="s">
        <v>390</v>
      </c>
      <c r="C398" s="79" t="s">
        <v>55</v>
      </c>
      <c r="D398" s="81">
        <f t="shared" si="90"/>
        <v>616.73052000000007</v>
      </c>
      <c r="E398" s="82">
        <f t="shared" si="91"/>
        <v>323.64420000000001</v>
      </c>
      <c r="F398" s="83">
        <f t="shared" si="84"/>
        <v>293.08632</v>
      </c>
      <c r="G398" s="84"/>
      <c r="H398" s="85"/>
      <c r="I398" s="85"/>
      <c r="J398" s="84"/>
      <c r="K398" s="85"/>
      <c r="L398" s="85"/>
      <c r="M398" s="85"/>
      <c r="N398" s="85"/>
      <c r="O398" s="82"/>
      <c r="P398" s="83"/>
      <c r="Q398" s="83"/>
      <c r="R398" s="83"/>
      <c r="S398" s="82"/>
      <c r="T398" s="83"/>
      <c r="U398" s="83"/>
      <c r="V398" s="84"/>
      <c r="W398" s="85"/>
      <c r="X398" s="87"/>
      <c r="Y398" s="83"/>
      <c r="Z398" s="84"/>
      <c r="AA398" s="85"/>
      <c r="AB398" s="84"/>
      <c r="AC398" s="85"/>
      <c r="AD398" s="89">
        <f t="shared" si="85"/>
        <v>0</v>
      </c>
      <c r="AE398" s="89"/>
      <c r="AF398" s="186"/>
      <c r="AG398" s="85"/>
      <c r="AH398" s="85"/>
      <c r="AI398" s="85"/>
      <c r="AJ398" s="84"/>
      <c r="AK398" s="85"/>
      <c r="AL398" s="84"/>
      <c r="AM398" s="88"/>
      <c r="AN398" s="84"/>
      <c r="AO398" s="85"/>
      <c r="AP398" s="84"/>
      <c r="AQ398" s="83"/>
      <c r="AR398" s="83"/>
      <c r="AS398" s="83"/>
      <c r="AT398" s="85"/>
      <c r="AU398" s="85"/>
      <c r="AV398" s="85"/>
      <c r="AW398" s="88"/>
      <c r="AX398" s="84"/>
      <c r="AY398" s="85"/>
      <c r="AZ398" s="84">
        <v>323.64420000000001</v>
      </c>
      <c r="BA398" s="85">
        <v>293.08632</v>
      </c>
      <c r="BB398" s="88"/>
      <c r="BC398" s="85"/>
      <c r="BD398" s="84"/>
      <c r="BE398" s="88"/>
      <c r="BF398" s="85"/>
      <c r="BG398" s="85"/>
      <c r="BH398" s="85"/>
      <c r="BI398" s="85"/>
      <c r="BJ398" s="85"/>
      <c r="BK398" s="85"/>
      <c r="BL398" s="85"/>
      <c r="BM398" s="85"/>
      <c r="BN398" s="85"/>
      <c r="BO398" s="85"/>
      <c r="BP398" s="85"/>
      <c r="BQ398" s="85"/>
      <c r="BR398" s="84"/>
      <c r="BS398" s="85"/>
      <c r="BT398" s="85"/>
      <c r="BU398" s="198"/>
      <c r="BV398" s="90"/>
      <c r="BW398" s="198"/>
      <c r="BX398" s="90"/>
      <c r="BY398" s="198"/>
      <c r="BZ398" s="90"/>
      <c r="CA398" s="91"/>
    </row>
    <row r="399" spans="1:79" ht="50.1" customHeight="1" outlineLevel="2" x14ac:dyDescent="0.3">
      <c r="A399" s="96" t="s">
        <v>374</v>
      </c>
      <c r="B399" s="96" t="s">
        <v>391</v>
      </c>
      <c r="C399" s="79" t="s">
        <v>55</v>
      </c>
      <c r="D399" s="81">
        <f t="shared" si="90"/>
        <v>1516.9154999999998</v>
      </c>
      <c r="E399" s="82">
        <f t="shared" si="91"/>
        <v>424.92660999999998</v>
      </c>
      <c r="F399" s="83">
        <f t="shared" si="84"/>
        <v>1091.9888899999999</v>
      </c>
      <c r="G399" s="84"/>
      <c r="H399" s="85"/>
      <c r="I399" s="85"/>
      <c r="J399" s="84"/>
      <c r="K399" s="85"/>
      <c r="L399" s="85"/>
      <c r="M399" s="85"/>
      <c r="N399" s="85"/>
      <c r="O399" s="82"/>
      <c r="P399" s="83"/>
      <c r="Q399" s="83"/>
      <c r="R399" s="83"/>
      <c r="S399" s="82"/>
      <c r="T399" s="83"/>
      <c r="U399" s="83"/>
      <c r="V399" s="84"/>
      <c r="W399" s="85"/>
      <c r="X399" s="87"/>
      <c r="Y399" s="83">
        <v>218.4</v>
      </c>
      <c r="Z399" s="84"/>
      <c r="AA399" s="85"/>
      <c r="AB399" s="84"/>
      <c r="AC399" s="85"/>
      <c r="AD399" s="89">
        <f t="shared" si="85"/>
        <v>116.59909999999999</v>
      </c>
      <c r="AE399" s="89">
        <v>77.685299999999998</v>
      </c>
      <c r="AF399" s="186">
        <v>38.913800000000002</v>
      </c>
      <c r="AG399" s="85"/>
      <c r="AH399" s="85"/>
      <c r="AI399" s="85"/>
      <c r="AJ399" s="84"/>
      <c r="AK399" s="85"/>
      <c r="AL399" s="84"/>
      <c r="AM399" s="88"/>
      <c r="AN399" s="84"/>
      <c r="AO399" s="85"/>
      <c r="AP399" s="84">
        <v>217.74598</v>
      </c>
      <c r="AQ399" s="83">
        <v>569.37091999999996</v>
      </c>
      <c r="AR399" s="83"/>
      <c r="AS399" s="83"/>
      <c r="AT399" s="85"/>
      <c r="AU399" s="85"/>
      <c r="AV399" s="85"/>
      <c r="AW399" s="88"/>
      <c r="AX399" s="84"/>
      <c r="AY399" s="85"/>
      <c r="AZ399" s="84">
        <v>207.18063000000001</v>
      </c>
      <c r="BA399" s="85">
        <v>187.61886999999999</v>
      </c>
      <c r="BB399" s="88"/>
      <c r="BC399" s="85"/>
      <c r="BD399" s="84"/>
      <c r="BE399" s="88"/>
      <c r="BF399" s="85"/>
      <c r="BG399" s="85"/>
      <c r="BH399" s="85"/>
      <c r="BI399" s="85"/>
      <c r="BJ399" s="85"/>
      <c r="BK399" s="85"/>
      <c r="BL399" s="85"/>
      <c r="BM399" s="85"/>
      <c r="BN399" s="85"/>
      <c r="BO399" s="85"/>
      <c r="BP399" s="85"/>
      <c r="BQ399" s="85"/>
      <c r="BR399" s="84"/>
      <c r="BS399" s="85"/>
      <c r="BT399" s="85"/>
      <c r="BU399" s="198"/>
      <c r="BV399" s="90"/>
      <c r="BW399" s="198"/>
      <c r="BX399" s="90"/>
      <c r="BY399" s="198"/>
      <c r="BZ399" s="90"/>
      <c r="CA399" s="91"/>
    </row>
    <row r="400" spans="1:79" ht="50.1" customHeight="1" outlineLevel="2" x14ac:dyDescent="0.3">
      <c r="A400" s="96" t="s">
        <v>374</v>
      </c>
      <c r="B400" s="96" t="s">
        <v>392</v>
      </c>
      <c r="C400" s="79" t="s">
        <v>55</v>
      </c>
      <c r="D400" s="81">
        <f t="shared" si="90"/>
        <v>58.590490000000003</v>
      </c>
      <c r="E400" s="82">
        <f t="shared" si="91"/>
        <v>30.746770000000001</v>
      </c>
      <c r="F400" s="83">
        <f t="shared" si="84"/>
        <v>27.843720000000001</v>
      </c>
      <c r="G400" s="84"/>
      <c r="H400" s="85"/>
      <c r="I400" s="85"/>
      <c r="J400" s="84"/>
      <c r="K400" s="85"/>
      <c r="L400" s="85"/>
      <c r="M400" s="85"/>
      <c r="N400" s="85"/>
      <c r="O400" s="82"/>
      <c r="P400" s="83"/>
      <c r="Q400" s="83"/>
      <c r="R400" s="83"/>
      <c r="S400" s="82"/>
      <c r="T400" s="83"/>
      <c r="U400" s="83"/>
      <c r="V400" s="84"/>
      <c r="W400" s="85"/>
      <c r="X400" s="87"/>
      <c r="Y400" s="83"/>
      <c r="Z400" s="84"/>
      <c r="AA400" s="85"/>
      <c r="AB400" s="84"/>
      <c r="AC400" s="85"/>
      <c r="AD400" s="89">
        <f t="shared" si="85"/>
        <v>0</v>
      </c>
      <c r="AE400" s="89"/>
      <c r="AF400" s="186"/>
      <c r="AG400" s="85"/>
      <c r="AH400" s="85"/>
      <c r="AI400" s="85"/>
      <c r="AJ400" s="84"/>
      <c r="AK400" s="85"/>
      <c r="AL400" s="84"/>
      <c r="AM400" s="88"/>
      <c r="AN400" s="84"/>
      <c r="AO400" s="85"/>
      <c r="AP400" s="84"/>
      <c r="AQ400" s="83"/>
      <c r="AR400" s="83"/>
      <c r="AS400" s="83"/>
      <c r="AT400" s="85"/>
      <c r="AU400" s="85"/>
      <c r="AV400" s="85"/>
      <c r="AW400" s="88"/>
      <c r="AX400" s="84"/>
      <c r="AY400" s="85"/>
      <c r="AZ400" s="84">
        <v>30.746770000000001</v>
      </c>
      <c r="BA400" s="85">
        <v>27.843720000000001</v>
      </c>
      <c r="BB400" s="88"/>
      <c r="BC400" s="85"/>
      <c r="BD400" s="84"/>
      <c r="BE400" s="88"/>
      <c r="BF400" s="85"/>
      <c r="BG400" s="85"/>
      <c r="BH400" s="85"/>
      <c r="BI400" s="85"/>
      <c r="BJ400" s="85"/>
      <c r="BK400" s="85"/>
      <c r="BL400" s="85"/>
      <c r="BM400" s="85"/>
      <c r="BN400" s="85"/>
      <c r="BO400" s="85"/>
      <c r="BP400" s="85"/>
      <c r="BQ400" s="85"/>
      <c r="BR400" s="84"/>
      <c r="BS400" s="85"/>
      <c r="BT400" s="85"/>
      <c r="BU400" s="198"/>
      <c r="BV400" s="90"/>
      <c r="BW400" s="198"/>
      <c r="BX400" s="90"/>
      <c r="BY400" s="198"/>
      <c r="BZ400" s="90"/>
      <c r="CA400" s="91"/>
    </row>
    <row r="401" spans="1:1199" ht="50.1" customHeight="1" outlineLevel="2" x14ac:dyDescent="0.3">
      <c r="A401" s="96" t="s">
        <v>374</v>
      </c>
      <c r="B401" s="96" t="s">
        <v>393</v>
      </c>
      <c r="C401" s="79" t="s">
        <v>55</v>
      </c>
      <c r="D401" s="81">
        <f t="shared" si="90"/>
        <v>78.730530000000002</v>
      </c>
      <c r="E401" s="82">
        <f t="shared" si="91"/>
        <v>33.129260000000002</v>
      </c>
      <c r="F401" s="83">
        <f t="shared" si="84"/>
        <v>45.60127</v>
      </c>
      <c r="G401" s="84"/>
      <c r="H401" s="85"/>
      <c r="I401" s="85"/>
      <c r="J401" s="84"/>
      <c r="K401" s="85"/>
      <c r="L401" s="85"/>
      <c r="M401" s="85"/>
      <c r="N401" s="85"/>
      <c r="O401" s="82"/>
      <c r="P401" s="83"/>
      <c r="Q401" s="83"/>
      <c r="R401" s="83"/>
      <c r="S401" s="82"/>
      <c r="T401" s="83"/>
      <c r="U401" s="83"/>
      <c r="V401" s="84"/>
      <c r="W401" s="85"/>
      <c r="X401" s="87"/>
      <c r="Y401" s="83">
        <v>15.6</v>
      </c>
      <c r="Z401" s="84"/>
      <c r="AA401" s="85"/>
      <c r="AB401" s="84"/>
      <c r="AC401" s="85"/>
      <c r="AD401" s="89">
        <f t="shared" si="85"/>
        <v>0</v>
      </c>
      <c r="AE401" s="89"/>
      <c r="AF401" s="186"/>
      <c r="AG401" s="85"/>
      <c r="AH401" s="85"/>
      <c r="AI401" s="85"/>
      <c r="AJ401" s="84"/>
      <c r="AK401" s="85"/>
      <c r="AL401" s="84"/>
      <c r="AM401" s="88"/>
      <c r="AN401" s="84"/>
      <c r="AO401" s="85"/>
      <c r="AP401" s="84"/>
      <c r="AQ401" s="83"/>
      <c r="AR401" s="83"/>
      <c r="AS401" s="83"/>
      <c r="AT401" s="85"/>
      <c r="AU401" s="85"/>
      <c r="AV401" s="85"/>
      <c r="AW401" s="88"/>
      <c r="AX401" s="84"/>
      <c r="AY401" s="85"/>
      <c r="AZ401" s="84">
        <v>33.129260000000002</v>
      </c>
      <c r="BA401" s="85">
        <v>30.001270000000002</v>
      </c>
      <c r="BB401" s="88"/>
      <c r="BC401" s="85"/>
      <c r="BD401" s="84"/>
      <c r="BE401" s="88"/>
      <c r="BF401" s="85"/>
      <c r="BG401" s="85"/>
      <c r="BH401" s="85"/>
      <c r="BI401" s="85"/>
      <c r="BJ401" s="85"/>
      <c r="BK401" s="85"/>
      <c r="BL401" s="85"/>
      <c r="BM401" s="85"/>
      <c r="BN401" s="85"/>
      <c r="BO401" s="85"/>
      <c r="BP401" s="85"/>
      <c r="BQ401" s="85"/>
      <c r="BR401" s="84"/>
      <c r="BS401" s="85"/>
      <c r="BT401" s="85"/>
      <c r="BU401" s="198"/>
      <c r="BV401" s="90"/>
      <c r="BW401" s="198"/>
      <c r="BX401" s="90"/>
      <c r="BY401" s="198"/>
      <c r="BZ401" s="90"/>
      <c r="CA401" s="91"/>
    </row>
    <row r="402" spans="1:1199" ht="50.1" customHeight="1" outlineLevel="2" x14ac:dyDescent="0.3">
      <c r="A402" s="103" t="s">
        <v>374</v>
      </c>
      <c r="B402" s="96" t="s">
        <v>394</v>
      </c>
      <c r="C402" s="79" t="s">
        <v>395</v>
      </c>
      <c r="D402" s="81">
        <f t="shared" si="90"/>
        <v>1191.0041000000001</v>
      </c>
      <c r="E402" s="82">
        <f t="shared" si="91"/>
        <v>0</v>
      </c>
      <c r="F402" s="83">
        <f t="shared" si="84"/>
        <v>1191.0041000000001</v>
      </c>
      <c r="G402" s="84"/>
      <c r="H402" s="85"/>
      <c r="I402" s="85"/>
      <c r="J402" s="84"/>
      <c r="K402" s="85"/>
      <c r="L402" s="85"/>
      <c r="M402" s="85"/>
      <c r="N402" s="85"/>
      <c r="O402" s="82"/>
      <c r="P402" s="83"/>
      <c r="Q402" s="83"/>
      <c r="R402" s="83"/>
      <c r="S402" s="82"/>
      <c r="T402" s="83"/>
      <c r="U402" s="83"/>
      <c r="V402" s="84"/>
      <c r="W402" s="85"/>
      <c r="X402" s="82"/>
      <c r="Y402" s="83"/>
      <c r="Z402" s="84"/>
      <c r="AA402" s="85"/>
      <c r="AB402" s="84"/>
      <c r="AC402" s="85"/>
      <c r="AD402" s="89">
        <f t="shared" si="85"/>
        <v>0</v>
      </c>
      <c r="AE402" s="89"/>
      <c r="AF402" s="186"/>
      <c r="AG402" s="85"/>
      <c r="AH402" s="85"/>
      <c r="AI402" s="85"/>
      <c r="AJ402" s="84"/>
      <c r="AK402" s="85"/>
      <c r="AL402" s="84"/>
      <c r="AM402" s="88"/>
      <c r="AN402" s="84"/>
      <c r="AO402" s="85"/>
      <c r="AP402" s="84"/>
      <c r="AQ402" s="83"/>
      <c r="AR402" s="83"/>
      <c r="AS402" s="83"/>
      <c r="AT402" s="85"/>
      <c r="AU402" s="85"/>
      <c r="AV402" s="85"/>
      <c r="AW402" s="88"/>
      <c r="AX402" s="84"/>
      <c r="AY402" s="85"/>
      <c r="AZ402" s="84"/>
      <c r="BA402" s="85"/>
      <c r="BB402" s="88"/>
      <c r="BC402" s="85"/>
      <c r="BD402" s="84"/>
      <c r="BE402" s="88"/>
      <c r="BF402" s="85"/>
      <c r="BG402" s="85"/>
      <c r="BH402" s="85"/>
      <c r="BI402" s="85"/>
      <c r="BJ402" s="85"/>
      <c r="BK402" s="85"/>
      <c r="BL402" s="85"/>
      <c r="BM402" s="85"/>
      <c r="BN402" s="85"/>
      <c r="BO402" s="85"/>
      <c r="BP402" s="85">
        <v>1191.0041000000001</v>
      </c>
      <c r="BQ402" s="85"/>
      <c r="BR402" s="84"/>
      <c r="BS402" s="85"/>
      <c r="BT402" s="85"/>
      <c r="BU402" s="198"/>
      <c r="BV402" s="90"/>
      <c r="BW402" s="198"/>
      <c r="BX402" s="90"/>
      <c r="BY402" s="198"/>
      <c r="BZ402" s="90"/>
      <c r="CA402" s="91"/>
    </row>
    <row r="403" spans="1:1199" s="101" customFormat="1" ht="50.1" customHeight="1" outlineLevel="1" x14ac:dyDescent="0.3">
      <c r="A403" s="132" t="s">
        <v>396</v>
      </c>
      <c r="B403" s="229"/>
      <c r="C403" s="134" t="s">
        <v>94</v>
      </c>
      <c r="D403" s="114">
        <f t="shared" ref="D403:AI403" si="92">SUBTOTAL(9,D383:D402)</f>
        <v>10887.582910000001</v>
      </c>
      <c r="E403" s="114">
        <f t="shared" si="92"/>
        <v>3523.7028100000011</v>
      </c>
      <c r="F403" s="114">
        <f t="shared" si="92"/>
        <v>7363.8801000000003</v>
      </c>
      <c r="G403" s="114">
        <f t="shared" si="92"/>
        <v>0</v>
      </c>
      <c r="H403" s="114">
        <f t="shared" si="92"/>
        <v>0</v>
      </c>
      <c r="I403" s="114">
        <f t="shared" si="92"/>
        <v>0</v>
      </c>
      <c r="J403" s="114">
        <f t="shared" si="92"/>
        <v>0</v>
      </c>
      <c r="K403" s="114">
        <f t="shared" si="92"/>
        <v>0</v>
      </c>
      <c r="L403" s="114">
        <f t="shared" si="92"/>
        <v>0</v>
      </c>
      <c r="M403" s="114">
        <f t="shared" si="92"/>
        <v>0</v>
      </c>
      <c r="N403" s="114">
        <f t="shared" si="92"/>
        <v>0</v>
      </c>
      <c r="O403" s="114">
        <f t="shared" si="92"/>
        <v>0</v>
      </c>
      <c r="P403" s="114">
        <f t="shared" si="92"/>
        <v>0</v>
      </c>
      <c r="Q403" s="114">
        <f t="shared" si="92"/>
        <v>0</v>
      </c>
      <c r="R403" s="114">
        <f t="shared" si="92"/>
        <v>0</v>
      </c>
      <c r="S403" s="114">
        <f t="shared" si="92"/>
        <v>0</v>
      </c>
      <c r="T403" s="114">
        <f t="shared" si="92"/>
        <v>0</v>
      </c>
      <c r="U403" s="114">
        <f t="shared" si="92"/>
        <v>0</v>
      </c>
      <c r="V403" s="114">
        <f t="shared" si="92"/>
        <v>0</v>
      </c>
      <c r="W403" s="114">
        <f t="shared" si="92"/>
        <v>0</v>
      </c>
      <c r="X403" s="114">
        <f t="shared" si="92"/>
        <v>0</v>
      </c>
      <c r="Y403" s="114">
        <f t="shared" si="92"/>
        <v>1743.6899999999998</v>
      </c>
      <c r="Z403" s="114">
        <f t="shared" si="92"/>
        <v>0</v>
      </c>
      <c r="AA403" s="114">
        <f t="shared" si="92"/>
        <v>0</v>
      </c>
      <c r="AB403" s="114">
        <f t="shared" si="92"/>
        <v>0</v>
      </c>
      <c r="AC403" s="114">
        <f t="shared" si="92"/>
        <v>0</v>
      </c>
      <c r="AD403" s="114">
        <f t="shared" si="92"/>
        <v>260.13446999999996</v>
      </c>
      <c r="AE403" s="114">
        <f t="shared" si="92"/>
        <v>137.55599999999998</v>
      </c>
      <c r="AF403" s="191">
        <f t="shared" si="92"/>
        <v>122.57847000000001</v>
      </c>
      <c r="AG403" s="114">
        <f t="shared" si="92"/>
        <v>0</v>
      </c>
      <c r="AH403" s="114">
        <f t="shared" si="92"/>
        <v>0</v>
      </c>
      <c r="AI403" s="114">
        <f t="shared" si="92"/>
        <v>0</v>
      </c>
      <c r="AJ403" s="114">
        <f t="shared" ref="AJ403:BO403" si="93">SUBTOTAL(9,AJ383:AJ402)</f>
        <v>0</v>
      </c>
      <c r="AK403" s="114">
        <f t="shared" si="93"/>
        <v>0</v>
      </c>
      <c r="AL403" s="114">
        <f t="shared" si="93"/>
        <v>0</v>
      </c>
      <c r="AM403" s="114">
        <f t="shared" si="93"/>
        <v>0</v>
      </c>
      <c r="AN403" s="114">
        <f t="shared" si="93"/>
        <v>0</v>
      </c>
      <c r="AO403" s="114">
        <f t="shared" si="93"/>
        <v>0</v>
      </c>
      <c r="AP403" s="114">
        <f t="shared" si="93"/>
        <v>1279.5458199999998</v>
      </c>
      <c r="AQ403" s="114">
        <f t="shared" si="93"/>
        <v>2032.2930300000003</v>
      </c>
      <c r="AR403" s="114">
        <f t="shared" si="93"/>
        <v>0</v>
      </c>
      <c r="AS403" s="114">
        <f t="shared" si="93"/>
        <v>0</v>
      </c>
      <c r="AT403" s="114">
        <f t="shared" si="93"/>
        <v>0</v>
      </c>
      <c r="AU403" s="114">
        <f t="shared" si="93"/>
        <v>0</v>
      </c>
      <c r="AV403" s="114">
        <f t="shared" si="93"/>
        <v>104.49109999999999</v>
      </c>
      <c r="AW403" s="114">
        <f t="shared" si="93"/>
        <v>0</v>
      </c>
      <c r="AX403" s="114">
        <f t="shared" si="93"/>
        <v>0</v>
      </c>
      <c r="AY403" s="114">
        <f t="shared" si="93"/>
        <v>0</v>
      </c>
      <c r="AZ403" s="114">
        <f t="shared" si="93"/>
        <v>2244.1569900000004</v>
      </c>
      <c r="BA403" s="114">
        <f t="shared" si="93"/>
        <v>2032.2674000000004</v>
      </c>
      <c r="BB403" s="114">
        <f t="shared" si="93"/>
        <v>0</v>
      </c>
      <c r="BC403" s="114">
        <f t="shared" si="93"/>
        <v>0</v>
      </c>
      <c r="BD403" s="114">
        <f t="shared" si="93"/>
        <v>0</v>
      </c>
      <c r="BE403" s="114">
        <f t="shared" si="93"/>
        <v>0</v>
      </c>
      <c r="BF403" s="114">
        <f t="shared" si="93"/>
        <v>0</v>
      </c>
      <c r="BG403" s="114">
        <f t="shared" si="93"/>
        <v>0</v>
      </c>
      <c r="BH403" s="114">
        <f t="shared" si="93"/>
        <v>0</v>
      </c>
      <c r="BI403" s="114">
        <f t="shared" si="93"/>
        <v>0</v>
      </c>
      <c r="BJ403" s="114">
        <f t="shared" si="93"/>
        <v>0</v>
      </c>
      <c r="BK403" s="114">
        <f t="shared" si="93"/>
        <v>0</v>
      </c>
      <c r="BL403" s="114">
        <f t="shared" si="93"/>
        <v>0</v>
      </c>
      <c r="BM403" s="114">
        <f t="shared" si="93"/>
        <v>0</v>
      </c>
      <c r="BN403" s="114">
        <f t="shared" si="93"/>
        <v>0</v>
      </c>
      <c r="BO403" s="114">
        <f t="shared" si="93"/>
        <v>0</v>
      </c>
      <c r="BP403" s="114">
        <f t="shared" ref="BP403:CU403" si="94">SUBTOTAL(9,BP383:BP402)</f>
        <v>1191.0041000000001</v>
      </c>
      <c r="BQ403" s="114">
        <f t="shared" si="94"/>
        <v>0</v>
      </c>
      <c r="BR403" s="114">
        <f t="shared" si="94"/>
        <v>0</v>
      </c>
      <c r="BS403" s="114">
        <f t="shared" si="94"/>
        <v>0</v>
      </c>
      <c r="BT403" s="114">
        <f t="shared" si="94"/>
        <v>0</v>
      </c>
      <c r="BU403" s="114">
        <f t="shared" si="94"/>
        <v>0</v>
      </c>
      <c r="BV403" s="114">
        <f t="shared" si="94"/>
        <v>0</v>
      </c>
      <c r="BW403" s="114">
        <f t="shared" si="94"/>
        <v>0</v>
      </c>
      <c r="BX403" s="114">
        <f t="shared" si="94"/>
        <v>0</v>
      </c>
      <c r="BY403" s="114">
        <f t="shared" si="94"/>
        <v>0</v>
      </c>
      <c r="BZ403" s="114">
        <f t="shared" si="94"/>
        <v>0</v>
      </c>
      <c r="CA403" s="114">
        <f t="shared" si="94"/>
        <v>0</v>
      </c>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c r="CX403" s="176"/>
      <c r="CY403" s="176"/>
      <c r="CZ403" s="176"/>
      <c r="DA403" s="176"/>
      <c r="DB403" s="176"/>
      <c r="DC403" s="176"/>
      <c r="DD403" s="176"/>
      <c r="DE403" s="176"/>
      <c r="DF403" s="176"/>
      <c r="DG403" s="176"/>
      <c r="DH403" s="176"/>
      <c r="DI403" s="176"/>
      <c r="DJ403" s="176"/>
      <c r="DK403" s="176"/>
      <c r="DL403" s="176"/>
      <c r="DM403" s="176"/>
      <c r="DN403" s="176"/>
      <c r="DO403" s="176"/>
      <c r="DP403" s="176"/>
      <c r="DQ403" s="176"/>
      <c r="DR403" s="176"/>
      <c r="DS403" s="176"/>
      <c r="DT403" s="176"/>
      <c r="DU403" s="176"/>
      <c r="DV403" s="176"/>
      <c r="DW403" s="176"/>
      <c r="DX403" s="176"/>
      <c r="DY403" s="176"/>
      <c r="DZ403" s="176"/>
      <c r="EA403" s="176"/>
      <c r="EB403" s="176"/>
      <c r="EC403" s="176"/>
      <c r="ED403" s="176"/>
      <c r="EE403" s="176"/>
      <c r="EF403" s="176"/>
      <c r="EG403" s="176"/>
      <c r="EH403" s="176"/>
      <c r="EI403" s="176"/>
      <c r="EJ403" s="176"/>
      <c r="EK403" s="176"/>
      <c r="EL403" s="176"/>
      <c r="EM403" s="176"/>
      <c r="EN403" s="176"/>
      <c r="EO403" s="176"/>
      <c r="EP403" s="176"/>
      <c r="EQ403" s="176"/>
      <c r="ER403" s="176"/>
      <c r="ES403" s="176"/>
      <c r="ET403" s="176"/>
      <c r="EU403" s="176"/>
      <c r="EV403" s="176"/>
      <c r="EW403" s="176"/>
      <c r="EX403" s="176"/>
      <c r="EY403" s="176"/>
      <c r="EZ403" s="176"/>
      <c r="FA403" s="176"/>
      <c r="FB403" s="176"/>
      <c r="FC403" s="176"/>
      <c r="FD403" s="176"/>
      <c r="FE403" s="176"/>
      <c r="FF403" s="176"/>
      <c r="FG403" s="176"/>
      <c r="FH403" s="176"/>
      <c r="FI403" s="176"/>
      <c r="FJ403" s="176"/>
      <c r="FK403" s="176"/>
      <c r="FL403" s="176"/>
      <c r="FM403" s="176"/>
      <c r="FN403" s="176"/>
      <c r="FO403" s="176"/>
      <c r="FP403" s="176"/>
      <c r="FQ403" s="176"/>
      <c r="FR403" s="176"/>
      <c r="FS403" s="176"/>
      <c r="FT403" s="176"/>
      <c r="FU403" s="176"/>
      <c r="FV403" s="176"/>
      <c r="FW403" s="176"/>
      <c r="FX403" s="176"/>
      <c r="FY403" s="176"/>
      <c r="FZ403" s="176"/>
      <c r="GA403" s="176"/>
      <c r="GB403" s="176"/>
      <c r="GC403" s="176"/>
      <c r="GD403" s="176"/>
      <c r="GE403" s="176"/>
      <c r="GF403" s="176"/>
      <c r="GG403" s="176"/>
      <c r="GH403" s="176"/>
      <c r="GI403" s="176"/>
      <c r="GJ403" s="176"/>
      <c r="GK403" s="176"/>
      <c r="GL403" s="176"/>
      <c r="GM403" s="176"/>
      <c r="GN403" s="176"/>
      <c r="GO403" s="176"/>
      <c r="GP403" s="176"/>
      <c r="GQ403" s="176"/>
      <c r="GR403" s="176"/>
      <c r="GS403" s="176"/>
      <c r="GT403" s="176"/>
      <c r="GU403" s="176"/>
      <c r="GV403" s="176"/>
      <c r="GW403" s="176"/>
      <c r="GX403" s="176"/>
      <c r="GY403" s="176"/>
      <c r="GZ403" s="176"/>
      <c r="HA403" s="176"/>
      <c r="HB403" s="176"/>
      <c r="HC403" s="176"/>
      <c r="HD403" s="176"/>
      <c r="HE403" s="176"/>
      <c r="HF403" s="176"/>
      <c r="HG403" s="176"/>
      <c r="HH403" s="176"/>
      <c r="HI403" s="176"/>
      <c r="HJ403" s="176"/>
      <c r="HK403" s="176"/>
      <c r="HL403" s="176"/>
      <c r="HM403" s="176"/>
      <c r="HN403" s="176"/>
      <c r="HO403" s="176"/>
      <c r="HP403" s="176"/>
      <c r="HQ403" s="176"/>
      <c r="HR403" s="176"/>
      <c r="HS403" s="176"/>
      <c r="HT403" s="176"/>
      <c r="HU403" s="176"/>
      <c r="HV403" s="176"/>
      <c r="HW403" s="176"/>
      <c r="HX403" s="176"/>
      <c r="HY403" s="176"/>
      <c r="HZ403" s="176"/>
      <c r="IA403" s="176"/>
      <c r="IB403" s="176"/>
      <c r="IC403" s="176"/>
      <c r="ID403" s="176"/>
      <c r="IE403" s="176"/>
      <c r="IF403" s="176"/>
      <c r="IG403" s="176"/>
      <c r="IH403" s="176"/>
      <c r="II403" s="176"/>
      <c r="IJ403" s="176"/>
      <c r="IK403" s="176"/>
      <c r="IL403" s="176"/>
      <c r="IM403" s="176"/>
      <c r="IN403" s="176"/>
      <c r="IO403" s="176"/>
      <c r="IP403" s="176"/>
      <c r="IQ403" s="176"/>
      <c r="IR403" s="176"/>
      <c r="IS403" s="176"/>
      <c r="IT403" s="176"/>
      <c r="IU403" s="176"/>
      <c r="IV403" s="176"/>
      <c r="IW403" s="176"/>
      <c r="IX403" s="176"/>
      <c r="IY403" s="176"/>
      <c r="IZ403" s="176"/>
      <c r="JA403" s="176"/>
      <c r="JB403" s="176"/>
      <c r="JC403" s="176"/>
      <c r="JD403" s="176"/>
      <c r="JE403" s="176"/>
      <c r="JF403" s="176"/>
      <c r="JG403" s="176"/>
      <c r="JH403" s="176"/>
      <c r="JI403" s="176"/>
      <c r="JJ403" s="176"/>
      <c r="JK403" s="176"/>
      <c r="JL403" s="176"/>
      <c r="JM403" s="176"/>
      <c r="JN403" s="176"/>
      <c r="JO403" s="176"/>
      <c r="JP403" s="176"/>
      <c r="JQ403" s="176"/>
      <c r="JR403" s="176"/>
      <c r="JS403" s="176"/>
      <c r="JT403" s="176"/>
      <c r="JU403" s="176"/>
      <c r="JV403" s="176"/>
      <c r="JW403" s="131"/>
      <c r="JX403" s="131"/>
      <c r="JY403" s="131"/>
      <c r="JZ403" s="131"/>
      <c r="KA403" s="131"/>
      <c r="KB403" s="131"/>
      <c r="KC403" s="131"/>
      <c r="KD403" s="131"/>
      <c r="KE403" s="131"/>
      <c r="KF403" s="131"/>
      <c r="KG403" s="131"/>
      <c r="KH403" s="131"/>
      <c r="KI403" s="131"/>
      <c r="KJ403" s="131"/>
      <c r="KK403" s="131"/>
      <c r="KL403" s="131"/>
      <c r="KM403" s="131"/>
      <c r="KN403" s="131"/>
      <c r="KO403" s="131"/>
      <c r="KP403" s="131"/>
      <c r="KQ403" s="131"/>
      <c r="KR403" s="131"/>
      <c r="KS403" s="131"/>
      <c r="KT403" s="131"/>
      <c r="KU403" s="131"/>
      <c r="KV403" s="131"/>
      <c r="KW403" s="131"/>
      <c r="KX403" s="131"/>
      <c r="KY403" s="131"/>
      <c r="KZ403" s="131"/>
      <c r="LA403" s="131"/>
      <c r="LB403" s="131"/>
      <c r="LC403" s="131"/>
      <c r="LD403" s="131"/>
      <c r="LE403" s="131"/>
      <c r="LF403" s="131"/>
      <c r="LG403" s="131"/>
      <c r="LH403" s="131"/>
      <c r="LI403" s="131"/>
      <c r="LJ403" s="131"/>
      <c r="LK403" s="131"/>
      <c r="LL403" s="131"/>
      <c r="LM403" s="131"/>
      <c r="LN403" s="131"/>
      <c r="LO403" s="131"/>
      <c r="LP403" s="131"/>
      <c r="LQ403" s="131"/>
      <c r="LR403" s="131"/>
      <c r="LS403" s="131"/>
      <c r="LT403" s="131"/>
      <c r="LU403" s="131"/>
      <c r="LV403" s="131"/>
      <c r="LW403" s="131"/>
      <c r="LX403" s="131"/>
      <c r="LY403" s="131"/>
      <c r="LZ403" s="131"/>
      <c r="MA403" s="131"/>
      <c r="MB403" s="131"/>
      <c r="MC403" s="131"/>
      <c r="MD403" s="131"/>
      <c r="ME403" s="131"/>
      <c r="MF403" s="131"/>
      <c r="MG403" s="131"/>
      <c r="MH403" s="131"/>
      <c r="MI403" s="131"/>
      <c r="MJ403" s="131"/>
      <c r="MK403" s="131"/>
      <c r="ML403" s="131"/>
      <c r="MM403" s="131"/>
      <c r="MN403" s="131"/>
      <c r="MO403" s="131"/>
      <c r="MP403" s="131"/>
      <c r="MQ403" s="131"/>
      <c r="MR403" s="131"/>
      <c r="MS403" s="131"/>
      <c r="MT403" s="131"/>
      <c r="MU403" s="131"/>
      <c r="MV403" s="131"/>
      <c r="MW403" s="131"/>
      <c r="MX403" s="131"/>
      <c r="MY403" s="131"/>
      <c r="MZ403" s="131"/>
      <c r="NA403" s="131"/>
      <c r="NB403" s="131"/>
      <c r="NC403" s="131"/>
      <c r="ND403" s="131"/>
      <c r="NE403" s="131"/>
      <c r="NF403" s="131"/>
      <c r="NG403" s="131"/>
      <c r="NH403" s="131"/>
      <c r="NI403" s="131"/>
      <c r="NJ403" s="131"/>
      <c r="NK403" s="131"/>
      <c r="NL403" s="131"/>
      <c r="NM403" s="131"/>
      <c r="NN403" s="131"/>
      <c r="NO403" s="131"/>
      <c r="NP403" s="131"/>
      <c r="NQ403" s="131"/>
      <c r="NR403" s="131"/>
      <c r="NS403" s="131"/>
      <c r="NT403" s="131"/>
      <c r="NU403" s="131"/>
      <c r="NV403" s="131"/>
      <c r="NW403" s="131"/>
      <c r="NX403" s="131"/>
      <c r="NY403" s="131"/>
      <c r="NZ403" s="131"/>
      <c r="OA403" s="131"/>
      <c r="OB403" s="131"/>
      <c r="OC403" s="131"/>
      <c r="OD403" s="131"/>
      <c r="OE403" s="131"/>
      <c r="OF403" s="131"/>
      <c r="OG403" s="131"/>
      <c r="OH403" s="131"/>
      <c r="OI403" s="131"/>
      <c r="OJ403" s="131"/>
      <c r="OK403" s="131"/>
      <c r="OL403" s="131"/>
      <c r="OM403" s="131"/>
      <c r="ON403" s="131"/>
      <c r="OO403" s="131"/>
      <c r="OP403" s="131"/>
      <c r="OQ403" s="131"/>
      <c r="OR403" s="131"/>
      <c r="OS403" s="131"/>
      <c r="OT403" s="131"/>
      <c r="OU403" s="131"/>
      <c r="OV403" s="131"/>
      <c r="OW403" s="131"/>
      <c r="OX403" s="131"/>
      <c r="OY403" s="131"/>
      <c r="OZ403" s="131"/>
      <c r="PA403" s="131"/>
      <c r="PB403" s="131"/>
      <c r="PC403" s="131"/>
      <c r="PD403" s="131"/>
      <c r="PE403" s="131"/>
      <c r="PF403" s="131"/>
      <c r="PG403" s="131"/>
      <c r="PH403" s="131"/>
      <c r="PI403" s="131"/>
      <c r="PJ403" s="131"/>
      <c r="PK403" s="131"/>
      <c r="PL403" s="131"/>
      <c r="PM403" s="131"/>
      <c r="PN403" s="131"/>
      <c r="PO403" s="131"/>
      <c r="PP403" s="131"/>
      <c r="PQ403" s="131"/>
      <c r="PR403" s="131"/>
      <c r="PS403" s="131"/>
      <c r="PT403" s="131"/>
      <c r="PU403" s="131"/>
      <c r="PV403" s="131"/>
      <c r="PW403" s="131"/>
      <c r="PX403" s="131"/>
      <c r="PY403" s="131"/>
      <c r="PZ403" s="131"/>
      <c r="QA403" s="131"/>
      <c r="QB403" s="131"/>
      <c r="QC403" s="131"/>
      <c r="QD403" s="131"/>
      <c r="QE403" s="131"/>
      <c r="QF403" s="131"/>
      <c r="QG403" s="131"/>
      <c r="QH403" s="131"/>
      <c r="QI403" s="131"/>
      <c r="QJ403" s="131"/>
      <c r="QK403" s="131"/>
      <c r="QL403" s="131"/>
      <c r="QM403" s="131"/>
      <c r="QN403" s="131"/>
      <c r="QO403" s="131"/>
      <c r="QP403" s="131"/>
      <c r="QQ403" s="131"/>
      <c r="QR403" s="131"/>
      <c r="QS403" s="131"/>
      <c r="QT403" s="131"/>
      <c r="QU403" s="131"/>
      <c r="QV403" s="131"/>
      <c r="QW403" s="131"/>
      <c r="QX403" s="131"/>
      <c r="QY403" s="131"/>
      <c r="QZ403" s="131"/>
      <c r="RA403" s="131"/>
      <c r="RB403" s="131"/>
      <c r="RC403" s="131"/>
      <c r="RD403" s="131"/>
      <c r="RE403" s="131"/>
      <c r="RF403" s="131"/>
      <c r="RG403" s="131"/>
      <c r="RH403" s="131"/>
      <c r="RI403" s="131"/>
      <c r="RJ403" s="131"/>
      <c r="RK403" s="131"/>
      <c r="RL403" s="131"/>
      <c r="RM403" s="131"/>
      <c r="RN403" s="131"/>
      <c r="RO403" s="131"/>
      <c r="RP403" s="131"/>
      <c r="RQ403" s="131"/>
      <c r="RR403" s="131"/>
      <c r="RS403" s="131"/>
      <c r="RT403" s="131"/>
      <c r="RU403" s="131"/>
      <c r="RV403" s="131"/>
      <c r="RW403" s="131"/>
      <c r="RX403" s="131"/>
      <c r="RY403" s="131"/>
      <c r="RZ403" s="131"/>
      <c r="SA403" s="131"/>
      <c r="SB403" s="131"/>
      <c r="SC403" s="131"/>
      <c r="SD403" s="131"/>
      <c r="SE403" s="131"/>
      <c r="SF403" s="131"/>
      <c r="SG403" s="131"/>
      <c r="SH403" s="131"/>
      <c r="SI403" s="131"/>
      <c r="SJ403" s="131"/>
      <c r="SK403" s="131"/>
      <c r="SL403" s="131"/>
      <c r="SM403" s="131"/>
      <c r="SN403" s="131"/>
      <c r="SO403" s="131"/>
      <c r="SP403" s="131"/>
      <c r="SQ403" s="131"/>
      <c r="SR403" s="131"/>
      <c r="SS403" s="131"/>
      <c r="ST403" s="131"/>
      <c r="SU403" s="131"/>
      <c r="SV403" s="131"/>
      <c r="SW403" s="131"/>
      <c r="SX403" s="131"/>
      <c r="SY403" s="131"/>
      <c r="SZ403" s="131"/>
      <c r="TA403" s="131"/>
      <c r="TB403" s="131"/>
      <c r="TC403" s="131"/>
      <c r="TD403" s="131"/>
      <c r="TE403" s="131"/>
      <c r="TF403" s="131"/>
      <c r="TG403" s="131"/>
      <c r="TH403" s="131"/>
      <c r="TI403" s="131"/>
      <c r="TJ403" s="131"/>
      <c r="TK403" s="131"/>
      <c r="TL403" s="131"/>
      <c r="TM403" s="131"/>
      <c r="TN403" s="131"/>
      <c r="TO403" s="131"/>
      <c r="TP403" s="131"/>
      <c r="TQ403" s="131"/>
      <c r="TR403" s="131"/>
      <c r="TS403" s="131"/>
      <c r="TT403" s="131"/>
      <c r="TU403" s="131"/>
      <c r="TV403" s="131"/>
      <c r="TW403" s="131"/>
      <c r="TX403" s="131"/>
      <c r="TY403" s="131"/>
      <c r="TZ403" s="131"/>
      <c r="UA403" s="131"/>
      <c r="UB403" s="131"/>
      <c r="UC403" s="131"/>
      <c r="UD403" s="131"/>
      <c r="UE403" s="131"/>
      <c r="UF403" s="131"/>
      <c r="UG403" s="131"/>
      <c r="UH403" s="131"/>
      <c r="UI403" s="131"/>
      <c r="UJ403" s="131"/>
      <c r="UK403" s="131"/>
      <c r="UL403" s="131"/>
      <c r="UM403" s="131"/>
      <c r="UN403" s="131"/>
      <c r="UO403" s="131"/>
      <c r="UP403" s="131"/>
      <c r="UQ403" s="131"/>
      <c r="UR403" s="131"/>
      <c r="US403" s="131"/>
      <c r="UT403" s="131"/>
      <c r="UU403" s="131"/>
      <c r="UV403" s="131"/>
      <c r="UW403" s="131"/>
      <c r="UX403" s="131"/>
      <c r="UY403" s="131"/>
      <c r="UZ403" s="131"/>
      <c r="VA403" s="131"/>
      <c r="VB403" s="131"/>
      <c r="VC403" s="131"/>
      <c r="VD403" s="131"/>
      <c r="VE403" s="131"/>
      <c r="VF403" s="131"/>
      <c r="VG403" s="131"/>
      <c r="VH403" s="131"/>
      <c r="VI403" s="131"/>
      <c r="VJ403" s="131"/>
      <c r="VK403" s="131"/>
      <c r="VL403" s="131"/>
      <c r="VM403" s="131"/>
      <c r="VN403" s="131"/>
      <c r="VO403" s="131"/>
      <c r="VP403" s="131"/>
      <c r="VQ403" s="131"/>
      <c r="VR403" s="131"/>
      <c r="VS403" s="131"/>
      <c r="VT403" s="131"/>
      <c r="VU403" s="131"/>
      <c r="VV403" s="131"/>
      <c r="VW403" s="131"/>
      <c r="VX403" s="131"/>
      <c r="VY403" s="131"/>
      <c r="VZ403" s="131"/>
      <c r="WA403" s="131"/>
      <c r="WB403" s="131"/>
      <c r="WC403" s="131"/>
      <c r="WD403" s="131"/>
      <c r="WE403" s="131"/>
      <c r="WF403" s="131"/>
      <c r="WG403" s="131"/>
      <c r="WH403" s="131"/>
      <c r="WI403" s="131"/>
      <c r="WJ403" s="131"/>
      <c r="WK403" s="131"/>
      <c r="WL403" s="131"/>
      <c r="WM403" s="131"/>
      <c r="WN403" s="131"/>
      <c r="WO403" s="131"/>
      <c r="WP403" s="131"/>
      <c r="WQ403" s="131"/>
      <c r="WR403" s="131"/>
      <c r="WS403" s="131"/>
      <c r="WT403" s="131"/>
      <c r="WU403" s="131"/>
      <c r="WV403" s="131"/>
      <c r="WW403" s="131"/>
      <c r="WX403" s="131"/>
      <c r="WY403" s="131"/>
      <c r="WZ403" s="131"/>
      <c r="XA403" s="131"/>
      <c r="XB403" s="131"/>
      <c r="XC403" s="131"/>
      <c r="XD403" s="131"/>
      <c r="XE403" s="131"/>
      <c r="XF403" s="131"/>
      <c r="XG403" s="131"/>
      <c r="XH403" s="131"/>
      <c r="XI403" s="131"/>
      <c r="XJ403" s="131"/>
      <c r="XK403" s="131"/>
      <c r="XL403" s="131"/>
      <c r="XM403" s="131"/>
      <c r="XN403" s="131"/>
      <c r="XO403" s="131"/>
      <c r="XP403" s="131"/>
      <c r="XQ403" s="131"/>
      <c r="XR403" s="131"/>
      <c r="XS403" s="131"/>
      <c r="XT403" s="131"/>
      <c r="XU403" s="131"/>
      <c r="XV403" s="131"/>
      <c r="XW403" s="131"/>
      <c r="XX403" s="131"/>
      <c r="XY403" s="131"/>
      <c r="XZ403" s="131"/>
      <c r="YA403" s="131"/>
      <c r="YB403" s="131"/>
      <c r="YC403" s="131"/>
      <c r="YD403" s="131"/>
      <c r="YE403" s="131"/>
      <c r="YF403" s="131"/>
      <c r="YG403" s="131"/>
      <c r="YH403" s="131"/>
      <c r="YI403" s="131"/>
      <c r="YJ403" s="131"/>
      <c r="YK403" s="131"/>
      <c r="YL403" s="131"/>
      <c r="YM403" s="131"/>
      <c r="YN403" s="131"/>
      <c r="YO403" s="131"/>
      <c r="YP403" s="131"/>
      <c r="YQ403" s="131"/>
      <c r="YR403" s="131"/>
      <c r="YS403" s="131"/>
      <c r="YT403" s="131"/>
      <c r="YU403" s="131"/>
      <c r="YV403" s="131"/>
      <c r="YW403" s="131"/>
      <c r="YX403" s="131"/>
      <c r="YY403" s="131"/>
      <c r="YZ403" s="131"/>
      <c r="ZA403" s="131"/>
      <c r="ZB403" s="131"/>
      <c r="ZC403" s="131"/>
      <c r="ZD403" s="131"/>
      <c r="ZE403" s="131"/>
      <c r="ZF403" s="131"/>
      <c r="ZG403" s="131"/>
      <c r="ZH403" s="131"/>
      <c r="ZI403" s="131"/>
      <c r="ZJ403" s="131"/>
      <c r="ZK403" s="131"/>
      <c r="ZL403" s="131"/>
      <c r="ZM403" s="131"/>
      <c r="ZN403" s="131"/>
      <c r="ZO403" s="131"/>
      <c r="ZP403" s="131"/>
      <c r="ZQ403" s="131"/>
      <c r="ZR403" s="131"/>
      <c r="ZS403" s="131"/>
      <c r="ZT403" s="131"/>
      <c r="ZU403" s="131"/>
      <c r="ZV403" s="131"/>
      <c r="ZW403" s="131"/>
      <c r="ZX403" s="131"/>
      <c r="ZY403" s="131"/>
      <c r="ZZ403" s="131"/>
      <c r="AAA403" s="131"/>
      <c r="AAB403" s="131"/>
      <c r="AAC403" s="131"/>
      <c r="AAD403" s="131"/>
      <c r="AAE403" s="131"/>
      <c r="AAF403" s="131"/>
      <c r="AAG403" s="131"/>
      <c r="AAH403" s="131"/>
      <c r="AAI403" s="131"/>
      <c r="AAJ403" s="131"/>
      <c r="AAK403" s="131"/>
      <c r="AAL403" s="131"/>
      <c r="AAM403" s="131"/>
      <c r="AAN403" s="131"/>
      <c r="AAO403" s="131"/>
      <c r="AAP403" s="131"/>
      <c r="AAQ403" s="131"/>
      <c r="AAR403" s="131"/>
      <c r="AAS403" s="131"/>
      <c r="AAT403" s="131"/>
      <c r="AAU403" s="131"/>
      <c r="AAV403" s="131"/>
      <c r="AAW403" s="131"/>
      <c r="AAX403" s="131"/>
      <c r="AAY403" s="131"/>
      <c r="AAZ403" s="131"/>
      <c r="ABA403" s="131"/>
      <c r="ABB403" s="131"/>
      <c r="ABC403" s="131"/>
      <c r="ABD403" s="131"/>
      <c r="ABE403" s="131"/>
      <c r="ABF403" s="131"/>
      <c r="ABG403" s="131"/>
      <c r="ABH403" s="131"/>
      <c r="ABI403" s="131"/>
      <c r="ABJ403" s="131"/>
      <c r="ABK403" s="131"/>
      <c r="ABL403" s="131"/>
      <c r="ABM403" s="131"/>
      <c r="ABN403" s="131"/>
      <c r="ABO403" s="131"/>
      <c r="ABP403" s="131"/>
      <c r="ABQ403" s="131"/>
      <c r="ABR403" s="131"/>
      <c r="ABS403" s="131"/>
      <c r="ABT403" s="131"/>
      <c r="ABU403" s="131"/>
      <c r="ABV403" s="131"/>
      <c r="ABW403" s="131"/>
      <c r="ABX403" s="131"/>
      <c r="ABY403" s="131"/>
      <c r="ABZ403" s="131"/>
      <c r="ACA403" s="131"/>
      <c r="ACB403" s="131"/>
      <c r="ACC403" s="131"/>
      <c r="ACD403" s="131"/>
      <c r="ACE403" s="131"/>
      <c r="ACF403" s="131"/>
      <c r="ACG403" s="131"/>
      <c r="ACH403" s="131"/>
      <c r="ACI403" s="131"/>
      <c r="ACJ403" s="131"/>
      <c r="ACK403" s="131"/>
      <c r="ACL403" s="131"/>
      <c r="ACM403" s="131"/>
      <c r="ACN403" s="131"/>
      <c r="ACO403" s="131"/>
      <c r="ACP403" s="131"/>
      <c r="ACQ403" s="131"/>
      <c r="ACR403" s="131"/>
      <c r="ACS403" s="131"/>
      <c r="ACT403" s="131"/>
      <c r="ACU403" s="131"/>
      <c r="ACV403" s="131"/>
      <c r="ACW403" s="131"/>
      <c r="ACX403" s="131"/>
      <c r="ACY403" s="131"/>
      <c r="ACZ403" s="131"/>
      <c r="ADA403" s="131"/>
      <c r="ADB403" s="131"/>
      <c r="ADC403" s="131"/>
      <c r="ADD403" s="131"/>
      <c r="ADE403" s="131"/>
      <c r="ADF403" s="131"/>
      <c r="ADG403" s="131"/>
      <c r="ADH403" s="131"/>
      <c r="ADI403" s="131"/>
      <c r="ADJ403" s="131"/>
      <c r="ADK403" s="131"/>
      <c r="ADL403" s="131"/>
      <c r="ADM403" s="131"/>
      <c r="ADN403" s="131"/>
      <c r="ADO403" s="131"/>
      <c r="ADP403" s="131"/>
      <c r="ADQ403" s="131"/>
      <c r="ADR403" s="131"/>
      <c r="ADS403" s="131"/>
      <c r="ADT403" s="131"/>
      <c r="ADU403" s="131"/>
      <c r="ADV403" s="131"/>
      <c r="ADW403" s="131"/>
      <c r="ADX403" s="131"/>
      <c r="ADY403" s="131"/>
      <c r="ADZ403" s="131"/>
      <c r="AEA403" s="131"/>
      <c r="AEB403" s="131"/>
      <c r="AEC403" s="131"/>
      <c r="AED403" s="131"/>
      <c r="AEE403" s="131"/>
      <c r="AEF403" s="131"/>
      <c r="AEG403" s="131"/>
      <c r="AEH403" s="131"/>
      <c r="AEI403" s="131"/>
      <c r="AEJ403" s="131"/>
      <c r="AEK403" s="131"/>
      <c r="AEL403" s="131"/>
      <c r="AEM403" s="131"/>
      <c r="AEN403" s="131"/>
      <c r="AEO403" s="131"/>
      <c r="AEP403" s="131"/>
      <c r="AEQ403" s="131"/>
      <c r="AER403" s="131"/>
      <c r="AES403" s="131"/>
      <c r="AET403" s="131"/>
      <c r="AEU403" s="131"/>
      <c r="AEV403" s="131"/>
      <c r="AEW403" s="131"/>
      <c r="AEX403" s="131"/>
      <c r="AEY403" s="131"/>
      <c r="AEZ403" s="131"/>
      <c r="AFA403" s="131"/>
      <c r="AFB403" s="131"/>
      <c r="AFC403" s="131"/>
      <c r="AFD403" s="131"/>
      <c r="AFE403" s="131"/>
      <c r="AFF403" s="131"/>
      <c r="AFG403" s="131"/>
      <c r="AFH403" s="131"/>
      <c r="AFI403" s="131"/>
      <c r="AFJ403" s="131"/>
      <c r="AFK403" s="131"/>
      <c r="AFL403" s="131"/>
      <c r="AFM403" s="131"/>
      <c r="AFN403" s="131"/>
      <c r="AFO403" s="131"/>
      <c r="AFP403" s="131"/>
      <c r="AFQ403" s="131"/>
      <c r="AFR403" s="131"/>
      <c r="AFS403" s="131"/>
      <c r="AFT403" s="131"/>
      <c r="AFU403" s="131"/>
      <c r="AFV403" s="131"/>
      <c r="AFW403" s="131"/>
      <c r="AFX403" s="131"/>
      <c r="AFY403" s="131"/>
      <c r="AFZ403" s="131"/>
      <c r="AGA403" s="131"/>
      <c r="AGB403" s="131"/>
      <c r="AGC403" s="131"/>
      <c r="AGD403" s="131"/>
      <c r="AGE403" s="131"/>
      <c r="AGF403" s="131"/>
      <c r="AGG403" s="131"/>
      <c r="AGH403" s="131"/>
      <c r="AGI403" s="131"/>
      <c r="AGJ403" s="131"/>
      <c r="AGK403" s="131"/>
      <c r="AGL403" s="131"/>
      <c r="AGM403" s="131"/>
      <c r="AGN403" s="131"/>
      <c r="AGO403" s="131"/>
      <c r="AGP403" s="131"/>
      <c r="AGQ403" s="131"/>
      <c r="AGR403" s="131"/>
      <c r="AGS403" s="131"/>
      <c r="AGT403" s="131"/>
      <c r="AGU403" s="131"/>
      <c r="AGV403" s="131"/>
      <c r="AGW403" s="131"/>
      <c r="AGX403" s="131"/>
      <c r="AGY403" s="131"/>
      <c r="AGZ403" s="131"/>
      <c r="AHA403" s="131"/>
      <c r="AHB403" s="131"/>
      <c r="AHC403" s="131"/>
      <c r="AHD403" s="131"/>
      <c r="AHE403" s="131"/>
      <c r="AHF403" s="131"/>
      <c r="AHG403" s="131"/>
      <c r="AHH403" s="131"/>
      <c r="AHI403" s="131"/>
      <c r="AHJ403" s="131"/>
      <c r="AHK403" s="131"/>
      <c r="AHL403" s="131"/>
      <c r="AHM403" s="131"/>
      <c r="AHN403" s="131"/>
      <c r="AHO403" s="131"/>
      <c r="AHP403" s="131"/>
      <c r="AHQ403" s="131"/>
      <c r="AHR403" s="131"/>
      <c r="AHS403" s="131"/>
      <c r="AHT403" s="131"/>
      <c r="AHU403" s="131"/>
      <c r="AHV403" s="131"/>
      <c r="AHW403" s="131"/>
      <c r="AHX403" s="131"/>
      <c r="AHY403" s="131"/>
      <c r="AHZ403" s="131"/>
      <c r="AIA403" s="131"/>
      <c r="AIB403" s="131"/>
      <c r="AIC403" s="131"/>
      <c r="AID403" s="131"/>
      <c r="AIE403" s="131"/>
      <c r="AIF403" s="131"/>
      <c r="AIG403" s="131"/>
      <c r="AIH403" s="131"/>
      <c r="AII403" s="131"/>
      <c r="AIJ403" s="131"/>
      <c r="AIK403" s="131"/>
      <c r="AIL403" s="131"/>
      <c r="AIM403" s="131"/>
      <c r="AIN403" s="131"/>
      <c r="AIO403" s="131"/>
      <c r="AIP403" s="131"/>
      <c r="AIQ403" s="131"/>
      <c r="AIR403" s="131"/>
      <c r="AIS403" s="131"/>
      <c r="AIT403" s="131"/>
      <c r="AIU403" s="131"/>
      <c r="AIV403" s="131"/>
      <c r="AIW403" s="131"/>
      <c r="AIX403" s="131"/>
      <c r="AIY403" s="131"/>
      <c r="AIZ403" s="131"/>
      <c r="AJA403" s="131"/>
      <c r="AJB403" s="131"/>
      <c r="AJC403" s="131"/>
      <c r="AJD403" s="131"/>
      <c r="AJE403" s="131"/>
      <c r="AJF403" s="131"/>
      <c r="AJG403" s="131"/>
      <c r="AJH403" s="131"/>
      <c r="AJI403" s="131"/>
      <c r="AJJ403" s="131"/>
      <c r="AJK403" s="131"/>
      <c r="AJL403" s="131"/>
      <c r="AJM403" s="131"/>
      <c r="AJN403" s="131"/>
      <c r="AJO403" s="131"/>
      <c r="AJP403" s="131"/>
      <c r="AJQ403" s="131"/>
      <c r="AJR403" s="131"/>
      <c r="AJS403" s="131"/>
      <c r="AJT403" s="131"/>
      <c r="AJU403" s="131"/>
      <c r="AJV403" s="131"/>
      <c r="AJW403" s="131"/>
      <c r="AJX403" s="131"/>
      <c r="AJY403" s="131"/>
      <c r="AJZ403" s="131"/>
      <c r="AKA403" s="131"/>
      <c r="AKB403" s="131"/>
      <c r="AKC403" s="131"/>
      <c r="AKD403" s="131"/>
      <c r="AKE403" s="131"/>
      <c r="AKF403" s="131"/>
      <c r="AKG403" s="131"/>
      <c r="AKH403" s="131"/>
      <c r="AKI403" s="131"/>
      <c r="AKJ403" s="131"/>
      <c r="AKK403" s="131"/>
      <c r="AKL403" s="131"/>
      <c r="AKM403" s="131"/>
      <c r="AKN403" s="131"/>
      <c r="AKO403" s="131"/>
      <c r="AKP403" s="131"/>
      <c r="AKQ403" s="131"/>
      <c r="AKR403" s="131"/>
      <c r="AKS403" s="131"/>
      <c r="AKT403" s="131"/>
      <c r="AKU403" s="131"/>
      <c r="AKV403" s="131"/>
      <c r="AKW403" s="131"/>
      <c r="AKX403" s="131"/>
      <c r="AKY403" s="131"/>
      <c r="AKZ403" s="131"/>
      <c r="ALA403" s="131"/>
      <c r="ALB403" s="131"/>
      <c r="ALC403" s="131"/>
      <c r="ALD403" s="131"/>
      <c r="ALE403" s="131"/>
      <c r="ALF403" s="131"/>
      <c r="ALG403" s="131"/>
      <c r="ALH403" s="131"/>
      <c r="ALI403" s="131"/>
      <c r="ALJ403" s="131"/>
      <c r="ALK403" s="131"/>
      <c r="ALL403" s="131"/>
      <c r="ALM403" s="131"/>
      <c r="ALN403" s="131"/>
      <c r="ALO403" s="131"/>
      <c r="ALP403" s="131"/>
      <c r="ALQ403" s="131"/>
      <c r="ALR403" s="131"/>
      <c r="ALS403" s="131"/>
      <c r="ALT403" s="131"/>
      <c r="ALU403" s="131"/>
      <c r="ALV403" s="131"/>
      <c r="ALW403" s="131"/>
      <c r="ALX403" s="131"/>
      <c r="ALY403" s="131"/>
      <c r="ALZ403" s="131"/>
      <c r="AMA403" s="131"/>
      <c r="AMB403" s="131"/>
      <c r="AMC403" s="131"/>
      <c r="AMD403" s="131"/>
      <c r="AME403" s="131"/>
      <c r="AMF403" s="131"/>
      <c r="AMG403" s="131"/>
      <c r="AMH403" s="131"/>
      <c r="AMI403" s="131"/>
      <c r="AMJ403" s="131"/>
      <c r="AMK403" s="131"/>
      <c r="AML403" s="131"/>
      <c r="AMM403" s="131"/>
      <c r="AMN403" s="131"/>
      <c r="AMO403" s="131"/>
      <c r="AMP403" s="131"/>
      <c r="AMQ403" s="131"/>
      <c r="AMR403" s="131"/>
      <c r="AMS403" s="131"/>
      <c r="AMT403" s="131"/>
      <c r="AMU403" s="131"/>
      <c r="AMV403" s="131"/>
      <c r="AMW403" s="131"/>
      <c r="AMX403" s="131"/>
      <c r="AMY403" s="131"/>
      <c r="AMZ403" s="131"/>
      <c r="ANA403" s="131"/>
      <c r="ANB403" s="131"/>
      <c r="ANC403" s="131"/>
      <c r="AND403" s="131"/>
      <c r="ANE403" s="131"/>
      <c r="ANF403" s="131"/>
      <c r="ANG403" s="131"/>
      <c r="ANH403" s="131"/>
      <c r="ANI403" s="131"/>
      <c r="ANJ403" s="131"/>
      <c r="ANK403" s="131"/>
      <c r="ANL403" s="131"/>
      <c r="ANM403" s="131"/>
      <c r="ANN403" s="131"/>
      <c r="ANO403" s="131"/>
      <c r="ANP403" s="131"/>
      <c r="ANQ403" s="131"/>
      <c r="ANR403" s="131"/>
      <c r="ANS403" s="131"/>
      <c r="ANT403" s="131"/>
      <c r="ANU403" s="131"/>
      <c r="ANV403" s="131"/>
      <c r="ANW403" s="131"/>
      <c r="ANX403" s="131"/>
      <c r="ANY403" s="131"/>
      <c r="ANZ403" s="131"/>
      <c r="AOA403" s="131"/>
      <c r="AOB403" s="131"/>
      <c r="AOC403" s="131"/>
      <c r="AOD403" s="131"/>
      <c r="AOE403" s="131"/>
      <c r="AOF403" s="131"/>
      <c r="AOG403" s="131"/>
      <c r="AOH403" s="131"/>
      <c r="AOI403" s="131"/>
      <c r="AOJ403" s="131"/>
      <c r="AOK403" s="131"/>
      <c r="AOL403" s="131"/>
      <c r="AOM403" s="131"/>
      <c r="AON403" s="131"/>
      <c r="AOO403" s="131"/>
      <c r="AOP403" s="131"/>
      <c r="AOQ403" s="131"/>
      <c r="AOR403" s="131"/>
      <c r="AOS403" s="131"/>
      <c r="AOT403" s="131"/>
      <c r="AOU403" s="131"/>
      <c r="AOV403" s="131"/>
      <c r="AOW403" s="131"/>
      <c r="AOX403" s="131"/>
      <c r="AOY403" s="131"/>
      <c r="AOZ403" s="131"/>
      <c r="APA403" s="131"/>
      <c r="APB403" s="131"/>
      <c r="APC403" s="131"/>
      <c r="APD403" s="131"/>
      <c r="APE403" s="131"/>
      <c r="APF403" s="131"/>
      <c r="APG403" s="131"/>
      <c r="APH403" s="131"/>
      <c r="API403" s="131"/>
      <c r="APJ403" s="131"/>
      <c r="APK403" s="131"/>
      <c r="APL403" s="131"/>
      <c r="APM403" s="131"/>
      <c r="APN403" s="131"/>
      <c r="APO403" s="131"/>
      <c r="APP403" s="131"/>
      <c r="APQ403" s="131"/>
      <c r="APR403" s="131"/>
      <c r="APS403" s="131"/>
      <c r="APT403" s="131"/>
      <c r="APU403" s="131"/>
      <c r="APV403" s="131"/>
      <c r="APW403" s="131"/>
      <c r="APX403" s="131"/>
      <c r="APY403" s="131"/>
      <c r="APZ403" s="131"/>
      <c r="AQA403" s="131"/>
      <c r="AQB403" s="131"/>
      <c r="AQC403" s="131"/>
      <c r="AQD403" s="131"/>
      <c r="AQE403" s="131"/>
      <c r="AQF403" s="131"/>
      <c r="AQG403" s="131"/>
      <c r="AQH403" s="131"/>
      <c r="AQI403" s="131"/>
      <c r="AQJ403" s="131"/>
      <c r="AQK403" s="131"/>
      <c r="AQL403" s="131"/>
      <c r="AQM403" s="131"/>
      <c r="AQN403" s="131"/>
      <c r="AQO403" s="131"/>
      <c r="AQP403" s="131"/>
      <c r="AQQ403" s="131"/>
      <c r="AQR403" s="131"/>
      <c r="AQS403" s="131"/>
      <c r="AQT403" s="131"/>
      <c r="AQU403" s="131"/>
      <c r="AQV403" s="131"/>
      <c r="AQW403" s="131"/>
      <c r="AQX403" s="131"/>
      <c r="AQY403" s="131"/>
      <c r="AQZ403" s="131"/>
      <c r="ARA403" s="131"/>
      <c r="ARB403" s="131"/>
      <c r="ARC403" s="131"/>
      <c r="ARD403" s="131"/>
      <c r="ARE403" s="131"/>
      <c r="ARF403" s="131"/>
      <c r="ARG403" s="131"/>
      <c r="ARH403" s="131"/>
      <c r="ARI403" s="131"/>
      <c r="ARJ403" s="131"/>
      <c r="ARK403" s="131"/>
      <c r="ARL403" s="131"/>
      <c r="ARM403" s="131"/>
      <c r="ARN403" s="131"/>
      <c r="ARO403" s="131"/>
      <c r="ARP403" s="131"/>
      <c r="ARQ403" s="131"/>
      <c r="ARR403" s="131"/>
      <c r="ARS403" s="131"/>
      <c r="ART403" s="131"/>
      <c r="ARU403" s="131"/>
      <c r="ARV403" s="131"/>
      <c r="ARW403" s="131"/>
      <c r="ARX403" s="131"/>
      <c r="ARY403" s="131"/>
      <c r="ARZ403" s="131"/>
      <c r="ASA403" s="131"/>
      <c r="ASB403" s="131"/>
      <c r="ASC403" s="131"/>
      <c r="ASD403" s="131"/>
      <c r="ASE403" s="131"/>
      <c r="ASF403" s="131"/>
      <c r="ASG403" s="131"/>
      <c r="ASH403" s="131"/>
      <c r="ASI403" s="131"/>
      <c r="ASJ403" s="131"/>
      <c r="ASK403" s="131"/>
      <c r="ASL403" s="131"/>
      <c r="ASM403" s="131"/>
      <c r="ASN403" s="131"/>
      <c r="ASO403" s="131"/>
      <c r="ASP403" s="131"/>
      <c r="ASQ403" s="131"/>
      <c r="ASR403" s="131"/>
      <c r="ASS403" s="131"/>
      <c r="AST403" s="131"/>
      <c r="ASU403" s="131"/>
      <c r="ASV403" s="131"/>
      <c r="ASW403" s="131"/>
      <c r="ASX403" s="131"/>
      <c r="ASY403" s="131"/>
      <c r="ASZ403" s="131"/>
      <c r="ATA403" s="131"/>
      <c r="ATB403" s="131"/>
      <c r="ATC403" s="131"/>
    </row>
    <row r="404" spans="1:1199" ht="50.1" customHeight="1" outlineLevel="2" x14ac:dyDescent="0.3">
      <c r="A404" s="103" t="s">
        <v>397</v>
      </c>
      <c r="B404" s="96" t="s">
        <v>398</v>
      </c>
      <c r="C404" s="79" t="s">
        <v>37</v>
      </c>
      <c r="D404" s="81">
        <f t="shared" ref="D404" si="95">E404+F404</f>
        <v>2019.47938</v>
      </c>
      <c r="E404" s="82">
        <f t="shared" si="91"/>
        <v>309.23961000000003</v>
      </c>
      <c r="F404" s="83">
        <f t="shared" si="84"/>
        <v>1710.2397699999999</v>
      </c>
      <c r="G404" s="84"/>
      <c r="H404" s="85"/>
      <c r="I404" s="85"/>
      <c r="J404" s="84"/>
      <c r="K404" s="85"/>
      <c r="L404" s="85"/>
      <c r="M404" s="85"/>
      <c r="N404" s="85"/>
      <c r="O404" s="82"/>
      <c r="P404" s="83"/>
      <c r="Q404" s="83"/>
      <c r="R404" s="83"/>
      <c r="S404" s="82"/>
      <c r="T404" s="83"/>
      <c r="U404" s="83"/>
      <c r="V404" s="84"/>
      <c r="W404" s="85"/>
      <c r="X404" s="87"/>
      <c r="Y404" s="83">
        <v>143.52000000000001</v>
      </c>
      <c r="Z404" s="84"/>
      <c r="AA404" s="85"/>
      <c r="AB404" s="84"/>
      <c r="AC404" s="85"/>
      <c r="AD404" s="89">
        <f t="shared" si="85"/>
        <v>123.40902</v>
      </c>
      <c r="AE404" s="89">
        <v>77.685299999999998</v>
      </c>
      <c r="AF404" s="186">
        <v>45.72372</v>
      </c>
      <c r="AG404" s="85"/>
      <c r="AH404" s="85"/>
      <c r="AI404" s="85"/>
      <c r="AJ404" s="84"/>
      <c r="AK404" s="85"/>
      <c r="AL404" s="84"/>
      <c r="AM404" s="88"/>
      <c r="AN404" s="84"/>
      <c r="AO404" s="85">
        <v>1015.04</v>
      </c>
      <c r="AP404" s="84"/>
      <c r="AQ404" s="83"/>
      <c r="AR404" s="83"/>
      <c r="AS404" s="83"/>
      <c r="AT404" s="85"/>
      <c r="AU404" s="85"/>
      <c r="AV404" s="85"/>
      <c r="AW404" s="88"/>
      <c r="AX404" s="84"/>
      <c r="AY404" s="85"/>
      <c r="AZ404" s="84">
        <v>309.23961000000003</v>
      </c>
      <c r="BA404" s="85">
        <v>280.04174999999998</v>
      </c>
      <c r="BB404" s="88"/>
      <c r="BC404" s="85"/>
      <c r="BD404" s="84"/>
      <c r="BE404" s="88"/>
      <c r="BF404" s="85"/>
      <c r="BG404" s="85">
        <v>148.22900000000001</v>
      </c>
      <c r="BH404" s="85"/>
      <c r="BI404" s="85"/>
      <c r="BJ404" s="85"/>
      <c r="BK404" s="85"/>
      <c r="BL404" s="85"/>
      <c r="BM404" s="85"/>
      <c r="BN404" s="85"/>
      <c r="BO404" s="85"/>
      <c r="BP404" s="85"/>
      <c r="BQ404" s="85"/>
      <c r="BR404" s="84"/>
      <c r="BS404" s="85"/>
      <c r="BT404" s="85"/>
      <c r="BU404" s="198"/>
      <c r="BV404" s="90"/>
      <c r="BW404" s="198"/>
      <c r="BX404" s="90"/>
      <c r="BY404" s="198"/>
      <c r="BZ404" s="90"/>
      <c r="CA404" s="91"/>
    </row>
    <row r="405" spans="1:1199" ht="50.1" customHeight="1" outlineLevel="2" x14ac:dyDescent="0.3">
      <c r="A405" s="103" t="s">
        <v>397</v>
      </c>
      <c r="B405" s="96" t="s">
        <v>399</v>
      </c>
      <c r="C405" s="79" t="s">
        <v>37</v>
      </c>
      <c r="D405" s="81">
        <f t="shared" ref="D405:D452" si="96">E405+F405</f>
        <v>1750.32825</v>
      </c>
      <c r="E405" s="82">
        <f t="shared" si="91"/>
        <v>398.55331999999999</v>
      </c>
      <c r="F405" s="83">
        <f t="shared" si="84"/>
        <v>1351.77493</v>
      </c>
      <c r="G405" s="84"/>
      <c r="H405" s="85"/>
      <c r="I405" s="85"/>
      <c r="J405" s="84"/>
      <c r="K405" s="85"/>
      <c r="L405" s="85"/>
      <c r="M405" s="85"/>
      <c r="N405" s="85"/>
      <c r="O405" s="82"/>
      <c r="P405" s="83"/>
      <c r="Q405" s="83"/>
      <c r="R405" s="83"/>
      <c r="S405" s="82"/>
      <c r="T405" s="83"/>
      <c r="U405" s="83"/>
      <c r="V405" s="84">
        <v>31.197279999999999</v>
      </c>
      <c r="W405" s="85">
        <v>54.472499999999997</v>
      </c>
      <c r="X405" s="87"/>
      <c r="Y405" s="83">
        <v>273.93599999999998</v>
      </c>
      <c r="Z405" s="84"/>
      <c r="AA405" s="85"/>
      <c r="AB405" s="84"/>
      <c r="AC405" s="85"/>
      <c r="AD405" s="89">
        <f t="shared" si="85"/>
        <v>158.21574000000001</v>
      </c>
      <c r="AE405" s="89">
        <v>98.872200000000007</v>
      </c>
      <c r="AF405" s="186">
        <v>59.343539999999997</v>
      </c>
      <c r="AG405" s="85"/>
      <c r="AH405" s="85"/>
      <c r="AI405" s="85"/>
      <c r="AJ405" s="84"/>
      <c r="AK405" s="85"/>
      <c r="AL405" s="84"/>
      <c r="AM405" s="88"/>
      <c r="AN405" s="84"/>
      <c r="AO405" s="85">
        <v>532.48</v>
      </c>
      <c r="AP405" s="84"/>
      <c r="AQ405" s="83"/>
      <c r="AR405" s="83"/>
      <c r="AS405" s="83"/>
      <c r="AT405" s="85"/>
      <c r="AU405" s="85"/>
      <c r="AV405" s="85"/>
      <c r="AW405" s="88"/>
      <c r="AX405" s="84"/>
      <c r="AY405" s="85"/>
      <c r="AZ405" s="84">
        <v>367.35604000000001</v>
      </c>
      <c r="BA405" s="85">
        <v>332.67068999999998</v>
      </c>
      <c r="BB405" s="88"/>
      <c r="BC405" s="85"/>
      <c r="BD405" s="84"/>
      <c r="BE405" s="88"/>
      <c r="BF405" s="85"/>
      <c r="BG405" s="85"/>
      <c r="BH405" s="85"/>
      <c r="BI405" s="85"/>
      <c r="BJ405" s="85"/>
      <c r="BK405" s="85"/>
      <c r="BL405" s="85"/>
      <c r="BM405" s="85"/>
      <c r="BN405" s="85"/>
      <c r="BO405" s="85"/>
      <c r="BP405" s="85"/>
      <c r="BQ405" s="85"/>
      <c r="BR405" s="84"/>
      <c r="BS405" s="85"/>
      <c r="BT405" s="85"/>
      <c r="BU405" s="198"/>
      <c r="BV405" s="90"/>
      <c r="BW405" s="198"/>
      <c r="BX405" s="90"/>
      <c r="BY405" s="198"/>
      <c r="BZ405" s="90"/>
      <c r="CA405" s="91"/>
    </row>
    <row r="406" spans="1:1199" ht="50.1" customHeight="1" outlineLevel="2" x14ac:dyDescent="0.3">
      <c r="A406" s="103" t="s">
        <v>397</v>
      </c>
      <c r="B406" s="96" t="s">
        <v>116</v>
      </c>
      <c r="C406" s="79" t="s">
        <v>37</v>
      </c>
      <c r="D406" s="81">
        <f t="shared" si="96"/>
        <v>1888.6296499999999</v>
      </c>
      <c r="E406" s="82">
        <f t="shared" si="91"/>
        <v>357.07405999999997</v>
      </c>
      <c r="F406" s="83">
        <f t="shared" si="84"/>
        <v>1531.5555899999999</v>
      </c>
      <c r="G406" s="84"/>
      <c r="H406" s="85"/>
      <c r="I406" s="85"/>
      <c r="J406" s="84"/>
      <c r="K406" s="85"/>
      <c r="L406" s="85"/>
      <c r="M406" s="85"/>
      <c r="N406" s="85"/>
      <c r="O406" s="82"/>
      <c r="P406" s="83"/>
      <c r="Q406" s="83"/>
      <c r="R406" s="83"/>
      <c r="S406" s="82"/>
      <c r="T406" s="83"/>
      <c r="U406" s="83"/>
      <c r="V406" s="84"/>
      <c r="W406" s="85"/>
      <c r="X406" s="87"/>
      <c r="Y406" s="83">
        <v>187.2</v>
      </c>
      <c r="Z406" s="84"/>
      <c r="AA406" s="85"/>
      <c r="AB406" s="84"/>
      <c r="AC406" s="85"/>
      <c r="AD406" s="89">
        <f t="shared" si="85"/>
        <v>122.43617</v>
      </c>
      <c r="AE406" s="89">
        <v>77.685299999999998</v>
      </c>
      <c r="AF406" s="186">
        <v>44.750869999999999</v>
      </c>
      <c r="AG406" s="85"/>
      <c r="AH406" s="85"/>
      <c r="AI406" s="85"/>
      <c r="AJ406" s="84"/>
      <c r="AK406" s="85"/>
      <c r="AL406" s="84"/>
      <c r="AM406" s="88"/>
      <c r="AN406" s="84"/>
      <c r="AO406" s="85">
        <v>898.56</v>
      </c>
      <c r="AP406" s="84"/>
      <c r="AQ406" s="83"/>
      <c r="AR406" s="83"/>
      <c r="AS406" s="83"/>
      <c r="AT406" s="85"/>
      <c r="AU406" s="85"/>
      <c r="AV406" s="85"/>
      <c r="AW406" s="88"/>
      <c r="AX406" s="84"/>
      <c r="AY406" s="85"/>
      <c r="AZ406" s="84">
        <v>357.07405999999997</v>
      </c>
      <c r="BA406" s="85">
        <v>323.35942</v>
      </c>
      <c r="BB406" s="88"/>
      <c r="BC406" s="85"/>
      <c r="BD406" s="84"/>
      <c r="BE406" s="88"/>
      <c r="BF406" s="85"/>
      <c r="BG406" s="85"/>
      <c r="BH406" s="85"/>
      <c r="BI406" s="85"/>
      <c r="BJ406" s="85"/>
      <c r="BK406" s="85"/>
      <c r="BL406" s="85"/>
      <c r="BM406" s="85"/>
      <c r="BN406" s="85"/>
      <c r="BO406" s="85"/>
      <c r="BP406" s="85"/>
      <c r="BQ406" s="85"/>
      <c r="BR406" s="84"/>
      <c r="BS406" s="85"/>
      <c r="BT406" s="85"/>
      <c r="BU406" s="198"/>
      <c r="BV406" s="90"/>
      <c r="BW406" s="198"/>
      <c r="BX406" s="90"/>
      <c r="BY406" s="198"/>
      <c r="BZ406" s="90"/>
      <c r="CA406" s="91"/>
    </row>
    <row r="407" spans="1:1199" ht="50.1" customHeight="1" outlineLevel="2" x14ac:dyDescent="0.3">
      <c r="A407" s="103" t="s">
        <v>397</v>
      </c>
      <c r="B407" s="96" t="s">
        <v>400</v>
      </c>
      <c r="C407" s="79" t="s">
        <v>37</v>
      </c>
      <c r="D407" s="81">
        <f t="shared" si="96"/>
        <v>311.39571000000001</v>
      </c>
      <c r="E407" s="82">
        <f t="shared" si="91"/>
        <v>0</v>
      </c>
      <c r="F407" s="83">
        <f t="shared" si="84"/>
        <v>311.39571000000001</v>
      </c>
      <c r="G407" s="84"/>
      <c r="H407" s="85"/>
      <c r="I407" s="85"/>
      <c r="J407" s="84"/>
      <c r="K407" s="85"/>
      <c r="L407" s="85"/>
      <c r="M407" s="85"/>
      <c r="N407" s="85"/>
      <c r="O407" s="82"/>
      <c r="P407" s="83"/>
      <c r="Q407" s="83"/>
      <c r="R407" s="83"/>
      <c r="S407" s="82"/>
      <c r="T407" s="83"/>
      <c r="U407" s="83"/>
      <c r="V407" s="84"/>
      <c r="W407" s="85"/>
      <c r="X407" s="87"/>
      <c r="Y407" s="83"/>
      <c r="Z407" s="84"/>
      <c r="AA407" s="85"/>
      <c r="AB407" s="84"/>
      <c r="AC407" s="85"/>
      <c r="AD407" s="89">
        <f t="shared" si="85"/>
        <v>311.39571000000001</v>
      </c>
      <c r="AE407" s="89">
        <f>176.5575+19.3419</f>
        <v>195.89940000000001</v>
      </c>
      <c r="AF407" s="186">
        <f>6.53767+108.95864</f>
        <v>115.49631000000001</v>
      </c>
      <c r="AG407" s="85"/>
      <c r="AH407" s="85"/>
      <c r="AI407" s="85"/>
      <c r="AJ407" s="84"/>
      <c r="AK407" s="85"/>
      <c r="AL407" s="84"/>
      <c r="AM407" s="88"/>
      <c r="AN407" s="84"/>
      <c r="AO407" s="85"/>
      <c r="AP407" s="84"/>
      <c r="AQ407" s="83"/>
      <c r="AR407" s="83"/>
      <c r="AS407" s="83"/>
      <c r="AT407" s="85"/>
      <c r="AU407" s="85"/>
      <c r="AV407" s="85"/>
      <c r="AW407" s="88"/>
      <c r="AX407" s="84"/>
      <c r="AY407" s="85"/>
      <c r="AZ407" s="84"/>
      <c r="BA407" s="85"/>
      <c r="BB407" s="88"/>
      <c r="BC407" s="85"/>
      <c r="BD407" s="84"/>
      <c r="BE407" s="88"/>
      <c r="BF407" s="85"/>
      <c r="BG407" s="85"/>
      <c r="BH407" s="85"/>
      <c r="BI407" s="85"/>
      <c r="BJ407" s="85"/>
      <c r="BK407" s="85"/>
      <c r="BL407" s="85"/>
      <c r="BM407" s="85"/>
      <c r="BN407" s="85"/>
      <c r="BO407" s="85"/>
      <c r="BP407" s="85"/>
      <c r="BQ407" s="85"/>
      <c r="BR407" s="84"/>
      <c r="BS407" s="85"/>
      <c r="BT407" s="85"/>
      <c r="BU407" s="198"/>
      <c r="BV407" s="90"/>
      <c r="BW407" s="198"/>
      <c r="BX407" s="90"/>
      <c r="BY407" s="198"/>
      <c r="BZ407" s="90"/>
      <c r="CA407" s="91"/>
    </row>
    <row r="408" spans="1:1199" ht="50.1" customHeight="1" outlineLevel="2" x14ac:dyDescent="0.3">
      <c r="A408" s="103" t="s">
        <v>397</v>
      </c>
      <c r="B408" s="96" t="s">
        <v>401</v>
      </c>
      <c r="C408" s="79" t="s">
        <v>37</v>
      </c>
      <c r="D408" s="81">
        <f t="shared" si="96"/>
        <v>202.93245999999999</v>
      </c>
      <c r="E408" s="82">
        <f t="shared" si="91"/>
        <v>86.846100000000007</v>
      </c>
      <c r="F408" s="83">
        <f t="shared" si="84"/>
        <v>116.08636</v>
      </c>
      <c r="G408" s="84"/>
      <c r="H408" s="85"/>
      <c r="I408" s="85"/>
      <c r="J408" s="84"/>
      <c r="K408" s="85"/>
      <c r="L408" s="85"/>
      <c r="M408" s="85"/>
      <c r="N408" s="85"/>
      <c r="O408" s="82"/>
      <c r="P408" s="83"/>
      <c r="Q408" s="83"/>
      <c r="R408" s="83"/>
      <c r="S408" s="82"/>
      <c r="T408" s="83"/>
      <c r="U408" s="83"/>
      <c r="V408" s="84"/>
      <c r="W408" s="85"/>
      <c r="X408" s="87"/>
      <c r="Y408" s="83">
        <v>37.44</v>
      </c>
      <c r="Z408" s="84"/>
      <c r="AA408" s="85"/>
      <c r="AB408" s="84"/>
      <c r="AC408" s="85"/>
      <c r="AD408" s="89">
        <f t="shared" si="85"/>
        <v>0</v>
      </c>
      <c r="AE408" s="89"/>
      <c r="AF408" s="186"/>
      <c r="AG408" s="85"/>
      <c r="AH408" s="85"/>
      <c r="AI408" s="85"/>
      <c r="AJ408" s="84"/>
      <c r="AK408" s="85"/>
      <c r="AL408" s="84"/>
      <c r="AM408" s="88"/>
      <c r="AN408" s="84"/>
      <c r="AO408" s="85"/>
      <c r="AP408" s="84"/>
      <c r="AQ408" s="83"/>
      <c r="AR408" s="83"/>
      <c r="AS408" s="83"/>
      <c r="AT408" s="85"/>
      <c r="AU408" s="85"/>
      <c r="AV408" s="85"/>
      <c r="AW408" s="88"/>
      <c r="AX408" s="84"/>
      <c r="AY408" s="85"/>
      <c r="AZ408" s="84">
        <v>86.846100000000007</v>
      </c>
      <c r="BA408" s="85">
        <v>78.646360000000001</v>
      </c>
      <c r="BB408" s="88"/>
      <c r="BC408" s="85"/>
      <c r="BD408" s="84"/>
      <c r="BE408" s="88"/>
      <c r="BF408" s="85"/>
      <c r="BG408" s="85"/>
      <c r="BH408" s="85"/>
      <c r="BI408" s="85"/>
      <c r="BJ408" s="85"/>
      <c r="BK408" s="85"/>
      <c r="BL408" s="85"/>
      <c r="BM408" s="85"/>
      <c r="BN408" s="85"/>
      <c r="BO408" s="85"/>
      <c r="BP408" s="85"/>
      <c r="BQ408" s="85"/>
      <c r="BR408" s="84"/>
      <c r="BS408" s="85"/>
      <c r="BT408" s="85"/>
      <c r="BU408" s="198"/>
      <c r="BV408" s="90"/>
      <c r="BW408" s="198"/>
      <c r="BX408" s="90"/>
      <c r="BY408" s="198"/>
      <c r="BZ408" s="90"/>
      <c r="CA408" s="91"/>
    </row>
    <row r="409" spans="1:1199" ht="50.1" customHeight="1" outlineLevel="2" x14ac:dyDescent="0.3">
      <c r="A409" s="103" t="s">
        <v>397</v>
      </c>
      <c r="B409" s="96" t="s">
        <v>402</v>
      </c>
      <c r="C409" s="79" t="s">
        <v>37</v>
      </c>
      <c r="D409" s="81">
        <f t="shared" si="96"/>
        <v>422.86397999999997</v>
      </c>
      <c r="E409" s="82">
        <f t="shared" si="91"/>
        <v>205.535</v>
      </c>
      <c r="F409" s="83">
        <f t="shared" si="84"/>
        <v>217.32898</v>
      </c>
      <c r="G409" s="84"/>
      <c r="H409" s="85"/>
      <c r="I409" s="85"/>
      <c r="J409" s="84"/>
      <c r="K409" s="85"/>
      <c r="L409" s="85"/>
      <c r="M409" s="85"/>
      <c r="N409" s="85"/>
      <c r="O409" s="82"/>
      <c r="P409" s="83"/>
      <c r="Q409" s="83"/>
      <c r="R409" s="83"/>
      <c r="S409" s="82"/>
      <c r="T409" s="83"/>
      <c r="U409" s="83"/>
      <c r="V409" s="84"/>
      <c r="W409" s="85"/>
      <c r="X409" s="87"/>
      <c r="Y409" s="83">
        <v>31.2</v>
      </c>
      <c r="Z409" s="84"/>
      <c r="AA409" s="85"/>
      <c r="AB409" s="84"/>
      <c r="AC409" s="85"/>
      <c r="AD409" s="89">
        <f t="shared" si="85"/>
        <v>0</v>
      </c>
      <c r="AE409" s="89"/>
      <c r="AF409" s="186"/>
      <c r="AG409" s="85"/>
      <c r="AH409" s="85"/>
      <c r="AI409" s="85"/>
      <c r="AJ409" s="84"/>
      <c r="AK409" s="85"/>
      <c r="AL409" s="84"/>
      <c r="AM409" s="88"/>
      <c r="AN409" s="84"/>
      <c r="AO409" s="85"/>
      <c r="AP409" s="84"/>
      <c r="AQ409" s="83"/>
      <c r="AR409" s="83"/>
      <c r="AS409" s="83"/>
      <c r="AT409" s="85"/>
      <c r="AU409" s="85"/>
      <c r="AV409" s="85"/>
      <c r="AW409" s="88"/>
      <c r="AX409" s="84"/>
      <c r="AY409" s="85"/>
      <c r="AZ409" s="84">
        <v>205.535</v>
      </c>
      <c r="BA409" s="85">
        <v>186.12898000000001</v>
      </c>
      <c r="BB409" s="88"/>
      <c r="BC409" s="85"/>
      <c r="BD409" s="84"/>
      <c r="BE409" s="88"/>
      <c r="BF409" s="85"/>
      <c r="BG409" s="85"/>
      <c r="BH409" s="85"/>
      <c r="BI409" s="85"/>
      <c r="BJ409" s="85"/>
      <c r="BK409" s="85"/>
      <c r="BL409" s="85"/>
      <c r="BM409" s="85"/>
      <c r="BN409" s="85"/>
      <c r="BO409" s="85"/>
      <c r="BP409" s="85"/>
      <c r="BQ409" s="85"/>
      <c r="BR409" s="84"/>
      <c r="BS409" s="85"/>
      <c r="BT409" s="85"/>
      <c r="BU409" s="198"/>
      <c r="BV409" s="90"/>
      <c r="BW409" s="198"/>
      <c r="BX409" s="90"/>
      <c r="BY409" s="198"/>
      <c r="BZ409" s="90"/>
      <c r="CA409" s="91"/>
    </row>
    <row r="410" spans="1:1199" ht="50.1" customHeight="1" outlineLevel="2" x14ac:dyDescent="0.3">
      <c r="A410" s="103" t="s">
        <v>397</v>
      </c>
      <c r="B410" s="96" t="s">
        <v>403</v>
      </c>
      <c r="C410" s="79" t="s">
        <v>37</v>
      </c>
      <c r="D410" s="81">
        <f t="shared" si="96"/>
        <v>1912.0236300000001</v>
      </c>
      <c r="E410" s="82">
        <f t="shared" si="91"/>
        <v>297.74901</v>
      </c>
      <c r="F410" s="83">
        <f t="shared" si="84"/>
        <v>1614.2746200000001</v>
      </c>
      <c r="G410" s="84"/>
      <c r="H410" s="85"/>
      <c r="I410" s="85"/>
      <c r="J410" s="84"/>
      <c r="K410" s="85"/>
      <c r="L410" s="85"/>
      <c r="M410" s="85"/>
      <c r="N410" s="85"/>
      <c r="O410" s="82"/>
      <c r="P410" s="83"/>
      <c r="Q410" s="83"/>
      <c r="R410" s="83"/>
      <c r="S410" s="82"/>
      <c r="T410" s="83"/>
      <c r="U410" s="83"/>
      <c r="V410" s="84">
        <v>9.2780000000000005</v>
      </c>
      <c r="W410" s="85">
        <v>16.2</v>
      </c>
      <c r="X410" s="87"/>
      <c r="Y410" s="83">
        <v>108.264</v>
      </c>
      <c r="Z410" s="84"/>
      <c r="AA410" s="85"/>
      <c r="AB410" s="84"/>
      <c r="AC410" s="85"/>
      <c r="AD410" s="89">
        <f t="shared" si="85"/>
        <v>78.62145000000001</v>
      </c>
      <c r="AE410" s="89">
        <v>49.436100000000003</v>
      </c>
      <c r="AF410" s="186">
        <v>29.18535</v>
      </c>
      <c r="AG410" s="85"/>
      <c r="AH410" s="85"/>
      <c r="AI410" s="85"/>
      <c r="AJ410" s="84"/>
      <c r="AK410" s="85"/>
      <c r="AL410" s="84"/>
      <c r="AM410" s="88"/>
      <c r="AN410" s="84"/>
      <c r="AO410" s="85"/>
      <c r="AP410" s="84"/>
      <c r="AQ410" s="83"/>
      <c r="AR410" s="83"/>
      <c r="AS410" s="83"/>
      <c r="AT410" s="85"/>
      <c r="AU410" s="85"/>
      <c r="AV410" s="85">
        <f>388.53605+761.419</f>
        <v>1149.95505</v>
      </c>
      <c r="AW410" s="88"/>
      <c r="AX410" s="84"/>
      <c r="AY410" s="85"/>
      <c r="AZ410" s="84">
        <v>288.47100999999998</v>
      </c>
      <c r="BA410" s="85">
        <v>261.23412000000002</v>
      </c>
      <c r="BB410" s="88"/>
      <c r="BC410" s="85"/>
      <c r="BD410" s="84"/>
      <c r="BE410" s="88"/>
      <c r="BF410" s="85"/>
      <c r="BG410" s="85"/>
      <c r="BH410" s="85"/>
      <c r="BI410" s="85"/>
      <c r="BJ410" s="85"/>
      <c r="BK410" s="85"/>
      <c r="BL410" s="85"/>
      <c r="BM410" s="85"/>
      <c r="BN410" s="85"/>
      <c r="BO410" s="85"/>
      <c r="BP410" s="85"/>
      <c r="BQ410" s="85"/>
      <c r="BR410" s="84"/>
      <c r="BS410" s="85"/>
      <c r="BT410" s="85"/>
      <c r="BU410" s="198"/>
      <c r="BV410" s="90"/>
      <c r="BW410" s="198"/>
      <c r="BX410" s="90"/>
      <c r="BY410" s="198"/>
      <c r="BZ410" s="90"/>
      <c r="CA410" s="91"/>
    </row>
    <row r="411" spans="1:1199" ht="50.1" customHeight="1" outlineLevel="2" x14ac:dyDescent="0.3">
      <c r="A411" s="103" t="s">
        <v>397</v>
      </c>
      <c r="B411" s="96" t="s">
        <v>404</v>
      </c>
      <c r="C411" s="79" t="s">
        <v>37</v>
      </c>
      <c r="D411" s="81">
        <f t="shared" si="96"/>
        <v>419.78145000000001</v>
      </c>
      <c r="E411" s="82">
        <f t="shared" si="91"/>
        <v>141.00806</v>
      </c>
      <c r="F411" s="83">
        <f t="shared" si="84"/>
        <v>278.77339000000001</v>
      </c>
      <c r="G411" s="84"/>
      <c r="H411" s="85"/>
      <c r="I411" s="85"/>
      <c r="J411" s="84"/>
      <c r="K411" s="85"/>
      <c r="L411" s="85"/>
      <c r="M411" s="85"/>
      <c r="N411" s="85"/>
      <c r="O411" s="82"/>
      <c r="P411" s="83"/>
      <c r="Q411" s="83"/>
      <c r="R411" s="83"/>
      <c r="S411" s="82"/>
      <c r="T411" s="83"/>
      <c r="U411" s="83"/>
      <c r="V411" s="84"/>
      <c r="W411" s="85"/>
      <c r="X411" s="87"/>
      <c r="Y411" s="83">
        <v>70.512</v>
      </c>
      <c r="Z411" s="84"/>
      <c r="AA411" s="85"/>
      <c r="AB411" s="84"/>
      <c r="AC411" s="85"/>
      <c r="AD411" s="89">
        <f t="shared" si="85"/>
        <v>80.567139999999995</v>
      </c>
      <c r="AE411" s="89">
        <v>49.436100000000003</v>
      </c>
      <c r="AF411" s="186">
        <v>31.131039999999999</v>
      </c>
      <c r="AG411" s="85"/>
      <c r="AH411" s="85"/>
      <c r="AI411" s="85"/>
      <c r="AJ411" s="84"/>
      <c r="AK411" s="85"/>
      <c r="AL411" s="84"/>
      <c r="AM411" s="88"/>
      <c r="AN411" s="84"/>
      <c r="AO411" s="85"/>
      <c r="AP411" s="84"/>
      <c r="AQ411" s="83"/>
      <c r="AR411" s="83"/>
      <c r="AS411" s="83"/>
      <c r="AT411" s="85"/>
      <c r="AU411" s="85"/>
      <c r="AV411" s="85"/>
      <c r="AW411" s="88"/>
      <c r="AX411" s="84"/>
      <c r="AY411" s="85"/>
      <c r="AZ411" s="84">
        <v>141.00806</v>
      </c>
      <c r="BA411" s="85">
        <v>127.69425</v>
      </c>
      <c r="BB411" s="88"/>
      <c r="BC411" s="85"/>
      <c r="BD411" s="84"/>
      <c r="BE411" s="88"/>
      <c r="BF411" s="85"/>
      <c r="BG411" s="85"/>
      <c r="BH411" s="85"/>
      <c r="BI411" s="85"/>
      <c r="BJ411" s="85"/>
      <c r="BK411" s="85"/>
      <c r="BL411" s="85"/>
      <c r="BM411" s="85"/>
      <c r="BN411" s="85"/>
      <c r="BO411" s="85"/>
      <c r="BP411" s="85"/>
      <c r="BQ411" s="85"/>
      <c r="BR411" s="84"/>
      <c r="BS411" s="85"/>
      <c r="BT411" s="85"/>
      <c r="BU411" s="198"/>
      <c r="BV411" s="90"/>
      <c r="BW411" s="198"/>
      <c r="BX411" s="90"/>
      <c r="BY411" s="198"/>
      <c r="BZ411" s="90"/>
      <c r="CA411" s="91"/>
    </row>
    <row r="412" spans="1:1199" ht="50.1" customHeight="1" outlineLevel="2" x14ac:dyDescent="0.3">
      <c r="A412" s="103" t="s">
        <v>397</v>
      </c>
      <c r="B412" s="96" t="s">
        <v>405</v>
      </c>
      <c r="C412" s="79" t="s">
        <v>37</v>
      </c>
      <c r="D412" s="81">
        <f t="shared" si="96"/>
        <v>579.11474999999996</v>
      </c>
      <c r="E412" s="82">
        <f t="shared" si="91"/>
        <v>217.71188000000001</v>
      </c>
      <c r="F412" s="83">
        <f t="shared" si="84"/>
        <v>361.40287000000001</v>
      </c>
      <c r="G412" s="84"/>
      <c r="H412" s="85"/>
      <c r="I412" s="85"/>
      <c r="J412" s="84"/>
      <c r="K412" s="85"/>
      <c r="L412" s="85"/>
      <c r="M412" s="85"/>
      <c r="N412" s="85"/>
      <c r="O412" s="82"/>
      <c r="P412" s="83"/>
      <c r="Q412" s="83"/>
      <c r="R412" s="83"/>
      <c r="S412" s="82"/>
      <c r="T412" s="83"/>
      <c r="U412" s="83"/>
      <c r="V412" s="84"/>
      <c r="W412" s="85"/>
      <c r="X412" s="87"/>
      <c r="Y412" s="83"/>
      <c r="Z412" s="84"/>
      <c r="AA412" s="85"/>
      <c r="AB412" s="84"/>
      <c r="AC412" s="85"/>
      <c r="AD412" s="89">
        <f t="shared" si="85"/>
        <v>164.24675999999999</v>
      </c>
      <c r="AE412" s="89">
        <f>78.8535+49.4361</f>
        <v>128.28960000000001</v>
      </c>
      <c r="AF412" s="186">
        <f>35.95716</f>
        <v>35.957160000000002</v>
      </c>
      <c r="AG412" s="85"/>
      <c r="AH412" s="85"/>
      <c r="AI412" s="85"/>
      <c r="AJ412" s="84"/>
      <c r="AK412" s="85"/>
      <c r="AL412" s="84"/>
      <c r="AM412" s="88"/>
      <c r="AN412" s="84"/>
      <c r="AO412" s="85"/>
      <c r="AP412" s="84"/>
      <c r="AQ412" s="83"/>
      <c r="AR412" s="83"/>
      <c r="AS412" s="83"/>
      <c r="AT412" s="85"/>
      <c r="AU412" s="85"/>
      <c r="AV412" s="85"/>
      <c r="AW412" s="88"/>
      <c r="AX412" s="84"/>
      <c r="AY412" s="85"/>
      <c r="AZ412" s="84">
        <v>217.71188000000001</v>
      </c>
      <c r="BA412" s="85">
        <v>197.15611000000001</v>
      </c>
      <c r="BB412" s="88"/>
      <c r="BC412" s="85"/>
      <c r="BD412" s="84"/>
      <c r="BE412" s="88"/>
      <c r="BF412" s="85"/>
      <c r="BG412" s="85"/>
      <c r="BH412" s="85"/>
      <c r="BI412" s="85"/>
      <c r="BJ412" s="85"/>
      <c r="BK412" s="85"/>
      <c r="BL412" s="85"/>
      <c r="BM412" s="85"/>
      <c r="BN412" s="85"/>
      <c r="BO412" s="85"/>
      <c r="BP412" s="85"/>
      <c r="BQ412" s="85"/>
      <c r="BR412" s="84"/>
      <c r="BS412" s="85"/>
      <c r="BT412" s="85"/>
      <c r="BU412" s="198"/>
      <c r="BV412" s="90"/>
      <c r="BW412" s="198"/>
      <c r="BX412" s="90"/>
      <c r="BY412" s="198"/>
      <c r="BZ412" s="90"/>
      <c r="CA412" s="91"/>
    </row>
    <row r="413" spans="1:1199" ht="50.1" customHeight="1" outlineLevel="2" x14ac:dyDescent="0.3">
      <c r="A413" s="96" t="s">
        <v>397</v>
      </c>
      <c r="B413" s="96" t="s">
        <v>406</v>
      </c>
      <c r="C413" s="79" t="s">
        <v>53</v>
      </c>
      <c r="D413" s="81">
        <f t="shared" si="96"/>
        <v>338.18722000000002</v>
      </c>
      <c r="E413" s="82">
        <f t="shared" si="91"/>
        <v>63.730000000000004</v>
      </c>
      <c r="F413" s="83">
        <f t="shared" si="84"/>
        <v>274.45722000000001</v>
      </c>
      <c r="G413" s="84"/>
      <c r="H413" s="85"/>
      <c r="I413" s="85"/>
      <c r="J413" s="84"/>
      <c r="K413" s="85"/>
      <c r="L413" s="85"/>
      <c r="M413" s="85"/>
      <c r="N413" s="85"/>
      <c r="O413" s="82"/>
      <c r="P413" s="83"/>
      <c r="Q413" s="83"/>
      <c r="R413" s="83"/>
      <c r="S413" s="82"/>
      <c r="T413" s="83"/>
      <c r="U413" s="83"/>
      <c r="V413" s="84">
        <v>11.5975</v>
      </c>
      <c r="W413" s="85">
        <v>20.25</v>
      </c>
      <c r="X413" s="82"/>
      <c r="Y413" s="83">
        <v>183.14400000000001</v>
      </c>
      <c r="Z413" s="84"/>
      <c r="AA413" s="85"/>
      <c r="AB413" s="84"/>
      <c r="AC413" s="85"/>
      <c r="AD413" s="89">
        <f t="shared" si="85"/>
        <v>23.85305</v>
      </c>
      <c r="AE413" s="89">
        <v>14.124599999999999</v>
      </c>
      <c r="AF413" s="186">
        <v>9.7284500000000005</v>
      </c>
      <c r="AG413" s="85"/>
      <c r="AH413" s="85"/>
      <c r="AI413" s="85"/>
      <c r="AJ413" s="84"/>
      <c r="AK413" s="85"/>
      <c r="AL413" s="84"/>
      <c r="AM413" s="88"/>
      <c r="AN413" s="84"/>
      <c r="AO413" s="85"/>
      <c r="AP413" s="84"/>
      <c r="AQ413" s="83"/>
      <c r="AR413" s="83"/>
      <c r="AS413" s="83"/>
      <c r="AT413" s="85"/>
      <c r="AU413" s="85"/>
      <c r="AV413" s="85"/>
      <c r="AW413" s="88"/>
      <c r="AX413" s="84"/>
      <c r="AY413" s="85"/>
      <c r="AZ413" s="84">
        <v>52.1325</v>
      </c>
      <c r="BA413" s="85">
        <v>47.210169999999998</v>
      </c>
      <c r="BB413" s="88"/>
      <c r="BC413" s="85"/>
      <c r="BD413" s="84"/>
      <c r="BE413" s="88"/>
      <c r="BF413" s="85"/>
      <c r="BG413" s="85"/>
      <c r="BH413" s="85"/>
      <c r="BI413" s="85"/>
      <c r="BJ413" s="85"/>
      <c r="BK413" s="85"/>
      <c r="BL413" s="85"/>
      <c r="BM413" s="85"/>
      <c r="BN413" s="85"/>
      <c r="BO413" s="85"/>
      <c r="BP413" s="85"/>
      <c r="BQ413" s="85"/>
      <c r="BR413" s="84"/>
      <c r="BS413" s="85"/>
      <c r="BT413" s="85"/>
      <c r="BU413" s="198"/>
      <c r="BV413" s="90"/>
      <c r="BW413" s="198"/>
      <c r="BX413" s="90"/>
      <c r="BY413" s="198"/>
      <c r="BZ413" s="90"/>
      <c r="CA413" s="91"/>
    </row>
    <row r="414" spans="1:1199" ht="50.1" customHeight="1" outlineLevel="2" x14ac:dyDescent="0.3">
      <c r="A414" s="103" t="s">
        <v>397</v>
      </c>
      <c r="B414" s="96" t="s">
        <v>407</v>
      </c>
      <c r="C414" s="79" t="s">
        <v>55</v>
      </c>
      <c r="D414" s="81">
        <f t="shared" si="96"/>
        <v>313.03989000000001</v>
      </c>
      <c r="E414" s="82">
        <f t="shared" si="91"/>
        <v>96.920550000000006</v>
      </c>
      <c r="F414" s="83">
        <f t="shared" ref="F414:F459" si="97">H414+I414+K414+L414+M414+N414+P414+Q414+R414+T414+U414+W414+Y414+AA414+AC414+AD414+AG414+AH414+AI414+AK414+AM414+AO414+AQ414+AR414+AS414+AT414+AU414+AV414+AW414+AY414+BA414+BB414+BC414+BE414+BF414+BG414+BH414+BI414+BJ414+BK414+BL414+BO414+BP414+BQ414+BS414+BT414+BU414+BW414+BY414+CA414+BM414+BN414</f>
        <v>216.11934000000002</v>
      </c>
      <c r="G414" s="84"/>
      <c r="H414" s="85"/>
      <c r="I414" s="85"/>
      <c r="J414" s="84"/>
      <c r="K414" s="85"/>
      <c r="L414" s="85"/>
      <c r="M414" s="85"/>
      <c r="N414" s="85"/>
      <c r="O414" s="82"/>
      <c r="P414" s="83"/>
      <c r="Q414" s="83"/>
      <c r="R414" s="83"/>
      <c r="S414" s="82"/>
      <c r="T414" s="83"/>
      <c r="U414" s="83"/>
      <c r="V414" s="84"/>
      <c r="W414" s="85">
        <v>37.624690000000001</v>
      </c>
      <c r="X414" s="87"/>
      <c r="Y414" s="83">
        <v>43.991999999999997</v>
      </c>
      <c r="Z414" s="84"/>
      <c r="AA414" s="85"/>
      <c r="AB414" s="84"/>
      <c r="AC414" s="85"/>
      <c r="AD414" s="89">
        <f t="shared" si="85"/>
        <v>46.733260000000001</v>
      </c>
      <c r="AE414" s="89">
        <v>28.249199999999998</v>
      </c>
      <c r="AF414" s="186">
        <v>18.484059999999999</v>
      </c>
      <c r="AG414" s="85"/>
      <c r="AH414" s="85"/>
      <c r="AI414" s="85"/>
      <c r="AJ414" s="84"/>
      <c r="AK414" s="85"/>
      <c r="AL414" s="84"/>
      <c r="AM414" s="88"/>
      <c r="AN414" s="84"/>
      <c r="AO414" s="85"/>
      <c r="AP414" s="84"/>
      <c r="AQ414" s="83"/>
      <c r="AR414" s="83"/>
      <c r="AS414" s="83"/>
      <c r="AT414" s="85"/>
      <c r="AU414" s="85"/>
      <c r="AV414" s="85"/>
      <c r="AW414" s="88"/>
      <c r="AX414" s="84"/>
      <c r="AY414" s="85"/>
      <c r="AZ414" s="84">
        <v>96.920550000000006</v>
      </c>
      <c r="BA414" s="85">
        <v>87.769390000000001</v>
      </c>
      <c r="BB414" s="88"/>
      <c r="BC414" s="85"/>
      <c r="BD414" s="84"/>
      <c r="BE414" s="88"/>
      <c r="BF414" s="85"/>
      <c r="BG414" s="85"/>
      <c r="BH414" s="85"/>
      <c r="BI414" s="85"/>
      <c r="BJ414" s="85"/>
      <c r="BK414" s="85"/>
      <c r="BL414" s="85"/>
      <c r="BM414" s="85"/>
      <c r="BN414" s="85"/>
      <c r="BO414" s="85"/>
      <c r="BP414" s="85"/>
      <c r="BQ414" s="85"/>
      <c r="BR414" s="84"/>
      <c r="BS414" s="85"/>
      <c r="BT414" s="85"/>
      <c r="BU414" s="198"/>
      <c r="BV414" s="90"/>
      <c r="BW414" s="198"/>
      <c r="BX414" s="90"/>
      <c r="BY414" s="198"/>
      <c r="BZ414" s="90"/>
      <c r="CA414" s="91"/>
    </row>
    <row r="415" spans="1:1199" ht="50.1" customHeight="1" outlineLevel="2" x14ac:dyDescent="0.3">
      <c r="A415" s="103" t="s">
        <v>397</v>
      </c>
      <c r="B415" s="96" t="s">
        <v>408</v>
      </c>
      <c r="C415" s="79" t="s">
        <v>55</v>
      </c>
      <c r="D415" s="81">
        <f t="shared" si="96"/>
        <v>182.46125999999998</v>
      </c>
      <c r="E415" s="82">
        <f t="shared" si="91"/>
        <v>61.847650000000002</v>
      </c>
      <c r="F415" s="83">
        <f t="shared" si="97"/>
        <v>120.61360999999999</v>
      </c>
      <c r="G415" s="84"/>
      <c r="H415" s="85"/>
      <c r="I415" s="85"/>
      <c r="J415" s="84"/>
      <c r="K415" s="85"/>
      <c r="L415" s="85"/>
      <c r="M415" s="85"/>
      <c r="N415" s="85"/>
      <c r="O415" s="82"/>
      <c r="P415" s="83"/>
      <c r="Q415" s="83"/>
      <c r="R415" s="83"/>
      <c r="S415" s="82"/>
      <c r="T415" s="83"/>
      <c r="U415" s="83"/>
      <c r="V415" s="84">
        <v>6.9584999999999999</v>
      </c>
      <c r="W415" s="85">
        <v>12.15</v>
      </c>
      <c r="X415" s="87"/>
      <c r="Y415" s="83">
        <v>25.896000000000001</v>
      </c>
      <c r="Z415" s="84"/>
      <c r="AA415" s="85"/>
      <c r="AB415" s="84"/>
      <c r="AC415" s="85"/>
      <c r="AD415" s="89">
        <f t="shared" si="85"/>
        <v>32.861040000000003</v>
      </c>
      <c r="AE415" s="89">
        <v>21.186900000000001</v>
      </c>
      <c r="AF415" s="186">
        <v>11.67414</v>
      </c>
      <c r="AG415" s="85"/>
      <c r="AH415" s="85"/>
      <c r="AI415" s="85"/>
      <c r="AJ415" s="84"/>
      <c r="AK415" s="85"/>
      <c r="AL415" s="84"/>
      <c r="AM415" s="88"/>
      <c r="AN415" s="84"/>
      <c r="AO415" s="85"/>
      <c r="AP415" s="84"/>
      <c r="AQ415" s="83"/>
      <c r="AR415" s="83"/>
      <c r="AS415" s="83"/>
      <c r="AT415" s="85"/>
      <c r="AU415" s="85"/>
      <c r="AV415" s="85"/>
      <c r="AW415" s="88"/>
      <c r="AX415" s="84"/>
      <c r="AY415" s="85"/>
      <c r="AZ415" s="84">
        <v>54.889150000000001</v>
      </c>
      <c r="BA415" s="85">
        <v>49.706569999999999</v>
      </c>
      <c r="BB415" s="88"/>
      <c r="BC415" s="85"/>
      <c r="BD415" s="84"/>
      <c r="BE415" s="88"/>
      <c r="BF415" s="85"/>
      <c r="BG415" s="85"/>
      <c r="BH415" s="85"/>
      <c r="BI415" s="85"/>
      <c r="BJ415" s="85"/>
      <c r="BK415" s="85"/>
      <c r="BL415" s="85"/>
      <c r="BM415" s="85"/>
      <c r="BN415" s="85"/>
      <c r="BO415" s="85"/>
      <c r="BP415" s="85"/>
      <c r="BQ415" s="85"/>
      <c r="BR415" s="84"/>
      <c r="BS415" s="85"/>
      <c r="BT415" s="85"/>
      <c r="BU415" s="198"/>
      <c r="BV415" s="90"/>
      <c r="BW415" s="198"/>
      <c r="BX415" s="90"/>
      <c r="BY415" s="198"/>
      <c r="BZ415" s="90"/>
      <c r="CA415" s="91"/>
    </row>
    <row r="416" spans="1:1199" ht="50.1" customHeight="1" outlineLevel="2" x14ac:dyDescent="0.3">
      <c r="A416" s="103" t="s">
        <v>397</v>
      </c>
      <c r="B416" s="96" t="s">
        <v>409</v>
      </c>
      <c r="C416" s="79" t="s">
        <v>55</v>
      </c>
      <c r="D416" s="81">
        <f t="shared" si="96"/>
        <v>55.411529999999999</v>
      </c>
      <c r="E416" s="82">
        <f t="shared" si="91"/>
        <v>19.745950000000001</v>
      </c>
      <c r="F416" s="83">
        <f t="shared" si="97"/>
        <v>35.665579999999999</v>
      </c>
      <c r="G416" s="84"/>
      <c r="H416" s="85"/>
      <c r="I416" s="85"/>
      <c r="J416" s="84"/>
      <c r="K416" s="85"/>
      <c r="L416" s="85"/>
      <c r="M416" s="85"/>
      <c r="N416" s="85"/>
      <c r="O416" s="82"/>
      <c r="P416" s="83"/>
      <c r="Q416" s="83"/>
      <c r="R416" s="83"/>
      <c r="S416" s="82"/>
      <c r="T416" s="83"/>
      <c r="U416" s="83"/>
      <c r="V416" s="84"/>
      <c r="W416" s="85"/>
      <c r="X416" s="87"/>
      <c r="Y416" s="83">
        <v>17.783999999999999</v>
      </c>
      <c r="Z416" s="84"/>
      <c r="AA416" s="85"/>
      <c r="AB416" s="84"/>
      <c r="AC416" s="85"/>
      <c r="AD416" s="89">
        <f t="shared" si="85"/>
        <v>0</v>
      </c>
      <c r="AE416" s="89"/>
      <c r="AF416" s="186"/>
      <c r="AG416" s="85"/>
      <c r="AH416" s="85"/>
      <c r="AI416" s="85"/>
      <c r="AJ416" s="84"/>
      <c r="AK416" s="85"/>
      <c r="AL416" s="84"/>
      <c r="AM416" s="88"/>
      <c r="AN416" s="84"/>
      <c r="AO416" s="85"/>
      <c r="AP416" s="84"/>
      <c r="AQ416" s="83"/>
      <c r="AR416" s="83"/>
      <c r="AS416" s="83"/>
      <c r="AT416" s="85"/>
      <c r="AU416" s="85"/>
      <c r="AV416" s="85"/>
      <c r="AW416" s="88"/>
      <c r="AX416" s="84"/>
      <c r="AY416" s="85"/>
      <c r="AZ416" s="84">
        <v>19.745950000000001</v>
      </c>
      <c r="BA416" s="85">
        <v>17.88158</v>
      </c>
      <c r="BB416" s="88"/>
      <c r="BC416" s="85"/>
      <c r="BD416" s="84"/>
      <c r="BE416" s="88"/>
      <c r="BF416" s="85"/>
      <c r="BG416" s="85"/>
      <c r="BH416" s="85"/>
      <c r="BI416" s="85"/>
      <c r="BJ416" s="85"/>
      <c r="BK416" s="85"/>
      <c r="BL416" s="85"/>
      <c r="BM416" s="85"/>
      <c r="BN416" s="85"/>
      <c r="BO416" s="85"/>
      <c r="BP416" s="85"/>
      <c r="BQ416" s="85"/>
      <c r="BR416" s="84"/>
      <c r="BS416" s="85"/>
      <c r="BT416" s="85"/>
      <c r="BU416" s="198"/>
      <c r="BV416" s="90"/>
      <c r="BW416" s="198"/>
      <c r="BX416" s="90"/>
      <c r="BY416" s="198"/>
      <c r="BZ416" s="90"/>
      <c r="CA416" s="91"/>
    </row>
    <row r="417" spans="1:79" ht="50.1" customHeight="1" outlineLevel="2" x14ac:dyDescent="0.3">
      <c r="A417" s="103" t="s">
        <v>397</v>
      </c>
      <c r="B417" s="96" t="s">
        <v>410</v>
      </c>
      <c r="C417" s="79" t="s">
        <v>55</v>
      </c>
      <c r="D417" s="81">
        <f t="shared" si="96"/>
        <v>221.77404000000001</v>
      </c>
      <c r="E417" s="82">
        <f t="shared" si="91"/>
        <v>56.363640000000004</v>
      </c>
      <c r="F417" s="83">
        <f t="shared" si="97"/>
        <v>165.41040000000001</v>
      </c>
      <c r="G417" s="84"/>
      <c r="H417" s="85"/>
      <c r="I417" s="85"/>
      <c r="J417" s="84"/>
      <c r="K417" s="85"/>
      <c r="L417" s="85"/>
      <c r="M417" s="85"/>
      <c r="N417" s="85"/>
      <c r="O417" s="82"/>
      <c r="P417" s="83"/>
      <c r="Q417" s="83"/>
      <c r="R417" s="83"/>
      <c r="S417" s="82"/>
      <c r="T417" s="83"/>
      <c r="U417" s="83"/>
      <c r="V417" s="84">
        <v>11.5975</v>
      </c>
      <c r="W417" s="85">
        <v>20.25</v>
      </c>
      <c r="X417" s="82"/>
      <c r="Y417" s="83">
        <v>71.760000000000005</v>
      </c>
      <c r="Z417" s="84"/>
      <c r="AA417" s="85"/>
      <c r="AB417" s="84"/>
      <c r="AC417" s="85"/>
      <c r="AD417" s="89">
        <f t="shared" si="85"/>
        <v>32.861040000000003</v>
      </c>
      <c r="AE417" s="89">
        <v>21.186900000000001</v>
      </c>
      <c r="AF417" s="186">
        <v>11.67414</v>
      </c>
      <c r="AG417" s="85"/>
      <c r="AH417" s="85"/>
      <c r="AI417" s="85"/>
      <c r="AJ417" s="84"/>
      <c r="AK417" s="85"/>
      <c r="AL417" s="84"/>
      <c r="AM417" s="88"/>
      <c r="AN417" s="84"/>
      <c r="AO417" s="85"/>
      <c r="AP417" s="84"/>
      <c r="AQ417" s="83"/>
      <c r="AR417" s="83"/>
      <c r="AS417" s="83"/>
      <c r="AT417" s="85"/>
      <c r="AU417" s="85"/>
      <c r="AV417" s="85"/>
      <c r="AW417" s="88"/>
      <c r="AX417" s="84"/>
      <c r="AY417" s="85"/>
      <c r="AZ417" s="84">
        <v>44.76614</v>
      </c>
      <c r="BA417" s="85">
        <v>40.539360000000002</v>
      </c>
      <c r="BB417" s="88"/>
      <c r="BC417" s="85"/>
      <c r="BD417" s="84"/>
      <c r="BE417" s="88"/>
      <c r="BF417" s="85"/>
      <c r="BG417" s="85"/>
      <c r="BH417" s="85"/>
      <c r="BI417" s="85"/>
      <c r="BJ417" s="85"/>
      <c r="BK417" s="85"/>
      <c r="BL417" s="85"/>
      <c r="BM417" s="85"/>
      <c r="BN417" s="85"/>
      <c r="BO417" s="85"/>
      <c r="BP417" s="85"/>
      <c r="BQ417" s="85"/>
      <c r="BR417" s="84"/>
      <c r="BS417" s="85"/>
      <c r="BT417" s="85"/>
      <c r="BU417" s="198"/>
      <c r="BV417" s="90"/>
      <c r="BW417" s="198"/>
      <c r="BX417" s="90"/>
      <c r="BY417" s="198"/>
      <c r="BZ417" s="90"/>
      <c r="CA417" s="91"/>
    </row>
    <row r="418" spans="1:79" ht="50.1" customHeight="1" outlineLevel="2" x14ac:dyDescent="0.3">
      <c r="A418" s="103" t="s">
        <v>397</v>
      </c>
      <c r="B418" s="96" t="s">
        <v>411</v>
      </c>
      <c r="C418" s="79" t="s">
        <v>55</v>
      </c>
      <c r="D418" s="81">
        <f t="shared" si="96"/>
        <v>75.435389999999998</v>
      </c>
      <c r="E418" s="82">
        <f t="shared" si="91"/>
        <v>39.586539999999999</v>
      </c>
      <c r="F418" s="83">
        <f t="shared" si="97"/>
        <v>35.848849999999999</v>
      </c>
      <c r="G418" s="84"/>
      <c r="H418" s="85"/>
      <c r="I418" s="85"/>
      <c r="J418" s="84"/>
      <c r="K418" s="85"/>
      <c r="L418" s="85"/>
      <c r="M418" s="85"/>
      <c r="N418" s="85"/>
      <c r="O418" s="82"/>
      <c r="P418" s="83"/>
      <c r="Q418" s="83"/>
      <c r="R418" s="83"/>
      <c r="S418" s="82"/>
      <c r="T418" s="83"/>
      <c r="U418" s="83"/>
      <c r="V418" s="84"/>
      <c r="W418" s="85"/>
      <c r="X418" s="87"/>
      <c r="Y418" s="83"/>
      <c r="Z418" s="84"/>
      <c r="AA418" s="85"/>
      <c r="AB418" s="84"/>
      <c r="AC418" s="85"/>
      <c r="AD418" s="89">
        <f t="shared" ref="AD418:AD467" si="98">AE418+AF418</f>
        <v>0</v>
      </c>
      <c r="AE418" s="89"/>
      <c r="AF418" s="186"/>
      <c r="AG418" s="85"/>
      <c r="AH418" s="85"/>
      <c r="AI418" s="85"/>
      <c r="AJ418" s="84"/>
      <c r="AK418" s="85"/>
      <c r="AL418" s="84"/>
      <c r="AM418" s="88"/>
      <c r="AN418" s="84"/>
      <c r="AO418" s="85"/>
      <c r="AP418" s="84"/>
      <c r="AQ418" s="83"/>
      <c r="AR418" s="83"/>
      <c r="AS418" s="83"/>
      <c r="AT418" s="85"/>
      <c r="AU418" s="85"/>
      <c r="AV418" s="85"/>
      <c r="AW418" s="88"/>
      <c r="AX418" s="84"/>
      <c r="AY418" s="85"/>
      <c r="AZ418" s="84">
        <v>39.586539999999999</v>
      </c>
      <c r="BA418" s="85">
        <v>35.848849999999999</v>
      </c>
      <c r="BB418" s="88"/>
      <c r="BC418" s="85"/>
      <c r="BD418" s="84"/>
      <c r="BE418" s="88"/>
      <c r="BF418" s="85"/>
      <c r="BG418" s="85"/>
      <c r="BH418" s="85"/>
      <c r="BI418" s="85"/>
      <c r="BJ418" s="85"/>
      <c r="BK418" s="85"/>
      <c r="BL418" s="85"/>
      <c r="BM418" s="85"/>
      <c r="BN418" s="85"/>
      <c r="BO418" s="85"/>
      <c r="BP418" s="85"/>
      <c r="BQ418" s="85"/>
      <c r="BR418" s="84"/>
      <c r="BS418" s="85"/>
      <c r="BT418" s="85"/>
      <c r="BU418" s="198"/>
      <c r="BV418" s="90"/>
      <c r="BW418" s="198"/>
      <c r="BX418" s="90"/>
      <c r="BY418" s="198"/>
      <c r="BZ418" s="90"/>
      <c r="CA418" s="91"/>
    </row>
    <row r="419" spans="1:79" ht="50.1" customHeight="1" outlineLevel="2" x14ac:dyDescent="0.3">
      <c r="A419" s="103" t="s">
        <v>397</v>
      </c>
      <c r="B419" s="96" t="s">
        <v>412</v>
      </c>
      <c r="C419" s="79" t="s">
        <v>55</v>
      </c>
      <c r="D419" s="81">
        <f t="shared" si="96"/>
        <v>31.512</v>
      </c>
      <c r="E419" s="82">
        <f t="shared" si="91"/>
        <v>0</v>
      </c>
      <c r="F419" s="83">
        <f t="shared" si="97"/>
        <v>31.512</v>
      </c>
      <c r="G419" s="84"/>
      <c r="H419" s="85"/>
      <c r="I419" s="85"/>
      <c r="J419" s="84"/>
      <c r="K419" s="85"/>
      <c r="L419" s="85"/>
      <c r="M419" s="85"/>
      <c r="N419" s="85"/>
      <c r="O419" s="82"/>
      <c r="P419" s="83"/>
      <c r="Q419" s="83"/>
      <c r="R419" s="83"/>
      <c r="S419" s="82"/>
      <c r="T419" s="83"/>
      <c r="U419" s="83"/>
      <c r="V419" s="84"/>
      <c r="W419" s="85"/>
      <c r="X419" s="87"/>
      <c r="Y419" s="83">
        <v>31.512</v>
      </c>
      <c r="Z419" s="84"/>
      <c r="AA419" s="85"/>
      <c r="AB419" s="84"/>
      <c r="AC419" s="85"/>
      <c r="AD419" s="89">
        <f t="shared" si="98"/>
        <v>0</v>
      </c>
      <c r="AE419" s="83"/>
      <c r="AF419" s="123"/>
      <c r="AG419" s="85"/>
      <c r="AH419" s="85"/>
      <c r="AI419" s="85"/>
      <c r="AJ419" s="84"/>
      <c r="AK419" s="85"/>
      <c r="AL419" s="84"/>
      <c r="AM419" s="85"/>
      <c r="AN419" s="84"/>
      <c r="AO419" s="85"/>
      <c r="AP419" s="84"/>
      <c r="AQ419" s="83"/>
      <c r="AR419" s="83"/>
      <c r="AS419" s="83"/>
      <c r="AT419" s="85"/>
      <c r="AU419" s="85"/>
      <c r="AV419" s="85"/>
      <c r="AW419" s="85"/>
      <c r="AX419" s="84"/>
      <c r="AY419" s="85"/>
      <c r="AZ419" s="84"/>
      <c r="BA419" s="85"/>
      <c r="BB419" s="85"/>
      <c r="BC419" s="85"/>
      <c r="BD419" s="85"/>
      <c r="BE419" s="85"/>
      <c r="BF419" s="85"/>
      <c r="BG419" s="85"/>
      <c r="BH419" s="85"/>
      <c r="BI419" s="85"/>
      <c r="BJ419" s="85"/>
      <c r="BK419" s="85"/>
      <c r="BL419" s="85"/>
      <c r="BM419" s="85"/>
      <c r="BN419" s="85"/>
      <c r="BO419" s="85"/>
      <c r="BP419" s="85"/>
      <c r="BQ419" s="85"/>
      <c r="BR419" s="84"/>
      <c r="BS419" s="85"/>
      <c r="BT419" s="85"/>
      <c r="BU419" s="198"/>
      <c r="BV419" s="90"/>
      <c r="BW419" s="198"/>
      <c r="BX419" s="90"/>
      <c r="BY419" s="198"/>
      <c r="BZ419" s="90"/>
      <c r="CA419" s="91"/>
    </row>
    <row r="420" spans="1:79" ht="50.1" customHeight="1" outlineLevel="2" x14ac:dyDescent="0.3">
      <c r="A420" s="103" t="s">
        <v>397</v>
      </c>
      <c r="B420" s="96" t="s">
        <v>413</v>
      </c>
      <c r="C420" s="79" t="s">
        <v>55</v>
      </c>
      <c r="D420" s="81">
        <f t="shared" si="96"/>
        <v>202.89263999999997</v>
      </c>
      <c r="E420" s="82">
        <f t="shared" si="91"/>
        <v>62.811399999999999</v>
      </c>
      <c r="F420" s="83">
        <f t="shared" si="97"/>
        <v>140.08123999999998</v>
      </c>
      <c r="G420" s="84"/>
      <c r="H420" s="85"/>
      <c r="I420" s="85"/>
      <c r="J420" s="84"/>
      <c r="K420" s="85"/>
      <c r="L420" s="85"/>
      <c r="M420" s="85"/>
      <c r="N420" s="85"/>
      <c r="O420" s="82"/>
      <c r="P420" s="83"/>
      <c r="Q420" s="83"/>
      <c r="R420" s="83"/>
      <c r="S420" s="82"/>
      <c r="T420" s="83"/>
      <c r="U420" s="83"/>
      <c r="V420" s="84"/>
      <c r="W420" s="85"/>
      <c r="X420" s="87"/>
      <c r="Y420" s="83">
        <v>37.44</v>
      </c>
      <c r="Z420" s="84"/>
      <c r="AA420" s="85"/>
      <c r="AB420" s="84"/>
      <c r="AC420" s="85"/>
      <c r="AD420" s="89">
        <f t="shared" si="98"/>
        <v>45.760409999999993</v>
      </c>
      <c r="AE420" s="89">
        <v>28.249199999999998</v>
      </c>
      <c r="AF420" s="186">
        <v>17.511209999999998</v>
      </c>
      <c r="AG420" s="85"/>
      <c r="AH420" s="85"/>
      <c r="AI420" s="85"/>
      <c r="AJ420" s="84"/>
      <c r="AK420" s="85"/>
      <c r="AL420" s="84"/>
      <c r="AM420" s="88"/>
      <c r="AN420" s="84"/>
      <c r="AO420" s="85"/>
      <c r="AP420" s="84"/>
      <c r="AQ420" s="83"/>
      <c r="AR420" s="83"/>
      <c r="AS420" s="83"/>
      <c r="AT420" s="85"/>
      <c r="AU420" s="85"/>
      <c r="AV420" s="85"/>
      <c r="AW420" s="88"/>
      <c r="AX420" s="84"/>
      <c r="AY420" s="85"/>
      <c r="AZ420" s="84">
        <v>62.811399999999999</v>
      </c>
      <c r="BA420" s="85">
        <v>56.880830000000003</v>
      </c>
      <c r="BB420" s="88"/>
      <c r="BC420" s="85"/>
      <c r="BD420" s="84"/>
      <c r="BE420" s="88"/>
      <c r="BF420" s="85"/>
      <c r="BG420" s="85"/>
      <c r="BH420" s="85"/>
      <c r="BI420" s="85"/>
      <c r="BJ420" s="85"/>
      <c r="BK420" s="85"/>
      <c r="BL420" s="85"/>
      <c r="BM420" s="85"/>
      <c r="BN420" s="85"/>
      <c r="BO420" s="85"/>
      <c r="BP420" s="85"/>
      <c r="BQ420" s="85"/>
      <c r="BR420" s="84"/>
      <c r="BS420" s="85"/>
      <c r="BT420" s="85"/>
      <c r="BU420" s="198"/>
      <c r="BV420" s="90"/>
      <c r="BW420" s="198"/>
      <c r="BX420" s="90"/>
      <c r="BY420" s="198"/>
      <c r="BZ420" s="90"/>
      <c r="CA420" s="91"/>
    </row>
    <row r="421" spans="1:79" ht="60" customHeight="1" outlineLevel="2" x14ac:dyDescent="0.3">
      <c r="A421" s="103" t="s">
        <v>397</v>
      </c>
      <c r="B421" s="96" t="s">
        <v>1264</v>
      </c>
      <c r="C421" s="79" t="s">
        <v>55</v>
      </c>
      <c r="D421" s="81">
        <f t="shared" si="96"/>
        <v>14.04</v>
      </c>
      <c r="E421" s="82">
        <f t="shared" si="91"/>
        <v>0</v>
      </c>
      <c r="F421" s="83">
        <f t="shared" si="97"/>
        <v>14.04</v>
      </c>
      <c r="G421" s="84"/>
      <c r="H421" s="85"/>
      <c r="I421" s="85"/>
      <c r="J421" s="84"/>
      <c r="K421" s="85"/>
      <c r="L421" s="85"/>
      <c r="M421" s="85"/>
      <c r="N421" s="85"/>
      <c r="O421" s="82"/>
      <c r="P421" s="83"/>
      <c r="Q421" s="83"/>
      <c r="R421" s="83"/>
      <c r="S421" s="82"/>
      <c r="T421" s="83"/>
      <c r="U421" s="83"/>
      <c r="V421" s="84"/>
      <c r="W421" s="85"/>
      <c r="X421" s="87"/>
      <c r="Y421" s="83">
        <v>14.04</v>
      </c>
      <c r="Z421" s="84"/>
      <c r="AA421" s="85"/>
      <c r="AB421" s="84"/>
      <c r="AC421" s="85"/>
      <c r="AD421" s="89"/>
      <c r="AE421" s="89"/>
      <c r="AF421" s="186"/>
      <c r="AG421" s="85"/>
      <c r="AH421" s="85"/>
      <c r="AI421" s="85"/>
      <c r="AJ421" s="84"/>
      <c r="AK421" s="85"/>
      <c r="AL421" s="84"/>
      <c r="AM421" s="88"/>
      <c r="AN421" s="84"/>
      <c r="AO421" s="85"/>
      <c r="AP421" s="84"/>
      <c r="AQ421" s="83"/>
      <c r="AR421" s="83"/>
      <c r="AS421" s="83"/>
      <c r="AT421" s="85"/>
      <c r="AU421" s="85"/>
      <c r="AV421" s="85"/>
      <c r="AW421" s="88"/>
      <c r="AX421" s="84"/>
      <c r="AY421" s="85"/>
      <c r="AZ421" s="84"/>
      <c r="BA421" s="85"/>
      <c r="BB421" s="88"/>
      <c r="BC421" s="85"/>
      <c r="BD421" s="84"/>
      <c r="BE421" s="88"/>
      <c r="BF421" s="85"/>
      <c r="BG421" s="85"/>
      <c r="BH421" s="85"/>
      <c r="BI421" s="85"/>
      <c r="BJ421" s="85"/>
      <c r="BK421" s="85"/>
      <c r="BL421" s="85"/>
      <c r="BM421" s="85"/>
      <c r="BN421" s="85"/>
      <c r="BO421" s="85"/>
      <c r="BP421" s="85"/>
      <c r="BQ421" s="85"/>
      <c r="BR421" s="84"/>
      <c r="BS421" s="85"/>
      <c r="BT421" s="85"/>
      <c r="BU421" s="198"/>
      <c r="BV421" s="90"/>
      <c r="BW421" s="198"/>
      <c r="BX421" s="90"/>
      <c r="BY421" s="198"/>
      <c r="BZ421" s="90"/>
      <c r="CA421" s="91"/>
    </row>
    <row r="422" spans="1:79" ht="50.1" customHeight="1" outlineLevel="2" x14ac:dyDescent="0.3">
      <c r="A422" s="103" t="s">
        <v>397</v>
      </c>
      <c r="B422" s="96" t="s">
        <v>414</v>
      </c>
      <c r="C422" s="79" t="s">
        <v>55</v>
      </c>
      <c r="D422" s="81">
        <f t="shared" si="96"/>
        <v>670.97842000000003</v>
      </c>
      <c r="E422" s="82">
        <f t="shared" si="91"/>
        <v>26.773140000000001</v>
      </c>
      <c r="F422" s="83">
        <f t="shared" si="97"/>
        <v>644.20528000000002</v>
      </c>
      <c r="G422" s="84"/>
      <c r="H422" s="85"/>
      <c r="I422" s="85"/>
      <c r="J422" s="84"/>
      <c r="K422" s="85"/>
      <c r="L422" s="85"/>
      <c r="M422" s="85"/>
      <c r="N422" s="85"/>
      <c r="O422" s="82"/>
      <c r="P422" s="83"/>
      <c r="Q422" s="83"/>
      <c r="R422" s="83"/>
      <c r="S422" s="82"/>
      <c r="T422" s="83"/>
      <c r="U422" s="83"/>
      <c r="V422" s="84"/>
      <c r="W422" s="85"/>
      <c r="X422" s="87"/>
      <c r="Y422" s="83">
        <v>9.36</v>
      </c>
      <c r="Z422" s="84"/>
      <c r="AA422" s="85"/>
      <c r="AB422" s="84"/>
      <c r="AC422" s="85"/>
      <c r="AD422" s="89">
        <f t="shared" si="98"/>
        <v>0</v>
      </c>
      <c r="AE422" s="89"/>
      <c r="AF422" s="186"/>
      <c r="AG422" s="85"/>
      <c r="AH422" s="85"/>
      <c r="AI422" s="85"/>
      <c r="AJ422" s="84"/>
      <c r="AK422" s="85"/>
      <c r="AL422" s="84"/>
      <c r="AM422" s="88"/>
      <c r="AN422" s="84"/>
      <c r="AO422" s="85">
        <v>457.6</v>
      </c>
      <c r="AP422" s="84"/>
      <c r="AQ422" s="83"/>
      <c r="AR422" s="83"/>
      <c r="AS422" s="83"/>
      <c r="AT422" s="85"/>
      <c r="AU422" s="85"/>
      <c r="AV422" s="85"/>
      <c r="AW422" s="88"/>
      <c r="AX422" s="84"/>
      <c r="AY422" s="85"/>
      <c r="AZ422" s="84">
        <v>26.773140000000001</v>
      </c>
      <c r="BA422" s="85">
        <v>24.245280000000001</v>
      </c>
      <c r="BB422" s="88"/>
      <c r="BC422" s="85"/>
      <c r="BD422" s="84"/>
      <c r="BE422" s="88"/>
      <c r="BF422" s="85"/>
      <c r="BG422" s="85">
        <v>153</v>
      </c>
      <c r="BH422" s="85"/>
      <c r="BI422" s="85"/>
      <c r="BJ422" s="85"/>
      <c r="BK422" s="85"/>
      <c r="BL422" s="85"/>
      <c r="BM422" s="85"/>
      <c r="BN422" s="85"/>
      <c r="BO422" s="85"/>
      <c r="BP422" s="85"/>
      <c r="BQ422" s="85"/>
      <c r="BR422" s="84"/>
      <c r="BS422" s="85"/>
      <c r="BT422" s="85"/>
      <c r="BU422" s="198"/>
      <c r="BV422" s="90"/>
      <c r="BW422" s="198"/>
      <c r="BX422" s="90"/>
      <c r="BY422" s="198"/>
      <c r="BZ422" s="90"/>
      <c r="CA422" s="91"/>
    </row>
    <row r="423" spans="1:79" ht="50.1" customHeight="1" outlineLevel="2" x14ac:dyDescent="0.3">
      <c r="A423" s="103" t="s">
        <v>397</v>
      </c>
      <c r="B423" s="96" t="s">
        <v>415</v>
      </c>
      <c r="C423" s="79" t="s">
        <v>55</v>
      </c>
      <c r="D423" s="81">
        <f t="shared" si="96"/>
        <v>53.006709999999998</v>
      </c>
      <c r="E423" s="82">
        <f t="shared" si="91"/>
        <v>24.747400000000003</v>
      </c>
      <c r="F423" s="83">
        <f t="shared" si="97"/>
        <v>28.259309999999999</v>
      </c>
      <c r="G423" s="84"/>
      <c r="H423" s="85"/>
      <c r="I423" s="85"/>
      <c r="J423" s="84"/>
      <c r="K423" s="85"/>
      <c r="L423" s="85"/>
      <c r="M423" s="85"/>
      <c r="N423" s="85"/>
      <c r="O423" s="82"/>
      <c r="P423" s="83"/>
      <c r="Q423" s="83"/>
      <c r="R423" s="83"/>
      <c r="S423" s="82"/>
      <c r="T423" s="83"/>
      <c r="U423" s="83"/>
      <c r="V423" s="84">
        <v>6.9584999999999999</v>
      </c>
      <c r="W423" s="85">
        <v>12.15</v>
      </c>
      <c r="X423" s="87"/>
      <c r="Y423" s="83"/>
      <c r="Z423" s="84"/>
      <c r="AA423" s="85"/>
      <c r="AB423" s="84"/>
      <c r="AC423" s="85"/>
      <c r="AD423" s="89">
        <f t="shared" si="98"/>
        <v>0</v>
      </c>
      <c r="AE423" s="89"/>
      <c r="AF423" s="186"/>
      <c r="AG423" s="85"/>
      <c r="AH423" s="85"/>
      <c r="AI423" s="85"/>
      <c r="AJ423" s="84"/>
      <c r="AK423" s="85"/>
      <c r="AL423" s="84"/>
      <c r="AM423" s="88"/>
      <c r="AN423" s="84"/>
      <c r="AO423" s="85"/>
      <c r="AP423" s="84"/>
      <c r="AQ423" s="83"/>
      <c r="AR423" s="83"/>
      <c r="AS423" s="83"/>
      <c r="AT423" s="85"/>
      <c r="AU423" s="85"/>
      <c r="AV423" s="85"/>
      <c r="AW423" s="88"/>
      <c r="AX423" s="84"/>
      <c r="AY423" s="85"/>
      <c r="AZ423" s="84">
        <v>17.788900000000002</v>
      </c>
      <c r="BA423" s="85">
        <v>16.109310000000001</v>
      </c>
      <c r="BB423" s="88"/>
      <c r="BC423" s="85"/>
      <c r="BD423" s="84"/>
      <c r="BE423" s="88"/>
      <c r="BF423" s="85"/>
      <c r="BG423" s="85"/>
      <c r="BH423" s="85"/>
      <c r="BI423" s="85"/>
      <c r="BJ423" s="85"/>
      <c r="BK423" s="85"/>
      <c r="BL423" s="85"/>
      <c r="BM423" s="85"/>
      <c r="BN423" s="85"/>
      <c r="BO423" s="85"/>
      <c r="BP423" s="85"/>
      <c r="BQ423" s="85"/>
      <c r="BR423" s="84"/>
      <c r="BS423" s="85"/>
      <c r="BT423" s="85"/>
      <c r="BU423" s="198"/>
      <c r="BV423" s="90"/>
      <c r="BW423" s="198"/>
      <c r="BX423" s="90"/>
      <c r="BY423" s="198"/>
      <c r="BZ423" s="90"/>
      <c r="CA423" s="91"/>
    </row>
    <row r="424" spans="1:79" ht="50.1" customHeight="1" outlineLevel="2" x14ac:dyDescent="0.3">
      <c r="A424" s="103" t="s">
        <v>397</v>
      </c>
      <c r="B424" s="96" t="s">
        <v>416</v>
      </c>
      <c r="C424" s="79" t="s">
        <v>55</v>
      </c>
      <c r="D424" s="81">
        <f t="shared" si="96"/>
        <v>171.8322</v>
      </c>
      <c r="E424" s="82">
        <f t="shared" si="91"/>
        <v>38.311160000000001</v>
      </c>
      <c r="F424" s="83">
        <f t="shared" si="97"/>
        <v>133.52104</v>
      </c>
      <c r="G424" s="84"/>
      <c r="H424" s="85"/>
      <c r="I424" s="85"/>
      <c r="J424" s="84"/>
      <c r="K424" s="85"/>
      <c r="L424" s="85"/>
      <c r="M424" s="85"/>
      <c r="N424" s="85"/>
      <c r="O424" s="82"/>
      <c r="P424" s="83"/>
      <c r="Q424" s="83"/>
      <c r="R424" s="83"/>
      <c r="S424" s="82"/>
      <c r="T424" s="83"/>
      <c r="U424" s="83"/>
      <c r="V424" s="84"/>
      <c r="W424" s="85"/>
      <c r="X424" s="87"/>
      <c r="Y424" s="83">
        <v>40.56</v>
      </c>
      <c r="Z424" s="84"/>
      <c r="AA424" s="85"/>
      <c r="AB424" s="84"/>
      <c r="AC424" s="85"/>
      <c r="AD424" s="89">
        <f t="shared" si="98"/>
        <v>12.899369999999999</v>
      </c>
      <c r="AE424" s="89">
        <v>7.0622999999999996</v>
      </c>
      <c r="AF424" s="186">
        <v>5.8370699999999998</v>
      </c>
      <c r="AG424" s="85"/>
      <c r="AH424" s="85"/>
      <c r="AI424" s="85"/>
      <c r="AJ424" s="84"/>
      <c r="AK424" s="85"/>
      <c r="AL424" s="84"/>
      <c r="AM424" s="88"/>
      <c r="AN424" s="84"/>
      <c r="AO424" s="85"/>
      <c r="AP424" s="84"/>
      <c r="AQ424" s="83"/>
      <c r="AR424" s="83"/>
      <c r="AS424" s="83"/>
      <c r="AT424" s="85"/>
      <c r="AU424" s="85"/>
      <c r="AV424" s="85"/>
      <c r="AW424" s="88"/>
      <c r="AX424" s="84"/>
      <c r="AY424" s="85"/>
      <c r="AZ424" s="84">
        <v>38.311160000000001</v>
      </c>
      <c r="BA424" s="85">
        <v>34.693860000000001</v>
      </c>
      <c r="BB424" s="88"/>
      <c r="BC424" s="85"/>
      <c r="BD424" s="84"/>
      <c r="BE424" s="88"/>
      <c r="BF424" s="85"/>
      <c r="BG424" s="85">
        <v>45.367809999999999</v>
      </c>
      <c r="BH424" s="85"/>
      <c r="BI424" s="85"/>
      <c r="BJ424" s="85"/>
      <c r="BK424" s="85"/>
      <c r="BL424" s="85"/>
      <c r="BM424" s="85"/>
      <c r="BN424" s="85"/>
      <c r="BO424" s="85"/>
      <c r="BP424" s="85"/>
      <c r="BQ424" s="85"/>
      <c r="BR424" s="84"/>
      <c r="BS424" s="85"/>
      <c r="BT424" s="85"/>
      <c r="BU424" s="198"/>
      <c r="BV424" s="90"/>
      <c r="BW424" s="198"/>
      <c r="BX424" s="90"/>
      <c r="BY424" s="198"/>
      <c r="BZ424" s="90"/>
      <c r="CA424" s="91"/>
    </row>
    <row r="425" spans="1:79" ht="50.1" customHeight="1" outlineLevel="2" x14ac:dyDescent="0.3">
      <c r="A425" s="103" t="s">
        <v>397</v>
      </c>
      <c r="B425" s="96" t="s">
        <v>417</v>
      </c>
      <c r="C425" s="79" t="s">
        <v>55</v>
      </c>
      <c r="D425" s="81">
        <f t="shared" si="96"/>
        <v>686.04293999999993</v>
      </c>
      <c r="E425" s="82">
        <f t="shared" si="91"/>
        <v>235.67537999999999</v>
      </c>
      <c r="F425" s="83">
        <f t="shared" si="97"/>
        <v>450.36755999999997</v>
      </c>
      <c r="G425" s="84"/>
      <c r="H425" s="85"/>
      <c r="I425" s="85"/>
      <c r="J425" s="84"/>
      <c r="K425" s="85"/>
      <c r="L425" s="85"/>
      <c r="M425" s="85"/>
      <c r="N425" s="85"/>
      <c r="O425" s="82"/>
      <c r="P425" s="83"/>
      <c r="Q425" s="83"/>
      <c r="R425" s="83"/>
      <c r="S425" s="82"/>
      <c r="T425" s="83"/>
      <c r="U425" s="83"/>
      <c r="V425" s="84">
        <v>23.195</v>
      </c>
      <c r="W425" s="85">
        <v>40.5</v>
      </c>
      <c r="X425" s="87"/>
      <c r="Y425" s="83">
        <v>72.695999999999998</v>
      </c>
      <c r="Z425" s="84"/>
      <c r="AA425" s="85"/>
      <c r="AB425" s="84"/>
      <c r="AC425" s="85"/>
      <c r="AD425" s="89">
        <f t="shared" si="98"/>
        <v>67.667770000000004</v>
      </c>
      <c r="AE425" s="89">
        <v>42.373800000000003</v>
      </c>
      <c r="AF425" s="186">
        <v>25.293970000000002</v>
      </c>
      <c r="AG425" s="85"/>
      <c r="AH425" s="85"/>
      <c r="AI425" s="85"/>
      <c r="AJ425" s="84"/>
      <c r="AK425" s="85"/>
      <c r="AL425" s="84"/>
      <c r="AM425" s="88"/>
      <c r="AN425" s="84"/>
      <c r="AO425" s="85"/>
      <c r="AP425" s="84"/>
      <c r="AQ425" s="83"/>
      <c r="AR425" s="83"/>
      <c r="AS425" s="83"/>
      <c r="AT425" s="85"/>
      <c r="AU425" s="85"/>
      <c r="AV425" s="85">
        <v>77.085400000000007</v>
      </c>
      <c r="AW425" s="88"/>
      <c r="AX425" s="84"/>
      <c r="AY425" s="85"/>
      <c r="AZ425" s="84">
        <v>212.48038</v>
      </c>
      <c r="BA425" s="85">
        <v>192.41838999999999</v>
      </c>
      <c r="BB425" s="88"/>
      <c r="BC425" s="85"/>
      <c r="BD425" s="84"/>
      <c r="BE425" s="88"/>
      <c r="BF425" s="85"/>
      <c r="BG425" s="85"/>
      <c r="BH425" s="85"/>
      <c r="BI425" s="85"/>
      <c r="BJ425" s="85"/>
      <c r="BK425" s="85"/>
      <c r="BL425" s="85"/>
      <c r="BM425" s="85"/>
      <c r="BN425" s="85"/>
      <c r="BO425" s="85"/>
      <c r="BP425" s="85"/>
      <c r="BQ425" s="85"/>
      <c r="BR425" s="84"/>
      <c r="BS425" s="85"/>
      <c r="BT425" s="85"/>
      <c r="BU425" s="198"/>
      <c r="BV425" s="90"/>
      <c r="BW425" s="198"/>
      <c r="BX425" s="90"/>
      <c r="BY425" s="198"/>
      <c r="BZ425" s="90"/>
      <c r="CA425" s="91"/>
    </row>
    <row r="426" spans="1:79" ht="50.1" customHeight="1" outlineLevel="2" x14ac:dyDescent="0.3">
      <c r="A426" s="103" t="s">
        <v>397</v>
      </c>
      <c r="B426" s="96" t="s">
        <v>418</v>
      </c>
      <c r="C426" s="79" t="s">
        <v>53</v>
      </c>
      <c r="D426" s="81">
        <f t="shared" si="96"/>
        <v>804.27148999999997</v>
      </c>
      <c r="E426" s="82">
        <f t="shared" si="91"/>
        <v>87.672160000000005</v>
      </c>
      <c r="F426" s="83">
        <f t="shared" si="97"/>
        <v>716.59933000000001</v>
      </c>
      <c r="G426" s="84"/>
      <c r="H426" s="85"/>
      <c r="I426" s="85"/>
      <c r="J426" s="84"/>
      <c r="K426" s="85"/>
      <c r="L426" s="85"/>
      <c r="M426" s="85"/>
      <c r="N426" s="85"/>
      <c r="O426" s="82"/>
      <c r="P426" s="83"/>
      <c r="Q426" s="83"/>
      <c r="R426" s="83"/>
      <c r="S426" s="82"/>
      <c r="T426" s="83"/>
      <c r="U426" s="83"/>
      <c r="V426" s="84"/>
      <c r="W426" s="85"/>
      <c r="X426" s="87"/>
      <c r="Y426" s="83">
        <v>30.263999999999999</v>
      </c>
      <c r="Z426" s="84"/>
      <c r="AA426" s="85"/>
      <c r="AB426" s="84"/>
      <c r="AC426" s="85"/>
      <c r="AD426" s="89">
        <f t="shared" si="98"/>
        <v>32.861040000000003</v>
      </c>
      <c r="AE426" s="89">
        <v>21.186900000000001</v>
      </c>
      <c r="AF426" s="186">
        <v>11.67414</v>
      </c>
      <c r="AG426" s="85"/>
      <c r="AH426" s="85"/>
      <c r="AI426" s="85"/>
      <c r="AJ426" s="84"/>
      <c r="AK426" s="85"/>
      <c r="AL426" s="84"/>
      <c r="AM426" s="88"/>
      <c r="AN426" s="84"/>
      <c r="AO426" s="85">
        <v>574.08000000000004</v>
      </c>
      <c r="AP426" s="84"/>
      <c r="AQ426" s="83"/>
      <c r="AR426" s="83"/>
      <c r="AS426" s="83"/>
      <c r="AT426" s="85"/>
      <c r="AU426" s="85"/>
      <c r="AV426" s="85"/>
      <c r="AW426" s="88"/>
      <c r="AX426" s="84"/>
      <c r="AY426" s="85"/>
      <c r="AZ426" s="84">
        <v>87.672160000000005</v>
      </c>
      <c r="BA426" s="85">
        <v>79.394289999999998</v>
      </c>
      <c r="BB426" s="88"/>
      <c r="BC426" s="85"/>
      <c r="BD426" s="84"/>
      <c r="BE426" s="88"/>
      <c r="BF426" s="85"/>
      <c r="BG426" s="85"/>
      <c r="BH426" s="85"/>
      <c r="BI426" s="85"/>
      <c r="BJ426" s="85"/>
      <c r="BK426" s="85"/>
      <c r="BL426" s="85"/>
      <c r="BM426" s="85"/>
      <c r="BN426" s="85"/>
      <c r="BO426" s="85"/>
      <c r="BP426" s="85"/>
      <c r="BQ426" s="85"/>
      <c r="BR426" s="84"/>
      <c r="BS426" s="85"/>
      <c r="BT426" s="85"/>
      <c r="BU426" s="198"/>
      <c r="BV426" s="90"/>
      <c r="BW426" s="198"/>
      <c r="BX426" s="90"/>
      <c r="BY426" s="198"/>
      <c r="BZ426" s="90"/>
      <c r="CA426" s="91"/>
    </row>
    <row r="427" spans="1:79" ht="50.1" customHeight="1" outlineLevel="2" x14ac:dyDescent="0.3">
      <c r="A427" s="103" t="s">
        <v>397</v>
      </c>
      <c r="B427" s="96" t="s">
        <v>419</v>
      </c>
      <c r="C427" s="79" t="s">
        <v>55</v>
      </c>
      <c r="D427" s="81">
        <f t="shared" si="96"/>
        <v>45.314570000000003</v>
      </c>
      <c r="E427" s="82">
        <f t="shared" si="91"/>
        <v>7.4069500000000001</v>
      </c>
      <c r="F427" s="83">
        <f t="shared" si="97"/>
        <v>37.907620000000001</v>
      </c>
      <c r="G427" s="84"/>
      <c r="H427" s="85"/>
      <c r="I427" s="85"/>
      <c r="J427" s="84"/>
      <c r="K427" s="85"/>
      <c r="L427" s="85"/>
      <c r="M427" s="85"/>
      <c r="N427" s="85"/>
      <c r="O427" s="82"/>
      <c r="P427" s="83"/>
      <c r="Q427" s="83"/>
      <c r="R427" s="83"/>
      <c r="S427" s="82"/>
      <c r="T427" s="83"/>
      <c r="U427" s="83"/>
      <c r="V427" s="84"/>
      <c r="W427" s="85"/>
      <c r="X427" s="87"/>
      <c r="Y427" s="83">
        <v>31.2</v>
      </c>
      <c r="Z427" s="84"/>
      <c r="AA427" s="85"/>
      <c r="AB427" s="84"/>
      <c r="AC427" s="85"/>
      <c r="AD427" s="89">
        <f t="shared" si="98"/>
        <v>0</v>
      </c>
      <c r="AE427" s="89"/>
      <c r="AF427" s="186"/>
      <c r="AG427" s="85"/>
      <c r="AH427" s="85"/>
      <c r="AI427" s="85"/>
      <c r="AJ427" s="84"/>
      <c r="AK427" s="85"/>
      <c r="AL427" s="84"/>
      <c r="AM427" s="88"/>
      <c r="AN427" s="84"/>
      <c r="AO427" s="85"/>
      <c r="AP427" s="84"/>
      <c r="AQ427" s="83"/>
      <c r="AR427" s="83"/>
      <c r="AS427" s="83"/>
      <c r="AT427" s="85"/>
      <c r="AU427" s="85"/>
      <c r="AV427" s="85"/>
      <c r="AW427" s="88"/>
      <c r="AX427" s="84"/>
      <c r="AY427" s="85"/>
      <c r="AZ427" s="84">
        <v>7.4069500000000001</v>
      </c>
      <c r="BA427" s="85">
        <v>6.7076200000000004</v>
      </c>
      <c r="BB427" s="88"/>
      <c r="BC427" s="85"/>
      <c r="BD427" s="84"/>
      <c r="BE427" s="88"/>
      <c r="BF427" s="85"/>
      <c r="BG427" s="85"/>
      <c r="BH427" s="85"/>
      <c r="BI427" s="85"/>
      <c r="BJ427" s="85"/>
      <c r="BK427" s="85"/>
      <c r="BL427" s="85"/>
      <c r="BM427" s="85"/>
      <c r="BN427" s="85"/>
      <c r="BO427" s="85"/>
      <c r="BP427" s="85"/>
      <c r="BQ427" s="85"/>
      <c r="BR427" s="84"/>
      <c r="BS427" s="85"/>
      <c r="BT427" s="85"/>
      <c r="BU427" s="198"/>
      <c r="BV427" s="90"/>
      <c r="BW427" s="198"/>
      <c r="BX427" s="90"/>
      <c r="BY427" s="198"/>
      <c r="BZ427" s="90"/>
      <c r="CA427" s="91"/>
    </row>
    <row r="428" spans="1:79" ht="50.1" customHeight="1" outlineLevel="2" x14ac:dyDescent="0.3">
      <c r="A428" s="103" t="s">
        <v>397</v>
      </c>
      <c r="B428" s="96" t="s">
        <v>420</v>
      </c>
      <c r="C428" s="119" t="s">
        <v>55</v>
      </c>
      <c r="D428" s="81">
        <f t="shared" si="96"/>
        <v>109.15201999999999</v>
      </c>
      <c r="E428" s="82">
        <f t="shared" si="91"/>
        <v>24.53424</v>
      </c>
      <c r="F428" s="83">
        <f t="shared" si="97"/>
        <v>84.617779999999996</v>
      </c>
      <c r="G428" s="84"/>
      <c r="H428" s="85"/>
      <c r="I428" s="85"/>
      <c r="J428" s="84"/>
      <c r="K428" s="85"/>
      <c r="L428" s="85"/>
      <c r="M428" s="85"/>
      <c r="N428" s="85"/>
      <c r="O428" s="82"/>
      <c r="P428" s="83"/>
      <c r="Q428" s="83"/>
      <c r="R428" s="83"/>
      <c r="S428" s="82"/>
      <c r="T428" s="83"/>
      <c r="U428" s="83"/>
      <c r="V428" s="84"/>
      <c r="W428" s="85"/>
      <c r="X428" s="87"/>
      <c r="Y428" s="83">
        <v>62.4</v>
      </c>
      <c r="Z428" s="84"/>
      <c r="AA428" s="85"/>
      <c r="AB428" s="84"/>
      <c r="AC428" s="85"/>
      <c r="AD428" s="89">
        <f t="shared" si="98"/>
        <v>0</v>
      </c>
      <c r="AE428" s="89"/>
      <c r="AF428" s="186"/>
      <c r="AG428" s="85"/>
      <c r="AH428" s="85"/>
      <c r="AI428" s="85"/>
      <c r="AJ428" s="84"/>
      <c r="AK428" s="85"/>
      <c r="AL428" s="84"/>
      <c r="AM428" s="88"/>
      <c r="AN428" s="84"/>
      <c r="AO428" s="85"/>
      <c r="AP428" s="84"/>
      <c r="AQ428" s="83"/>
      <c r="AR428" s="83"/>
      <c r="AS428" s="83"/>
      <c r="AT428" s="85"/>
      <c r="AU428" s="85"/>
      <c r="AV428" s="85"/>
      <c r="AW428" s="88"/>
      <c r="AX428" s="84"/>
      <c r="AY428" s="85"/>
      <c r="AZ428" s="84">
        <v>24.53424</v>
      </c>
      <c r="BA428" s="85">
        <v>22.217780000000001</v>
      </c>
      <c r="BB428" s="88"/>
      <c r="BC428" s="85"/>
      <c r="BD428" s="84"/>
      <c r="BE428" s="88"/>
      <c r="BF428" s="85"/>
      <c r="BG428" s="85"/>
      <c r="BH428" s="85"/>
      <c r="BI428" s="85"/>
      <c r="BJ428" s="85"/>
      <c r="BK428" s="85"/>
      <c r="BL428" s="85"/>
      <c r="BM428" s="85"/>
      <c r="BN428" s="85"/>
      <c r="BO428" s="85"/>
      <c r="BP428" s="85"/>
      <c r="BQ428" s="85"/>
      <c r="BR428" s="84"/>
      <c r="BS428" s="85"/>
      <c r="BT428" s="85"/>
      <c r="BU428" s="198"/>
      <c r="BV428" s="90"/>
      <c r="BW428" s="198"/>
      <c r="BX428" s="90"/>
      <c r="BY428" s="198"/>
      <c r="BZ428" s="90"/>
      <c r="CA428" s="91"/>
    </row>
    <row r="429" spans="1:79" ht="50.1" customHeight="1" outlineLevel="2" x14ac:dyDescent="0.3">
      <c r="A429" s="103" t="s">
        <v>397</v>
      </c>
      <c r="B429" s="96" t="s">
        <v>421</v>
      </c>
      <c r="C429" s="79" t="s">
        <v>55</v>
      </c>
      <c r="D429" s="81">
        <f t="shared" si="96"/>
        <v>657.93992000000003</v>
      </c>
      <c r="E429" s="82">
        <f t="shared" si="91"/>
        <v>230.08122</v>
      </c>
      <c r="F429" s="83">
        <f t="shared" si="97"/>
        <v>427.8587</v>
      </c>
      <c r="G429" s="84"/>
      <c r="H429" s="85"/>
      <c r="I429" s="85"/>
      <c r="J429" s="84"/>
      <c r="K429" s="85"/>
      <c r="L429" s="85"/>
      <c r="M429" s="85"/>
      <c r="N429" s="85"/>
      <c r="O429" s="82"/>
      <c r="P429" s="83"/>
      <c r="Q429" s="83"/>
      <c r="R429" s="83"/>
      <c r="S429" s="82"/>
      <c r="T429" s="83"/>
      <c r="U429" s="83"/>
      <c r="V429" s="84"/>
      <c r="W429" s="85"/>
      <c r="X429" s="87"/>
      <c r="Y429" s="83">
        <v>154.75200000000001</v>
      </c>
      <c r="Z429" s="84"/>
      <c r="AA429" s="85"/>
      <c r="AB429" s="84"/>
      <c r="AC429" s="85"/>
      <c r="AD429" s="89">
        <f t="shared" si="98"/>
        <v>64.74924</v>
      </c>
      <c r="AE429" s="89">
        <v>42.373800000000003</v>
      </c>
      <c r="AF429" s="186">
        <v>22.375440000000001</v>
      </c>
      <c r="AG429" s="85"/>
      <c r="AH429" s="85"/>
      <c r="AI429" s="85"/>
      <c r="AJ429" s="84"/>
      <c r="AK429" s="85"/>
      <c r="AL429" s="84"/>
      <c r="AM429" s="88"/>
      <c r="AN429" s="84"/>
      <c r="AO429" s="85"/>
      <c r="AP429" s="84"/>
      <c r="AQ429" s="83"/>
      <c r="AR429" s="83"/>
      <c r="AS429" s="83"/>
      <c r="AT429" s="85"/>
      <c r="AU429" s="85"/>
      <c r="AV429" s="85"/>
      <c r="AW429" s="88"/>
      <c r="AX429" s="84"/>
      <c r="AY429" s="85"/>
      <c r="AZ429" s="84">
        <v>230.08122</v>
      </c>
      <c r="BA429" s="85">
        <v>208.35746</v>
      </c>
      <c r="BB429" s="88"/>
      <c r="BC429" s="85"/>
      <c r="BD429" s="84"/>
      <c r="BE429" s="88"/>
      <c r="BF429" s="85"/>
      <c r="BG429" s="85"/>
      <c r="BH429" s="85"/>
      <c r="BI429" s="85"/>
      <c r="BJ429" s="85"/>
      <c r="BK429" s="85"/>
      <c r="BL429" s="85"/>
      <c r="BM429" s="85"/>
      <c r="BN429" s="85"/>
      <c r="BO429" s="85"/>
      <c r="BP429" s="85"/>
      <c r="BQ429" s="85"/>
      <c r="BR429" s="84"/>
      <c r="BS429" s="85"/>
      <c r="BT429" s="85"/>
      <c r="BU429" s="198"/>
      <c r="BV429" s="90"/>
      <c r="BW429" s="198"/>
      <c r="BX429" s="90"/>
      <c r="BY429" s="198"/>
      <c r="BZ429" s="90"/>
      <c r="CA429" s="91"/>
    </row>
    <row r="430" spans="1:79" ht="50.1" customHeight="1" outlineLevel="2" x14ac:dyDescent="0.3">
      <c r="A430" s="103" t="s">
        <v>397</v>
      </c>
      <c r="B430" s="96" t="s">
        <v>422</v>
      </c>
      <c r="C430" s="79" t="s">
        <v>55</v>
      </c>
      <c r="D430" s="81">
        <f t="shared" si="96"/>
        <v>1309.7375399999999</v>
      </c>
      <c r="E430" s="82">
        <f t="shared" si="91"/>
        <v>43.612949999999998</v>
      </c>
      <c r="F430" s="83">
        <f t="shared" si="97"/>
        <v>1266.1245899999999</v>
      </c>
      <c r="G430" s="84"/>
      <c r="H430" s="85"/>
      <c r="I430" s="85"/>
      <c r="J430" s="84"/>
      <c r="K430" s="85"/>
      <c r="L430" s="85"/>
      <c r="M430" s="85"/>
      <c r="N430" s="85"/>
      <c r="O430" s="82"/>
      <c r="P430" s="83"/>
      <c r="Q430" s="83"/>
      <c r="R430" s="83"/>
      <c r="S430" s="82"/>
      <c r="T430" s="83"/>
      <c r="U430" s="83"/>
      <c r="V430" s="84"/>
      <c r="W430" s="85"/>
      <c r="X430" s="87"/>
      <c r="Y430" s="83">
        <v>71.447999999999993</v>
      </c>
      <c r="Z430" s="84"/>
      <c r="AA430" s="85"/>
      <c r="AB430" s="84"/>
      <c r="AC430" s="85"/>
      <c r="AD430" s="89">
        <f t="shared" si="98"/>
        <v>32.861040000000003</v>
      </c>
      <c r="AE430" s="89">
        <v>21.186900000000001</v>
      </c>
      <c r="AF430" s="186">
        <v>11.67414</v>
      </c>
      <c r="AG430" s="85"/>
      <c r="AH430" s="85"/>
      <c r="AI430" s="85"/>
      <c r="AJ430" s="84"/>
      <c r="AK430" s="85"/>
      <c r="AL430" s="84"/>
      <c r="AM430" s="88"/>
      <c r="AN430" s="84"/>
      <c r="AO430" s="85">
        <v>208</v>
      </c>
      <c r="AP430" s="84"/>
      <c r="AQ430" s="83"/>
      <c r="AR430" s="83"/>
      <c r="AS430" s="83"/>
      <c r="AT430" s="85"/>
      <c r="AU430" s="85"/>
      <c r="AV430" s="85">
        <v>914.32047</v>
      </c>
      <c r="AW430" s="88"/>
      <c r="AX430" s="84"/>
      <c r="AY430" s="85"/>
      <c r="AZ430" s="84">
        <v>43.612949999999998</v>
      </c>
      <c r="BA430" s="85">
        <v>39.495080000000002</v>
      </c>
      <c r="BB430" s="88"/>
      <c r="BC430" s="85"/>
      <c r="BD430" s="84"/>
      <c r="BE430" s="88"/>
      <c r="BF430" s="85"/>
      <c r="BG430" s="85"/>
      <c r="BH430" s="85"/>
      <c r="BI430" s="85"/>
      <c r="BJ430" s="85"/>
      <c r="BK430" s="85"/>
      <c r="BL430" s="85"/>
      <c r="BM430" s="85"/>
      <c r="BN430" s="85"/>
      <c r="BO430" s="85"/>
      <c r="BP430" s="85"/>
      <c r="BQ430" s="85"/>
      <c r="BR430" s="84"/>
      <c r="BS430" s="85"/>
      <c r="BT430" s="85"/>
      <c r="BU430" s="198"/>
      <c r="BV430" s="90"/>
      <c r="BW430" s="198"/>
      <c r="BX430" s="90"/>
      <c r="BY430" s="198"/>
      <c r="BZ430" s="90"/>
      <c r="CA430" s="91"/>
    </row>
    <row r="431" spans="1:79" ht="50.1" customHeight="1" outlineLevel="2" x14ac:dyDescent="0.3">
      <c r="A431" s="103" t="s">
        <v>397</v>
      </c>
      <c r="B431" s="96" t="s">
        <v>423</v>
      </c>
      <c r="C431" s="79" t="s">
        <v>55</v>
      </c>
      <c r="D431" s="81">
        <f t="shared" si="96"/>
        <v>69.876379999999997</v>
      </c>
      <c r="E431" s="82">
        <f t="shared" si="91"/>
        <v>24.662379999999999</v>
      </c>
      <c r="F431" s="83">
        <f t="shared" si="97"/>
        <v>45.213999999999999</v>
      </c>
      <c r="G431" s="84"/>
      <c r="H431" s="85"/>
      <c r="I431" s="85"/>
      <c r="J431" s="84"/>
      <c r="K431" s="85"/>
      <c r="L431" s="85"/>
      <c r="M431" s="85"/>
      <c r="N431" s="85"/>
      <c r="O431" s="82"/>
      <c r="P431" s="83"/>
      <c r="Q431" s="83"/>
      <c r="R431" s="83"/>
      <c r="S431" s="82"/>
      <c r="T431" s="83"/>
      <c r="U431" s="83"/>
      <c r="V431" s="84"/>
      <c r="W431" s="85"/>
      <c r="X431" s="87"/>
      <c r="Y431" s="83"/>
      <c r="Z431" s="84"/>
      <c r="AA431" s="85"/>
      <c r="AB431" s="84"/>
      <c r="AC431" s="85"/>
      <c r="AD431" s="89">
        <f t="shared" si="98"/>
        <v>22.880199999999999</v>
      </c>
      <c r="AE431" s="89">
        <v>14.124599999999999</v>
      </c>
      <c r="AF431" s="186">
        <v>8.7555999999999994</v>
      </c>
      <c r="AG431" s="85"/>
      <c r="AH431" s="85"/>
      <c r="AI431" s="85"/>
      <c r="AJ431" s="84"/>
      <c r="AK431" s="85"/>
      <c r="AL431" s="84"/>
      <c r="AM431" s="88"/>
      <c r="AN431" s="84"/>
      <c r="AO431" s="85"/>
      <c r="AP431" s="84"/>
      <c r="AQ431" s="83"/>
      <c r="AR431" s="83"/>
      <c r="AS431" s="83"/>
      <c r="AT431" s="85"/>
      <c r="AU431" s="85"/>
      <c r="AV431" s="85"/>
      <c r="AW431" s="88"/>
      <c r="AX431" s="84"/>
      <c r="AY431" s="85"/>
      <c r="AZ431" s="84">
        <v>24.662379999999999</v>
      </c>
      <c r="BA431" s="85">
        <v>22.3338</v>
      </c>
      <c r="BB431" s="88"/>
      <c r="BC431" s="85"/>
      <c r="BD431" s="84"/>
      <c r="BE431" s="88"/>
      <c r="BF431" s="85"/>
      <c r="BG431" s="85"/>
      <c r="BH431" s="85"/>
      <c r="BI431" s="85"/>
      <c r="BJ431" s="85"/>
      <c r="BK431" s="85"/>
      <c r="BL431" s="85"/>
      <c r="BM431" s="85"/>
      <c r="BN431" s="85"/>
      <c r="BO431" s="85"/>
      <c r="BP431" s="85"/>
      <c r="BQ431" s="85"/>
      <c r="BR431" s="84"/>
      <c r="BS431" s="85"/>
      <c r="BT431" s="85"/>
      <c r="BU431" s="198"/>
      <c r="BV431" s="90"/>
      <c r="BW431" s="198"/>
      <c r="BX431" s="90"/>
      <c r="BY431" s="198"/>
      <c r="BZ431" s="90"/>
      <c r="CA431" s="91"/>
    </row>
    <row r="432" spans="1:79" ht="50.1" customHeight="1" outlineLevel="2" x14ac:dyDescent="0.3">
      <c r="A432" s="103" t="s">
        <v>397</v>
      </c>
      <c r="B432" s="96" t="s">
        <v>424</v>
      </c>
      <c r="C432" s="79" t="s">
        <v>55</v>
      </c>
      <c r="D432" s="81">
        <f t="shared" si="96"/>
        <v>2300.8670000000002</v>
      </c>
      <c r="E432" s="82">
        <f t="shared" si="91"/>
        <v>567.66539999999998</v>
      </c>
      <c r="F432" s="83">
        <f t="shared" si="97"/>
        <v>1733.2016000000001</v>
      </c>
      <c r="G432" s="84"/>
      <c r="H432" s="85"/>
      <c r="I432" s="85"/>
      <c r="J432" s="84"/>
      <c r="K432" s="85"/>
      <c r="L432" s="85"/>
      <c r="M432" s="85"/>
      <c r="N432" s="85"/>
      <c r="O432" s="82"/>
      <c r="P432" s="83"/>
      <c r="Q432" s="83"/>
      <c r="R432" s="83"/>
      <c r="S432" s="82"/>
      <c r="T432" s="83"/>
      <c r="U432" s="83"/>
      <c r="V432" s="84">
        <v>540.44349999999997</v>
      </c>
      <c r="W432" s="85">
        <v>943.65</v>
      </c>
      <c r="X432" s="87"/>
      <c r="Y432" s="83">
        <v>234</v>
      </c>
      <c r="Z432" s="84"/>
      <c r="AA432" s="85"/>
      <c r="AB432" s="84"/>
      <c r="AC432" s="85"/>
      <c r="AD432" s="89">
        <f t="shared" si="98"/>
        <v>124.12948</v>
      </c>
      <c r="AE432" s="89">
        <v>70.623000000000005</v>
      </c>
      <c r="AF432" s="186">
        <v>53.506480000000003</v>
      </c>
      <c r="AG432" s="85"/>
      <c r="AH432" s="85"/>
      <c r="AI432" s="85"/>
      <c r="AJ432" s="84"/>
      <c r="AK432" s="85"/>
      <c r="AL432" s="84"/>
      <c r="AM432" s="88"/>
      <c r="AN432" s="84"/>
      <c r="AO432" s="85"/>
      <c r="AP432" s="84"/>
      <c r="AQ432" s="83"/>
      <c r="AR432" s="83"/>
      <c r="AS432" s="83"/>
      <c r="AT432" s="85"/>
      <c r="AU432" s="85"/>
      <c r="AV432" s="85">
        <v>406.77051999999998</v>
      </c>
      <c r="AW432" s="88"/>
      <c r="AX432" s="84"/>
      <c r="AY432" s="85"/>
      <c r="AZ432" s="84">
        <v>27.221900000000002</v>
      </c>
      <c r="BA432" s="85">
        <v>24.651599999999998</v>
      </c>
      <c r="BB432" s="88"/>
      <c r="BC432" s="85"/>
      <c r="BD432" s="84"/>
      <c r="BE432" s="88"/>
      <c r="BF432" s="85"/>
      <c r="BG432" s="85"/>
      <c r="BH432" s="85"/>
      <c r="BI432" s="85"/>
      <c r="BJ432" s="85"/>
      <c r="BK432" s="85"/>
      <c r="BL432" s="85"/>
      <c r="BM432" s="85"/>
      <c r="BN432" s="85"/>
      <c r="BO432" s="85"/>
      <c r="BP432" s="85"/>
      <c r="BQ432" s="85"/>
      <c r="BR432" s="84"/>
      <c r="BS432" s="85"/>
      <c r="BT432" s="85"/>
      <c r="BU432" s="198"/>
      <c r="BV432" s="90"/>
      <c r="BW432" s="198"/>
      <c r="BX432" s="90"/>
      <c r="BY432" s="198"/>
      <c r="BZ432" s="90"/>
      <c r="CA432" s="91"/>
    </row>
    <row r="433" spans="1:79" ht="50.1" customHeight="1" outlineLevel="2" x14ac:dyDescent="0.3">
      <c r="A433" s="103" t="s">
        <v>397</v>
      </c>
      <c r="B433" s="96" t="s">
        <v>425</v>
      </c>
      <c r="C433" s="79" t="s">
        <v>55</v>
      </c>
      <c r="D433" s="81">
        <f t="shared" si="96"/>
        <v>1200.2404099999999</v>
      </c>
      <c r="E433" s="82">
        <f t="shared" si="91"/>
        <v>108.37491</v>
      </c>
      <c r="F433" s="83">
        <f t="shared" si="97"/>
        <v>1091.8654999999999</v>
      </c>
      <c r="G433" s="84"/>
      <c r="H433" s="85"/>
      <c r="I433" s="85"/>
      <c r="J433" s="84"/>
      <c r="K433" s="85"/>
      <c r="L433" s="85"/>
      <c r="M433" s="85"/>
      <c r="N433" s="85"/>
      <c r="O433" s="82"/>
      <c r="P433" s="83"/>
      <c r="Q433" s="83"/>
      <c r="R433" s="83"/>
      <c r="S433" s="82"/>
      <c r="T433" s="83"/>
      <c r="U433" s="83"/>
      <c r="V433" s="84">
        <v>34.792499999999997</v>
      </c>
      <c r="W433" s="85">
        <v>60.75</v>
      </c>
      <c r="X433" s="87"/>
      <c r="Y433" s="83"/>
      <c r="Z433" s="84"/>
      <c r="AA433" s="85"/>
      <c r="AB433" s="84"/>
      <c r="AC433" s="85"/>
      <c r="AD433" s="89">
        <f t="shared" si="98"/>
        <v>10.953679999999999</v>
      </c>
      <c r="AE433" s="89">
        <v>7.0622999999999996</v>
      </c>
      <c r="AF433" s="186">
        <v>3.8913799999999998</v>
      </c>
      <c r="AG433" s="85"/>
      <c r="AH433" s="85"/>
      <c r="AI433" s="85"/>
      <c r="AJ433" s="84"/>
      <c r="AK433" s="85"/>
      <c r="AL433" s="84"/>
      <c r="AM433" s="88"/>
      <c r="AN433" s="84"/>
      <c r="AO433" s="85"/>
      <c r="AP433" s="84"/>
      <c r="AQ433" s="83"/>
      <c r="AR433" s="83"/>
      <c r="AS433" s="83"/>
      <c r="AT433" s="85"/>
      <c r="AU433" s="85"/>
      <c r="AV433" s="85">
        <v>953.52687000000003</v>
      </c>
      <c r="AW433" s="88"/>
      <c r="AX433" s="84"/>
      <c r="AY433" s="85"/>
      <c r="AZ433" s="84">
        <v>73.582409999999996</v>
      </c>
      <c r="BA433" s="85">
        <v>66.634950000000003</v>
      </c>
      <c r="BB433" s="88"/>
      <c r="BC433" s="85"/>
      <c r="BD433" s="84"/>
      <c r="BE433" s="88"/>
      <c r="BF433" s="85"/>
      <c r="BG433" s="85"/>
      <c r="BH433" s="85"/>
      <c r="BI433" s="85"/>
      <c r="BJ433" s="85"/>
      <c r="BK433" s="85"/>
      <c r="BL433" s="85"/>
      <c r="BM433" s="85"/>
      <c r="BN433" s="85"/>
      <c r="BO433" s="85"/>
      <c r="BP433" s="85"/>
      <c r="BQ433" s="85"/>
      <c r="BR433" s="84"/>
      <c r="BS433" s="85"/>
      <c r="BT433" s="85"/>
      <c r="BU433" s="198"/>
      <c r="BV433" s="90"/>
      <c r="BW433" s="198"/>
      <c r="BX433" s="90"/>
      <c r="BY433" s="198"/>
      <c r="BZ433" s="90"/>
      <c r="CA433" s="91"/>
    </row>
    <row r="434" spans="1:79" ht="50.1" customHeight="1" outlineLevel="2" x14ac:dyDescent="0.3">
      <c r="A434" s="103" t="s">
        <v>397</v>
      </c>
      <c r="B434" s="96" t="s">
        <v>1061</v>
      </c>
      <c r="C434" s="79" t="s">
        <v>55</v>
      </c>
      <c r="D434" s="81">
        <f t="shared" si="96"/>
        <v>9.36</v>
      </c>
      <c r="E434" s="82">
        <f t="shared" si="91"/>
        <v>0</v>
      </c>
      <c r="F434" s="83">
        <f t="shared" si="97"/>
        <v>9.36</v>
      </c>
      <c r="G434" s="84"/>
      <c r="H434" s="85"/>
      <c r="I434" s="85"/>
      <c r="J434" s="84"/>
      <c r="K434" s="85"/>
      <c r="L434" s="85"/>
      <c r="M434" s="85"/>
      <c r="N434" s="85"/>
      <c r="O434" s="82"/>
      <c r="P434" s="83"/>
      <c r="Q434" s="83"/>
      <c r="R434" s="83"/>
      <c r="S434" s="82"/>
      <c r="T434" s="83"/>
      <c r="U434" s="83"/>
      <c r="V434" s="84"/>
      <c r="W434" s="85"/>
      <c r="X434" s="87"/>
      <c r="Y434" s="83">
        <v>9.36</v>
      </c>
      <c r="Z434" s="84"/>
      <c r="AA434" s="85"/>
      <c r="AB434" s="84"/>
      <c r="AC434" s="85"/>
      <c r="AD434" s="89"/>
      <c r="AE434" s="89"/>
      <c r="AF434" s="186"/>
      <c r="AG434" s="85"/>
      <c r="AH434" s="85"/>
      <c r="AI434" s="85"/>
      <c r="AJ434" s="84"/>
      <c r="AK434" s="85"/>
      <c r="AL434" s="84"/>
      <c r="AM434" s="88"/>
      <c r="AN434" s="84"/>
      <c r="AO434" s="85"/>
      <c r="AP434" s="84"/>
      <c r="AQ434" s="83"/>
      <c r="AR434" s="83"/>
      <c r="AS434" s="83"/>
      <c r="AT434" s="85"/>
      <c r="AU434" s="85"/>
      <c r="AV434" s="85"/>
      <c r="AW434" s="88"/>
      <c r="AX434" s="84"/>
      <c r="AY434" s="85"/>
      <c r="AZ434" s="84"/>
      <c r="BA434" s="85"/>
      <c r="BB434" s="88"/>
      <c r="BC434" s="85"/>
      <c r="BD434" s="84"/>
      <c r="BE434" s="88"/>
      <c r="BF434" s="85"/>
      <c r="BG434" s="85"/>
      <c r="BH434" s="85"/>
      <c r="BI434" s="85"/>
      <c r="BJ434" s="85"/>
      <c r="BK434" s="85"/>
      <c r="BL434" s="85"/>
      <c r="BM434" s="85"/>
      <c r="BN434" s="85"/>
      <c r="BO434" s="85"/>
      <c r="BP434" s="85"/>
      <c r="BQ434" s="85"/>
      <c r="BR434" s="84"/>
      <c r="BS434" s="85"/>
      <c r="BT434" s="85"/>
      <c r="BU434" s="198"/>
      <c r="BV434" s="90"/>
      <c r="BW434" s="198"/>
      <c r="BX434" s="90"/>
      <c r="BY434" s="198"/>
      <c r="BZ434" s="90"/>
      <c r="CA434" s="91"/>
    </row>
    <row r="435" spans="1:79" ht="50.1" customHeight="1" outlineLevel="2" x14ac:dyDescent="0.3">
      <c r="A435" s="103" t="s">
        <v>397</v>
      </c>
      <c r="B435" s="96" t="s">
        <v>426</v>
      </c>
      <c r="C435" s="79" t="s">
        <v>55</v>
      </c>
      <c r="D435" s="81">
        <f t="shared" si="96"/>
        <v>41.825290000000003</v>
      </c>
      <c r="E435" s="82">
        <f t="shared" si="91"/>
        <v>21.948820000000001</v>
      </c>
      <c r="F435" s="83">
        <f t="shared" si="97"/>
        <v>19.876470000000001</v>
      </c>
      <c r="G435" s="84"/>
      <c r="H435" s="85"/>
      <c r="I435" s="85"/>
      <c r="J435" s="84"/>
      <c r="K435" s="85"/>
      <c r="L435" s="85"/>
      <c r="M435" s="85"/>
      <c r="N435" s="85"/>
      <c r="O435" s="82"/>
      <c r="P435" s="83"/>
      <c r="Q435" s="83"/>
      <c r="R435" s="83"/>
      <c r="S435" s="82"/>
      <c r="T435" s="83"/>
      <c r="U435" s="83"/>
      <c r="V435" s="84"/>
      <c r="W435" s="94"/>
      <c r="X435" s="87"/>
      <c r="Y435" s="83"/>
      <c r="Z435" s="84"/>
      <c r="AA435" s="85"/>
      <c r="AB435" s="84"/>
      <c r="AC435" s="85"/>
      <c r="AD435" s="89">
        <f t="shared" si="98"/>
        <v>0</v>
      </c>
      <c r="AE435" s="89"/>
      <c r="AF435" s="186"/>
      <c r="AG435" s="85"/>
      <c r="AH435" s="85"/>
      <c r="AI435" s="85"/>
      <c r="AJ435" s="84"/>
      <c r="AK435" s="85"/>
      <c r="AL435" s="84"/>
      <c r="AM435" s="88"/>
      <c r="AN435" s="84"/>
      <c r="AO435" s="85"/>
      <c r="AP435" s="84"/>
      <c r="AQ435" s="83"/>
      <c r="AR435" s="83"/>
      <c r="AS435" s="83"/>
      <c r="AT435" s="85"/>
      <c r="AU435" s="85"/>
      <c r="AV435" s="85"/>
      <c r="AW435" s="88"/>
      <c r="AX435" s="84"/>
      <c r="AY435" s="85"/>
      <c r="AZ435" s="84">
        <v>21.948820000000001</v>
      </c>
      <c r="BA435" s="85">
        <v>19.876470000000001</v>
      </c>
      <c r="BB435" s="88"/>
      <c r="BC435" s="85"/>
      <c r="BD435" s="84"/>
      <c r="BE435" s="88"/>
      <c r="BF435" s="85"/>
      <c r="BG435" s="85"/>
      <c r="BH435" s="85"/>
      <c r="BI435" s="85"/>
      <c r="BJ435" s="85"/>
      <c r="BK435" s="85"/>
      <c r="BL435" s="85"/>
      <c r="BM435" s="85"/>
      <c r="BN435" s="85"/>
      <c r="BO435" s="85"/>
      <c r="BP435" s="85"/>
      <c r="BQ435" s="85"/>
      <c r="BR435" s="84"/>
      <c r="BS435" s="85"/>
      <c r="BT435" s="85"/>
      <c r="BU435" s="198"/>
      <c r="BV435" s="90"/>
      <c r="BW435" s="198"/>
      <c r="BX435" s="90"/>
      <c r="BY435" s="198"/>
      <c r="BZ435" s="90"/>
      <c r="CA435" s="91"/>
    </row>
    <row r="436" spans="1:79" ht="50.1" customHeight="1" outlineLevel="2" x14ac:dyDescent="0.3">
      <c r="A436" s="103" t="s">
        <v>397</v>
      </c>
      <c r="B436" s="96" t="s">
        <v>427</v>
      </c>
      <c r="C436" s="79" t="s">
        <v>55</v>
      </c>
      <c r="D436" s="81">
        <f t="shared" si="96"/>
        <v>3404.7347500000001</v>
      </c>
      <c r="E436" s="82">
        <f t="shared" si="91"/>
        <v>361.14614999999998</v>
      </c>
      <c r="F436" s="83">
        <f t="shared" si="97"/>
        <v>3043.5886</v>
      </c>
      <c r="G436" s="84"/>
      <c r="H436" s="85"/>
      <c r="I436" s="85"/>
      <c r="J436" s="84"/>
      <c r="K436" s="85"/>
      <c r="L436" s="85"/>
      <c r="M436" s="85"/>
      <c r="N436" s="85"/>
      <c r="O436" s="82"/>
      <c r="P436" s="83"/>
      <c r="Q436" s="83"/>
      <c r="R436" s="83"/>
      <c r="S436" s="82"/>
      <c r="T436" s="83"/>
      <c r="U436" s="83"/>
      <c r="V436" s="84">
        <v>361.14614999999998</v>
      </c>
      <c r="W436" s="202">
        <v>630.58500000000004</v>
      </c>
      <c r="X436" s="87"/>
      <c r="Y436" s="83">
        <v>171.6</v>
      </c>
      <c r="Z436" s="84"/>
      <c r="AA436" s="85"/>
      <c r="AB436" s="84"/>
      <c r="AC436" s="85"/>
      <c r="AD436" s="89">
        <f t="shared" si="98"/>
        <v>44.795079999999999</v>
      </c>
      <c r="AE436" s="83">
        <v>10.7455</v>
      </c>
      <c r="AF436" s="123">
        <v>34.049579999999999</v>
      </c>
      <c r="AG436" s="85"/>
      <c r="AH436" s="85"/>
      <c r="AI436" s="85"/>
      <c r="AJ436" s="84"/>
      <c r="AK436" s="85"/>
      <c r="AL436" s="84"/>
      <c r="AM436" s="85"/>
      <c r="AN436" s="84"/>
      <c r="AO436" s="85"/>
      <c r="AP436" s="84"/>
      <c r="AQ436" s="83"/>
      <c r="AR436" s="83"/>
      <c r="AS436" s="83"/>
      <c r="AT436" s="85"/>
      <c r="AU436" s="85"/>
      <c r="AV436" s="85">
        <v>2196.6085200000002</v>
      </c>
      <c r="AW436" s="85"/>
      <c r="AX436" s="84"/>
      <c r="AY436" s="85"/>
      <c r="AZ436" s="84"/>
      <c r="BA436" s="85"/>
      <c r="BB436" s="85"/>
      <c r="BC436" s="85"/>
      <c r="BD436" s="85"/>
      <c r="BE436" s="85"/>
      <c r="BF436" s="85"/>
      <c r="BG436" s="85"/>
      <c r="BH436" s="85"/>
      <c r="BI436" s="85"/>
      <c r="BJ436" s="85"/>
      <c r="BK436" s="85"/>
      <c r="BL436" s="85"/>
      <c r="BM436" s="85"/>
      <c r="BN436" s="85"/>
      <c r="BO436" s="85"/>
      <c r="BP436" s="85"/>
      <c r="BQ436" s="85"/>
      <c r="BR436" s="84"/>
      <c r="BS436" s="85"/>
      <c r="BT436" s="85"/>
      <c r="BU436" s="198"/>
      <c r="BV436" s="90"/>
      <c r="BW436" s="198"/>
      <c r="BX436" s="90"/>
      <c r="BY436" s="198"/>
      <c r="BZ436" s="90"/>
      <c r="CA436" s="91"/>
    </row>
    <row r="437" spans="1:79" ht="50.1" customHeight="1" outlineLevel="2" x14ac:dyDescent="0.3">
      <c r="A437" s="103" t="s">
        <v>397</v>
      </c>
      <c r="B437" s="96" t="s">
        <v>987</v>
      </c>
      <c r="C437" s="79" t="s">
        <v>55</v>
      </c>
      <c r="D437" s="81">
        <f t="shared" si="96"/>
        <v>46.67848</v>
      </c>
      <c r="E437" s="82">
        <f t="shared" si="91"/>
        <v>13.85324</v>
      </c>
      <c r="F437" s="83">
        <f t="shared" si="97"/>
        <v>32.825240000000001</v>
      </c>
      <c r="G437" s="84"/>
      <c r="H437" s="85"/>
      <c r="I437" s="85"/>
      <c r="J437" s="84"/>
      <c r="K437" s="85"/>
      <c r="L437" s="85"/>
      <c r="M437" s="85"/>
      <c r="N437" s="85"/>
      <c r="O437" s="82"/>
      <c r="P437" s="83"/>
      <c r="Q437" s="83"/>
      <c r="R437" s="83"/>
      <c r="S437" s="82"/>
      <c r="T437" s="83"/>
      <c r="U437" s="83"/>
      <c r="V437" s="84"/>
      <c r="W437" s="169"/>
      <c r="X437" s="87"/>
      <c r="Y437" s="83">
        <v>20.28</v>
      </c>
      <c r="Z437" s="84"/>
      <c r="AA437" s="85"/>
      <c r="AB437" s="84"/>
      <c r="AC437" s="85"/>
      <c r="AD437" s="89">
        <f t="shared" si="98"/>
        <v>0</v>
      </c>
      <c r="AE437" s="83"/>
      <c r="AF437" s="123"/>
      <c r="AG437" s="85"/>
      <c r="AH437" s="85"/>
      <c r="AI437" s="85"/>
      <c r="AJ437" s="84"/>
      <c r="AK437" s="85"/>
      <c r="AL437" s="84"/>
      <c r="AM437" s="85"/>
      <c r="AN437" s="84"/>
      <c r="AO437" s="85"/>
      <c r="AP437" s="84"/>
      <c r="AQ437" s="83"/>
      <c r="AR437" s="83"/>
      <c r="AS437" s="83"/>
      <c r="AT437" s="85"/>
      <c r="AU437" s="85"/>
      <c r="AV437" s="85"/>
      <c r="AW437" s="85"/>
      <c r="AX437" s="84"/>
      <c r="AY437" s="85"/>
      <c r="AZ437" s="84">
        <v>13.85324</v>
      </c>
      <c r="BA437" s="85">
        <v>12.54524</v>
      </c>
      <c r="BB437" s="85"/>
      <c r="BC437" s="85"/>
      <c r="BD437" s="85"/>
      <c r="BE437" s="85"/>
      <c r="BF437" s="85"/>
      <c r="BG437" s="85"/>
      <c r="BH437" s="85"/>
      <c r="BI437" s="85"/>
      <c r="BJ437" s="85"/>
      <c r="BK437" s="85"/>
      <c r="BL437" s="85"/>
      <c r="BM437" s="85"/>
      <c r="BN437" s="85"/>
      <c r="BO437" s="85"/>
      <c r="BP437" s="85"/>
      <c r="BQ437" s="85"/>
      <c r="BR437" s="84"/>
      <c r="BS437" s="85"/>
      <c r="BT437" s="85"/>
      <c r="BU437" s="198"/>
      <c r="BV437" s="90"/>
      <c r="BW437" s="198"/>
      <c r="BX437" s="90"/>
      <c r="BY437" s="198"/>
      <c r="BZ437" s="90"/>
      <c r="CA437" s="91"/>
    </row>
    <row r="438" spans="1:79" ht="50.1" customHeight="1" outlineLevel="2" x14ac:dyDescent="0.3">
      <c r="A438" s="103" t="s">
        <v>397</v>
      </c>
      <c r="B438" s="96" t="s">
        <v>428</v>
      </c>
      <c r="C438" s="79" t="s">
        <v>55</v>
      </c>
      <c r="D438" s="81">
        <f t="shared" si="96"/>
        <v>138.98745</v>
      </c>
      <c r="E438" s="82">
        <f t="shared" si="91"/>
        <v>28.321259999999999</v>
      </c>
      <c r="F438" s="83">
        <f t="shared" si="97"/>
        <v>110.66619</v>
      </c>
      <c r="G438" s="84"/>
      <c r="H438" s="85"/>
      <c r="I438" s="85"/>
      <c r="J438" s="84"/>
      <c r="K438" s="85"/>
      <c r="L438" s="85"/>
      <c r="M438" s="85"/>
      <c r="N438" s="85"/>
      <c r="O438" s="82"/>
      <c r="P438" s="83"/>
      <c r="Q438" s="83"/>
      <c r="R438" s="83"/>
      <c r="S438" s="82"/>
      <c r="T438" s="83"/>
      <c r="U438" s="83"/>
      <c r="V438" s="84">
        <v>4.6390000000000002</v>
      </c>
      <c r="W438" s="94">
        <v>8.1</v>
      </c>
      <c r="X438" s="87"/>
      <c r="Y438" s="83">
        <v>81.12</v>
      </c>
      <c r="Z438" s="84"/>
      <c r="AA438" s="85"/>
      <c r="AB438" s="84"/>
      <c r="AC438" s="85"/>
      <c r="AD438" s="89">
        <f t="shared" si="98"/>
        <v>0</v>
      </c>
      <c r="AE438" s="83"/>
      <c r="AF438" s="123"/>
      <c r="AG438" s="85"/>
      <c r="AH438" s="85"/>
      <c r="AI438" s="85"/>
      <c r="AJ438" s="84"/>
      <c r="AK438" s="85"/>
      <c r="AL438" s="84"/>
      <c r="AM438" s="85"/>
      <c r="AN438" s="84"/>
      <c r="AO438" s="85"/>
      <c r="AP438" s="84"/>
      <c r="AQ438" s="83"/>
      <c r="AR438" s="83"/>
      <c r="AS438" s="83"/>
      <c r="AT438" s="85"/>
      <c r="AU438" s="85"/>
      <c r="AV438" s="85"/>
      <c r="AW438" s="85"/>
      <c r="AX438" s="84"/>
      <c r="AY438" s="85"/>
      <c r="AZ438" s="84">
        <v>23.682259999999999</v>
      </c>
      <c r="BA438" s="85">
        <v>21.446190000000001</v>
      </c>
      <c r="BB438" s="85"/>
      <c r="BC438" s="85"/>
      <c r="BD438" s="85"/>
      <c r="BE438" s="85"/>
      <c r="BF438" s="85"/>
      <c r="BG438" s="85"/>
      <c r="BH438" s="85"/>
      <c r="BI438" s="85"/>
      <c r="BJ438" s="85"/>
      <c r="BK438" s="85"/>
      <c r="BL438" s="85"/>
      <c r="BM438" s="85"/>
      <c r="BN438" s="85"/>
      <c r="BO438" s="85"/>
      <c r="BP438" s="85"/>
      <c r="BQ438" s="85"/>
      <c r="BR438" s="84"/>
      <c r="BS438" s="85"/>
      <c r="BT438" s="85"/>
      <c r="BU438" s="198"/>
      <c r="BV438" s="90"/>
      <c r="BW438" s="198"/>
      <c r="BX438" s="90"/>
      <c r="BY438" s="198"/>
      <c r="BZ438" s="90"/>
      <c r="CA438" s="91"/>
    </row>
    <row r="439" spans="1:79" ht="50.1" customHeight="1" outlineLevel="2" x14ac:dyDescent="0.3">
      <c r="A439" s="103" t="s">
        <v>397</v>
      </c>
      <c r="B439" s="96" t="s">
        <v>1062</v>
      </c>
      <c r="C439" s="79" t="s">
        <v>55</v>
      </c>
      <c r="D439" s="81">
        <f t="shared" si="96"/>
        <v>14.352</v>
      </c>
      <c r="E439" s="82">
        <f t="shared" ref="E439:E482" si="99">G439+J439+O439+S439+V439+X439+Z439+AB439+AJ439+AL439+AN439+AP439+AX439+AZ439+BD439+BV439+BX439+BZ439+BR439</f>
        <v>0</v>
      </c>
      <c r="F439" s="83">
        <f t="shared" si="97"/>
        <v>14.352</v>
      </c>
      <c r="G439" s="84"/>
      <c r="H439" s="85"/>
      <c r="I439" s="85"/>
      <c r="J439" s="84"/>
      <c r="K439" s="85"/>
      <c r="L439" s="85"/>
      <c r="M439" s="85"/>
      <c r="N439" s="85"/>
      <c r="O439" s="82"/>
      <c r="P439" s="83"/>
      <c r="Q439" s="83"/>
      <c r="R439" s="83"/>
      <c r="S439" s="82"/>
      <c r="T439" s="83"/>
      <c r="U439" s="83"/>
      <c r="V439" s="84"/>
      <c r="W439" s="94"/>
      <c r="X439" s="87"/>
      <c r="Y439" s="83">
        <v>14.352</v>
      </c>
      <c r="Z439" s="84"/>
      <c r="AA439" s="85"/>
      <c r="AB439" s="84"/>
      <c r="AC439" s="85"/>
      <c r="AD439" s="89"/>
      <c r="AE439" s="83"/>
      <c r="AF439" s="123"/>
      <c r="AG439" s="85"/>
      <c r="AH439" s="85"/>
      <c r="AI439" s="85"/>
      <c r="AJ439" s="84"/>
      <c r="AK439" s="85"/>
      <c r="AL439" s="84"/>
      <c r="AM439" s="85"/>
      <c r="AN439" s="84"/>
      <c r="AO439" s="85"/>
      <c r="AP439" s="84"/>
      <c r="AQ439" s="83"/>
      <c r="AR439" s="83"/>
      <c r="AS439" s="83"/>
      <c r="AT439" s="85"/>
      <c r="AU439" s="85"/>
      <c r="AV439" s="85"/>
      <c r="AW439" s="85"/>
      <c r="AX439" s="84"/>
      <c r="AY439" s="85"/>
      <c r="AZ439" s="84"/>
      <c r="BA439" s="85"/>
      <c r="BB439" s="85"/>
      <c r="BC439" s="85"/>
      <c r="BD439" s="85"/>
      <c r="BE439" s="85"/>
      <c r="BF439" s="85"/>
      <c r="BG439" s="85"/>
      <c r="BH439" s="85"/>
      <c r="BI439" s="85"/>
      <c r="BJ439" s="85"/>
      <c r="BK439" s="85"/>
      <c r="BL439" s="85"/>
      <c r="BM439" s="85"/>
      <c r="BN439" s="85"/>
      <c r="BO439" s="85"/>
      <c r="BP439" s="85"/>
      <c r="BQ439" s="85"/>
      <c r="BR439" s="84"/>
      <c r="BS439" s="85"/>
      <c r="BT439" s="85"/>
      <c r="BU439" s="198"/>
      <c r="BV439" s="90"/>
      <c r="BW439" s="198"/>
      <c r="BX439" s="90"/>
      <c r="BY439" s="198"/>
      <c r="BZ439" s="90"/>
      <c r="CA439" s="91"/>
    </row>
    <row r="440" spans="1:79" ht="50.1" customHeight="1" outlineLevel="2" x14ac:dyDescent="0.3">
      <c r="A440" s="103" t="s">
        <v>397</v>
      </c>
      <c r="B440" s="96" t="s">
        <v>429</v>
      </c>
      <c r="C440" s="79" t="s">
        <v>55</v>
      </c>
      <c r="D440" s="81">
        <f t="shared" si="96"/>
        <v>119.71671999999998</v>
      </c>
      <c r="E440" s="82">
        <f t="shared" si="99"/>
        <v>53.491639999999997</v>
      </c>
      <c r="F440" s="83">
        <f t="shared" si="97"/>
        <v>66.225079999999991</v>
      </c>
      <c r="G440" s="84"/>
      <c r="H440" s="85"/>
      <c r="I440" s="85"/>
      <c r="J440" s="84"/>
      <c r="K440" s="85"/>
      <c r="L440" s="85"/>
      <c r="M440" s="85"/>
      <c r="N440" s="85"/>
      <c r="O440" s="82"/>
      <c r="P440" s="83"/>
      <c r="Q440" s="83"/>
      <c r="R440" s="83"/>
      <c r="S440" s="82"/>
      <c r="T440" s="83"/>
      <c r="U440" s="83"/>
      <c r="V440" s="84"/>
      <c r="W440" s="85"/>
      <c r="X440" s="87"/>
      <c r="Y440" s="83">
        <v>17.783999999999999</v>
      </c>
      <c r="Z440" s="84"/>
      <c r="AA440" s="85"/>
      <c r="AB440" s="84"/>
      <c r="AC440" s="85"/>
      <c r="AD440" s="89">
        <f t="shared" si="98"/>
        <v>0</v>
      </c>
      <c r="AE440" s="89"/>
      <c r="AF440" s="186"/>
      <c r="AG440" s="85"/>
      <c r="AH440" s="85"/>
      <c r="AI440" s="85"/>
      <c r="AJ440" s="84"/>
      <c r="AK440" s="85"/>
      <c r="AL440" s="84"/>
      <c r="AM440" s="88"/>
      <c r="AN440" s="84"/>
      <c r="AO440" s="85"/>
      <c r="AP440" s="84"/>
      <c r="AQ440" s="83"/>
      <c r="AR440" s="83"/>
      <c r="AS440" s="83"/>
      <c r="AT440" s="85"/>
      <c r="AU440" s="85"/>
      <c r="AV440" s="85"/>
      <c r="AW440" s="88"/>
      <c r="AX440" s="84"/>
      <c r="AY440" s="85"/>
      <c r="AZ440" s="84">
        <v>53.491639999999997</v>
      </c>
      <c r="BA440" s="85">
        <v>48.441079999999999</v>
      </c>
      <c r="BB440" s="88"/>
      <c r="BC440" s="85"/>
      <c r="BD440" s="84"/>
      <c r="BE440" s="88"/>
      <c r="BF440" s="85"/>
      <c r="BG440" s="85"/>
      <c r="BH440" s="85"/>
      <c r="BI440" s="85"/>
      <c r="BJ440" s="85"/>
      <c r="BK440" s="85"/>
      <c r="BL440" s="85"/>
      <c r="BM440" s="85"/>
      <c r="BN440" s="85"/>
      <c r="BO440" s="85"/>
      <c r="BP440" s="85"/>
      <c r="BQ440" s="85"/>
      <c r="BR440" s="84"/>
      <c r="BS440" s="85"/>
      <c r="BT440" s="85"/>
      <c r="BU440" s="198"/>
      <c r="BV440" s="90"/>
      <c r="BW440" s="198"/>
      <c r="BX440" s="90"/>
      <c r="BY440" s="198"/>
      <c r="BZ440" s="90"/>
      <c r="CA440" s="91"/>
    </row>
    <row r="441" spans="1:79" ht="50.1" customHeight="1" outlineLevel="2" x14ac:dyDescent="0.3">
      <c r="A441" s="103" t="s">
        <v>397</v>
      </c>
      <c r="B441" s="96" t="s">
        <v>990</v>
      </c>
      <c r="C441" s="79" t="s">
        <v>55</v>
      </c>
      <c r="D441" s="81">
        <f t="shared" si="96"/>
        <v>38.52675</v>
      </c>
      <c r="E441" s="82">
        <f t="shared" si="99"/>
        <v>14.814780000000001</v>
      </c>
      <c r="F441" s="83">
        <f t="shared" si="97"/>
        <v>23.711970000000001</v>
      </c>
      <c r="G441" s="84"/>
      <c r="H441" s="85"/>
      <c r="I441" s="85"/>
      <c r="J441" s="84"/>
      <c r="K441" s="85"/>
      <c r="L441" s="85"/>
      <c r="M441" s="85"/>
      <c r="N441" s="85"/>
      <c r="O441" s="82"/>
      <c r="P441" s="83"/>
      <c r="Q441" s="83"/>
      <c r="R441" s="83"/>
      <c r="S441" s="82"/>
      <c r="T441" s="83"/>
      <c r="U441" s="83"/>
      <c r="V441" s="84"/>
      <c r="W441" s="85"/>
      <c r="X441" s="87"/>
      <c r="Y441" s="83">
        <v>10.295999999999999</v>
      </c>
      <c r="Z441" s="84"/>
      <c r="AA441" s="85"/>
      <c r="AB441" s="84"/>
      <c r="AC441" s="85"/>
      <c r="AD441" s="89">
        <f t="shared" si="98"/>
        <v>0</v>
      </c>
      <c r="AE441" s="89"/>
      <c r="AF441" s="186"/>
      <c r="AG441" s="85"/>
      <c r="AH441" s="85"/>
      <c r="AI441" s="85"/>
      <c r="AJ441" s="84"/>
      <c r="AK441" s="85"/>
      <c r="AL441" s="84"/>
      <c r="AM441" s="88"/>
      <c r="AN441" s="84"/>
      <c r="AO441" s="85"/>
      <c r="AP441" s="84"/>
      <c r="AQ441" s="83"/>
      <c r="AR441" s="83"/>
      <c r="AS441" s="83"/>
      <c r="AT441" s="85"/>
      <c r="AU441" s="85"/>
      <c r="AV441" s="85"/>
      <c r="AW441" s="88"/>
      <c r="AX441" s="84"/>
      <c r="AY441" s="85"/>
      <c r="AZ441" s="84">
        <v>14.814780000000001</v>
      </c>
      <c r="BA441" s="85">
        <v>13.41597</v>
      </c>
      <c r="BB441" s="88"/>
      <c r="BC441" s="85"/>
      <c r="BD441" s="84"/>
      <c r="BE441" s="88"/>
      <c r="BF441" s="85"/>
      <c r="BG441" s="85"/>
      <c r="BH441" s="85"/>
      <c r="BI441" s="85"/>
      <c r="BJ441" s="85"/>
      <c r="BK441" s="85"/>
      <c r="BL441" s="85"/>
      <c r="BM441" s="85"/>
      <c r="BN441" s="85"/>
      <c r="BO441" s="85"/>
      <c r="BP441" s="85"/>
      <c r="BQ441" s="85"/>
      <c r="BR441" s="84"/>
      <c r="BS441" s="85"/>
      <c r="BT441" s="85"/>
      <c r="BU441" s="198"/>
      <c r="BV441" s="90"/>
      <c r="BW441" s="198"/>
      <c r="BX441" s="90"/>
      <c r="BY441" s="198"/>
      <c r="BZ441" s="90"/>
      <c r="CA441" s="91"/>
    </row>
    <row r="442" spans="1:79" ht="50.1" customHeight="1" outlineLevel="2" x14ac:dyDescent="0.3">
      <c r="A442" s="103" t="s">
        <v>397</v>
      </c>
      <c r="B442" s="96" t="s">
        <v>1154</v>
      </c>
      <c r="C442" s="79" t="s">
        <v>55</v>
      </c>
      <c r="D442" s="81">
        <f t="shared" si="96"/>
        <v>56.16</v>
      </c>
      <c r="E442" s="82">
        <f t="shared" si="99"/>
        <v>0</v>
      </c>
      <c r="F442" s="83">
        <f t="shared" si="97"/>
        <v>56.16</v>
      </c>
      <c r="G442" s="84"/>
      <c r="H442" s="85"/>
      <c r="I442" s="85"/>
      <c r="J442" s="84"/>
      <c r="K442" s="85"/>
      <c r="L442" s="85"/>
      <c r="M442" s="85"/>
      <c r="N442" s="85"/>
      <c r="O442" s="82"/>
      <c r="P442" s="83"/>
      <c r="Q442" s="83"/>
      <c r="R442" s="83"/>
      <c r="S442" s="82"/>
      <c r="T442" s="83"/>
      <c r="U442" s="83"/>
      <c r="V442" s="84"/>
      <c r="W442" s="85"/>
      <c r="X442" s="87"/>
      <c r="Y442" s="83">
        <v>56.16</v>
      </c>
      <c r="Z442" s="84"/>
      <c r="AA442" s="85"/>
      <c r="AB442" s="84"/>
      <c r="AC442" s="85"/>
      <c r="AD442" s="89"/>
      <c r="AE442" s="89"/>
      <c r="AF442" s="186"/>
      <c r="AG442" s="85"/>
      <c r="AH442" s="85"/>
      <c r="AI442" s="85"/>
      <c r="AJ442" s="84"/>
      <c r="AK442" s="85"/>
      <c r="AL442" s="84"/>
      <c r="AM442" s="88"/>
      <c r="AN442" s="84"/>
      <c r="AO442" s="85"/>
      <c r="AP442" s="84"/>
      <c r="AQ442" s="83"/>
      <c r="AR442" s="83"/>
      <c r="AS442" s="83"/>
      <c r="AT442" s="85"/>
      <c r="AU442" s="85"/>
      <c r="AV442" s="85"/>
      <c r="AW442" s="88"/>
      <c r="AX442" s="84"/>
      <c r="AY442" s="85"/>
      <c r="AZ442" s="84"/>
      <c r="BA442" s="85"/>
      <c r="BB442" s="88"/>
      <c r="BC442" s="85"/>
      <c r="BD442" s="84"/>
      <c r="BE442" s="88"/>
      <c r="BF442" s="85"/>
      <c r="BG442" s="85"/>
      <c r="BH442" s="85"/>
      <c r="BI442" s="85"/>
      <c r="BJ442" s="85"/>
      <c r="BK442" s="85"/>
      <c r="BL442" s="85"/>
      <c r="BM442" s="85"/>
      <c r="BN442" s="85"/>
      <c r="BO442" s="85"/>
      <c r="BP442" s="85"/>
      <c r="BQ442" s="85"/>
      <c r="BR442" s="84"/>
      <c r="BS442" s="85"/>
      <c r="BT442" s="85"/>
      <c r="BU442" s="198"/>
      <c r="BV442" s="90"/>
      <c r="BW442" s="198"/>
      <c r="BX442" s="90"/>
      <c r="BY442" s="198"/>
      <c r="BZ442" s="90"/>
      <c r="CA442" s="91"/>
    </row>
    <row r="443" spans="1:79" ht="67.5" customHeight="1" outlineLevel="2" x14ac:dyDescent="0.3">
      <c r="A443" s="103" t="s">
        <v>1256</v>
      </c>
      <c r="B443" s="96" t="s">
        <v>1155</v>
      </c>
      <c r="C443" s="79" t="s">
        <v>55</v>
      </c>
      <c r="D443" s="81">
        <f t="shared" si="96"/>
        <v>49.607999999999997</v>
      </c>
      <c r="E443" s="82">
        <f t="shared" si="99"/>
        <v>0</v>
      </c>
      <c r="F443" s="83">
        <f t="shared" si="97"/>
        <v>49.607999999999997</v>
      </c>
      <c r="G443" s="84"/>
      <c r="H443" s="85"/>
      <c r="I443" s="85"/>
      <c r="J443" s="84"/>
      <c r="K443" s="85"/>
      <c r="L443" s="85"/>
      <c r="M443" s="85"/>
      <c r="N443" s="85"/>
      <c r="O443" s="82"/>
      <c r="P443" s="83"/>
      <c r="Q443" s="83"/>
      <c r="R443" s="83"/>
      <c r="S443" s="82"/>
      <c r="T443" s="83"/>
      <c r="U443" s="83"/>
      <c r="V443" s="84"/>
      <c r="W443" s="85"/>
      <c r="X443" s="87"/>
      <c r="Y443" s="83">
        <v>49.607999999999997</v>
      </c>
      <c r="Z443" s="84"/>
      <c r="AA443" s="85"/>
      <c r="AB443" s="84"/>
      <c r="AC443" s="85"/>
      <c r="AD443" s="89"/>
      <c r="AE443" s="89"/>
      <c r="AF443" s="186"/>
      <c r="AG443" s="85"/>
      <c r="AH443" s="85"/>
      <c r="AI443" s="85"/>
      <c r="AJ443" s="84"/>
      <c r="AK443" s="85"/>
      <c r="AL443" s="84"/>
      <c r="AM443" s="88"/>
      <c r="AN443" s="84"/>
      <c r="AO443" s="85"/>
      <c r="AP443" s="84"/>
      <c r="AQ443" s="83"/>
      <c r="AR443" s="83"/>
      <c r="AS443" s="83"/>
      <c r="AT443" s="85"/>
      <c r="AU443" s="85"/>
      <c r="AV443" s="85"/>
      <c r="AW443" s="88"/>
      <c r="AX443" s="84"/>
      <c r="AY443" s="85"/>
      <c r="AZ443" s="84"/>
      <c r="BA443" s="85"/>
      <c r="BB443" s="88"/>
      <c r="BC443" s="85"/>
      <c r="BD443" s="84"/>
      <c r="BE443" s="88"/>
      <c r="BF443" s="85"/>
      <c r="BG443" s="85"/>
      <c r="BH443" s="85"/>
      <c r="BI443" s="85"/>
      <c r="BJ443" s="85"/>
      <c r="BK443" s="85"/>
      <c r="BL443" s="85"/>
      <c r="BM443" s="85"/>
      <c r="BN443" s="85"/>
      <c r="BO443" s="85"/>
      <c r="BP443" s="85"/>
      <c r="BQ443" s="85"/>
      <c r="BR443" s="84"/>
      <c r="BS443" s="85"/>
      <c r="BT443" s="85"/>
      <c r="BU443" s="198"/>
      <c r="BV443" s="90"/>
      <c r="BW443" s="198"/>
      <c r="BX443" s="90"/>
      <c r="BY443" s="198"/>
      <c r="BZ443" s="90"/>
      <c r="CA443" s="91"/>
    </row>
    <row r="444" spans="1:79" ht="50.1" customHeight="1" outlineLevel="2" x14ac:dyDescent="0.3">
      <c r="A444" s="103" t="s">
        <v>397</v>
      </c>
      <c r="B444" s="96" t="s">
        <v>430</v>
      </c>
      <c r="C444" s="79" t="s">
        <v>55</v>
      </c>
      <c r="D444" s="81">
        <f t="shared" si="96"/>
        <v>891.89358000000004</v>
      </c>
      <c r="E444" s="82">
        <f t="shared" si="99"/>
        <v>256.38936000000001</v>
      </c>
      <c r="F444" s="83">
        <f t="shared" si="97"/>
        <v>635.50422000000003</v>
      </c>
      <c r="G444" s="84"/>
      <c r="H444" s="85"/>
      <c r="I444" s="85"/>
      <c r="J444" s="84"/>
      <c r="K444" s="85"/>
      <c r="L444" s="85"/>
      <c r="M444" s="85"/>
      <c r="N444" s="85"/>
      <c r="O444" s="82"/>
      <c r="P444" s="83"/>
      <c r="Q444" s="83"/>
      <c r="R444" s="83"/>
      <c r="S444" s="82"/>
      <c r="T444" s="83"/>
      <c r="U444" s="83"/>
      <c r="V444" s="84"/>
      <c r="W444" s="85"/>
      <c r="X444" s="87"/>
      <c r="Y444" s="83">
        <v>144.45599999999999</v>
      </c>
      <c r="Z444" s="84"/>
      <c r="AA444" s="85"/>
      <c r="AB444" s="84"/>
      <c r="AC444" s="85"/>
      <c r="AD444" s="89">
        <f t="shared" si="98"/>
        <v>123.40902</v>
      </c>
      <c r="AE444" s="89">
        <v>77.685299999999998</v>
      </c>
      <c r="AF444" s="186">
        <v>45.72372</v>
      </c>
      <c r="AG444" s="85"/>
      <c r="AH444" s="85"/>
      <c r="AI444" s="85"/>
      <c r="AJ444" s="84"/>
      <c r="AK444" s="85"/>
      <c r="AL444" s="84"/>
      <c r="AM444" s="88"/>
      <c r="AN444" s="84"/>
      <c r="AO444" s="85"/>
      <c r="AP444" s="84"/>
      <c r="AQ444" s="83"/>
      <c r="AR444" s="83"/>
      <c r="AS444" s="83"/>
      <c r="AT444" s="85"/>
      <c r="AU444" s="85"/>
      <c r="AV444" s="85"/>
      <c r="AW444" s="88"/>
      <c r="AX444" s="84"/>
      <c r="AY444" s="85"/>
      <c r="AZ444" s="84">
        <v>256.38936000000001</v>
      </c>
      <c r="BA444" s="85">
        <v>232.18109999999999</v>
      </c>
      <c r="BB444" s="88"/>
      <c r="BC444" s="85"/>
      <c r="BD444" s="84"/>
      <c r="BE444" s="88"/>
      <c r="BF444" s="85"/>
      <c r="BG444" s="85">
        <v>135.4581</v>
      </c>
      <c r="BH444" s="85"/>
      <c r="BI444" s="85"/>
      <c r="BJ444" s="85"/>
      <c r="BK444" s="85"/>
      <c r="BL444" s="85"/>
      <c r="BM444" s="85"/>
      <c r="BN444" s="85"/>
      <c r="BO444" s="85"/>
      <c r="BP444" s="85"/>
      <c r="BQ444" s="85"/>
      <c r="BR444" s="84"/>
      <c r="BS444" s="85"/>
      <c r="BT444" s="85"/>
      <c r="BU444" s="198"/>
      <c r="BV444" s="90"/>
      <c r="BW444" s="198"/>
      <c r="BX444" s="90"/>
      <c r="BY444" s="198"/>
      <c r="BZ444" s="90"/>
      <c r="CA444" s="91"/>
    </row>
    <row r="445" spans="1:79" ht="50.1" customHeight="1" outlineLevel="2" x14ac:dyDescent="0.3">
      <c r="A445" s="103" t="s">
        <v>397</v>
      </c>
      <c r="B445" s="96" t="s">
        <v>431</v>
      </c>
      <c r="C445" s="79" t="s">
        <v>55</v>
      </c>
      <c r="D445" s="81">
        <f t="shared" si="96"/>
        <v>184.01384000000002</v>
      </c>
      <c r="E445" s="82">
        <f t="shared" si="99"/>
        <v>61.763350000000003</v>
      </c>
      <c r="F445" s="83">
        <f t="shared" si="97"/>
        <v>122.25049</v>
      </c>
      <c r="G445" s="84"/>
      <c r="H445" s="85"/>
      <c r="I445" s="85"/>
      <c r="J445" s="84"/>
      <c r="K445" s="85"/>
      <c r="L445" s="85"/>
      <c r="M445" s="85"/>
      <c r="N445" s="85"/>
      <c r="O445" s="82"/>
      <c r="P445" s="83"/>
      <c r="Q445" s="83"/>
      <c r="R445" s="83"/>
      <c r="S445" s="82"/>
      <c r="T445" s="83"/>
      <c r="U445" s="83"/>
      <c r="V445" s="84"/>
      <c r="W445" s="85"/>
      <c r="X445" s="87"/>
      <c r="Y445" s="83">
        <v>31.512</v>
      </c>
      <c r="Z445" s="84"/>
      <c r="AA445" s="85"/>
      <c r="AB445" s="84"/>
      <c r="AC445" s="85"/>
      <c r="AD445" s="89">
        <f t="shared" si="98"/>
        <v>34.806730000000002</v>
      </c>
      <c r="AE445" s="89">
        <v>21.186900000000001</v>
      </c>
      <c r="AF445" s="186">
        <v>13.61983</v>
      </c>
      <c r="AG445" s="85"/>
      <c r="AH445" s="85"/>
      <c r="AI445" s="85"/>
      <c r="AJ445" s="84"/>
      <c r="AK445" s="85"/>
      <c r="AL445" s="84"/>
      <c r="AM445" s="88"/>
      <c r="AN445" s="84"/>
      <c r="AO445" s="85"/>
      <c r="AP445" s="84"/>
      <c r="AQ445" s="83"/>
      <c r="AR445" s="83"/>
      <c r="AS445" s="83"/>
      <c r="AT445" s="85"/>
      <c r="AU445" s="85"/>
      <c r="AV445" s="85"/>
      <c r="AW445" s="88"/>
      <c r="AX445" s="84"/>
      <c r="AY445" s="85"/>
      <c r="AZ445" s="84">
        <v>61.763350000000003</v>
      </c>
      <c r="BA445" s="85">
        <v>55.931759999999997</v>
      </c>
      <c r="BB445" s="88"/>
      <c r="BC445" s="85"/>
      <c r="BD445" s="84"/>
      <c r="BE445" s="88"/>
      <c r="BF445" s="85"/>
      <c r="BG445" s="85"/>
      <c r="BH445" s="85"/>
      <c r="BI445" s="85"/>
      <c r="BJ445" s="85"/>
      <c r="BK445" s="85"/>
      <c r="BL445" s="85"/>
      <c r="BM445" s="85"/>
      <c r="BN445" s="85"/>
      <c r="BO445" s="85"/>
      <c r="BP445" s="85"/>
      <c r="BQ445" s="85"/>
      <c r="BR445" s="84"/>
      <c r="BS445" s="85"/>
      <c r="BT445" s="85"/>
      <c r="BU445" s="198"/>
      <c r="BV445" s="90"/>
      <c r="BW445" s="198"/>
      <c r="BX445" s="90"/>
      <c r="BY445" s="198"/>
      <c r="BZ445" s="90"/>
      <c r="CA445" s="91"/>
    </row>
    <row r="446" spans="1:79" ht="50.1" customHeight="1" outlineLevel="2" x14ac:dyDescent="0.3">
      <c r="A446" s="103" t="s">
        <v>397</v>
      </c>
      <c r="B446" s="96" t="s">
        <v>432</v>
      </c>
      <c r="C446" s="79" t="s">
        <v>55</v>
      </c>
      <c r="D446" s="81">
        <f t="shared" si="96"/>
        <v>6797.2077899999995</v>
      </c>
      <c r="E446" s="82">
        <f t="shared" si="99"/>
        <v>778.25175999999999</v>
      </c>
      <c r="F446" s="83">
        <f t="shared" si="97"/>
        <v>6018.9560299999994</v>
      </c>
      <c r="G446" s="84"/>
      <c r="H446" s="85"/>
      <c r="I446" s="85"/>
      <c r="J446" s="84">
        <f>240.95148+221.10168</f>
        <v>462.05315999999999</v>
      </c>
      <c r="K446" s="85">
        <f>70.74513+43.86187</f>
        <v>114.607</v>
      </c>
      <c r="L446" s="85">
        <v>225.78811999999999</v>
      </c>
      <c r="M446" s="85"/>
      <c r="N446" s="85"/>
      <c r="O446" s="82"/>
      <c r="P446" s="83"/>
      <c r="Q446" s="83"/>
      <c r="R446" s="83"/>
      <c r="S446" s="82"/>
      <c r="T446" s="83"/>
      <c r="U446" s="83"/>
      <c r="V446" s="84"/>
      <c r="W446" s="85"/>
      <c r="X446" s="87"/>
      <c r="Y446" s="83">
        <v>405.6</v>
      </c>
      <c r="Z446" s="84"/>
      <c r="AA446" s="85"/>
      <c r="AB446" s="84"/>
      <c r="AC446" s="85"/>
      <c r="AD446" s="89">
        <f t="shared" si="98"/>
        <v>238.69254000000001</v>
      </c>
      <c r="AE446" s="89">
        <v>112.99679999999999</v>
      </c>
      <c r="AF446" s="186">
        <f>70.04484+55.6509</f>
        <v>125.69574</v>
      </c>
      <c r="AG446" s="85"/>
      <c r="AH446" s="85"/>
      <c r="AI446" s="85"/>
      <c r="AJ446" s="84"/>
      <c r="AK446" s="85"/>
      <c r="AL446" s="84"/>
      <c r="AM446" s="88"/>
      <c r="AN446" s="84"/>
      <c r="AO446" s="85"/>
      <c r="AP446" s="84"/>
      <c r="AQ446" s="83"/>
      <c r="AR446" s="83"/>
      <c r="AS446" s="83"/>
      <c r="AT446" s="85"/>
      <c r="AU446" s="85"/>
      <c r="AV446" s="85">
        <v>3286.4686999999999</v>
      </c>
      <c r="AW446" s="88"/>
      <c r="AX446" s="84"/>
      <c r="AY446" s="85"/>
      <c r="AZ446" s="84">
        <v>316.1986</v>
      </c>
      <c r="BA446" s="85">
        <v>286.34296999999998</v>
      </c>
      <c r="BB446" s="88"/>
      <c r="BC446" s="85"/>
      <c r="BD446" s="84"/>
      <c r="BE446" s="88"/>
      <c r="BF446" s="85"/>
      <c r="BG446" s="85">
        <v>1461.4567</v>
      </c>
      <c r="BH446" s="85"/>
      <c r="BI446" s="85"/>
      <c r="BJ446" s="85"/>
      <c r="BK446" s="85"/>
      <c r="BL446" s="85"/>
      <c r="BM446" s="85"/>
      <c r="BN446" s="85"/>
      <c r="BO446" s="85"/>
      <c r="BP446" s="85"/>
      <c r="BQ446" s="85"/>
      <c r="BR446" s="84"/>
      <c r="BS446" s="85"/>
      <c r="BT446" s="85"/>
      <c r="BU446" s="198"/>
      <c r="BV446" s="90"/>
      <c r="BW446" s="198"/>
      <c r="BX446" s="90"/>
      <c r="BY446" s="198"/>
      <c r="BZ446" s="90"/>
      <c r="CA446" s="91"/>
    </row>
    <row r="447" spans="1:79" ht="50.1" customHeight="1" outlineLevel="2" x14ac:dyDescent="0.3">
      <c r="A447" s="96" t="s">
        <v>397</v>
      </c>
      <c r="B447" s="96" t="s">
        <v>433</v>
      </c>
      <c r="C447" s="79" t="s">
        <v>55</v>
      </c>
      <c r="D447" s="81">
        <f t="shared" si="96"/>
        <v>139.23887999999999</v>
      </c>
      <c r="E447" s="82">
        <f t="shared" si="99"/>
        <v>50.092140000000001</v>
      </c>
      <c r="F447" s="83">
        <f t="shared" si="97"/>
        <v>89.146739999999994</v>
      </c>
      <c r="G447" s="84"/>
      <c r="H447" s="85"/>
      <c r="I447" s="85"/>
      <c r="J447" s="84"/>
      <c r="K447" s="85"/>
      <c r="L447" s="85"/>
      <c r="M447" s="85"/>
      <c r="N447" s="85"/>
      <c r="O447" s="82"/>
      <c r="P447" s="83"/>
      <c r="Q447" s="83"/>
      <c r="R447" s="83"/>
      <c r="S447" s="82"/>
      <c r="T447" s="83"/>
      <c r="U447" s="83"/>
      <c r="V447" s="84"/>
      <c r="W447" s="85"/>
      <c r="X447" s="87"/>
      <c r="Y447" s="83">
        <v>20.904</v>
      </c>
      <c r="Z447" s="84"/>
      <c r="AA447" s="85"/>
      <c r="AB447" s="84"/>
      <c r="AC447" s="85"/>
      <c r="AD447" s="89">
        <f t="shared" si="98"/>
        <v>22.880199999999999</v>
      </c>
      <c r="AE447" s="89">
        <v>14.124599999999999</v>
      </c>
      <c r="AF447" s="186">
        <v>8.7555999999999994</v>
      </c>
      <c r="AG447" s="85"/>
      <c r="AH447" s="85"/>
      <c r="AI447" s="85"/>
      <c r="AJ447" s="84"/>
      <c r="AK447" s="85"/>
      <c r="AL447" s="84"/>
      <c r="AM447" s="88"/>
      <c r="AN447" s="84"/>
      <c r="AO447" s="85"/>
      <c r="AP447" s="84"/>
      <c r="AQ447" s="83"/>
      <c r="AR447" s="83"/>
      <c r="AS447" s="83"/>
      <c r="AT447" s="85"/>
      <c r="AU447" s="85"/>
      <c r="AV447" s="85"/>
      <c r="AW447" s="88"/>
      <c r="AX447" s="84"/>
      <c r="AY447" s="85"/>
      <c r="AZ447" s="84">
        <v>50.092140000000001</v>
      </c>
      <c r="BA447" s="85">
        <v>45.362540000000003</v>
      </c>
      <c r="BB447" s="88"/>
      <c r="BC447" s="85"/>
      <c r="BD447" s="84"/>
      <c r="BE447" s="88"/>
      <c r="BF447" s="85"/>
      <c r="BG447" s="85"/>
      <c r="BH447" s="85"/>
      <c r="BI447" s="85"/>
      <c r="BJ447" s="85"/>
      <c r="BK447" s="85"/>
      <c r="BL447" s="85"/>
      <c r="BM447" s="85"/>
      <c r="BN447" s="85"/>
      <c r="BO447" s="85"/>
      <c r="BP447" s="85"/>
      <c r="BQ447" s="85"/>
      <c r="BR447" s="84"/>
      <c r="BS447" s="85"/>
      <c r="BT447" s="85"/>
      <c r="BU447" s="198"/>
      <c r="BV447" s="90"/>
      <c r="BW447" s="198"/>
      <c r="BX447" s="90"/>
      <c r="BY447" s="198"/>
      <c r="BZ447" s="90"/>
      <c r="CA447" s="91"/>
    </row>
    <row r="448" spans="1:79" ht="50.1" customHeight="1" outlineLevel="2" x14ac:dyDescent="0.3">
      <c r="A448" s="103" t="s">
        <v>397</v>
      </c>
      <c r="B448" s="96" t="s">
        <v>434</v>
      </c>
      <c r="C448" s="79" t="s">
        <v>55</v>
      </c>
      <c r="D448" s="81">
        <f t="shared" si="96"/>
        <v>1926.30294</v>
      </c>
      <c r="E448" s="82">
        <f t="shared" si="99"/>
        <v>141.36525</v>
      </c>
      <c r="F448" s="83">
        <f t="shared" si="97"/>
        <v>1784.93769</v>
      </c>
      <c r="G448" s="84"/>
      <c r="H448" s="85"/>
      <c r="I448" s="85"/>
      <c r="J448" s="84"/>
      <c r="K448" s="85"/>
      <c r="L448" s="85">
        <v>140.12810999999999</v>
      </c>
      <c r="M448" s="85"/>
      <c r="N448" s="85"/>
      <c r="O448" s="82"/>
      <c r="P448" s="83"/>
      <c r="Q448" s="83"/>
      <c r="R448" s="83"/>
      <c r="S448" s="82"/>
      <c r="T448" s="83"/>
      <c r="U448" s="83"/>
      <c r="V448" s="84"/>
      <c r="W448" s="85"/>
      <c r="X448" s="87"/>
      <c r="Y448" s="83">
        <v>62.4</v>
      </c>
      <c r="Z448" s="84"/>
      <c r="AA448" s="85"/>
      <c r="AB448" s="84"/>
      <c r="AC448" s="85"/>
      <c r="AD448" s="89">
        <f t="shared" si="98"/>
        <v>76.675759999999997</v>
      </c>
      <c r="AE448" s="232">
        <v>49.436100000000003</v>
      </c>
      <c r="AF448" s="188">
        <v>27.239660000000001</v>
      </c>
      <c r="AG448" s="85"/>
      <c r="AH448" s="85"/>
      <c r="AI448" s="85"/>
      <c r="AJ448" s="84"/>
      <c r="AK448" s="85"/>
      <c r="AL448" s="84"/>
      <c r="AM448" s="88"/>
      <c r="AN448" s="84"/>
      <c r="AO448" s="85"/>
      <c r="AP448" s="84"/>
      <c r="AQ448" s="83"/>
      <c r="AR448" s="83"/>
      <c r="AS448" s="83"/>
      <c r="AT448" s="85"/>
      <c r="AU448" s="85"/>
      <c r="AV448" s="85"/>
      <c r="AW448" s="88"/>
      <c r="AX448" s="84"/>
      <c r="AY448" s="85"/>
      <c r="AZ448" s="84">
        <v>141.36525</v>
      </c>
      <c r="BA448" s="85">
        <v>128.01765</v>
      </c>
      <c r="BB448" s="88"/>
      <c r="BC448" s="85"/>
      <c r="BD448" s="84"/>
      <c r="BE448" s="88"/>
      <c r="BF448" s="85"/>
      <c r="BG448" s="85">
        <v>1377.7161699999999</v>
      </c>
      <c r="BH448" s="85"/>
      <c r="BI448" s="85"/>
      <c r="BJ448" s="85"/>
      <c r="BK448" s="85"/>
      <c r="BL448" s="85"/>
      <c r="BM448" s="85"/>
      <c r="BN448" s="85"/>
      <c r="BO448" s="85"/>
      <c r="BP448" s="85"/>
      <c r="BQ448" s="85"/>
      <c r="BR448" s="84"/>
      <c r="BS448" s="85"/>
      <c r="BT448" s="85"/>
      <c r="BU448" s="198"/>
      <c r="BV448" s="90"/>
      <c r="BW448" s="198"/>
      <c r="BX448" s="90"/>
      <c r="BY448" s="198"/>
      <c r="BZ448" s="90"/>
      <c r="CA448" s="91"/>
    </row>
    <row r="449" spans="1:1199" ht="50.1" customHeight="1" outlineLevel="2" x14ac:dyDescent="0.3">
      <c r="A449" s="96" t="s">
        <v>397</v>
      </c>
      <c r="B449" s="96" t="s">
        <v>435</v>
      </c>
      <c r="C449" s="79" t="s">
        <v>55</v>
      </c>
      <c r="D449" s="81">
        <f t="shared" si="96"/>
        <v>43.008400000000002</v>
      </c>
      <c r="E449" s="82">
        <f t="shared" si="99"/>
        <v>17.249010000000002</v>
      </c>
      <c r="F449" s="83">
        <f t="shared" si="97"/>
        <v>25.75939</v>
      </c>
      <c r="G449" s="84"/>
      <c r="H449" s="85"/>
      <c r="I449" s="85"/>
      <c r="J449" s="84"/>
      <c r="K449" s="85"/>
      <c r="L449" s="85"/>
      <c r="M449" s="85"/>
      <c r="N449" s="85"/>
      <c r="O449" s="82"/>
      <c r="P449" s="83"/>
      <c r="Q449" s="83"/>
      <c r="R449" s="83"/>
      <c r="S449" s="82"/>
      <c r="T449" s="83"/>
      <c r="U449" s="83"/>
      <c r="V449" s="84">
        <v>4.6390000000000002</v>
      </c>
      <c r="W449" s="85">
        <v>8.1</v>
      </c>
      <c r="X449" s="87"/>
      <c r="Y449" s="83">
        <v>6.24</v>
      </c>
      <c r="Z449" s="84"/>
      <c r="AA449" s="85"/>
      <c r="AB449" s="84"/>
      <c r="AC449" s="85"/>
      <c r="AD449" s="89">
        <f t="shared" si="98"/>
        <v>0</v>
      </c>
      <c r="AE449" s="89"/>
      <c r="AF449" s="186"/>
      <c r="AG449" s="85"/>
      <c r="AH449" s="85"/>
      <c r="AI449" s="85"/>
      <c r="AJ449" s="84"/>
      <c r="AK449" s="85"/>
      <c r="AL449" s="84"/>
      <c r="AM449" s="88"/>
      <c r="AN449" s="84"/>
      <c r="AO449" s="85"/>
      <c r="AP449" s="84"/>
      <c r="AQ449" s="83"/>
      <c r="AR449" s="83"/>
      <c r="AS449" s="83"/>
      <c r="AT449" s="85"/>
      <c r="AU449" s="85"/>
      <c r="AV449" s="85"/>
      <c r="AW449" s="88"/>
      <c r="AX449" s="84"/>
      <c r="AY449" s="85"/>
      <c r="AZ449" s="84">
        <v>12.610010000000001</v>
      </c>
      <c r="BA449" s="85">
        <v>11.41939</v>
      </c>
      <c r="BB449" s="88"/>
      <c r="BC449" s="85"/>
      <c r="BD449" s="84"/>
      <c r="BE449" s="88"/>
      <c r="BF449" s="85"/>
      <c r="BG449" s="85"/>
      <c r="BH449" s="85"/>
      <c r="BI449" s="85"/>
      <c r="BJ449" s="85"/>
      <c r="BK449" s="85"/>
      <c r="BL449" s="85"/>
      <c r="BM449" s="85"/>
      <c r="BN449" s="85"/>
      <c r="BO449" s="85"/>
      <c r="BP449" s="85"/>
      <c r="BQ449" s="85"/>
      <c r="BR449" s="84"/>
      <c r="BS449" s="85"/>
      <c r="BT449" s="85"/>
      <c r="BU449" s="198"/>
      <c r="BV449" s="90"/>
      <c r="BW449" s="198"/>
      <c r="BX449" s="90"/>
      <c r="BY449" s="198"/>
      <c r="BZ449" s="90"/>
      <c r="CA449" s="91"/>
    </row>
    <row r="450" spans="1:1199" ht="50.1" customHeight="1" outlineLevel="2" x14ac:dyDescent="0.3">
      <c r="A450" s="103" t="s">
        <v>397</v>
      </c>
      <c r="B450" s="96" t="s">
        <v>436</v>
      </c>
      <c r="C450" s="79" t="s">
        <v>55</v>
      </c>
      <c r="D450" s="81">
        <f t="shared" si="96"/>
        <v>164.59228999999999</v>
      </c>
      <c r="E450" s="82">
        <f t="shared" si="99"/>
        <v>68.618660000000006</v>
      </c>
      <c r="F450" s="83">
        <f t="shared" si="97"/>
        <v>95.97363</v>
      </c>
      <c r="G450" s="84"/>
      <c r="H450" s="85"/>
      <c r="I450" s="85"/>
      <c r="J450" s="84"/>
      <c r="K450" s="85"/>
      <c r="L450" s="85"/>
      <c r="M450" s="85"/>
      <c r="N450" s="85"/>
      <c r="O450" s="82"/>
      <c r="P450" s="83"/>
      <c r="Q450" s="83"/>
      <c r="R450" s="83"/>
      <c r="S450" s="82"/>
      <c r="T450" s="83"/>
      <c r="U450" s="83"/>
      <c r="V450" s="84"/>
      <c r="W450" s="85"/>
      <c r="X450" s="87"/>
      <c r="Y450" s="83"/>
      <c r="Z450" s="84"/>
      <c r="AA450" s="85"/>
      <c r="AB450" s="84"/>
      <c r="AC450" s="85"/>
      <c r="AD450" s="89">
        <f t="shared" si="98"/>
        <v>33.833880000000001</v>
      </c>
      <c r="AE450" s="89">
        <v>21.186900000000001</v>
      </c>
      <c r="AF450" s="186">
        <v>12.646979999999999</v>
      </c>
      <c r="AG450" s="85"/>
      <c r="AH450" s="85"/>
      <c r="AI450" s="85"/>
      <c r="AJ450" s="84"/>
      <c r="AK450" s="85"/>
      <c r="AL450" s="84"/>
      <c r="AM450" s="88"/>
      <c r="AN450" s="84"/>
      <c r="AO450" s="85"/>
      <c r="AP450" s="84"/>
      <c r="AQ450" s="83"/>
      <c r="AR450" s="83"/>
      <c r="AS450" s="83"/>
      <c r="AT450" s="85"/>
      <c r="AU450" s="85"/>
      <c r="AV450" s="85"/>
      <c r="AW450" s="88"/>
      <c r="AX450" s="84"/>
      <c r="AY450" s="85"/>
      <c r="AZ450" s="84">
        <v>68.618660000000006</v>
      </c>
      <c r="BA450" s="85">
        <v>62.139749999999999</v>
      </c>
      <c r="BB450" s="88"/>
      <c r="BC450" s="85"/>
      <c r="BD450" s="84"/>
      <c r="BE450" s="88"/>
      <c r="BF450" s="85"/>
      <c r="BG450" s="85"/>
      <c r="BH450" s="85"/>
      <c r="BI450" s="85"/>
      <c r="BJ450" s="85"/>
      <c r="BK450" s="85"/>
      <c r="BL450" s="85"/>
      <c r="BM450" s="85"/>
      <c r="BN450" s="85"/>
      <c r="BO450" s="85"/>
      <c r="BP450" s="85"/>
      <c r="BQ450" s="85"/>
      <c r="BR450" s="84"/>
      <c r="BS450" s="85"/>
      <c r="BT450" s="85"/>
      <c r="BU450" s="198"/>
      <c r="BV450" s="90"/>
      <c r="BW450" s="198"/>
      <c r="BX450" s="90"/>
      <c r="BY450" s="198"/>
      <c r="BZ450" s="90"/>
      <c r="CA450" s="91"/>
    </row>
    <row r="451" spans="1:1199" ht="50.1" customHeight="1" outlineLevel="2" x14ac:dyDescent="0.3">
      <c r="A451" s="103" t="s">
        <v>397</v>
      </c>
      <c r="B451" s="96" t="s">
        <v>437</v>
      </c>
      <c r="C451" s="79" t="s">
        <v>55</v>
      </c>
      <c r="D451" s="81">
        <f t="shared" si="96"/>
        <v>204.76865000000004</v>
      </c>
      <c r="E451" s="82">
        <f t="shared" si="99"/>
        <v>56.108220000000003</v>
      </c>
      <c r="F451" s="83">
        <f t="shared" si="97"/>
        <v>148.66043000000002</v>
      </c>
      <c r="G451" s="84"/>
      <c r="H451" s="85"/>
      <c r="I451" s="85"/>
      <c r="J451" s="84"/>
      <c r="K451" s="85"/>
      <c r="L451" s="85"/>
      <c r="M451" s="85"/>
      <c r="N451" s="85"/>
      <c r="O451" s="82"/>
      <c r="P451" s="83"/>
      <c r="Q451" s="83"/>
      <c r="R451" s="83"/>
      <c r="S451" s="82"/>
      <c r="T451" s="83"/>
      <c r="U451" s="83"/>
      <c r="V451" s="84"/>
      <c r="W451" s="85"/>
      <c r="X451" s="82"/>
      <c r="Y451" s="83">
        <v>25.896000000000001</v>
      </c>
      <c r="Z451" s="84"/>
      <c r="AA451" s="85"/>
      <c r="AB451" s="84"/>
      <c r="AC451" s="85"/>
      <c r="AD451" s="89">
        <f t="shared" si="98"/>
        <v>32.861040000000003</v>
      </c>
      <c r="AE451" s="89">
        <v>21.186900000000001</v>
      </c>
      <c r="AF451" s="186">
        <v>11.67414</v>
      </c>
      <c r="AG451" s="85"/>
      <c r="AH451" s="85"/>
      <c r="AI451" s="85"/>
      <c r="AJ451" s="84"/>
      <c r="AK451" s="85"/>
      <c r="AL451" s="84"/>
      <c r="AM451" s="88"/>
      <c r="AN451" s="84"/>
      <c r="AO451" s="85"/>
      <c r="AP451" s="84"/>
      <c r="AQ451" s="83"/>
      <c r="AR451" s="83"/>
      <c r="AS451" s="83"/>
      <c r="AT451" s="85"/>
      <c r="AU451" s="85"/>
      <c r="AV451" s="85"/>
      <c r="AW451" s="88"/>
      <c r="AX451" s="84"/>
      <c r="AY451" s="85"/>
      <c r="AZ451" s="84">
        <v>56.108220000000003</v>
      </c>
      <c r="BA451" s="85">
        <v>50.810510000000001</v>
      </c>
      <c r="BB451" s="88"/>
      <c r="BC451" s="85"/>
      <c r="BD451" s="84"/>
      <c r="BE451" s="88"/>
      <c r="BF451" s="85"/>
      <c r="BG451" s="85">
        <v>39.092880000000001</v>
      </c>
      <c r="BH451" s="85"/>
      <c r="BI451" s="85"/>
      <c r="BJ451" s="85"/>
      <c r="BK451" s="85"/>
      <c r="BL451" s="85"/>
      <c r="BM451" s="85"/>
      <c r="BN451" s="85"/>
      <c r="BO451" s="85"/>
      <c r="BP451" s="85"/>
      <c r="BQ451" s="85"/>
      <c r="BR451" s="84"/>
      <c r="BS451" s="85"/>
      <c r="BT451" s="85"/>
      <c r="BU451" s="198"/>
      <c r="BV451" s="90"/>
      <c r="BW451" s="198"/>
      <c r="BX451" s="90"/>
      <c r="BY451" s="198"/>
      <c r="BZ451" s="90"/>
      <c r="CA451" s="91"/>
    </row>
    <row r="452" spans="1:1199" ht="50.1" customHeight="1" outlineLevel="2" x14ac:dyDescent="0.3">
      <c r="A452" s="103" t="s">
        <v>397</v>
      </c>
      <c r="B452" s="96" t="s">
        <v>438</v>
      </c>
      <c r="C452" s="79" t="s">
        <v>89</v>
      </c>
      <c r="D452" s="81">
        <f t="shared" si="96"/>
        <v>195.28290000000001</v>
      </c>
      <c r="E452" s="82">
        <f t="shared" si="99"/>
        <v>0</v>
      </c>
      <c r="F452" s="83">
        <f t="shared" si="97"/>
        <v>195.28290000000001</v>
      </c>
      <c r="G452" s="84"/>
      <c r="H452" s="85"/>
      <c r="I452" s="85"/>
      <c r="J452" s="84"/>
      <c r="K452" s="85"/>
      <c r="L452" s="85"/>
      <c r="M452" s="85"/>
      <c r="N452" s="85"/>
      <c r="O452" s="82"/>
      <c r="P452" s="83"/>
      <c r="Q452" s="83"/>
      <c r="R452" s="83"/>
      <c r="S452" s="82"/>
      <c r="T452" s="83"/>
      <c r="U452" s="83"/>
      <c r="V452" s="84"/>
      <c r="W452" s="85"/>
      <c r="X452" s="82"/>
      <c r="Y452" s="83"/>
      <c r="Z452" s="84"/>
      <c r="AA452" s="85"/>
      <c r="AB452" s="84"/>
      <c r="AC452" s="85"/>
      <c r="AD452" s="89">
        <f t="shared" si="98"/>
        <v>0</v>
      </c>
      <c r="AE452" s="89"/>
      <c r="AF452" s="186"/>
      <c r="AG452" s="85"/>
      <c r="AH452" s="85"/>
      <c r="AI452" s="85"/>
      <c r="AJ452" s="84"/>
      <c r="AK452" s="85"/>
      <c r="AL452" s="84"/>
      <c r="AM452" s="88"/>
      <c r="AN452" s="84"/>
      <c r="AO452" s="85"/>
      <c r="AP452" s="84"/>
      <c r="AQ452" s="83"/>
      <c r="AR452" s="83"/>
      <c r="AS452" s="83"/>
      <c r="AT452" s="85"/>
      <c r="AU452" s="85"/>
      <c r="AV452" s="85"/>
      <c r="AW452" s="88"/>
      <c r="AX452" s="84"/>
      <c r="AY452" s="85"/>
      <c r="AZ452" s="84"/>
      <c r="BA452" s="85"/>
      <c r="BB452" s="88"/>
      <c r="BC452" s="85"/>
      <c r="BD452" s="84"/>
      <c r="BE452" s="88"/>
      <c r="BF452" s="85"/>
      <c r="BG452" s="85"/>
      <c r="BH452" s="85"/>
      <c r="BI452" s="85"/>
      <c r="BJ452" s="85"/>
      <c r="BK452" s="85"/>
      <c r="BL452" s="85"/>
      <c r="BM452" s="85"/>
      <c r="BN452" s="85"/>
      <c r="BO452" s="85"/>
      <c r="BP452" s="85">
        <v>195.28290000000001</v>
      </c>
      <c r="BQ452" s="85"/>
      <c r="BR452" s="84"/>
      <c r="BS452" s="85"/>
      <c r="BT452" s="85"/>
      <c r="BU452" s="198"/>
      <c r="BV452" s="90"/>
      <c r="BW452" s="198"/>
      <c r="BX452" s="90"/>
      <c r="BY452" s="198"/>
      <c r="BZ452" s="90"/>
      <c r="CA452" s="91"/>
    </row>
    <row r="453" spans="1:1199" s="101" customFormat="1" ht="50.1" customHeight="1" outlineLevel="1" x14ac:dyDescent="0.3">
      <c r="A453" s="132" t="s">
        <v>439</v>
      </c>
      <c r="B453" s="229"/>
      <c r="C453" s="134" t="s">
        <v>94</v>
      </c>
      <c r="D453" s="114">
        <f t="shared" ref="D453:AI453" si="100">SUBTOTAL(9,D404:D452)</f>
        <v>33486.821539999997</v>
      </c>
      <c r="E453" s="114">
        <f t="shared" si="100"/>
        <v>5757.6537000000008</v>
      </c>
      <c r="F453" s="114">
        <f t="shared" si="100"/>
        <v>27729.167839999995</v>
      </c>
      <c r="G453" s="114">
        <f t="shared" si="100"/>
        <v>0</v>
      </c>
      <c r="H453" s="114">
        <f t="shared" si="100"/>
        <v>0</v>
      </c>
      <c r="I453" s="114">
        <f t="shared" si="100"/>
        <v>0</v>
      </c>
      <c r="J453" s="114">
        <f t="shared" si="100"/>
        <v>462.05315999999999</v>
      </c>
      <c r="K453" s="114">
        <f t="shared" si="100"/>
        <v>114.607</v>
      </c>
      <c r="L453" s="114">
        <f t="shared" si="100"/>
        <v>365.91622999999998</v>
      </c>
      <c r="M453" s="114">
        <f t="shared" si="100"/>
        <v>0</v>
      </c>
      <c r="N453" s="114">
        <f t="shared" si="100"/>
        <v>0</v>
      </c>
      <c r="O453" s="114">
        <f t="shared" si="100"/>
        <v>0</v>
      </c>
      <c r="P453" s="114">
        <f t="shared" si="100"/>
        <v>0</v>
      </c>
      <c r="Q453" s="114">
        <f t="shared" si="100"/>
        <v>0</v>
      </c>
      <c r="R453" s="114">
        <f t="shared" si="100"/>
        <v>0</v>
      </c>
      <c r="S453" s="114">
        <f t="shared" si="100"/>
        <v>0</v>
      </c>
      <c r="T453" s="114">
        <f t="shared" si="100"/>
        <v>0</v>
      </c>
      <c r="U453" s="114">
        <f t="shared" si="100"/>
        <v>0</v>
      </c>
      <c r="V453" s="114">
        <f t="shared" si="100"/>
        <v>1046.4424299999998</v>
      </c>
      <c r="W453" s="114">
        <f t="shared" si="100"/>
        <v>1864.7821899999999</v>
      </c>
      <c r="X453" s="114">
        <f t="shared" si="100"/>
        <v>0</v>
      </c>
      <c r="Y453" s="114">
        <f t="shared" si="100"/>
        <v>3111.8879999999999</v>
      </c>
      <c r="Z453" s="114">
        <f t="shared" si="100"/>
        <v>0</v>
      </c>
      <c r="AA453" s="114">
        <f t="shared" si="100"/>
        <v>0</v>
      </c>
      <c r="AB453" s="114">
        <f t="shared" si="100"/>
        <v>0</v>
      </c>
      <c r="AC453" s="114">
        <f t="shared" si="100"/>
        <v>0</v>
      </c>
      <c r="AD453" s="114">
        <f t="shared" si="100"/>
        <v>2197.9168600000012</v>
      </c>
      <c r="AE453" s="114">
        <f t="shared" si="100"/>
        <v>1344.8434</v>
      </c>
      <c r="AF453" s="191">
        <f t="shared" si="100"/>
        <v>853.07345999999984</v>
      </c>
      <c r="AG453" s="114">
        <f t="shared" si="100"/>
        <v>0</v>
      </c>
      <c r="AH453" s="114">
        <f t="shared" si="100"/>
        <v>0</v>
      </c>
      <c r="AI453" s="114">
        <f t="shared" si="100"/>
        <v>0</v>
      </c>
      <c r="AJ453" s="114">
        <f t="shared" ref="AJ453:BO453" si="101">SUBTOTAL(9,AJ404:AJ452)</f>
        <v>0</v>
      </c>
      <c r="AK453" s="114">
        <f t="shared" si="101"/>
        <v>0</v>
      </c>
      <c r="AL453" s="114">
        <f t="shared" si="101"/>
        <v>0</v>
      </c>
      <c r="AM453" s="114">
        <f t="shared" si="101"/>
        <v>0</v>
      </c>
      <c r="AN453" s="114">
        <f t="shared" si="101"/>
        <v>0</v>
      </c>
      <c r="AO453" s="114">
        <f t="shared" si="101"/>
        <v>3685.7599999999998</v>
      </c>
      <c r="AP453" s="114">
        <f t="shared" si="101"/>
        <v>0</v>
      </c>
      <c r="AQ453" s="114">
        <f t="shared" si="101"/>
        <v>0</v>
      </c>
      <c r="AR453" s="114">
        <f t="shared" si="101"/>
        <v>0</v>
      </c>
      <c r="AS453" s="114">
        <f t="shared" si="101"/>
        <v>0</v>
      </c>
      <c r="AT453" s="114">
        <f t="shared" si="101"/>
        <v>0</v>
      </c>
      <c r="AU453" s="114">
        <f t="shared" si="101"/>
        <v>0</v>
      </c>
      <c r="AV453" s="114">
        <f t="shared" si="101"/>
        <v>8984.7355299999999</v>
      </c>
      <c r="AW453" s="114">
        <f t="shared" si="101"/>
        <v>0</v>
      </c>
      <c r="AX453" s="114">
        <f t="shared" si="101"/>
        <v>0</v>
      </c>
      <c r="AY453" s="114">
        <f t="shared" si="101"/>
        <v>0</v>
      </c>
      <c r="AZ453" s="114">
        <f t="shared" si="101"/>
        <v>4249.1581100000021</v>
      </c>
      <c r="BA453" s="114">
        <f t="shared" si="101"/>
        <v>3847.9584700000005</v>
      </c>
      <c r="BB453" s="114">
        <f t="shared" si="101"/>
        <v>0</v>
      </c>
      <c r="BC453" s="114">
        <f t="shared" si="101"/>
        <v>0</v>
      </c>
      <c r="BD453" s="114">
        <f t="shared" si="101"/>
        <v>0</v>
      </c>
      <c r="BE453" s="114">
        <f t="shared" si="101"/>
        <v>0</v>
      </c>
      <c r="BF453" s="114">
        <f t="shared" si="101"/>
        <v>0</v>
      </c>
      <c r="BG453" s="114">
        <f t="shared" si="101"/>
        <v>3360.3206600000003</v>
      </c>
      <c r="BH453" s="114">
        <f t="shared" si="101"/>
        <v>0</v>
      </c>
      <c r="BI453" s="114">
        <f t="shared" si="101"/>
        <v>0</v>
      </c>
      <c r="BJ453" s="114">
        <f t="shared" si="101"/>
        <v>0</v>
      </c>
      <c r="BK453" s="114">
        <f t="shared" si="101"/>
        <v>0</v>
      </c>
      <c r="BL453" s="114">
        <f t="shared" si="101"/>
        <v>0</v>
      </c>
      <c r="BM453" s="114">
        <f t="shared" si="101"/>
        <v>0</v>
      </c>
      <c r="BN453" s="114">
        <f t="shared" si="101"/>
        <v>0</v>
      </c>
      <c r="BO453" s="114">
        <f t="shared" si="101"/>
        <v>0</v>
      </c>
      <c r="BP453" s="114">
        <f t="shared" ref="BP453:CU453" si="102">SUBTOTAL(9,BP404:BP452)</f>
        <v>195.28290000000001</v>
      </c>
      <c r="BQ453" s="114">
        <f t="shared" si="102"/>
        <v>0</v>
      </c>
      <c r="BR453" s="114">
        <f t="shared" si="102"/>
        <v>0</v>
      </c>
      <c r="BS453" s="114">
        <f t="shared" si="102"/>
        <v>0</v>
      </c>
      <c r="BT453" s="114">
        <f t="shared" si="102"/>
        <v>0</v>
      </c>
      <c r="BU453" s="114">
        <f t="shared" si="102"/>
        <v>0</v>
      </c>
      <c r="BV453" s="114">
        <f t="shared" si="102"/>
        <v>0</v>
      </c>
      <c r="BW453" s="114">
        <f t="shared" si="102"/>
        <v>0</v>
      </c>
      <c r="BX453" s="114">
        <f t="shared" si="102"/>
        <v>0</v>
      </c>
      <c r="BY453" s="114">
        <f t="shared" si="102"/>
        <v>0</v>
      </c>
      <c r="BZ453" s="114">
        <f t="shared" si="102"/>
        <v>0</v>
      </c>
      <c r="CA453" s="114">
        <f t="shared" si="102"/>
        <v>0</v>
      </c>
      <c r="CB453" s="176"/>
      <c r="CC453" s="176"/>
      <c r="CD453" s="176"/>
      <c r="CE453" s="176"/>
      <c r="CF453" s="176"/>
      <c r="CG453" s="176"/>
      <c r="CH453" s="176"/>
      <c r="CI453" s="176"/>
      <c r="CJ453" s="176"/>
      <c r="CK453" s="176"/>
      <c r="CL453" s="176"/>
      <c r="CM453" s="176"/>
      <c r="CN453" s="176"/>
      <c r="CO453" s="176"/>
      <c r="CP453" s="176"/>
      <c r="CQ453" s="176"/>
      <c r="CR453" s="176"/>
      <c r="CS453" s="176"/>
      <c r="CT453" s="176"/>
      <c r="CU453" s="176"/>
      <c r="CV453" s="176"/>
      <c r="CW453" s="176"/>
      <c r="CX453" s="176"/>
      <c r="CY453" s="176"/>
      <c r="CZ453" s="176"/>
      <c r="DA453" s="176"/>
      <c r="DB453" s="176"/>
      <c r="DC453" s="176"/>
      <c r="DD453" s="176"/>
      <c r="DE453" s="176"/>
      <c r="DF453" s="176"/>
      <c r="DG453" s="176"/>
      <c r="DH453" s="176"/>
      <c r="DI453" s="176"/>
      <c r="DJ453" s="176"/>
      <c r="DK453" s="176"/>
      <c r="DL453" s="176"/>
      <c r="DM453" s="176"/>
      <c r="DN453" s="176"/>
      <c r="DO453" s="176"/>
      <c r="DP453" s="176"/>
      <c r="DQ453" s="176"/>
      <c r="DR453" s="176"/>
      <c r="DS453" s="176"/>
      <c r="DT453" s="176"/>
      <c r="DU453" s="176"/>
      <c r="DV453" s="176"/>
      <c r="DW453" s="176"/>
      <c r="DX453" s="176"/>
      <c r="DY453" s="176"/>
      <c r="DZ453" s="176"/>
      <c r="EA453" s="176"/>
      <c r="EB453" s="176"/>
      <c r="EC453" s="176"/>
      <c r="ED453" s="176"/>
      <c r="EE453" s="176"/>
      <c r="EF453" s="176"/>
      <c r="EG453" s="176"/>
      <c r="EH453" s="176"/>
      <c r="EI453" s="176"/>
      <c r="EJ453" s="176"/>
      <c r="EK453" s="176"/>
      <c r="EL453" s="176"/>
      <c r="EM453" s="176"/>
      <c r="EN453" s="176"/>
      <c r="EO453" s="176"/>
      <c r="EP453" s="176"/>
      <c r="EQ453" s="176"/>
      <c r="ER453" s="176"/>
      <c r="ES453" s="176"/>
      <c r="ET453" s="176"/>
      <c r="EU453" s="176"/>
      <c r="EV453" s="176"/>
      <c r="EW453" s="176"/>
      <c r="EX453" s="176"/>
      <c r="EY453" s="176"/>
      <c r="EZ453" s="176"/>
      <c r="FA453" s="176"/>
      <c r="FB453" s="176"/>
      <c r="FC453" s="176"/>
      <c r="FD453" s="176"/>
      <c r="FE453" s="176"/>
      <c r="FF453" s="176"/>
      <c r="FG453" s="176"/>
      <c r="FH453" s="176"/>
      <c r="FI453" s="176"/>
      <c r="FJ453" s="176"/>
      <c r="FK453" s="176"/>
      <c r="FL453" s="176"/>
      <c r="FM453" s="176"/>
      <c r="FN453" s="176"/>
      <c r="FO453" s="176"/>
      <c r="FP453" s="176"/>
      <c r="FQ453" s="176"/>
      <c r="FR453" s="176"/>
      <c r="FS453" s="176"/>
      <c r="FT453" s="176"/>
      <c r="FU453" s="176"/>
      <c r="FV453" s="176"/>
      <c r="FW453" s="176"/>
      <c r="FX453" s="176"/>
      <c r="FY453" s="176"/>
      <c r="FZ453" s="176"/>
      <c r="GA453" s="176"/>
      <c r="GB453" s="176"/>
      <c r="GC453" s="176"/>
      <c r="GD453" s="176"/>
      <c r="GE453" s="176"/>
      <c r="GF453" s="176"/>
      <c r="GG453" s="176"/>
      <c r="GH453" s="176"/>
      <c r="GI453" s="176"/>
      <c r="GJ453" s="176"/>
      <c r="GK453" s="176"/>
      <c r="GL453" s="176"/>
      <c r="GM453" s="176"/>
      <c r="GN453" s="176"/>
      <c r="GO453" s="176"/>
      <c r="GP453" s="176"/>
      <c r="GQ453" s="176"/>
      <c r="GR453" s="176"/>
      <c r="GS453" s="176"/>
      <c r="GT453" s="176"/>
      <c r="GU453" s="176"/>
      <c r="GV453" s="176"/>
      <c r="GW453" s="176"/>
      <c r="GX453" s="176"/>
      <c r="GY453" s="176"/>
      <c r="GZ453" s="176"/>
      <c r="HA453" s="176"/>
      <c r="HB453" s="176"/>
      <c r="HC453" s="176"/>
      <c r="HD453" s="176"/>
      <c r="HE453" s="176"/>
      <c r="HF453" s="176"/>
      <c r="HG453" s="176"/>
      <c r="HH453" s="176"/>
      <c r="HI453" s="176"/>
      <c r="HJ453" s="176"/>
      <c r="HK453" s="176"/>
      <c r="HL453" s="176"/>
      <c r="HM453" s="176"/>
      <c r="HN453" s="176"/>
      <c r="HO453" s="176"/>
      <c r="HP453" s="176"/>
      <c r="HQ453" s="176"/>
      <c r="HR453" s="176"/>
      <c r="HS453" s="176"/>
      <c r="HT453" s="176"/>
      <c r="HU453" s="176"/>
      <c r="HV453" s="176"/>
      <c r="HW453" s="176"/>
      <c r="HX453" s="176"/>
      <c r="HY453" s="176"/>
      <c r="HZ453" s="176"/>
      <c r="IA453" s="176"/>
      <c r="IB453" s="176"/>
      <c r="IC453" s="176"/>
      <c r="ID453" s="176"/>
      <c r="IE453" s="176"/>
      <c r="IF453" s="176"/>
      <c r="IG453" s="176"/>
      <c r="IH453" s="176"/>
      <c r="II453" s="176"/>
      <c r="IJ453" s="176"/>
      <c r="IK453" s="176"/>
      <c r="IL453" s="176"/>
      <c r="IM453" s="176"/>
      <c r="IN453" s="176"/>
      <c r="IO453" s="176"/>
      <c r="IP453" s="176"/>
      <c r="IQ453" s="176"/>
      <c r="IR453" s="176"/>
      <c r="IS453" s="176"/>
      <c r="IT453" s="176"/>
      <c r="IU453" s="176"/>
      <c r="IV453" s="176"/>
      <c r="IW453" s="176"/>
      <c r="IX453" s="176"/>
      <c r="IY453" s="176"/>
      <c r="IZ453" s="176"/>
      <c r="JA453" s="176"/>
      <c r="JB453" s="176"/>
      <c r="JC453" s="176"/>
      <c r="JD453" s="176"/>
      <c r="JE453" s="176"/>
      <c r="JF453" s="176"/>
      <c r="JG453" s="176"/>
      <c r="JH453" s="176"/>
      <c r="JI453" s="176"/>
      <c r="JJ453" s="176"/>
      <c r="JK453" s="176"/>
      <c r="JL453" s="176"/>
      <c r="JM453" s="176"/>
      <c r="JN453" s="176"/>
      <c r="JO453" s="176"/>
      <c r="JP453" s="176"/>
      <c r="JQ453" s="176"/>
      <c r="JR453" s="176"/>
      <c r="JS453" s="176"/>
      <c r="JT453" s="176"/>
      <c r="JU453" s="176"/>
      <c r="JV453" s="176"/>
      <c r="JW453" s="131"/>
      <c r="JX453" s="131"/>
      <c r="JY453" s="131"/>
      <c r="JZ453" s="131"/>
      <c r="KA453" s="131"/>
      <c r="KB453" s="131"/>
      <c r="KC453" s="131"/>
      <c r="KD453" s="131"/>
      <c r="KE453" s="131"/>
      <c r="KF453" s="131"/>
      <c r="KG453" s="131"/>
      <c r="KH453" s="131"/>
      <c r="KI453" s="131"/>
      <c r="KJ453" s="131"/>
      <c r="KK453" s="131"/>
      <c r="KL453" s="131"/>
      <c r="KM453" s="131"/>
      <c r="KN453" s="131"/>
      <c r="KO453" s="131"/>
      <c r="KP453" s="131"/>
      <c r="KQ453" s="131"/>
      <c r="KR453" s="131"/>
      <c r="KS453" s="131"/>
      <c r="KT453" s="131"/>
      <c r="KU453" s="131"/>
      <c r="KV453" s="131"/>
      <c r="KW453" s="131"/>
      <c r="KX453" s="131"/>
      <c r="KY453" s="131"/>
      <c r="KZ453" s="131"/>
      <c r="LA453" s="131"/>
      <c r="LB453" s="131"/>
      <c r="LC453" s="131"/>
      <c r="LD453" s="131"/>
      <c r="LE453" s="131"/>
      <c r="LF453" s="131"/>
      <c r="LG453" s="131"/>
      <c r="LH453" s="131"/>
      <c r="LI453" s="131"/>
      <c r="LJ453" s="131"/>
      <c r="LK453" s="131"/>
      <c r="LL453" s="131"/>
      <c r="LM453" s="131"/>
      <c r="LN453" s="131"/>
      <c r="LO453" s="131"/>
      <c r="LP453" s="131"/>
      <c r="LQ453" s="131"/>
      <c r="LR453" s="131"/>
      <c r="LS453" s="131"/>
      <c r="LT453" s="131"/>
      <c r="LU453" s="131"/>
      <c r="LV453" s="131"/>
      <c r="LW453" s="131"/>
      <c r="LX453" s="131"/>
      <c r="LY453" s="131"/>
      <c r="LZ453" s="131"/>
      <c r="MA453" s="131"/>
      <c r="MB453" s="131"/>
      <c r="MC453" s="131"/>
      <c r="MD453" s="131"/>
      <c r="ME453" s="131"/>
      <c r="MF453" s="131"/>
      <c r="MG453" s="131"/>
      <c r="MH453" s="131"/>
      <c r="MI453" s="131"/>
      <c r="MJ453" s="131"/>
      <c r="MK453" s="131"/>
      <c r="ML453" s="131"/>
      <c r="MM453" s="131"/>
      <c r="MN453" s="131"/>
      <c r="MO453" s="131"/>
      <c r="MP453" s="131"/>
      <c r="MQ453" s="131"/>
      <c r="MR453" s="131"/>
      <c r="MS453" s="131"/>
      <c r="MT453" s="131"/>
      <c r="MU453" s="131"/>
      <c r="MV453" s="131"/>
      <c r="MW453" s="131"/>
      <c r="MX453" s="131"/>
      <c r="MY453" s="131"/>
      <c r="MZ453" s="131"/>
      <c r="NA453" s="131"/>
      <c r="NB453" s="131"/>
      <c r="NC453" s="131"/>
      <c r="ND453" s="131"/>
      <c r="NE453" s="131"/>
      <c r="NF453" s="131"/>
      <c r="NG453" s="131"/>
      <c r="NH453" s="131"/>
      <c r="NI453" s="131"/>
      <c r="NJ453" s="131"/>
      <c r="NK453" s="131"/>
      <c r="NL453" s="131"/>
      <c r="NM453" s="131"/>
      <c r="NN453" s="131"/>
      <c r="NO453" s="131"/>
      <c r="NP453" s="131"/>
      <c r="NQ453" s="131"/>
      <c r="NR453" s="131"/>
      <c r="NS453" s="131"/>
      <c r="NT453" s="131"/>
      <c r="NU453" s="131"/>
      <c r="NV453" s="131"/>
      <c r="NW453" s="131"/>
      <c r="NX453" s="131"/>
      <c r="NY453" s="131"/>
      <c r="NZ453" s="131"/>
      <c r="OA453" s="131"/>
      <c r="OB453" s="131"/>
      <c r="OC453" s="131"/>
      <c r="OD453" s="131"/>
      <c r="OE453" s="131"/>
      <c r="OF453" s="131"/>
      <c r="OG453" s="131"/>
      <c r="OH453" s="131"/>
      <c r="OI453" s="131"/>
      <c r="OJ453" s="131"/>
      <c r="OK453" s="131"/>
      <c r="OL453" s="131"/>
      <c r="OM453" s="131"/>
      <c r="ON453" s="131"/>
      <c r="OO453" s="131"/>
      <c r="OP453" s="131"/>
      <c r="OQ453" s="131"/>
      <c r="OR453" s="131"/>
      <c r="OS453" s="131"/>
      <c r="OT453" s="131"/>
      <c r="OU453" s="131"/>
      <c r="OV453" s="131"/>
      <c r="OW453" s="131"/>
      <c r="OX453" s="131"/>
      <c r="OY453" s="131"/>
      <c r="OZ453" s="131"/>
      <c r="PA453" s="131"/>
      <c r="PB453" s="131"/>
      <c r="PC453" s="131"/>
      <c r="PD453" s="131"/>
      <c r="PE453" s="131"/>
      <c r="PF453" s="131"/>
      <c r="PG453" s="131"/>
      <c r="PH453" s="131"/>
      <c r="PI453" s="131"/>
      <c r="PJ453" s="131"/>
      <c r="PK453" s="131"/>
      <c r="PL453" s="131"/>
      <c r="PM453" s="131"/>
      <c r="PN453" s="131"/>
      <c r="PO453" s="131"/>
      <c r="PP453" s="131"/>
      <c r="PQ453" s="131"/>
      <c r="PR453" s="131"/>
      <c r="PS453" s="131"/>
      <c r="PT453" s="131"/>
      <c r="PU453" s="131"/>
      <c r="PV453" s="131"/>
      <c r="PW453" s="131"/>
      <c r="PX453" s="131"/>
      <c r="PY453" s="131"/>
      <c r="PZ453" s="131"/>
      <c r="QA453" s="131"/>
      <c r="QB453" s="131"/>
      <c r="QC453" s="131"/>
      <c r="QD453" s="131"/>
      <c r="QE453" s="131"/>
      <c r="QF453" s="131"/>
      <c r="QG453" s="131"/>
      <c r="QH453" s="131"/>
      <c r="QI453" s="131"/>
      <c r="QJ453" s="131"/>
      <c r="QK453" s="131"/>
      <c r="QL453" s="131"/>
      <c r="QM453" s="131"/>
      <c r="QN453" s="131"/>
      <c r="QO453" s="131"/>
      <c r="QP453" s="131"/>
      <c r="QQ453" s="131"/>
      <c r="QR453" s="131"/>
      <c r="QS453" s="131"/>
      <c r="QT453" s="131"/>
      <c r="QU453" s="131"/>
      <c r="QV453" s="131"/>
      <c r="QW453" s="131"/>
      <c r="QX453" s="131"/>
      <c r="QY453" s="131"/>
      <c r="QZ453" s="131"/>
      <c r="RA453" s="131"/>
      <c r="RB453" s="131"/>
      <c r="RC453" s="131"/>
      <c r="RD453" s="131"/>
      <c r="RE453" s="131"/>
      <c r="RF453" s="131"/>
      <c r="RG453" s="131"/>
      <c r="RH453" s="131"/>
      <c r="RI453" s="131"/>
      <c r="RJ453" s="131"/>
      <c r="RK453" s="131"/>
      <c r="RL453" s="131"/>
      <c r="RM453" s="131"/>
      <c r="RN453" s="131"/>
      <c r="RO453" s="131"/>
      <c r="RP453" s="131"/>
      <c r="RQ453" s="131"/>
      <c r="RR453" s="131"/>
      <c r="RS453" s="131"/>
      <c r="RT453" s="131"/>
      <c r="RU453" s="131"/>
      <c r="RV453" s="131"/>
      <c r="RW453" s="131"/>
      <c r="RX453" s="131"/>
      <c r="RY453" s="131"/>
      <c r="RZ453" s="131"/>
      <c r="SA453" s="131"/>
      <c r="SB453" s="131"/>
      <c r="SC453" s="131"/>
      <c r="SD453" s="131"/>
      <c r="SE453" s="131"/>
      <c r="SF453" s="131"/>
      <c r="SG453" s="131"/>
      <c r="SH453" s="131"/>
      <c r="SI453" s="131"/>
      <c r="SJ453" s="131"/>
      <c r="SK453" s="131"/>
      <c r="SL453" s="131"/>
      <c r="SM453" s="131"/>
      <c r="SN453" s="131"/>
      <c r="SO453" s="131"/>
      <c r="SP453" s="131"/>
      <c r="SQ453" s="131"/>
      <c r="SR453" s="131"/>
      <c r="SS453" s="131"/>
      <c r="ST453" s="131"/>
      <c r="SU453" s="131"/>
      <c r="SV453" s="131"/>
      <c r="SW453" s="131"/>
      <c r="SX453" s="131"/>
      <c r="SY453" s="131"/>
      <c r="SZ453" s="131"/>
      <c r="TA453" s="131"/>
      <c r="TB453" s="131"/>
      <c r="TC453" s="131"/>
      <c r="TD453" s="131"/>
      <c r="TE453" s="131"/>
      <c r="TF453" s="131"/>
      <c r="TG453" s="131"/>
      <c r="TH453" s="131"/>
      <c r="TI453" s="131"/>
      <c r="TJ453" s="131"/>
      <c r="TK453" s="131"/>
      <c r="TL453" s="131"/>
      <c r="TM453" s="131"/>
      <c r="TN453" s="131"/>
      <c r="TO453" s="131"/>
      <c r="TP453" s="131"/>
      <c r="TQ453" s="131"/>
      <c r="TR453" s="131"/>
      <c r="TS453" s="131"/>
      <c r="TT453" s="131"/>
      <c r="TU453" s="131"/>
      <c r="TV453" s="131"/>
      <c r="TW453" s="131"/>
      <c r="TX453" s="131"/>
      <c r="TY453" s="131"/>
      <c r="TZ453" s="131"/>
      <c r="UA453" s="131"/>
      <c r="UB453" s="131"/>
      <c r="UC453" s="131"/>
      <c r="UD453" s="131"/>
      <c r="UE453" s="131"/>
      <c r="UF453" s="131"/>
      <c r="UG453" s="131"/>
      <c r="UH453" s="131"/>
      <c r="UI453" s="131"/>
      <c r="UJ453" s="131"/>
      <c r="UK453" s="131"/>
      <c r="UL453" s="131"/>
      <c r="UM453" s="131"/>
      <c r="UN453" s="131"/>
      <c r="UO453" s="131"/>
      <c r="UP453" s="131"/>
      <c r="UQ453" s="131"/>
      <c r="UR453" s="131"/>
      <c r="US453" s="131"/>
      <c r="UT453" s="131"/>
      <c r="UU453" s="131"/>
      <c r="UV453" s="131"/>
      <c r="UW453" s="131"/>
      <c r="UX453" s="131"/>
      <c r="UY453" s="131"/>
      <c r="UZ453" s="131"/>
      <c r="VA453" s="131"/>
      <c r="VB453" s="131"/>
      <c r="VC453" s="131"/>
      <c r="VD453" s="131"/>
      <c r="VE453" s="131"/>
      <c r="VF453" s="131"/>
      <c r="VG453" s="131"/>
      <c r="VH453" s="131"/>
      <c r="VI453" s="131"/>
      <c r="VJ453" s="131"/>
      <c r="VK453" s="131"/>
      <c r="VL453" s="131"/>
      <c r="VM453" s="131"/>
      <c r="VN453" s="131"/>
      <c r="VO453" s="131"/>
      <c r="VP453" s="131"/>
      <c r="VQ453" s="131"/>
      <c r="VR453" s="131"/>
      <c r="VS453" s="131"/>
      <c r="VT453" s="131"/>
      <c r="VU453" s="131"/>
      <c r="VV453" s="131"/>
      <c r="VW453" s="131"/>
      <c r="VX453" s="131"/>
      <c r="VY453" s="131"/>
      <c r="VZ453" s="131"/>
      <c r="WA453" s="131"/>
      <c r="WB453" s="131"/>
      <c r="WC453" s="131"/>
      <c r="WD453" s="131"/>
      <c r="WE453" s="131"/>
      <c r="WF453" s="131"/>
      <c r="WG453" s="131"/>
      <c r="WH453" s="131"/>
      <c r="WI453" s="131"/>
      <c r="WJ453" s="131"/>
      <c r="WK453" s="131"/>
      <c r="WL453" s="131"/>
      <c r="WM453" s="131"/>
      <c r="WN453" s="131"/>
      <c r="WO453" s="131"/>
      <c r="WP453" s="131"/>
      <c r="WQ453" s="131"/>
      <c r="WR453" s="131"/>
      <c r="WS453" s="131"/>
      <c r="WT453" s="131"/>
      <c r="WU453" s="131"/>
      <c r="WV453" s="131"/>
      <c r="WW453" s="131"/>
      <c r="WX453" s="131"/>
      <c r="WY453" s="131"/>
      <c r="WZ453" s="131"/>
      <c r="XA453" s="131"/>
      <c r="XB453" s="131"/>
      <c r="XC453" s="131"/>
      <c r="XD453" s="131"/>
      <c r="XE453" s="131"/>
      <c r="XF453" s="131"/>
      <c r="XG453" s="131"/>
      <c r="XH453" s="131"/>
      <c r="XI453" s="131"/>
      <c r="XJ453" s="131"/>
      <c r="XK453" s="131"/>
      <c r="XL453" s="131"/>
      <c r="XM453" s="131"/>
      <c r="XN453" s="131"/>
      <c r="XO453" s="131"/>
      <c r="XP453" s="131"/>
      <c r="XQ453" s="131"/>
      <c r="XR453" s="131"/>
      <c r="XS453" s="131"/>
      <c r="XT453" s="131"/>
      <c r="XU453" s="131"/>
      <c r="XV453" s="131"/>
      <c r="XW453" s="131"/>
      <c r="XX453" s="131"/>
      <c r="XY453" s="131"/>
      <c r="XZ453" s="131"/>
      <c r="YA453" s="131"/>
      <c r="YB453" s="131"/>
      <c r="YC453" s="131"/>
      <c r="YD453" s="131"/>
      <c r="YE453" s="131"/>
      <c r="YF453" s="131"/>
      <c r="YG453" s="131"/>
      <c r="YH453" s="131"/>
      <c r="YI453" s="131"/>
      <c r="YJ453" s="131"/>
      <c r="YK453" s="131"/>
      <c r="YL453" s="131"/>
      <c r="YM453" s="131"/>
      <c r="YN453" s="131"/>
      <c r="YO453" s="131"/>
      <c r="YP453" s="131"/>
      <c r="YQ453" s="131"/>
      <c r="YR453" s="131"/>
      <c r="YS453" s="131"/>
      <c r="YT453" s="131"/>
      <c r="YU453" s="131"/>
      <c r="YV453" s="131"/>
      <c r="YW453" s="131"/>
      <c r="YX453" s="131"/>
      <c r="YY453" s="131"/>
      <c r="YZ453" s="131"/>
      <c r="ZA453" s="131"/>
      <c r="ZB453" s="131"/>
      <c r="ZC453" s="131"/>
      <c r="ZD453" s="131"/>
      <c r="ZE453" s="131"/>
      <c r="ZF453" s="131"/>
      <c r="ZG453" s="131"/>
      <c r="ZH453" s="131"/>
      <c r="ZI453" s="131"/>
      <c r="ZJ453" s="131"/>
      <c r="ZK453" s="131"/>
      <c r="ZL453" s="131"/>
      <c r="ZM453" s="131"/>
      <c r="ZN453" s="131"/>
      <c r="ZO453" s="131"/>
      <c r="ZP453" s="131"/>
      <c r="ZQ453" s="131"/>
      <c r="ZR453" s="131"/>
      <c r="ZS453" s="131"/>
      <c r="ZT453" s="131"/>
      <c r="ZU453" s="131"/>
      <c r="ZV453" s="131"/>
      <c r="ZW453" s="131"/>
      <c r="ZX453" s="131"/>
      <c r="ZY453" s="131"/>
      <c r="ZZ453" s="131"/>
      <c r="AAA453" s="131"/>
      <c r="AAB453" s="131"/>
      <c r="AAC453" s="131"/>
      <c r="AAD453" s="131"/>
      <c r="AAE453" s="131"/>
      <c r="AAF453" s="131"/>
      <c r="AAG453" s="131"/>
      <c r="AAH453" s="131"/>
      <c r="AAI453" s="131"/>
      <c r="AAJ453" s="131"/>
      <c r="AAK453" s="131"/>
      <c r="AAL453" s="131"/>
      <c r="AAM453" s="131"/>
      <c r="AAN453" s="131"/>
      <c r="AAO453" s="131"/>
      <c r="AAP453" s="131"/>
      <c r="AAQ453" s="131"/>
      <c r="AAR453" s="131"/>
      <c r="AAS453" s="131"/>
      <c r="AAT453" s="131"/>
      <c r="AAU453" s="131"/>
      <c r="AAV453" s="131"/>
      <c r="AAW453" s="131"/>
      <c r="AAX453" s="131"/>
      <c r="AAY453" s="131"/>
      <c r="AAZ453" s="131"/>
      <c r="ABA453" s="131"/>
      <c r="ABB453" s="131"/>
      <c r="ABC453" s="131"/>
      <c r="ABD453" s="131"/>
      <c r="ABE453" s="131"/>
      <c r="ABF453" s="131"/>
      <c r="ABG453" s="131"/>
      <c r="ABH453" s="131"/>
      <c r="ABI453" s="131"/>
      <c r="ABJ453" s="131"/>
      <c r="ABK453" s="131"/>
      <c r="ABL453" s="131"/>
      <c r="ABM453" s="131"/>
      <c r="ABN453" s="131"/>
      <c r="ABO453" s="131"/>
      <c r="ABP453" s="131"/>
      <c r="ABQ453" s="131"/>
      <c r="ABR453" s="131"/>
      <c r="ABS453" s="131"/>
      <c r="ABT453" s="131"/>
      <c r="ABU453" s="131"/>
      <c r="ABV453" s="131"/>
      <c r="ABW453" s="131"/>
      <c r="ABX453" s="131"/>
      <c r="ABY453" s="131"/>
      <c r="ABZ453" s="131"/>
      <c r="ACA453" s="131"/>
      <c r="ACB453" s="131"/>
      <c r="ACC453" s="131"/>
      <c r="ACD453" s="131"/>
      <c r="ACE453" s="131"/>
      <c r="ACF453" s="131"/>
      <c r="ACG453" s="131"/>
      <c r="ACH453" s="131"/>
      <c r="ACI453" s="131"/>
      <c r="ACJ453" s="131"/>
      <c r="ACK453" s="131"/>
      <c r="ACL453" s="131"/>
      <c r="ACM453" s="131"/>
      <c r="ACN453" s="131"/>
      <c r="ACO453" s="131"/>
      <c r="ACP453" s="131"/>
      <c r="ACQ453" s="131"/>
      <c r="ACR453" s="131"/>
      <c r="ACS453" s="131"/>
      <c r="ACT453" s="131"/>
      <c r="ACU453" s="131"/>
      <c r="ACV453" s="131"/>
      <c r="ACW453" s="131"/>
      <c r="ACX453" s="131"/>
      <c r="ACY453" s="131"/>
      <c r="ACZ453" s="131"/>
      <c r="ADA453" s="131"/>
      <c r="ADB453" s="131"/>
      <c r="ADC453" s="131"/>
      <c r="ADD453" s="131"/>
      <c r="ADE453" s="131"/>
      <c r="ADF453" s="131"/>
      <c r="ADG453" s="131"/>
      <c r="ADH453" s="131"/>
      <c r="ADI453" s="131"/>
      <c r="ADJ453" s="131"/>
      <c r="ADK453" s="131"/>
      <c r="ADL453" s="131"/>
      <c r="ADM453" s="131"/>
      <c r="ADN453" s="131"/>
      <c r="ADO453" s="131"/>
      <c r="ADP453" s="131"/>
      <c r="ADQ453" s="131"/>
      <c r="ADR453" s="131"/>
      <c r="ADS453" s="131"/>
      <c r="ADT453" s="131"/>
      <c r="ADU453" s="131"/>
      <c r="ADV453" s="131"/>
      <c r="ADW453" s="131"/>
      <c r="ADX453" s="131"/>
      <c r="ADY453" s="131"/>
      <c r="ADZ453" s="131"/>
      <c r="AEA453" s="131"/>
      <c r="AEB453" s="131"/>
      <c r="AEC453" s="131"/>
      <c r="AED453" s="131"/>
      <c r="AEE453" s="131"/>
      <c r="AEF453" s="131"/>
      <c r="AEG453" s="131"/>
      <c r="AEH453" s="131"/>
      <c r="AEI453" s="131"/>
      <c r="AEJ453" s="131"/>
      <c r="AEK453" s="131"/>
      <c r="AEL453" s="131"/>
      <c r="AEM453" s="131"/>
      <c r="AEN453" s="131"/>
      <c r="AEO453" s="131"/>
      <c r="AEP453" s="131"/>
      <c r="AEQ453" s="131"/>
      <c r="AER453" s="131"/>
      <c r="AES453" s="131"/>
      <c r="AET453" s="131"/>
      <c r="AEU453" s="131"/>
      <c r="AEV453" s="131"/>
      <c r="AEW453" s="131"/>
      <c r="AEX453" s="131"/>
      <c r="AEY453" s="131"/>
      <c r="AEZ453" s="131"/>
      <c r="AFA453" s="131"/>
      <c r="AFB453" s="131"/>
      <c r="AFC453" s="131"/>
      <c r="AFD453" s="131"/>
      <c r="AFE453" s="131"/>
      <c r="AFF453" s="131"/>
      <c r="AFG453" s="131"/>
      <c r="AFH453" s="131"/>
      <c r="AFI453" s="131"/>
      <c r="AFJ453" s="131"/>
      <c r="AFK453" s="131"/>
      <c r="AFL453" s="131"/>
      <c r="AFM453" s="131"/>
      <c r="AFN453" s="131"/>
      <c r="AFO453" s="131"/>
      <c r="AFP453" s="131"/>
      <c r="AFQ453" s="131"/>
      <c r="AFR453" s="131"/>
      <c r="AFS453" s="131"/>
      <c r="AFT453" s="131"/>
      <c r="AFU453" s="131"/>
      <c r="AFV453" s="131"/>
      <c r="AFW453" s="131"/>
      <c r="AFX453" s="131"/>
      <c r="AFY453" s="131"/>
      <c r="AFZ453" s="131"/>
      <c r="AGA453" s="131"/>
      <c r="AGB453" s="131"/>
      <c r="AGC453" s="131"/>
      <c r="AGD453" s="131"/>
      <c r="AGE453" s="131"/>
      <c r="AGF453" s="131"/>
      <c r="AGG453" s="131"/>
      <c r="AGH453" s="131"/>
      <c r="AGI453" s="131"/>
      <c r="AGJ453" s="131"/>
      <c r="AGK453" s="131"/>
      <c r="AGL453" s="131"/>
      <c r="AGM453" s="131"/>
      <c r="AGN453" s="131"/>
      <c r="AGO453" s="131"/>
      <c r="AGP453" s="131"/>
      <c r="AGQ453" s="131"/>
      <c r="AGR453" s="131"/>
      <c r="AGS453" s="131"/>
      <c r="AGT453" s="131"/>
      <c r="AGU453" s="131"/>
      <c r="AGV453" s="131"/>
      <c r="AGW453" s="131"/>
      <c r="AGX453" s="131"/>
      <c r="AGY453" s="131"/>
      <c r="AGZ453" s="131"/>
      <c r="AHA453" s="131"/>
      <c r="AHB453" s="131"/>
      <c r="AHC453" s="131"/>
      <c r="AHD453" s="131"/>
      <c r="AHE453" s="131"/>
      <c r="AHF453" s="131"/>
      <c r="AHG453" s="131"/>
      <c r="AHH453" s="131"/>
      <c r="AHI453" s="131"/>
      <c r="AHJ453" s="131"/>
      <c r="AHK453" s="131"/>
      <c r="AHL453" s="131"/>
      <c r="AHM453" s="131"/>
      <c r="AHN453" s="131"/>
      <c r="AHO453" s="131"/>
      <c r="AHP453" s="131"/>
      <c r="AHQ453" s="131"/>
      <c r="AHR453" s="131"/>
      <c r="AHS453" s="131"/>
      <c r="AHT453" s="131"/>
      <c r="AHU453" s="131"/>
      <c r="AHV453" s="131"/>
      <c r="AHW453" s="131"/>
      <c r="AHX453" s="131"/>
      <c r="AHY453" s="131"/>
      <c r="AHZ453" s="131"/>
      <c r="AIA453" s="131"/>
      <c r="AIB453" s="131"/>
      <c r="AIC453" s="131"/>
      <c r="AID453" s="131"/>
      <c r="AIE453" s="131"/>
      <c r="AIF453" s="131"/>
      <c r="AIG453" s="131"/>
      <c r="AIH453" s="131"/>
      <c r="AII453" s="131"/>
      <c r="AIJ453" s="131"/>
      <c r="AIK453" s="131"/>
      <c r="AIL453" s="131"/>
      <c r="AIM453" s="131"/>
      <c r="AIN453" s="131"/>
      <c r="AIO453" s="131"/>
      <c r="AIP453" s="131"/>
      <c r="AIQ453" s="131"/>
      <c r="AIR453" s="131"/>
      <c r="AIS453" s="131"/>
      <c r="AIT453" s="131"/>
      <c r="AIU453" s="131"/>
      <c r="AIV453" s="131"/>
      <c r="AIW453" s="131"/>
      <c r="AIX453" s="131"/>
      <c r="AIY453" s="131"/>
      <c r="AIZ453" s="131"/>
      <c r="AJA453" s="131"/>
      <c r="AJB453" s="131"/>
      <c r="AJC453" s="131"/>
      <c r="AJD453" s="131"/>
      <c r="AJE453" s="131"/>
      <c r="AJF453" s="131"/>
      <c r="AJG453" s="131"/>
      <c r="AJH453" s="131"/>
      <c r="AJI453" s="131"/>
      <c r="AJJ453" s="131"/>
      <c r="AJK453" s="131"/>
      <c r="AJL453" s="131"/>
      <c r="AJM453" s="131"/>
      <c r="AJN453" s="131"/>
      <c r="AJO453" s="131"/>
      <c r="AJP453" s="131"/>
      <c r="AJQ453" s="131"/>
      <c r="AJR453" s="131"/>
      <c r="AJS453" s="131"/>
      <c r="AJT453" s="131"/>
      <c r="AJU453" s="131"/>
      <c r="AJV453" s="131"/>
      <c r="AJW453" s="131"/>
      <c r="AJX453" s="131"/>
      <c r="AJY453" s="131"/>
      <c r="AJZ453" s="131"/>
      <c r="AKA453" s="131"/>
      <c r="AKB453" s="131"/>
      <c r="AKC453" s="131"/>
      <c r="AKD453" s="131"/>
      <c r="AKE453" s="131"/>
      <c r="AKF453" s="131"/>
      <c r="AKG453" s="131"/>
      <c r="AKH453" s="131"/>
      <c r="AKI453" s="131"/>
      <c r="AKJ453" s="131"/>
      <c r="AKK453" s="131"/>
      <c r="AKL453" s="131"/>
      <c r="AKM453" s="131"/>
      <c r="AKN453" s="131"/>
      <c r="AKO453" s="131"/>
      <c r="AKP453" s="131"/>
      <c r="AKQ453" s="131"/>
      <c r="AKR453" s="131"/>
      <c r="AKS453" s="131"/>
      <c r="AKT453" s="131"/>
      <c r="AKU453" s="131"/>
      <c r="AKV453" s="131"/>
      <c r="AKW453" s="131"/>
      <c r="AKX453" s="131"/>
      <c r="AKY453" s="131"/>
      <c r="AKZ453" s="131"/>
      <c r="ALA453" s="131"/>
      <c r="ALB453" s="131"/>
      <c r="ALC453" s="131"/>
      <c r="ALD453" s="131"/>
      <c r="ALE453" s="131"/>
      <c r="ALF453" s="131"/>
      <c r="ALG453" s="131"/>
      <c r="ALH453" s="131"/>
      <c r="ALI453" s="131"/>
      <c r="ALJ453" s="131"/>
      <c r="ALK453" s="131"/>
      <c r="ALL453" s="131"/>
      <c r="ALM453" s="131"/>
      <c r="ALN453" s="131"/>
      <c r="ALO453" s="131"/>
      <c r="ALP453" s="131"/>
      <c r="ALQ453" s="131"/>
      <c r="ALR453" s="131"/>
      <c r="ALS453" s="131"/>
      <c r="ALT453" s="131"/>
      <c r="ALU453" s="131"/>
      <c r="ALV453" s="131"/>
      <c r="ALW453" s="131"/>
      <c r="ALX453" s="131"/>
      <c r="ALY453" s="131"/>
      <c r="ALZ453" s="131"/>
      <c r="AMA453" s="131"/>
      <c r="AMB453" s="131"/>
      <c r="AMC453" s="131"/>
      <c r="AMD453" s="131"/>
      <c r="AME453" s="131"/>
      <c r="AMF453" s="131"/>
      <c r="AMG453" s="131"/>
      <c r="AMH453" s="131"/>
      <c r="AMI453" s="131"/>
      <c r="AMJ453" s="131"/>
      <c r="AMK453" s="131"/>
      <c r="AML453" s="131"/>
      <c r="AMM453" s="131"/>
      <c r="AMN453" s="131"/>
      <c r="AMO453" s="131"/>
      <c r="AMP453" s="131"/>
      <c r="AMQ453" s="131"/>
      <c r="AMR453" s="131"/>
      <c r="AMS453" s="131"/>
      <c r="AMT453" s="131"/>
      <c r="AMU453" s="131"/>
      <c r="AMV453" s="131"/>
      <c r="AMW453" s="131"/>
      <c r="AMX453" s="131"/>
      <c r="AMY453" s="131"/>
      <c r="AMZ453" s="131"/>
      <c r="ANA453" s="131"/>
      <c r="ANB453" s="131"/>
      <c r="ANC453" s="131"/>
      <c r="AND453" s="131"/>
      <c r="ANE453" s="131"/>
      <c r="ANF453" s="131"/>
      <c r="ANG453" s="131"/>
      <c r="ANH453" s="131"/>
      <c r="ANI453" s="131"/>
      <c r="ANJ453" s="131"/>
      <c r="ANK453" s="131"/>
      <c r="ANL453" s="131"/>
      <c r="ANM453" s="131"/>
      <c r="ANN453" s="131"/>
      <c r="ANO453" s="131"/>
      <c r="ANP453" s="131"/>
      <c r="ANQ453" s="131"/>
      <c r="ANR453" s="131"/>
      <c r="ANS453" s="131"/>
      <c r="ANT453" s="131"/>
      <c r="ANU453" s="131"/>
      <c r="ANV453" s="131"/>
      <c r="ANW453" s="131"/>
      <c r="ANX453" s="131"/>
      <c r="ANY453" s="131"/>
      <c r="ANZ453" s="131"/>
      <c r="AOA453" s="131"/>
      <c r="AOB453" s="131"/>
      <c r="AOC453" s="131"/>
      <c r="AOD453" s="131"/>
      <c r="AOE453" s="131"/>
      <c r="AOF453" s="131"/>
      <c r="AOG453" s="131"/>
      <c r="AOH453" s="131"/>
      <c r="AOI453" s="131"/>
      <c r="AOJ453" s="131"/>
      <c r="AOK453" s="131"/>
      <c r="AOL453" s="131"/>
      <c r="AOM453" s="131"/>
      <c r="AON453" s="131"/>
      <c r="AOO453" s="131"/>
      <c r="AOP453" s="131"/>
      <c r="AOQ453" s="131"/>
      <c r="AOR453" s="131"/>
      <c r="AOS453" s="131"/>
      <c r="AOT453" s="131"/>
      <c r="AOU453" s="131"/>
      <c r="AOV453" s="131"/>
      <c r="AOW453" s="131"/>
      <c r="AOX453" s="131"/>
      <c r="AOY453" s="131"/>
      <c r="AOZ453" s="131"/>
      <c r="APA453" s="131"/>
      <c r="APB453" s="131"/>
      <c r="APC453" s="131"/>
      <c r="APD453" s="131"/>
      <c r="APE453" s="131"/>
      <c r="APF453" s="131"/>
      <c r="APG453" s="131"/>
      <c r="APH453" s="131"/>
      <c r="API453" s="131"/>
      <c r="APJ453" s="131"/>
      <c r="APK453" s="131"/>
      <c r="APL453" s="131"/>
      <c r="APM453" s="131"/>
      <c r="APN453" s="131"/>
      <c r="APO453" s="131"/>
      <c r="APP453" s="131"/>
      <c r="APQ453" s="131"/>
      <c r="APR453" s="131"/>
      <c r="APS453" s="131"/>
      <c r="APT453" s="131"/>
      <c r="APU453" s="131"/>
      <c r="APV453" s="131"/>
      <c r="APW453" s="131"/>
      <c r="APX453" s="131"/>
      <c r="APY453" s="131"/>
      <c r="APZ453" s="131"/>
      <c r="AQA453" s="131"/>
      <c r="AQB453" s="131"/>
      <c r="AQC453" s="131"/>
      <c r="AQD453" s="131"/>
      <c r="AQE453" s="131"/>
      <c r="AQF453" s="131"/>
      <c r="AQG453" s="131"/>
      <c r="AQH453" s="131"/>
      <c r="AQI453" s="131"/>
      <c r="AQJ453" s="131"/>
      <c r="AQK453" s="131"/>
      <c r="AQL453" s="131"/>
      <c r="AQM453" s="131"/>
      <c r="AQN453" s="131"/>
      <c r="AQO453" s="131"/>
      <c r="AQP453" s="131"/>
      <c r="AQQ453" s="131"/>
      <c r="AQR453" s="131"/>
      <c r="AQS453" s="131"/>
      <c r="AQT453" s="131"/>
      <c r="AQU453" s="131"/>
      <c r="AQV453" s="131"/>
      <c r="AQW453" s="131"/>
      <c r="AQX453" s="131"/>
      <c r="AQY453" s="131"/>
      <c r="AQZ453" s="131"/>
      <c r="ARA453" s="131"/>
      <c r="ARB453" s="131"/>
      <c r="ARC453" s="131"/>
      <c r="ARD453" s="131"/>
      <c r="ARE453" s="131"/>
      <c r="ARF453" s="131"/>
      <c r="ARG453" s="131"/>
      <c r="ARH453" s="131"/>
      <c r="ARI453" s="131"/>
      <c r="ARJ453" s="131"/>
      <c r="ARK453" s="131"/>
      <c r="ARL453" s="131"/>
      <c r="ARM453" s="131"/>
      <c r="ARN453" s="131"/>
      <c r="ARO453" s="131"/>
      <c r="ARP453" s="131"/>
      <c r="ARQ453" s="131"/>
      <c r="ARR453" s="131"/>
      <c r="ARS453" s="131"/>
      <c r="ART453" s="131"/>
      <c r="ARU453" s="131"/>
      <c r="ARV453" s="131"/>
      <c r="ARW453" s="131"/>
      <c r="ARX453" s="131"/>
      <c r="ARY453" s="131"/>
      <c r="ARZ453" s="131"/>
      <c r="ASA453" s="131"/>
      <c r="ASB453" s="131"/>
      <c r="ASC453" s="131"/>
      <c r="ASD453" s="131"/>
      <c r="ASE453" s="131"/>
      <c r="ASF453" s="131"/>
      <c r="ASG453" s="131"/>
      <c r="ASH453" s="131"/>
      <c r="ASI453" s="131"/>
      <c r="ASJ453" s="131"/>
      <c r="ASK453" s="131"/>
      <c r="ASL453" s="131"/>
      <c r="ASM453" s="131"/>
      <c r="ASN453" s="131"/>
      <c r="ASO453" s="131"/>
      <c r="ASP453" s="131"/>
      <c r="ASQ453" s="131"/>
      <c r="ASR453" s="131"/>
      <c r="ASS453" s="131"/>
      <c r="AST453" s="131"/>
      <c r="ASU453" s="131"/>
      <c r="ASV453" s="131"/>
      <c r="ASW453" s="131"/>
      <c r="ASX453" s="131"/>
      <c r="ASY453" s="131"/>
      <c r="ASZ453" s="131"/>
      <c r="ATA453" s="131"/>
      <c r="ATB453" s="131"/>
      <c r="ATC453" s="131"/>
    </row>
    <row r="454" spans="1:1199" ht="50.1" customHeight="1" outlineLevel="2" x14ac:dyDescent="0.3">
      <c r="A454" s="96" t="s">
        <v>440</v>
      </c>
      <c r="B454" s="96" t="s">
        <v>441</v>
      </c>
      <c r="C454" s="79" t="s">
        <v>37</v>
      </c>
      <c r="D454" s="81">
        <f t="shared" ref="D454" si="103">E454+F454</f>
        <v>461.00556999999998</v>
      </c>
      <c r="E454" s="82">
        <f t="shared" si="99"/>
        <v>81.530469999999994</v>
      </c>
      <c r="F454" s="83">
        <f t="shared" si="97"/>
        <v>379.4751</v>
      </c>
      <c r="G454" s="84"/>
      <c r="H454" s="85"/>
      <c r="I454" s="85"/>
      <c r="J454" s="84"/>
      <c r="K454" s="85"/>
      <c r="L454" s="85"/>
      <c r="M454" s="85"/>
      <c r="N454" s="85"/>
      <c r="O454" s="82"/>
      <c r="P454" s="83"/>
      <c r="Q454" s="83"/>
      <c r="R454" s="83"/>
      <c r="S454" s="82"/>
      <c r="T454" s="83"/>
      <c r="U454" s="83"/>
      <c r="V454" s="84">
        <v>6.7260299999999997</v>
      </c>
      <c r="W454" s="85">
        <v>11.287409999999999</v>
      </c>
      <c r="X454" s="87"/>
      <c r="Y454" s="83">
        <v>56.16</v>
      </c>
      <c r="Z454" s="84"/>
      <c r="AA454" s="85"/>
      <c r="AB454" s="84"/>
      <c r="AC454" s="85"/>
      <c r="AD454" s="89">
        <f t="shared" si="98"/>
        <v>11.10812</v>
      </c>
      <c r="AE454" s="89">
        <v>4.2981999999999996</v>
      </c>
      <c r="AF454" s="186">
        <v>6.80992</v>
      </c>
      <c r="AG454" s="85"/>
      <c r="AH454" s="85"/>
      <c r="AI454" s="85"/>
      <c r="AJ454" s="84"/>
      <c r="AK454" s="85"/>
      <c r="AL454" s="84"/>
      <c r="AM454" s="88"/>
      <c r="AN454" s="84"/>
      <c r="AO454" s="85"/>
      <c r="AP454" s="84"/>
      <c r="AQ454" s="83"/>
      <c r="AR454" s="83"/>
      <c r="AS454" s="83"/>
      <c r="AT454" s="85"/>
      <c r="AU454" s="85"/>
      <c r="AV454" s="85"/>
      <c r="AW454" s="88"/>
      <c r="AX454" s="84"/>
      <c r="AY454" s="85"/>
      <c r="AZ454" s="84">
        <v>74.80444</v>
      </c>
      <c r="BA454" s="85">
        <v>67.741630000000001</v>
      </c>
      <c r="BB454" s="88"/>
      <c r="BC454" s="85"/>
      <c r="BD454" s="84"/>
      <c r="BE454" s="88"/>
      <c r="BF454" s="85"/>
      <c r="BG454" s="85"/>
      <c r="BH454" s="85"/>
      <c r="BI454" s="85"/>
      <c r="BJ454" s="85"/>
      <c r="BK454" s="85">
        <v>233.17794000000001</v>
      </c>
      <c r="BL454" s="85"/>
      <c r="BM454" s="85"/>
      <c r="BN454" s="85"/>
      <c r="BO454" s="85"/>
      <c r="BP454" s="85"/>
      <c r="BQ454" s="85"/>
      <c r="BR454" s="84"/>
      <c r="BS454" s="85"/>
      <c r="BT454" s="85"/>
      <c r="BU454" s="198"/>
      <c r="BV454" s="90"/>
      <c r="BW454" s="198"/>
      <c r="BX454" s="90"/>
      <c r="BY454" s="198"/>
      <c r="BZ454" s="90"/>
      <c r="CA454" s="91"/>
    </row>
    <row r="455" spans="1:1199" ht="50.1" customHeight="1" outlineLevel="2" x14ac:dyDescent="0.3">
      <c r="A455" s="103" t="s">
        <v>440</v>
      </c>
      <c r="B455" s="96" t="s">
        <v>442</v>
      </c>
      <c r="C455" s="79" t="s">
        <v>37</v>
      </c>
      <c r="D455" s="81">
        <f t="shared" ref="D455:D460" si="104">E455+F455</f>
        <v>2064.4887600000002</v>
      </c>
      <c r="E455" s="82">
        <f t="shared" si="99"/>
        <v>732.43632000000002</v>
      </c>
      <c r="F455" s="83">
        <f t="shared" si="97"/>
        <v>1332.0524399999999</v>
      </c>
      <c r="G455" s="84"/>
      <c r="H455" s="85"/>
      <c r="I455" s="85"/>
      <c r="J455" s="84"/>
      <c r="K455" s="85"/>
      <c r="L455" s="85"/>
      <c r="M455" s="85"/>
      <c r="N455" s="85"/>
      <c r="O455" s="82"/>
      <c r="P455" s="83"/>
      <c r="Q455" s="83"/>
      <c r="R455" s="83"/>
      <c r="S455" s="82"/>
      <c r="T455" s="83"/>
      <c r="U455" s="83"/>
      <c r="V455" s="84">
        <v>23.195</v>
      </c>
      <c r="W455" s="85">
        <v>40.5</v>
      </c>
      <c r="X455" s="87"/>
      <c r="Y455" s="83">
        <v>280.02</v>
      </c>
      <c r="Z455" s="84"/>
      <c r="AA455" s="85"/>
      <c r="AB455" s="84"/>
      <c r="AC455" s="85"/>
      <c r="AD455" s="89">
        <f t="shared" si="98"/>
        <v>88.602279999999993</v>
      </c>
      <c r="AE455" s="89">
        <v>56.498399999999997</v>
      </c>
      <c r="AF455" s="186">
        <v>32.103879999999997</v>
      </c>
      <c r="AG455" s="85"/>
      <c r="AH455" s="85"/>
      <c r="AI455" s="85"/>
      <c r="AJ455" s="84"/>
      <c r="AK455" s="85"/>
      <c r="AL455" s="84"/>
      <c r="AM455" s="88"/>
      <c r="AN455" s="84"/>
      <c r="AO455" s="85"/>
      <c r="AP455" s="84">
        <v>181.59125</v>
      </c>
      <c r="AQ455" s="83">
        <v>445.10050999999999</v>
      </c>
      <c r="AR455" s="83"/>
      <c r="AS455" s="83"/>
      <c r="AT455" s="85"/>
      <c r="AU455" s="85"/>
      <c r="AV455" s="85"/>
      <c r="AW455" s="88"/>
      <c r="AX455" s="84"/>
      <c r="AY455" s="85"/>
      <c r="AZ455" s="84">
        <v>527.65007000000003</v>
      </c>
      <c r="BA455" s="85">
        <v>477.82965000000002</v>
      </c>
      <c r="BB455" s="88"/>
      <c r="BC455" s="85"/>
      <c r="BD455" s="84"/>
      <c r="BE455" s="88"/>
      <c r="BF455" s="85"/>
      <c r="BG455" s="85"/>
      <c r="BH455" s="85"/>
      <c r="BI455" s="85"/>
      <c r="BJ455" s="85"/>
      <c r="BK455" s="85"/>
      <c r="BL455" s="85"/>
      <c r="BM455" s="85"/>
      <c r="BN455" s="85"/>
      <c r="BO455" s="85"/>
      <c r="BP455" s="85"/>
      <c r="BQ455" s="85"/>
      <c r="BR455" s="84"/>
      <c r="BS455" s="85"/>
      <c r="BT455" s="85"/>
      <c r="BU455" s="198"/>
      <c r="BV455" s="90"/>
      <c r="BW455" s="198"/>
      <c r="BX455" s="90"/>
      <c r="BY455" s="198"/>
      <c r="BZ455" s="90"/>
      <c r="CA455" s="91"/>
    </row>
    <row r="456" spans="1:1199" ht="50.1" customHeight="1" outlineLevel="2" x14ac:dyDescent="0.3">
      <c r="A456" s="96" t="s">
        <v>440</v>
      </c>
      <c r="B456" s="96" t="s">
        <v>443</v>
      </c>
      <c r="C456" s="119" t="s">
        <v>55</v>
      </c>
      <c r="D456" s="81">
        <f t="shared" si="104"/>
        <v>51.846010000000007</v>
      </c>
      <c r="E456" s="82">
        <f t="shared" si="99"/>
        <v>16.565020000000001</v>
      </c>
      <c r="F456" s="83">
        <f t="shared" si="97"/>
        <v>35.280990000000003</v>
      </c>
      <c r="G456" s="84"/>
      <c r="H456" s="85"/>
      <c r="I456" s="85"/>
      <c r="J456" s="84"/>
      <c r="K456" s="85"/>
      <c r="L456" s="85"/>
      <c r="M456" s="85"/>
      <c r="N456" s="85"/>
      <c r="O456" s="82"/>
      <c r="P456" s="83"/>
      <c r="Q456" s="83"/>
      <c r="R456" s="83"/>
      <c r="S456" s="82"/>
      <c r="T456" s="83"/>
      <c r="U456" s="83"/>
      <c r="V456" s="84"/>
      <c r="W456" s="85"/>
      <c r="X456" s="87"/>
      <c r="Y456" s="83">
        <v>20.28</v>
      </c>
      <c r="Z456" s="84"/>
      <c r="AA456" s="85"/>
      <c r="AB456" s="84"/>
      <c r="AC456" s="85"/>
      <c r="AD456" s="89">
        <f t="shared" si="98"/>
        <v>0</v>
      </c>
      <c r="AE456" s="89"/>
      <c r="AF456" s="186"/>
      <c r="AG456" s="85"/>
      <c r="AH456" s="85"/>
      <c r="AI456" s="85"/>
      <c r="AJ456" s="84"/>
      <c r="AK456" s="85"/>
      <c r="AL456" s="84"/>
      <c r="AM456" s="88"/>
      <c r="AN456" s="84"/>
      <c r="AO456" s="85"/>
      <c r="AP456" s="84"/>
      <c r="AQ456" s="83"/>
      <c r="AR456" s="83"/>
      <c r="AS456" s="83"/>
      <c r="AT456" s="85"/>
      <c r="AU456" s="85"/>
      <c r="AV456" s="85"/>
      <c r="AW456" s="88"/>
      <c r="AX456" s="84"/>
      <c r="AY456" s="85"/>
      <c r="AZ456" s="84">
        <v>16.565020000000001</v>
      </c>
      <c r="BA456" s="85">
        <v>15.00099</v>
      </c>
      <c r="BB456" s="88"/>
      <c r="BC456" s="85"/>
      <c r="BD456" s="84"/>
      <c r="BE456" s="88"/>
      <c r="BF456" s="85"/>
      <c r="BG456" s="85"/>
      <c r="BH456" s="85"/>
      <c r="BI456" s="85"/>
      <c r="BJ456" s="85"/>
      <c r="BK456" s="85"/>
      <c r="BL456" s="85"/>
      <c r="BM456" s="85"/>
      <c r="BN456" s="85"/>
      <c r="BO456" s="85"/>
      <c r="BP456" s="85"/>
      <c r="BQ456" s="85"/>
      <c r="BR456" s="84"/>
      <c r="BS456" s="85"/>
      <c r="BT456" s="85"/>
      <c r="BU456" s="198"/>
      <c r="BV456" s="90"/>
      <c r="BW456" s="198"/>
      <c r="BX456" s="90"/>
      <c r="BY456" s="198"/>
      <c r="BZ456" s="90"/>
      <c r="CA456" s="91"/>
    </row>
    <row r="457" spans="1:1199" ht="50.1" customHeight="1" outlineLevel="2" x14ac:dyDescent="0.3">
      <c r="A457" s="96" t="s">
        <v>440</v>
      </c>
      <c r="B457" s="96" t="s">
        <v>444</v>
      </c>
      <c r="C457" s="119" t="s">
        <v>55</v>
      </c>
      <c r="D457" s="81">
        <f t="shared" si="104"/>
        <v>197.80018999999999</v>
      </c>
      <c r="E457" s="82">
        <f t="shared" si="99"/>
        <v>22.537099999999999</v>
      </c>
      <c r="F457" s="83">
        <f t="shared" si="97"/>
        <v>175.26308999999998</v>
      </c>
      <c r="G457" s="84"/>
      <c r="H457" s="85"/>
      <c r="I457" s="85"/>
      <c r="J457" s="84"/>
      <c r="K457" s="85"/>
      <c r="L457" s="85"/>
      <c r="M457" s="85"/>
      <c r="N457" s="85"/>
      <c r="O457" s="82"/>
      <c r="P457" s="83"/>
      <c r="Q457" s="83"/>
      <c r="R457" s="83"/>
      <c r="S457" s="82"/>
      <c r="T457" s="83"/>
      <c r="U457" s="83"/>
      <c r="V457" s="84"/>
      <c r="W457" s="85"/>
      <c r="X457" s="87"/>
      <c r="Y457" s="83">
        <v>31.2</v>
      </c>
      <c r="Z457" s="84"/>
      <c r="AA457" s="85"/>
      <c r="AB457" s="84"/>
      <c r="AC457" s="85"/>
      <c r="AD457" s="89">
        <f t="shared" si="98"/>
        <v>10.953679999999999</v>
      </c>
      <c r="AE457" s="89">
        <v>7.0622999999999996</v>
      </c>
      <c r="AF457" s="186">
        <v>3.8913799999999998</v>
      </c>
      <c r="AG457" s="85"/>
      <c r="AH457" s="85"/>
      <c r="AI457" s="85"/>
      <c r="AJ457" s="84"/>
      <c r="AK457" s="85"/>
      <c r="AL457" s="84"/>
      <c r="AM457" s="88"/>
      <c r="AN457" s="84"/>
      <c r="AO457" s="85"/>
      <c r="AP457" s="84"/>
      <c r="AQ457" s="83"/>
      <c r="AR457" s="83"/>
      <c r="AS457" s="83"/>
      <c r="AT457" s="85"/>
      <c r="AU457" s="85"/>
      <c r="AV457" s="85"/>
      <c r="AW457" s="88"/>
      <c r="AX457" s="84"/>
      <c r="AY457" s="85"/>
      <c r="AZ457" s="84">
        <v>22.537099999999999</v>
      </c>
      <c r="BA457" s="85">
        <v>20.409099999999999</v>
      </c>
      <c r="BB457" s="88"/>
      <c r="BC457" s="85"/>
      <c r="BD457" s="84"/>
      <c r="BE457" s="88"/>
      <c r="BF457" s="85"/>
      <c r="BG457" s="85"/>
      <c r="BH457" s="85"/>
      <c r="BI457" s="85"/>
      <c r="BJ457" s="85"/>
      <c r="BK457" s="85"/>
      <c r="BL457" s="85"/>
      <c r="BM457" s="85"/>
      <c r="BN457" s="85"/>
      <c r="BO457" s="85"/>
      <c r="BP457" s="85"/>
      <c r="BQ457" s="85"/>
      <c r="BR457" s="84"/>
      <c r="BS457" s="85"/>
      <c r="BT457" s="85"/>
      <c r="BU457" s="97">
        <v>112.70031</v>
      </c>
      <c r="BV457" s="90"/>
      <c r="BW457" s="198"/>
      <c r="BX457" s="90"/>
      <c r="BY457" s="198"/>
      <c r="BZ457" s="90"/>
      <c r="CA457" s="91"/>
    </row>
    <row r="458" spans="1:1199" ht="50.1" customHeight="1" outlineLevel="2" x14ac:dyDescent="0.3">
      <c r="A458" s="103" t="s">
        <v>440</v>
      </c>
      <c r="B458" s="96" t="s">
        <v>445</v>
      </c>
      <c r="C458" s="79" t="s">
        <v>53</v>
      </c>
      <c r="D458" s="81">
        <f t="shared" si="104"/>
        <v>690.03381999999999</v>
      </c>
      <c r="E458" s="82">
        <f t="shared" si="99"/>
        <v>178.33350000000002</v>
      </c>
      <c r="F458" s="83">
        <f t="shared" si="97"/>
        <v>511.70031999999998</v>
      </c>
      <c r="G458" s="84"/>
      <c r="H458" s="85"/>
      <c r="I458" s="85"/>
      <c r="J458" s="84"/>
      <c r="K458" s="85"/>
      <c r="L458" s="85"/>
      <c r="M458" s="85"/>
      <c r="N458" s="85"/>
      <c r="O458" s="82"/>
      <c r="P458" s="83"/>
      <c r="Q458" s="83"/>
      <c r="R458" s="83"/>
      <c r="S458" s="82"/>
      <c r="T458" s="83"/>
      <c r="U458" s="83"/>
      <c r="V458" s="84"/>
      <c r="W458" s="85"/>
      <c r="X458" s="87"/>
      <c r="Y458" s="83">
        <v>129.94800000000001</v>
      </c>
      <c r="Z458" s="84"/>
      <c r="AA458" s="85"/>
      <c r="AB458" s="84"/>
      <c r="AC458" s="85"/>
      <c r="AD458" s="89">
        <f t="shared" si="98"/>
        <v>18.12144</v>
      </c>
      <c r="AE458" s="89">
        <v>6.4473000000000003</v>
      </c>
      <c r="AF458" s="186">
        <v>11.67414</v>
      </c>
      <c r="AG458" s="85"/>
      <c r="AH458" s="85"/>
      <c r="AI458" s="85"/>
      <c r="AJ458" s="84"/>
      <c r="AK458" s="85"/>
      <c r="AL458" s="84"/>
      <c r="AM458" s="88"/>
      <c r="AN458" s="84"/>
      <c r="AO458" s="85"/>
      <c r="AP458" s="84">
        <v>86.154020000000003</v>
      </c>
      <c r="AQ458" s="83">
        <v>280.15476000000001</v>
      </c>
      <c r="AR458" s="83"/>
      <c r="AS458" s="83"/>
      <c r="AT458" s="85"/>
      <c r="AU458" s="85"/>
      <c r="AV458" s="85"/>
      <c r="AW458" s="88"/>
      <c r="AX458" s="84"/>
      <c r="AY458" s="85"/>
      <c r="AZ458" s="84">
        <v>92.179479999999998</v>
      </c>
      <c r="BA458" s="85">
        <v>83.476119999999995</v>
      </c>
      <c r="BB458" s="88"/>
      <c r="BC458" s="85"/>
      <c r="BD458" s="84"/>
      <c r="BE458" s="88"/>
      <c r="BF458" s="85"/>
      <c r="BG458" s="85"/>
      <c r="BH458" s="85"/>
      <c r="BI458" s="85"/>
      <c r="BJ458" s="85"/>
      <c r="BK458" s="85"/>
      <c r="BL458" s="85"/>
      <c r="BM458" s="85"/>
      <c r="BN458" s="85"/>
      <c r="BO458" s="85"/>
      <c r="BP458" s="85"/>
      <c r="BQ458" s="85"/>
      <c r="BR458" s="84"/>
      <c r="BS458" s="85"/>
      <c r="BT458" s="85"/>
      <c r="BU458" s="198"/>
      <c r="BV458" s="90"/>
      <c r="BW458" s="198"/>
      <c r="BX458" s="90"/>
      <c r="BY458" s="198"/>
      <c r="BZ458" s="90"/>
      <c r="CA458" s="91"/>
    </row>
    <row r="459" spans="1:1199" ht="50.1" customHeight="1" outlineLevel="2" x14ac:dyDescent="0.3">
      <c r="A459" s="96" t="s">
        <v>440</v>
      </c>
      <c r="B459" s="96" t="s">
        <v>446</v>
      </c>
      <c r="C459" s="79" t="s">
        <v>53</v>
      </c>
      <c r="D459" s="81">
        <f t="shared" si="104"/>
        <v>4.8642200000000004</v>
      </c>
      <c r="E459" s="82">
        <f t="shared" si="99"/>
        <v>0</v>
      </c>
      <c r="F459" s="83">
        <f t="shared" si="97"/>
        <v>4.8642200000000004</v>
      </c>
      <c r="G459" s="84"/>
      <c r="H459" s="85"/>
      <c r="I459" s="85"/>
      <c r="J459" s="84"/>
      <c r="K459" s="85"/>
      <c r="L459" s="85"/>
      <c r="M459" s="85"/>
      <c r="N459" s="85"/>
      <c r="O459" s="82"/>
      <c r="P459" s="83"/>
      <c r="Q459" s="83"/>
      <c r="R459" s="83"/>
      <c r="S459" s="82"/>
      <c r="T459" s="83"/>
      <c r="U459" s="83"/>
      <c r="V459" s="84"/>
      <c r="W459" s="85"/>
      <c r="X459" s="87"/>
      <c r="Y459" s="83"/>
      <c r="Z459" s="84"/>
      <c r="AA459" s="85"/>
      <c r="AB459" s="84"/>
      <c r="AC459" s="85"/>
      <c r="AD459" s="89">
        <f t="shared" si="98"/>
        <v>4.8642200000000004</v>
      </c>
      <c r="AE459" s="89"/>
      <c r="AF459" s="186">
        <v>4.8642200000000004</v>
      </c>
      <c r="AG459" s="85"/>
      <c r="AH459" s="85"/>
      <c r="AI459" s="85"/>
      <c r="AJ459" s="84"/>
      <c r="AK459" s="85"/>
      <c r="AL459" s="84"/>
      <c r="AM459" s="88"/>
      <c r="AN459" s="84"/>
      <c r="AO459" s="85"/>
      <c r="AP459" s="84"/>
      <c r="AQ459" s="83"/>
      <c r="AR459" s="83"/>
      <c r="AS459" s="83"/>
      <c r="AT459" s="85"/>
      <c r="AU459" s="85"/>
      <c r="AV459" s="85"/>
      <c r="AW459" s="88"/>
      <c r="AX459" s="84"/>
      <c r="AY459" s="85"/>
      <c r="AZ459" s="84"/>
      <c r="BA459" s="85"/>
      <c r="BB459" s="88"/>
      <c r="BC459" s="85"/>
      <c r="BD459" s="84"/>
      <c r="BE459" s="88"/>
      <c r="BF459" s="85"/>
      <c r="BG459" s="85"/>
      <c r="BH459" s="85"/>
      <c r="BI459" s="85"/>
      <c r="BJ459" s="85"/>
      <c r="BK459" s="85"/>
      <c r="BL459" s="85"/>
      <c r="BM459" s="85"/>
      <c r="BN459" s="85"/>
      <c r="BO459" s="85"/>
      <c r="BP459" s="85"/>
      <c r="BQ459" s="85"/>
      <c r="BR459" s="84"/>
      <c r="BS459" s="85"/>
      <c r="BT459" s="85"/>
      <c r="BU459" s="198"/>
      <c r="BV459" s="90"/>
      <c r="BW459" s="198"/>
      <c r="BX459" s="90"/>
      <c r="BY459" s="198"/>
      <c r="BZ459" s="90"/>
      <c r="CA459" s="91"/>
    </row>
    <row r="460" spans="1:1199" ht="50.1" customHeight="1" outlineLevel="2" x14ac:dyDescent="0.3">
      <c r="A460" s="96" t="s">
        <v>440</v>
      </c>
      <c r="B460" s="96" t="s">
        <v>447</v>
      </c>
      <c r="C460" s="79" t="s">
        <v>55</v>
      </c>
      <c r="D460" s="81">
        <f t="shared" si="104"/>
        <v>37.004799999999996</v>
      </c>
      <c r="E460" s="82">
        <f t="shared" si="99"/>
        <v>0</v>
      </c>
      <c r="F460" s="83">
        <f t="shared" ref="F460:F512" si="105">H460+I460+K460+L460+M460+N460+P460+Q460+R460+T460+U460+W460+Y460+AA460+AC460+AD460+AG460+AH460+AI460+AK460+AM460+AO460+AQ460+AR460+AS460+AT460+AU460+AV460+AW460+AY460+BA460+BB460+BC460+BE460+BF460+BG460+BH460+BI460+BJ460+BK460+BL460+BO460+BP460+BQ460+BS460+BT460+BU460+BW460+BY460+CA460+BM460+BN460</f>
        <v>37.004799999999996</v>
      </c>
      <c r="G460" s="84"/>
      <c r="H460" s="85"/>
      <c r="I460" s="85"/>
      <c r="J460" s="84"/>
      <c r="K460" s="85"/>
      <c r="L460" s="85"/>
      <c r="M460" s="85"/>
      <c r="N460" s="85"/>
      <c r="O460" s="82"/>
      <c r="P460" s="83"/>
      <c r="Q460" s="83"/>
      <c r="R460" s="83"/>
      <c r="S460" s="82"/>
      <c r="T460" s="83"/>
      <c r="U460" s="83"/>
      <c r="V460" s="84"/>
      <c r="W460" s="85"/>
      <c r="X460" s="87"/>
      <c r="Y460" s="83"/>
      <c r="Z460" s="84"/>
      <c r="AA460" s="85"/>
      <c r="AB460" s="84"/>
      <c r="AC460" s="85"/>
      <c r="AD460" s="89">
        <f t="shared" si="98"/>
        <v>37.004799999999996</v>
      </c>
      <c r="AE460" s="89">
        <v>28.249199999999998</v>
      </c>
      <c r="AF460" s="186">
        <v>8.7555999999999994</v>
      </c>
      <c r="AG460" s="85"/>
      <c r="AH460" s="85"/>
      <c r="AI460" s="85"/>
      <c r="AJ460" s="84"/>
      <c r="AK460" s="85"/>
      <c r="AL460" s="84"/>
      <c r="AM460" s="88"/>
      <c r="AN460" s="84"/>
      <c r="AO460" s="85"/>
      <c r="AP460" s="84"/>
      <c r="AQ460" s="83"/>
      <c r="AR460" s="83"/>
      <c r="AS460" s="83"/>
      <c r="AT460" s="85"/>
      <c r="AU460" s="85"/>
      <c r="AV460" s="85"/>
      <c r="AW460" s="88"/>
      <c r="AX460" s="84"/>
      <c r="AY460" s="85"/>
      <c r="AZ460" s="84"/>
      <c r="BA460" s="85"/>
      <c r="BB460" s="88"/>
      <c r="BC460" s="85"/>
      <c r="BD460" s="84"/>
      <c r="BE460" s="88"/>
      <c r="BF460" s="85"/>
      <c r="BG460" s="85"/>
      <c r="BH460" s="85"/>
      <c r="BI460" s="85"/>
      <c r="BJ460" s="85"/>
      <c r="BK460" s="85"/>
      <c r="BL460" s="85"/>
      <c r="BM460" s="85"/>
      <c r="BN460" s="85"/>
      <c r="BO460" s="85"/>
      <c r="BP460" s="85"/>
      <c r="BQ460" s="85"/>
      <c r="BR460" s="84"/>
      <c r="BS460" s="85"/>
      <c r="BT460" s="85"/>
      <c r="BU460" s="198"/>
      <c r="BV460" s="90"/>
      <c r="BW460" s="198"/>
      <c r="BX460" s="90"/>
      <c r="BY460" s="198"/>
      <c r="BZ460" s="90"/>
      <c r="CA460" s="91"/>
    </row>
    <row r="461" spans="1:1199" s="101" customFormat="1" ht="50.1" customHeight="1" outlineLevel="1" x14ac:dyDescent="0.3">
      <c r="A461" s="132" t="s">
        <v>448</v>
      </c>
      <c r="B461" s="229"/>
      <c r="C461" s="134" t="s">
        <v>94</v>
      </c>
      <c r="D461" s="114">
        <f t="shared" ref="D461:AI461" si="106">SUBTOTAL(9,D454:D460)</f>
        <v>3507.0433700000003</v>
      </c>
      <c r="E461" s="114">
        <f t="shared" si="106"/>
        <v>1031.4024100000001</v>
      </c>
      <c r="F461" s="114">
        <f t="shared" si="106"/>
        <v>2475.6409600000002</v>
      </c>
      <c r="G461" s="114">
        <f t="shared" si="106"/>
        <v>0</v>
      </c>
      <c r="H461" s="114">
        <f t="shared" si="106"/>
        <v>0</v>
      </c>
      <c r="I461" s="114">
        <f t="shared" si="106"/>
        <v>0</v>
      </c>
      <c r="J461" s="114">
        <f t="shared" si="106"/>
        <v>0</v>
      </c>
      <c r="K461" s="114">
        <f t="shared" si="106"/>
        <v>0</v>
      </c>
      <c r="L461" s="114">
        <f t="shared" si="106"/>
        <v>0</v>
      </c>
      <c r="M461" s="114">
        <f t="shared" si="106"/>
        <v>0</v>
      </c>
      <c r="N461" s="114">
        <f t="shared" si="106"/>
        <v>0</v>
      </c>
      <c r="O461" s="114">
        <f t="shared" si="106"/>
        <v>0</v>
      </c>
      <c r="P461" s="114">
        <f t="shared" si="106"/>
        <v>0</v>
      </c>
      <c r="Q461" s="114">
        <f t="shared" si="106"/>
        <v>0</v>
      </c>
      <c r="R461" s="114">
        <f t="shared" si="106"/>
        <v>0</v>
      </c>
      <c r="S461" s="114">
        <f t="shared" si="106"/>
        <v>0</v>
      </c>
      <c r="T461" s="114">
        <f t="shared" si="106"/>
        <v>0</v>
      </c>
      <c r="U461" s="114">
        <f t="shared" si="106"/>
        <v>0</v>
      </c>
      <c r="V461" s="114">
        <f t="shared" si="106"/>
        <v>29.921030000000002</v>
      </c>
      <c r="W461" s="114">
        <f t="shared" si="106"/>
        <v>51.787410000000001</v>
      </c>
      <c r="X461" s="114">
        <f t="shared" si="106"/>
        <v>0</v>
      </c>
      <c r="Y461" s="114">
        <f t="shared" si="106"/>
        <v>517.60799999999995</v>
      </c>
      <c r="Z461" s="114">
        <f t="shared" si="106"/>
        <v>0</v>
      </c>
      <c r="AA461" s="114">
        <f t="shared" si="106"/>
        <v>0</v>
      </c>
      <c r="AB461" s="114">
        <f t="shared" si="106"/>
        <v>0</v>
      </c>
      <c r="AC461" s="114">
        <f t="shared" si="106"/>
        <v>0</v>
      </c>
      <c r="AD461" s="114">
        <f t="shared" si="106"/>
        <v>170.65453999999997</v>
      </c>
      <c r="AE461" s="114">
        <f t="shared" si="106"/>
        <v>102.55539999999999</v>
      </c>
      <c r="AF461" s="191">
        <f t="shared" si="106"/>
        <v>68.099139999999991</v>
      </c>
      <c r="AG461" s="114">
        <f t="shared" si="106"/>
        <v>0</v>
      </c>
      <c r="AH461" s="114">
        <f t="shared" si="106"/>
        <v>0</v>
      </c>
      <c r="AI461" s="114">
        <f t="shared" si="106"/>
        <v>0</v>
      </c>
      <c r="AJ461" s="114">
        <f t="shared" ref="AJ461:BO461" si="107">SUBTOTAL(9,AJ454:AJ460)</f>
        <v>0</v>
      </c>
      <c r="AK461" s="114">
        <f t="shared" si="107"/>
        <v>0</v>
      </c>
      <c r="AL461" s="114">
        <f t="shared" si="107"/>
        <v>0</v>
      </c>
      <c r="AM461" s="114">
        <f t="shared" si="107"/>
        <v>0</v>
      </c>
      <c r="AN461" s="114">
        <f t="shared" si="107"/>
        <v>0</v>
      </c>
      <c r="AO461" s="114">
        <f t="shared" si="107"/>
        <v>0</v>
      </c>
      <c r="AP461" s="114">
        <f t="shared" si="107"/>
        <v>267.74527</v>
      </c>
      <c r="AQ461" s="114">
        <f t="shared" si="107"/>
        <v>725.25527</v>
      </c>
      <c r="AR461" s="114">
        <f t="shared" si="107"/>
        <v>0</v>
      </c>
      <c r="AS461" s="114">
        <f t="shared" si="107"/>
        <v>0</v>
      </c>
      <c r="AT461" s="114">
        <f t="shared" si="107"/>
        <v>0</v>
      </c>
      <c r="AU461" s="114">
        <f t="shared" si="107"/>
        <v>0</v>
      </c>
      <c r="AV461" s="114">
        <f t="shared" si="107"/>
        <v>0</v>
      </c>
      <c r="AW461" s="114">
        <f t="shared" si="107"/>
        <v>0</v>
      </c>
      <c r="AX461" s="114">
        <f t="shared" si="107"/>
        <v>0</v>
      </c>
      <c r="AY461" s="114">
        <f t="shared" si="107"/>
        <v>0</v>
      </c>
      <c r="AZ461" s="114">
        <f t="shared" si="107"/>
        <v>733.73611000000005</v>
      </c>
      <c r="BA461" s="114">
        <f t="shared" si="107"/>
        <v>664.45749000000001</v>
      </c>
      <c r="BB461" s="114">
        <f t="shared" si="107"/>
        <v>0</v>
      </c>
      <c r="BC461" s="114">
        <f t="shared" si="107"/>
        <v>0</v>
      </c>
      <c r="BD461" s="114">
        <f t="shared" si="107"/>
        <v>0</v>
      </c>
      <c r="BE461" s="114">
        <f t="shared" si="107"/>
        <v>0</v>
      </c>
      <c r="BF461" s="114">
        <f t="shared" si="107"/>
        <v>0</v>
      </c>
      <c r="BG461" s="114">
        <f t="shared" si="107"/>
        <v>0</v>
      </c>
      <c r="BH461" s="114">
        <f t="shared" si="107"/>
        <v>0</v>
      </c>
      <c r="BI461" s="114">
        <f t="shared" si="107"/>
        <v>0</v>
      </c>
      <c r="BJ461" s="114">
        <f t="shared" si="107"/>
        <v>0</v>
      </c>
      <c r="BK461" s="114">
        <f t="shared" si="107"/>
        <v>233.17794000000001</v>
      </c>
      <c r="BL461" s="114">
        <f t="shared" si="107"/>
        <v>0</v>
      </c>
      <c r="BM461" s="114">
        <f t="shared" si="107"/>
        <v>0</v>
      </c>
      <c r="BN461" s="114">
        <f t="shared" si="107"/>
        <v>0</v>
      </c>
      <c r="BO461" s="114">
        <f t="shared" si="107"/>
        <v>0</v>
      </c>
      <c r="BP461" s="114">
        <f t="shared" ref="BP461:CU461" si="108">SUBTOTAL(9,BP454:BP460)</f>
        <v>0</v>
      </c>
      <c r="BQ461" s="114">
        <f t="shared" si="108"/>
        <v>0</v>
      </c>
      <c r="BR461" s="114">
        <f t="shared" si="108"/>
        <v>0</v>
      </c>
      <c r="BS461" s="114">
        <f t="shared" si="108"/>
        <v>0</v>
      </c>
      <c r="BT461" s="114">
        <f t="shared" si="108"/>
        <v>0</v>
      </c>
      <c r="BU461" s="114">
        <f t="shared" si="108"/>
        <v>112.70031</v>
      </c>
      <c r="BV461" s="114">
        <f t="shared" si="108"/>
        <v>0</v>
      </c>
      <c r="BW461" s="114">
        <f t="shared" si="108"/>
        <v>0</v>
      </c>
      <c r="BX461" s="114">
        <f t="shared" si="108"/>
        <v>0</v>
      </c>
      <c r="BY461" s="114">
        <f t="shared" si="108"/>
        <v>0</v>
      </c>
      <c r="BZ461" s="114">
        <f t="shared" si="108"/>
        <v>0</v>
      </c>
      <c r="CA461" s="114">
        <f t="shared" si="108"/>
        <v>0</v>
      </c>
      <c r="CB461" s="176"/>
      <c r="CC461" s="176"/>
      <c r="CD461" s="176"/>
      <c r="CE461" s="176"/>
      <c r="CF461" s="176"/>
      <c r="CG461" s="176"/>
      <c r="CH461" s="176"/>
      <c r="CI461" s="176"/>
      <c r="CJ461" s="176"/>
      <c r="CK461" s="176"/>
      <c r="CL461" s="176"/>
      <c r="CM461" s="176"/>
      <c r="CN461" s="176"/>
      <c r="CO461" s="176"/>
      <c r="CP461" s="176"/>
      <c r="CQ461" s="176"/>
      <c r="CR461" s="176"/>
      <c r="CS461" s="176"/>
      <c r="CT461" s="176"/>
      <c r="CU461" s="176"/>
      <c r="CV461" s="176"/>
      <c r="CW461" s="176"/>
      <c r="CX461" s="176"/>
      <c r="CY461" s="176"/>
      <c r="CZ461" s="176"/>
      <c r="DA461" s="176"/>
      <c r="DB461" s="176"/>
      <c r="DC461" s="176"/>
      <c r="DD461" s="176"/>
      <c r="DE461" s="176"/>
      <c r="DF461" s="176"/>
      <c r="DG461" s="176"/>
      <c r="DH461" s="176"/>
      <c r="DI461" s="176"/>
      <c r="DJ461" s="176"/>
      <c r="DK461" s="176"/>
      <c r="DL461" s="176"/>
      <c r="DM461" s="176"/>
      <c r="DN461" s="176"/>
      <c r="DO461" s="176"/>
      <c r="DP461" s="176"/>
      <c r="DQ461" s="176"/>
      <c r="DR461" s="176"/>
      <c r="DS461" s="176"/>
      <c r="DT461" s="176"/>
      <c r="DU461" s="176"/>
      <c r="DV461" s="176"/>
      <c r="DW461" s="176"/>
      <c r="DX461" s="176"/>
      <c r="DY461" s="176"/>
      <c r="DZ461" s="176"/>
      <c r="EA461" s="176"/>
      <c r="EB461" s="176"/>
      <c r="EC461" s="176"/>
      <c r="ED461" s="176"/>
      <c r="EE461" s="176"/>
      <c r="EF461" s="176"/>
      <c r="EG461" s="176"/>
      <c r="EH461" s="176"/>
      <c r="EI461" s="176"/>
      <c r="EJ461" s="176"/>
      <c r="EK461" s="176"/>
      <c r="EL461" s="176"/>
      <c r="EM461" s="176"/>
      <c r="EN461" s="176"/>
      <c r="EO461" s="176"/>
      <c r="EP461" s="176"/>
      <c r="EQ461" s="176"/>
      <c r="ER461" s="176"/>
      <c r="ES461" s="176"/>
      <c r="ET461" s="176"/>
      <c r="EU461" s="176"/>
      <c r="EV461" s="176"/>
      <c r="EW461" s="176"/>
      <c r="EX461" s="176"/>
      <c r="EY461" s="176"/>
      <c r="EZ461" s="176"/>
      <c r="FA461" s="176"/>
      <c r="FB461" s="176"/>
      <c r="FC461" s="176"/>
      <c r="FD461" s="176"/>
      <c r="FE461" s="176"/>
      <c r="FF461" s="176"/>
      <c r="FG461" s="176"/>
      <c r="FH461" s="176"/>
      <c r="FI461" s="176"/>
      <c r="FJ461" s="176"/>
      <c r="FK461" s="176"/>
      <c r="FL461" s="176"/>
      <c r="FM461" s="176"/>
      <c r="FN461" s="176"/>
      <c r="FO461" s="176"/>
      <c r="FP461" s="176"/>
      <c r="FQ461" s="176"/>
      <c r="FR461" s="176"/>
      <c r="FS461" s="176"/>
      <c r="FT461" s="176"/>
      <c r="FU461" s="176"/>
      <c r="FV461" s="176"/>
      <c r="FW461" s="176"/>
      <c r="FX461" s="176"/>
      <c r="FY461" s="176"/>
      <c r="FZ461" s="176"/>
      <c r="GA461" s="176"/>
      <c r="GB461" s="176"/>
      <c r="GC461" s="176"/>
      <c r="GD461" s="176"/>
      <c r="GE461" s="176"/>
      <c r="GF461" s="176"/>
      <c r="GG461" s="176"/>
      <c r="GH461" s="176"/>
      <c r="GI461" s="176"/>
      <c r="GJ461" s="176"/>
      <c r="GK461" s="176"/>
      <c r="GL461" s="176"/>
      <c r="GM461" s="176"/>
      <c r="GN461" s="176"/>
      <c r="GO461" s="176"/>
      <c r="GP461" s="176"/>
      <c r="GQ461" s="176"/>
      <c r="GR461" s="176"/>
      <c r="GS461" s="176"/>
      <c r="GT461" s="176"/>
      <c r="GU461" s="176"/>
      <c r="GV461" s="176"/>
      <c r="GW461" s="176"/>
      <c r="GX461" s="176"/>
      <c r="GY461" s="176"/>
      <c r="GZ461" s="176"/>
      <c r="HA461" s="176"/>
      <c r="HB461" s="176"/>
      <c r="HC461" s="176"/>
      <c r="HD461" s="176"/>
      <c r="HE461" s="176"/>
      <c r="HF461" s="176"/>
      <c r="HG461" s="176"/>
      <c r="HH461" s="176"/>
      <c r="HI461" s="176"/>
      <c r="HJ461" s="176"/>
      <c r="HK461" s="176"/>
      <c r="HL461" s="176"/>
      <c r="HM461" s="176"/>
      <c r="HN461" s="176"/>
      <c r="HO461" s="176"/>
      <c r="HP461" s="176"/>
      <c r="HQ461" s="176"/>
      <c r="HR461" s="176"/>
      <c r="HS461" s="176"/>
      <c r="HT461" s="176"/>
      <c r="HU461" s="176"/>
      <c r="HV461" s="176"/>
      <c r="HW461" s="176"/>
      <c r="HX461" s="176"/>
      <c r="HY461" s="176"/>
      <c r="HZ461" s="176"/>
      <c r="IA461" s="176"/>
      <c r="IB461" s="176"/>
      <c r="IC461" s="176"/>
      <c r="ID461" s="176"/>
      <c r="IE461" s="176"/>
      <c r="IF461" s="176"/>
      <c r="IG461" s="176"/>
      <c r="IH461" s="176"/>
      <c r="II461" s="176"/>
      <c r="IJ461" s="176"/>
      <c r="IK461" s="176"/>
      <c r="IL461" s="176"/>
      <c r="IM461" s="176"/>
      <c r="IN461" s="176"/>
      <c r="IO461" s="176"/>
      <c r="IP461" s="176"/>
      <c r="IQ461" s="176"/>
      <c r="IR461" s="176"/>
      <c r="IS461" s="176"/>
      <c r="IT461" s="176"/>
      <c r="IU461" s="176"/>
      <c r="IV461" s="176"/>
      <c r="IW461" s="176"/>
      <c r="IX461" s="176"/>
      <c r="IY461" s="176"/>
      <c r="IZ461" s="176"/>
      <c r="JA461" s="176"/>
      <c r="JB461" s="176"/>
      <c r="JC461" s="176"/>
      <c r="JD461" s="176"/>
      <c r="JE461" s="176"/>
      <c r="JF461" s="176"/>
      <c r="JG461" s="176"/>
      <c r="JH461" s="176"/>
      <c r="JI461" s="176"/>
      <c r="JJ461" s="176"/>
      <c r="JK461" s="176"/>
      <c r="JL461" s="176"/>
      <c r="JM461" s="176"/>
      <c r="JN461" s="176"/>
      <c r="JO461" s="176"/>
      <c r="JP461" s="176"/>
      <c r="JQ461" s="176"/>
      <c r="JR461" s="176"/>
      <c r="JS461" s="176"/>
      <c r="JT461" s="176"/>
      <c r="JU461" s="176"/>
      <c r="JV461" s="176"/>
      <c r="JW461" s="131"/>
      <c r="JX461" s="131"/>
      <c r="JY461" s="131"/>
      <c r="JZ461" s="131"/>
      <c r="KA461" s="131"/>
      <c r="KB461" s="131"/>
      <c r="KC461" s="131"/>
      <c r="KD461" s="131"/>
      <c r="KE461" s="131"/>
      <c r="KF461" s="131"/>
      <c r="KG461" s="131"/>
      <c r="KH461" s="131"/>
      <c r="KI461" s="131"/>
      <c r="KJ461" s="131"/>
      <c r="KK461" s="131"/>
      <c r="KL461" s="131"/>
      <c r="KM461" s="131"/>
      <c r="KN461" s="131"/>
      <c r="KO461" s="131"/>
      <c r="KP461" s="131"/>
      <c r="KQ461" s="131"/>
      <c r="KR461" s="131"/>
      <c r="KS461" s="131"/>
      <c r="KT461" s="131"/>
      <c r="KU461" s="131"/>
      <c r="KV461" s="131"/>
      <c r="KW461" s="131"/>
      <c r="KX461" s="131"/>
      <c r="KY461" s="131"/>
      <c r="KZ461" s="131"/>
      <c r="LA461" s="131"/>
      <c r="LB461" s="131"/>
      <c r="LC461" s="131"/>
      <c r="LD461" s="131"/>
      <c r="LE461" s="131"/>
      <c r="LF461" s="131"/>
      <c r="LG461" s="131"/>
      <c r="LH461" s="131"/>
      <c r="LI461" s="131"/>
      <c r="LJ461" s="131"/>
      <c r="LK461" s="131"/>
      <c r="LL461" s="131"/>
      <c r="LM461" s="131"/>
      <c r="LN461" s="131"/>
      <c r="LO461" s="131"/>
      <c r="LP461" s="131"/>
      <c r="LQ461" s="131"/>
      <c r="LR461" s="131"/>
      <c r="LS461" s="131"/>
      <c r="LT461" s="131"/>
      <c r="LU461" s="131"/>
      <c r="LV461" s="131"/>
      <c r="LW461" s="131"/>
      <c r="LX461" s="131"/>
      <c r="LY461" s="131"/>
      <c r="LZ461" s="131"/>
      <c r="MA461" s="131"/>
      <c r="MB461" s="131"/>
      <c r="MC461" s="131"/>
      <c r="MD461" s="131"/>
      <c r="ME461" s="131"/>
      <c r="MF461" s="131"/>
      <c r="MG461" s="131"/>
      <c r="MH461" s="131"/>
      <c r="MI461" s="131"/>
      <c r="MJ461" s="131"/>
      <c r="MK461" s="131"/>
      <c r="ML461" s="131"/>
      <c r="MM461" s="131"/>
      <c r="MN461" s="131"/>
      <c r="MO461" s="131"/>
      <c r="MP461" s="131"/>
      <c r="MQ461" s="131"/>
      <c r="MR461" s="131"/>
      <c r="MS461" s="131"/>
      <c r="MT461" s="131"/>
      <c r="MU461" s="131"/>
      <c r="MV461" s="131"/>
      <c r="MW461" s="131"/>
      <c r="MX461" s="131"/>
      <c r="MY461" s="131"/>
      <c r="MZ461" s="131"/>
      <c r="NA461" s="131"/>
      <c r="NB461" s="131"/>
      <c r="NC461" s="131"/>
      <c r="ND461" s="131"/>
      <c r="NE461" s="131"/>
      <c r="NF461" s="131"/>
      <c r="NG461" s="131"/>
      <c r="NH461" s="131"/>
      <c r="NI461" s="131"/>
      <c r="NJ461" s="131"/>
      <c r="NK461" s="131"/>
      <c r="NL461" s="131"/>
      <c r="NM461" s="131"/>
      <c r="NN461" s="131"/>
      <c r="NO461" s="131"/>
      <c r="NP461" s="131"/>
      <c r="NQ461" s="131"/>
      <c r="NR461" s="131"/>
      <c r="NS461" s="131"/>
      <c r="NT461" s="131"/>
      <c r="NU461" s="131"/>
      <c r="NV461" s="131"/>
      <c r="NW461" s="131"/>
      <c r="NX461" s="131"/>
      <c r="NY461" s="131"/>
      <c r="NZ461" s="131"/>
      <c r="OA461" s="131"/>
      <c r="OB461" s="131"/>
      <c r="OC461" s="131"/>
      <c r="OD461" s="131"/>
      <c r="OE461" s="131"/>
      <c r="OF461" s="131"/>
      <c r="OG461" s="131"/>
      <c r="OH461" s="131"/>
      <c r="OI461" s="131"/>
      <c r="OJ461" s="131"/>
      <c r="OK461" s="131"/>
      <c r="OL461" s="131"/>
      <c r="OM461" s="131"/>
      <c r="ON461" s="131"/>
      <c r="OO461" s="131"/>
      <c r="OP461" s="131"/>
      <c r="OQ461" s="131"/>
      <c r="OR461" s="131"/>
      <c r="OS461" s="131"/>
      <c r="OT461" s="131"/>
      <c r="OU461" s="131"/>
      <c r="OV461" s="131"/>
      <c r="OW461" s="131"/>
      <c r="OX461" s="131"/>
      <c r="OY461" s="131"/>
      <c r="OZ461" s="131"/>
      <c r="PA461" s="131"/>
      <c r="PB461" s="131"/>
      <c r="PC461" s="131"/>
      <c r="PD461" s="131"/>
      <c r="PE461" s="131"/>
      <c r="PF461" s="131"/>
      <c r="PG461" s="131"/>
      <c r="PH461" s="131"/>
      <c r="PI461" s="131"/>
      <c r="PJ461" s="131"/>
      <c r="PK461" s="131"/>
      <c r="PL461" s="131"/>
      <c r="PM461" s="131"/>
      <c r="PN461" s="131"/>
      <c r="PO461" s="131"/>
      <c r="PP461" s="131"/>
      <c r="PQ461" s="131"/>
      <c r="PR461" s="131"/>
      <c r="PS461" s="131"/>
      <c r="PT461" s="131"/>
      <c r="PU461" s="131"/>
      <c r="PV461" s="131"/>
      <c r="PW461" s="131"/>
      <c r="PX461" s="131"/>
      <c r="PY461" s="131"/>
      <c r="PZ461" s="131"/>
      <c r="QA461" s="131"/>
      <c r="QB461" s="131"/>
      <c r="QC461" s="131"/>
      <c r="QD461" s="131"/>
      <c r="QE461" s="131"/>
      <c r="QF461" s="131"/>
      <c r="QG461" s="131"/>
      <c r="QH461" s="131"/>
      <c r="QI461" s="131"/>
      <c r="QJ461" s="131"/>
      <c r="QK461" s="131"/>
      <c r="QL461" s="131"/>
      <c r="QM461" s="131"/>
      <c r="QN461" s="131"/>
      <c r="QO461" s="131"/>
      <c r="QP461" s="131"/>
      <c r="QQ461" s="131"/>
      <c r="QR461" s="131"/>
      <c r="QS461" s="131"/>
      <c r="QT461" s="131"/>
      <c r="QU461" s="131"/>
      <c r="QV461" s="131"/>
      <c r="QW461" s="131"/>
      <c r="QX461" s="131"/>
      <c r="QY461" s="131"/>
      <c r="QZ461" s="131"/>
      <c r="RA461" s="131"/>
      <c r="RB461" s="131"/>
      <c r="RC461" s="131"/>
      <c r="RD461" s="131"/>
      <c r="RE461" s="131"/>
      <c r="RF461" s="131"/>
      <c r="RG461" s="131"/>
      <c r="RH461" s="131"/>
      <c r="RI461" s="131"/>
      <c r="RJ461" s="131"/>
      <c r="RK461" s="131"/>
      <c r="RL461" s="131"/>
      <c r="RM461" s="131"/>
      <c r="RN461" s="131"/>
      <c r="RO461" s="131"/>
      <c r="RP461" s="131"/>
      <c r="RQ461" s="131"/>
      <c r="RR461" s="131"/>
      <c r="RS461" s="131"/>
      <c r="RT461" s="131"/>
      <c r="RU461" s="131"/>
      <c r="RV461" s="131"/>
      <c r="RW461" s="131"/>
      <c r="RX461" s="131"/>
      <c r="RY461" s="131"/>
      <c r="RZ461" s="131"/>
      <c r="SA461" s="131"/>
      <c r="SB461" s="131"/>
      <c r="SC461" s="131"/>
      <c r="SD461" s="131"/>
      <c r="SE461" s="131"/>
      <c r="SF461" s="131"/>
      <c r="SG461" s="131"/>
      <c r="SH461" s="131"/>
      <c r="SI461" s="131"/>
      <c r="SJ461" s="131"/>
      <c r="SK461" s="131"/>
      <c r="SL461" s="131"/>
      <c r="SM461" s="131"/>
      <c r="SN461" s="131"/>
      <c r="SO461" s="131"/>
      <c r="SP461" s="131"/>
      <c r="SQ461" s="131"/>
      <c r="SR461" s="131"/>
      <c r="SS461" s="131"/>
      <c r="ST461" s="131"/>
      <c r="SU461" s="131"/>
      <c r="SV461" s="131"/>
      <c r="SW461" s="131"/>
      <c r="SX461" s="131"/>
      <c r="SY461" s="131"/>
      <c r="SZ461" s="131"/>
      <c r="TA461" s="131"/>
      <c r="TB461" s="131"/>
      <c r="TC461" s="131"/>
      <c r="TD461" s="131"/>
      <c r="TE461" s="131"/>
      <c r="TF461" s="131"/>
      <c r="TG461" s="131"/>
      <c r="TH461" s="131"/>
      <c r="TI461" s="131"/>
      <c r="TJ461" s="131"/>
      <c r="TK461" s="131"/>
      <c r="TL461" s="131"/>
      <c r="TM461" s="131"/>
      <c r="TN461" s="131"/>
      <c r="TO461" s="131"/>
      <c r="TP461" s="131"/>
      <c r="TQ461" s="131"/>
      <c r="TR461" s="131"/>
      <c r="TS461" s="131"/>
      <c r="TT461" s="131"/>
      <c r="TU461" s="131"/>
      <c r="TV461" s="131"/>
      <c r="TW461" s="131"/>
      <c r="TX461" s="131"/>
      <c r="TY461" s="131"/>
      <c r="TZ461" s="131"/>
      <c r="UA461" s="131"/>
      <c r="UB461" s="131"/>
      <c r="UC461" s="131"/>
      <c r="UD461" s="131"/>
      <c r="UE461" s="131"/>
      <c r="UF461" s="131"/>
      <c r="UG461" s="131"/>
      <c r="UH461" s="131"/>
      <c r="UI461" s="131"/>
      <c r="UJ461" s="131"/>
      <c r="UK461" s="131"/>
      <c r="UL461" s="131"/>
      <c r="UM461" s="131"/>
      <c r="UN461" s="131"/>
      <c r="UO461" s="131"/>
      <c r="UP461" s="131"/>
      <c r="UQ461" s="131"/>
      <c r="UR461" s="131"/>
      <c r="US461" s="131"/>
      <c r="UT461" s="131"/>
      <c r="UU461" s="131"/>
      <c r="UV461" s="131"/>
      <c r="UW461" s="131"/>
      <c r="UX461" s="131"/>
      <c r="UY461" s="131"/>
      <c r="UZ461" s="131"/>
      <c r="VA461" s="131"/>
      <c r="VB461" s="131"/>
      <c r="VC461" s="131"/>
      <c r="VD461" s="131"/>
      <c r="VE461" s="131"/>
      <c r="VF461" s="131"/>
      <c r="VG461" s="131"/>
      <c r="VH461" s="131"/>
      <c r="VI461" s="131"/>
      <c r="VJ461" s="131"/>
      <c r="VK461" s="131"/>
      <c r="VL461" s="131"/>
      <c r="VM461" s="131"/>
      <c r="VN461" s="131"/>
      <c r="VO461" s="131"/>
      <c r="VP461" s="131"/>
      <c r="VQ461" s="131"/>
      <c r="VR461" s="131"/>
      <c r="VS461" s="131"/>
      <c r="VT461" s="131"/>
      <c r="VU461" s="131"/>
      <c r="VV461" s="131"/>
      <c r="VW461" s="131"/>
      <c r="VX461" s="131"/>
      <c r="VY461" s="131"/>
      <c r="VZ461" s="131"/>
      <c r="WA461" s="131"/>
      <c r="WB461" s="131"/>
      <c r="WC461" s="131"/>
      <c r="WD461" s="131"/>
      <c r="WE461" s="131"/>
      <c r="WF461" s="131"/>
      <c r="WG461" s="131"/>
      <c r="WH461" s="131"/>
      <c r="WI461" s="131"/>
      <c r="WJ461" s="131"/>
      <c r="WK461" s="131"/>
      <c r="WL461" s="131"/>
      <c r="WM461" s="131"/>
      <c r="WN461" s="131"/>
      <c r="WO461" s="131"/>
      <c r="WP461" s="131"/>
      <c r="WQ461" s="131"/>
      <c r="WR461" s="131"/>
      <c r="WS461" s="131"/>
      <c r="WT461" s="131"/>
      <c r="WU461" s="131"/>
      <c r="WV461" s="131"/>
      <c r="WW461" s="131"/>
      <c r="WX461" s="131"/>
      <c r="WY461" s="131"/>
      <c r="WZ461" s="131"/>
      <c r="XA461" s="131"/>
      <c r="XB461" s="131"/>
      <c r="XC461" s="131"/>
      <c r="XD461" s="131"/>
      <c r="XE461" s="131"/>
      <c r="XF461" s="131"/>
      <c r="XG461" s="131"/>
      <c r="XH461" s="131"/>
      <c r="XI461" s="131"/>
      <c r="XJ461" s="131"/>
      <c r="XK461" s="131"/>
      <c r="XL461" s="131"/>
      <c r="XM461" s="131"/>
      <c r="XN461" s="131"/>
      <c r="XO461" s="131"/>
      <c r="XP461" s="131"/>
      <c r="XQ461" s="131"/>
      <c r="XR461" s="131"/>
      <c r="XS461" s="131"/>
      <c r="XT461" s="131"/>
      <c r="XU461" s="131"/>
      <c r="XV461" s="131"/>
      <c r="XW461" s="131"/>
      <c r="XX461" s="131"/>
      <c r="XY461" s="131"/>
      <c r="XZ461" s="131"/>
      <c r="YA461" s="131"/>
      <c r="YB461" s="131"/>
      <c r="YC461" s="131"/>
      <c r="YD461" s="131"/>
      <c r="YE461" s="131"/>
      <c r="YF461" s="131"/>
      <c r="YG461" s="131"/>
      <c r="YH461" s="131"/>
      <c r="YI461" s="131"/>
      <c r="YJ461" s="131"/>
      <c r="YK461" s="131"/>
      <c r="YL461" s="131"/>
      <c r="YM461" s="131"/>
      <c r="YN461" s="131"/>
      <c r="YO461" s="131"/>
      <c r="YP461" s="131"/>
      <c r="YQ461" s="131"/>
      <c r="YR461" s="131"/>
      <c r="YS461" s="131"/>
      <c r="YT461" s="131"/>
      <c r="YU461" s="131"/>
      <c r="YV461" s="131"/>
      <c r="YW461" s="131"/>
      <c r="YX461" s="131"/>
      <c r="YY461" s="131"/>
      <c r="YZ461" s="131"/>
      <c r="ZA461" s="131"/>
      <c r="ZB461" s="131"/>
      <c r="ZC461" s="131"/>
      <c r="ZD461" s="131"/>
      <c r="ZE461" s="131"/>
      <c r="ZF461" s="131"/>
      <c r="ZG461" s="131"/>
      <c r="ZH461" s="131"/>
      <c r="ZI461" s="131"/>
      <c r="ZJ461" s="131"/>
      <c r="ZK461" s="131"/>
      <c r="ZL461" s="131"/>
      <c r="ZM461" s="131"/>
      <c r="ZN461" s="131"/>
      <c r="ZO461" s="131"/>
      <c r="ZP461" s="131"/>
      <c r="ZQ461" s="131"/>
      <c r="ZR461" s="131"/>
      <c r="ZS461" s="131"/>
      <c r="ZT461" s="131"/>
      <c r="ZU461" s="131"/>
      <c r="ZV461" s="131"/>
      <c r="ZW461" s="131"/>
      <c r="ZX461" s="131"/>
      <c r="ZY461" s="131"/>
      <c r="ZZ461" s="131"/>
      <c r="AAA461" s="131"/>
      <c r="AAB461" s="131"/>
      <c r="AAC461" s="131"/>
      <c r="AAD461" s="131"/>
      <c r="AAE461" s="131"/>
      <c r="AAF461" s="131"/>
      <c r="AAG461" s="131"/>
      <c r="AAH461" s="131"/>
      <c r="AAI461" s="131"/>
      <c r="AAJ461" s="131"/>
      <c r="AAK461" s="131"/>
      <c r="AAL461" s="131"/>
      <c r="AAM461" s="131"/>
      <c r="AAN461" s="131"/>
      <c r="AAO461" s="131"/>
      <c r="AAP461" s="131"/>
      <c r="AAQ461" s="131"/>
      <c r="AAR461" s="131"/>
      <c r="AAS461" s="131"/>
      <c r="AAT461" s="131"/>
      <c r="AAU461" s="131"/>
      <c r="AAV461" s="131"/>
      <c r="AAW461" s="131"/>
      <c r="AAX461" s="131"/>
      <c r="AAY461" s="131"/>
      <c r="AAZ461" s="131"/>
      <c r="ABA461" s="131"/>
      <c r="ABB461" s="131"/>
      <c r="ABC461" s="131"/>
      <c r="ABD461" s="131"/>
      <c r="ABE461" s="131"/>
      <c r="ABF461" s="131"/>
      <c r="ABG461" s="131"/>
      <c r="ABH461" s="131"/>
      <c r="ABI461" s="131"/>
      <c r="ABJ461" s="131"/>
      <c r="ABK461" s="131"/>
      <c r="ABL461" s="131"/>
      <c r="ABM461" s="131"/>
      <c r="ABN461" s="131"/>
      <c r="ABO461" s="131"/>
      <c r="ABP461" s="131"/>
      <c r="ABQ461" s="131"/>
      <c r="ABR461" s="131"/>
      <c r="ABS461" s="131"/>
      <c r="ABT461" s="131"/>
      <c r="ABU461" s="131"/>
      <c r="ABV461" s="131"/>
      <c r="ABW461" s="131"/>
      <c r="ABX461" s="131"/>
      <c r="ABY461" s="131"/>
      <c r="ABZ461" s="131"/>
      <c r="ACA461" s="131"/>
      <c r="ACB461" s="131"/>
      <c r="ACC461" s="131"/>
      <c r="ACD461" s="131"/>
      <c r="ACE461" s="131"/>
      <c r="ACF461" s="131"/>
      <c r="ACG461" s="131"/>
      <c r="ACH461" s="131"/>
      <c r="ACI461" s="131"/>
      <c r="ACJ461" s="131"/>
      <c r="ACK461" s="131"/>
      <c r="ACL461" s="131"/>
      <c r="ACM461" s="131"/>
      <c r="ACN461" s="131"/>
      <c r="ACO461" s="131"/>
      <c r="ACP461" s="131"/>
      <c r="ACQ461" s="131"/>
      <c r="ACR461" s="131"/>
      <c r="ACS461" s="131"/>
      <c r="ACT461" s="131"/>
      <c r="ACU461" s="131"/>
      <c r="ACV461" s="131"/>
      <c r="ACW461" s="131"/>
      <c r="ACX461" s="131"/>
      <c r="ACY461" s="131"/>
      <c r="ACZ461" s="131"/>
      <c r="ADA461" s="131"/>
      <c r="ADB461" s="131"/>
      <c r="ADC461" s="131"/>
      <c r="ADD461" s="131"/>
      <c r="ADE461" s="131"/>
      <c r="ADF461" s="131"/>
      <c r="ADG461" s="131"/>
      <c r="ADH461" s="131"/>
      <c r="ADI461" s="131"/>
      <c r="ADJ461" s="131"/>
      <c r="ADK461" s="131"/>
      <c r="ADL461" s="131"/>
      <c r="ADM461" s="131"/>
      <c r="ADN461" s="131"/>
      <c r="ADO461" s="131"/>
      <c r="ADP461" s="131"/>
      <c r="ADQ461" s="131"/>
      <c r="ADR461" s="131"/>
      <c r="ADS461" s="131"/>
      <c r="ADT461" s="131"/>
      <c r="ADU461" s="131"/>
      <c r="ADV461" s="131"/>
      <c r="ADW461" s="131"/>
      <c r="ADX461" s="131"/>
      <c r="ADY461" s="131"/>
      <c r="ADZ461" s="131"/>
      <c r="AEA461" s="131"/>
      <c r="AEB461" s="131"/>
      <c r="AEC461" s="131"/>
      <c r="AED461" s="131"/>
      <c r="AEE461" s="131"/>
      <c r="AEF461" s="131"/>
      <c r="AEG461" s="131"/>
      <c r="AEH461" s="131"/>
      <c r="AEI461" s="131"/>
      <c r="AEJ461" s="131"/>
      <c r="AEK461" s="131"/>
      <c r="AEL461" s="131"/>
      <c r="AEM461" s="131"/>
      <c r="AEN461" s="131"/>
      <c r="AEO461" s="131"/>
      <c r="AEP461" s="131"/>
      <c r="AEQ461" s="131"/>
      <c r="AER461" s="131"/>
      <c r="AES461" s="131"/>
      <c r="AET461" s="131"/>
      <c r="AEU461" s="131"/>
      <c r="AEV461" s="131"/>
      <c r="AEW461" s="131"/>
      <c r="AEX461" s="131"/>
      <c r="AEY461" s="131"/>
      <c r="AEZ461" s="131"/>
      <c r="AFA461" s="131"/>
      <c r="AFB461" s="131"/>
      <c r="AFC461" s="131"/>
      <c r="AFD461" s="131"/>
      <c r="AFE461" s="131"/>
      <c r="AFF461" s="131"/>
      <c r="AFG461" s="131"/>
      <c r="AFH461" s="131"/>
      <c r="AFI461" s="131"/>
      <c r="AFJ461" s="131"/>
      <c r="AFK461" s="131"/>
      <c r="AFL461" s="131"/>
      <c r="AFM461" s="131"/>
      <c r="AFN461" s="131"/>
      <c r="AFO461" s="131"/>
      <c r="AFP461" s="131"/>
      <c r="AFQ461" s="131"/>
      <c r="AFR461" s="131"/>
      <c r="AFS461" s="131"/>
      <c r="AFT461" s="131"/>
      <c r="AFU461" s="131"/>
      <c r="AFV461" s="131"/>
      <c r="AFW461" s="131"/>
      <c r="AFX461" s="131"/>
      <c r="AFY461" s="131"/>
      <c r="AFZ461" s="131"/>
      <c r="AGA461" s="131"/>
      <c r="AGB461" s="131"/>
      <c r="AGC461" s="131"/>
      <c r="AGD461" s="131"/>
      <c r="AGE461" s="131"/>
      <c r="AGF461" s="131"/>
      <c r="AGG461" s="131"/>
      <c r="AGH461" s="131"/>
      <c r="AGI461" s="131"/>
      <c r="AGJ461" s="131"/>
      <c r="AGK461" s="131"/>
      <c r="AGL461" s="131"/>
      <c r="AGM461" s="131"/>
      <c r="AGN461" s="131"/>
      <c r="AGO461" s="131"/>
      <c r="AGP461" s="131"/>
      <c r="AGQ461" s="131"/>
      <c r="AGR461" s="131"/>
      <c r="AGS461" s="131"/>
      <c r="AGT461" s="131"/>
      <c r="AGU461" s="131"/>
      <c r="AGV461" s="131"/>
      <c r="AGW461" s="131"/>
      <c r="AGX461" s="131"/>
      <c r="AGY461" s="131"/>
      <c r="AGZ461" s="131"/>
      <c r="AHA461" s="131"/>
      <c r="AHB461" s="131"/>
      <c r="AHC461" s="131"/>
      <c r="AHD461" s="131"/>
      <c r="AHE461" s="131"/>
      <c r="AHF461" s="131"/>
      <c r="AHG461" s="131"/>
      <c r="AHH461" s="131"/>
      <c r="AHI461" s="131"/>
      <c r="AHJ461" s="131"/>
      <c r="AHK461" s="131"/>
      <c r="AHL461" s="131"/>
      <c r="AHM461" s="131"/>
      <c r="AHN461" s="131"/>
      <c r="AHO461" s="131"/>
      <c r="AHP461" s="131"/>
      <c r="AHQ461" s="131"/>
      <c r="AHR461" s="131"/>
      <c r="AHS461" s="131"/>
      <c r="AHT461" s="131"/>
      <c r="AHU461" s="131"/>
      <c r="AHV461" s="131"/>
      <c r="AHW461" s="131"/>
      <c r="AHX461" s="131"/>
      <c r="AHY461" s="131"/>
      <c r="AHZ461" s="131"/>
      <c r="AIA461" s="131"/>
      <c r="AIB461" s="131"/>
      <c r="AIC461" s="131"/>
      <c r="AID461" s="131"/>
      <c r="AIE461" s="131"/>
      <c r="AIF461" s="131"/>
      <c r="AIG461" s="131"/>
      <c r="AIH461" s="131"/>
      <c r="AII461" s="131"/>
      <c r="AIJ461" s="131"/>
      <c r="AIK461" s="131"/>
      <c r="AIL461" s="131"/>
      <c r="AIM461" s="131"/>
      <c r="AIN461" s="131"/>
      <c r="AIO461" s="131"/>
      <c r="AIP461" s="131"/>
      <c r="AIQ461" s="131"/>
      <c r="AIR461" s="131"/>
      <c r="AIS461" s="131"/>
      <c r="AIT461" s="131"/>
      <c r="AIU461" s="131"/>
      <c r="AIV461" s="131"/>
      <c r="AIW461" s="131"/>
      <c r="AIX461" s="131"/>
      <c r="AIY461" s="131"/>
      <c r="AIZ461" s="131"/>
      <c r="AJA461" s="131"/>
      <c r="AJB461" s="131"/>
      <c r="AJC461" s="131"/>
      <c r="AJD461" s="131"/>
      <c r="AJE461" s="131"/>
      <c r="AJF461" s="131"/>
      <c r="AJG461" s="131"/>
      <c r="AJH461" s="131"/>
      <c r="AJI461" s="131"/>
      <c r="AJJ461" s="131"/>
      <c r="AJK461" s="131"/>
      <c r="AJL461" s="131"/>
      <c r="AJM461" s="131"/>
      <c r="AJN461" s="131"/>
      <c r="AJO461" s="131"/>
      <c r="AJP461" s="131"/>
      <c r="AJQ461" s="131"/>
      <c r="AJR461" s="131"/>
      <c r="AJS461" s="131"/>
      <c r="AJT461" s="131"/>
      <c r="AJU461" s="131"/>
      <c r="AJV461" s="131"/>
      <c r="AJW461" s="131"/>
      <c r="AJX461" s="131"/>
      <c r="AJY461" s="131"/>
      <c r="AJZ461" s="131"/>
      <c r="AKA461" s="131"/>
      <c r="AKB461" s="131"/>
      <c r="AKC461" s="131"/>
      <c r="AKD461" s="131"/>
      <c r="AKE461" s="131"/>
      <c r="AKF461" s="131"/>
      <c r="AKG461" s="131"/>
      <c r="AKH461" s="131"/>
      <c r="AKI461" s="131"/>
      <c r="AKJ461" s="131"/>
      <c r="AKK461" s="131"/>
      <c r="AKL461" s="131"/>
      <c r="AKM461" s="131"/>
      <c r="AKN461" s="131"/>
      <c r="AKO461" s="131"/>
      <c r="AKP461" s="131"/>
      <c r="AKQ461" s="131"/>
      <c r="AKR461" s="131"/>
      <c r="AKS461" s="131"/>
      <c r="AKT461" s="131"/>
      <c r="AKU461" s="131"/>
      <c r="AKV461" s="131"/>
      <c r="AKW461" s="131"/>
      <c r="AKX461" s="131"/>
      <c r="AKY461" s="131"/>
      <c r="AKZ461" s="131"/>
      <c r="ALA461" s="131"/>
      <c r="ALB461" s="131"/>
      <c r="ALC461" s="131"/>
      <c r="ALD461" s="131"/>
      <c r="ALE461" s="131"/>
      <c r="ALF461" s="131"/>
      <c r="ALG461" s="131"/>
      <c r="ALH461" s="131"/>
      <c r="ALI461" s="131"/>
      <c r="ALJ461" s="131"/>
      <c r="ALK461" s="131"/>
      <c r="ALL461" s="131"/>
      <c r="ALM461" s="131"/>
      <c r="ALN461" s="131"/>
      <c r="ALO461" s="131"/>
      <c r="ALP461" s="131"/>
      <c r="ALQ461" s="131"/>
      <c r="ALR461" s="131"/>
      <c r="ALS461" s="131"/>
      <c r="ALT461" s="131"/>
      <c r="ALU461" s="131"/>
      <c r="ALV461" s="131"/>
      <c r="ALW461" s="131"/>
      <c r="ALX461" s="131"/>
      <c r="ALY461" s="131"/>
      <c r="ALZ461" s="131"/>
      <c r="AMA461" s="131"/>
      <c r="AMB461" s="131"/>
      <c r="AMC461" s="131"/>
      <c r="AMD461" s="131"/>
      <c r="AME461" s="131"/>
      <c r="AMF461" s="131"/>
      <c r="AMG461" s="131"/>
      <c r="AMH461" s="131"/>
      <c r="AMI461" s="131"/>
      <c r="AMJ461" s="131"/>
      <c r="AMK461" s="131"/>
      <c r="AML461" s="131"/>
      <c r="AMM461" s="131"/>
      <c r="AMN461" s="131"/>
      <c r="AMO461" s="131"/>
      <c r="AMP461" s="131"/>
      <c r="AMQ461" s="131"/>
      <c r="AMR461" s="131"/>
      <c r="AMS461" s="131"/>
      <c r="AMT461" s="131"/>
      <c r="AMU461" s="131"/>
      <c r="AMV461" s="131"/>
      <c r="AMW461" s="131"/>
      <c r="AMX461" s="131"/>
      <c r="AMY461" s="131"/>
      <c r="AMZ461" s="131"/>
      <c r="ANA461" s="131"/>
      <c r="ANB461" s="131"/>
      <c r="ANC461" s="131"/>
      <c r="AND461" s="131"/>
      <c r="ANE461" s="131"/>
      <c r="ANF461" s="131"/>
      <c r="ANG461" s="131"/>
      <c r="ANH461" s="131"/>
      <c r="ANI461" s="131"/>
      <c r="ANJ461" s="131"/>
      <c r="ANK461" s="131"/>
      <c r="ANL461" s="131"/>
      <c r="ANM461" s="131"/>
      <c r="ANN461" s="131"/>
      <c r="ANO461" s="131"/>
      <c r="ANP461" s="131"/>
      <c r="ANQ461" s="131"/>
      <c r="ANR461" s="131"/>
      <c r="ANS461" s="131"/>
      <c r="ANT461" s="131"/>
      <c r="ANU461" s="131"/>
      <c r="ANV461" s="131"/>
      <c r="ANW461" s="131"/>
      <c r="ANX461" s="131"/>
      <c r="ANY461" s="131"/>
      <c r="ANZ461" s="131"/>
      <c r="AOA461" s="131"/>
      <c r="AOB461" s="131"/>
      <c r="AOC461" s="131"/>
      <c r="AOD461" s="131"/>
      <c r="AOE461" s="131"/>
      <c r="AOF461" s="131"/>
      <c r="AOG461" s="131"/>
      <c r="AOH461" s="131"/>
      <c r="AOI461" s="131"/>
      <c r="AOJ461" s="131"/>
      <c r="AOK461" s="131"/>
      <c r="AOL461" s="131"/>
      <c r="AOM461" s="131"/>
      <c r="AON461" s="131"/>
      <c r="AOO461" s="131"/>
      <c r="AOP461" s="131"/>
      <c r="AOQ461" s="131"/>
      <c r="AOR461" s="131"/>
      <c r="AOS461" s="131"/>
      <c r="AOT461" s="131"/>
      <c r="AOU461" s="131"/>
      <c r="AOV461" s="131"/>
      <c r="AOW461" s="131"/>
      <c r="AOX461" s="131"/>
      <c r="AOY461" s="131"/>
      <c r="AOZ461" s="131"/>
      <c r="APA461" s="131"/>
      <c r="APB461" s="131"/>
      <c r="APC461" s="131"/>
      <c r="APD461" s="131"/>
      <c r="APE461" s="131"/>
      <c r="APF461" s="131"/>
      <c r="APG461" s="131"/>
      <c r="APH461" s="131"/>
      <c r="API461" s="131"/>
      <c r="APJ461" s="131"/>
      <c r="APK461" s="131"/>
      <c r="APL461" s="131"/>
      <c r="APM461" s="131"/>
      <c r="APN461" s="131"/>
      <c r="APO461" s="131"/>
      <c r="APP461" s="131"/>
      <c r="APQ461" s="131"/>
      <c r="APR461" s="131"/>
      <c r="APS461" s="131"/>
      <c r="APT461" s="131"/>
      <c r="APU461" s="131"/>
      <c r="APV461" s="131"/>
      <c r="APW461" s="131"/>
      <c r="APX461" s="131"/>
      <c r="APY461" s="131"/>
      <c r="APZ461" s="131"/>
      <c r="AQA461" s="131"/>
      <c r="AQB461" s="131"/>
      <c r="AQC461" s="131"/>
      <c r="AQD461" s="131"/>
      <c r="AQE461" s="131"/>
      <c r="AQF461" s="131"/>
      <c r="AQG461" s="131"/>
      <c r="AQH461" s="131"/>
      <c r="AQI461" s="131"/>
      <c r="AQJ461" s="131"/>
      <c r="AQK461" s="131"/>
      <c r="AQL461" s="131"/>
      <c r="AQM461" s="131"/>
      <c r="AQN461" s="131"/>
      <c r="AQO461" s="131"/>
      <c r="AQP461" s="131"/>
      <c r="AQQ461" s="131"/>
      <c r="AQR461" s="131"/>
      <c r="AQS461" s="131"/>
      <c r="AQT461" s="131"/>
      <c r="AQU461" s="131"/>
      <c r="AQV461" s="131"/>
      <c r="AQW461" s="131"/>
      <c r="AQX461" s="131"/>
      <c r="AQY461" s="131"/>
      <c r="AQZ461" s="131"/>
      <c r="ARA461" s="131"/>
      <c r="ARB461" s="131"/>
      <c r="ARC461" s="131"/>
      <c r="ARD461" s="131"/>
      <c r="ARE461" s="131"/>
      <c r="ARF461" s="131"/>
      <c r="ARG461" s="131"/>
      <c r="ARH461" s="131"/>
      <c r="ARI461" s="131"/>
      <c r="ARJ461" s="131"/>
      <c r="ARK461" s="131"/>
      <c r="ARL461" s="131"/>
      <c r="ARM461" s="131"/>
      <c r="ARN461" s="131"/>
      <c r="ARO461" s="131"/>
      <c r="ARP461" s="131"/>
      <c r="ARQ461" s="131"/>
      <c r="ARR461" s="131"/>
      <c r="ARS461" s="131"/>
      <c r="ART461" s="131"/>
      <c r="ARU461" s="131"/>
      <c r="ARV461" s="131"/>
      <c r="ARW461" s="131"/>
      <c r="ARX461" s="131"/>
      <c r="ARY461" s="131"/>
      <c r="ARZ461" s="131"/>
      <c r="ASA461" s="131"/>
      <c r="ASB461" s="131"/>
      <c r="ASC461" s="131"/>
      <c r="ASD461" s="131"/>
      <c r="ASE461" s="131"/>
      <c r="ASF461" s="131"/>
      <c r="ASG461" s="131"/>
      <c r="ASH461" s="131"/>
      <c r="ASI461" s="131"/>
      <c r="ASJ461" s="131"/>
      <c r="ASK461" s="131"/>
      <c r="ASL461" s="131"/>
      <c r="ASM461" s="131"/>
      <c r="ASN461" s="131"/>
      <c r="ASO461" s="131"/>
      <c r="ASP461" s="131"/>
      <c r="ASQ461" s="131"/>
      <c r="ASR461" s="131"/>
      <c r="ASS461" s="131"/>
      <c r="AST461" s="131"/>
      <c r="ASU461" s="131"/>
      <c r="ASV461" s="131"/>
      <c r="ASW461" s="131"/>
      <c r="ASX461" s="131"/>
      <c r="ASY461" s="131"/>
      <c r="ASZ461" s="131"/>
      <c r="ATA461" s="131"/>
      <c r="ATB461" s="131"/>
      <c r="ATC461" s="131"/>
    </row>
    <row r="462" spans="1:1199" ht="50.1" customHeight="1" outlineLevel="2" x14ac:dyDescent="0.3">
      <c r="A462" s="103" t="s">
        <v>449</v>
      </c>
      <c r="B462" s="96" t="s">
        <v>450</v>
      </c>
      <c r="C462" s="79" t="s">
        <v>37</v>
      </c>
      <c r="D462" s="81">
        <f t="shared" ref="D462" si="109">E462+F462</f>
        <v>27865.764029999998</v>
      </c>
      <c r="E462" s="82">
        <f t="shared" si="99"/>
        <v>10735.31243</v>
      </c>
      <c r="F462" s="83">
        <f t="shared" si="105"/>
        <v>17130.4516</v>
      </c>
      <c r="G462" s="84"/>
      <c r="H462" s="85"/>
      <c r="I462" s="85"/>
      <c r="J462" s="144">
        <f>23.45377+486.00613+1044.56142+101.07554+13.57031</f>
        <v>1668.6671700000002</v>
      </c>
      <c r="K462" s="85">
        <f>2.99044+142.08473+211.36876+15.41608+2.31223</f>
        <v>374.17224000000004</v>
      </c>
      <c r="L462" s="85"/>
      <c r="M462" s="85"/>
      <c r="N462" s="85"/>
      <c r="O462" s="82"/>
      <c r="P462" s="83"/>
      <c r="Q462" s="83"/>
      <c r="R462" s="83"/>
      <c r="S462" s="82">
        <v>138.95314999999999</v>
      </c>
      <c r="T462" s="83">
        <v>233.00969000000001</v>
      </c>
      <c r="U462" s="83"/>
      <c r="V462" s="84">
        <v>237.4375</v>
      </c>
      <c r="W462" s="85">
        <v>639.9</v>
      </c>
      <c r="X462" s="87"/>
      <c r="Y462" s="83">
        <v>354.43200000000002</v>
      </c>
      <c r="Z462" s="84"/>
      <c r="AA462" s="85"/>
      <c r="AB462" s="84"/>
      <c r="AC462" s="85"/>
      <c r="AD462" s="89">
        <f t="shared" si="98"/>
        <v>566.74802999999997</v>
      </c>
      <c r="AE462" s="89">
        <v>94.560400000000001</v>
      </c>
      <c r="AF462" s="186">
        <f>303.72935+19.613+148.84528</f>
        <v>472.18763000000001</v>
      </c>
      <c r="AG462" s="85"/>
      <c r="AH462" s="85"/>
      <c r="AI462" s="85"/>
      <c r="AJ462" s="84">
        <v>4278</v>
      </c>
      <c r="AK462" s="85">
        <v>1581</v>
      </c>
      <c r="AL462" s="84"/>
      <c r="AM462" s="88"/>
      <c r="AN462" s="84"/>
      <c r="AO462" s="85"/>
      <c r="AP462" s="84">
        <v>3073.6776100000002</v>
      </c>
      <c r="AQ462" s="83">
        <v>7308.4594100000004</v>
      </c>
      <c r="AR462" s="83"/>
      <c r="AS462" s="83"/>
      <c r="AT462" s="85"/>
      <c r="AU462" s="85"/>
      <c r="AV462" s="85">
        <v>103.8912</v>
      </c>
      <c r="AW462" s="88"/>
      <c r="AX462" s="84"/>
      <c r="AY462" s="85"/>
      <c r="AZ462" s="84">
        <v>1338.577</v>
      </c>
      <c r="BA462" s="85">
        <v>1212.1904099999999</v>
      </c>
      <c r="BB462" s="88">
        <v>38.079830000000001</v>
      </c>
      <c r="BC462" s="85"/>
      <c r="BD462" s="84"/>
      <c r="BE462" s="88"/>
      <c r="BF462" s="85"/>
      <c r="BG462" s="85">
        <v>1646.36879</v>
      </c>
      <c r="BH462" s="85"/>
      <c r="BI462" s="85"/>
      <c r="BJ462" s="85"/>
      <c r="BK462" s="85"/>
      <c r="BL462" s="85"/>
      <c r="BM462" s="85"/>
      <c r="BN462" s="85"/>
      <c r="BO462" s="85"/>
      <c r="BP462" s="85"/>
      <c r="BQ462" s="85"/>
      <c r="BR462" s="84"/>
      <c r="BS462" s="85">
        <v>3072.2</v>
      </c>
      <c r="BT462" s="85"/>
      <c r="BU462" s="198"/>
      <c r="BV462" s="90"/>
      <c r="BW462" s="198"/>
      <c r="BX462" s="90"/>
      <c r="BY462" s="198"/>
      <c r="BZ462" s="90"/>
      <c r="CA462" s="91"/>
    </row>
    <row r="463" spans="1:1199" ht="50.1" customHeight="1" outlineLevel="2" x14ac:dyDescent="0.3">
      <c r="A463" s="103" t="s">
        <v>449</v>
      </c>
      <c r="B463" s="102" t="s">
        <v>451</v>
      </c>
      <c r="C463" s="79" t="s">
        <v>37</v>
      </c>
      <c r="D463" s="81">
        <f t="shared" ref="D463:D509" si="110">E463+F463</f>
        <v>39491.587469999999</v>
      </c>
      <c r="E463" s="82">
        <f t="shared" si="99"/>
        <v>15828.1919</v>
      </c>
      <c r="F463" s="83">
        <f t="shared" si="105"/>
        <v>23663.395570000001</v>
      </c>
      <c r="G463" s="84"/>
      <c r="H463" s="85"/>
      <c r="I463" s="85"/>
      <c r="J463" s="84">
        <v>141.72907000000001</v>
      </c>
      <c r="K463" s="85">
        <v>20.250019999999999</v>
      </c>
      <c r="L463" s="85"/>
      <c r="M463" s="85"/>
      <c r="N463" s="85"/>
      <c r="O463" s="82"/>
      <c r="P463" s="83"/>
      <c r="Q463" s="83">
        <v>205.24494999999999</v>
      </c>
      <c r="R463" s="83"/>
      <c r="S463" s="82">
        <v>1525.3669</v>
      </c>
      <c r="T463" s="83">
        <v>1611.0077200000001</v>
      </c>
      <c r="U463" s="83">
        <v>249.04109</v>
      </c>
      <c r="V463" s="84">
        <v>162.36500000000001</v>
      </c>
      <c r="W463" s="85">
        <v>283.5</v>
      </c>
      <c r="X463" s="87"/>
      <c r="Y463" s="83">
        <v>1086.6959999999999</v>
      </c>
      <c r="Z463" s="84"/>
      <c r="AA463" s="85"/>
      <c r="AB463" s="84"/>
      <c r="AC463" s="85"/>
      <c r="AD463" s="89">
        <f t="shared" si="98"/>
        <v>997.00972000000002</v>
      </c>
      <c r="AE463" s="89">
        <f>180.5244+51.5784</f>
        <v>232.1028</v>
      </c>
      <c r="AF463" s="186">
        <f>764.90692</f>
        <v>764.90692000000001</v>
      </c>
      <c r="AG463" s="85"/>
      <c r="AH463" s="85"/>
      <c r="AI463" s="85"/>
      <c r="AJ463" s="84">
        <v>6279</v>
      </c>
      <c r="AK463" s="85">
        <v>2320.5</v>
      </c>
      <c r="AL463" s="84"/>
      <c r="AM463" s="88"/>
      <c r="AN463" s="84"/>
      <c r="AO463" s="85"/>
      <c r="AP463" s="84">
        <v>4306.62644</v>
      </c>
      <c r="AQ463" s="83">
        <v>5376.63015</v>
      </c>
      <c r="AR463" s="83"/>
      <c r="AS463" s="83"/>
      <c r="AT463" s="85"/>
      <c r="AU463" s="85"/>
      <c r="AV463" s="85">
        <f>3998.911+267.91809+2900.13426</f>
        <v>7166.96335</v>
      </c>
      <c r="AW463" s="88"/>
      <c r="AX463" s="84"/>
      <c r="AY463" s="85"/>
      <c r="AZ463" s="84">
        <v>3413.1044900000002</v>
      </c>
      <c r="BA463" s="85">
        <v>3090.8436099999999</v>
      </c>
      <c r="BB463" s="88"/>
      <c r="BC463" s="85"/>
      <c r="BD463" s="84"/>
      <c r="BE463" s="88"/>
      <c r="BF463" s="85"/>
      <c r="BG463" s="85"/>
      <c r="BH463" s="85"/>
      <c r="BI463" s="85"/>
      <c r="BJ463" s="85"/>
      <c r="BK463" s="85">
        <v>930.60896000000002</v>
      </c>
      <c r="BL463" s="85"/>
      <c r="BM463" s="85"/>
      <c r="BN463" s="85"/>
      <c r="BO463" s="85"/>
      <c r="BP463" s="85"/>
      <c r="BQ463" s="85"/>
      <c r="BR463" s="84"/>
      <c r="BS463" s="85"/>
      <c r="BT463" s="85">
        <v>325.10000000000002</v>
      </c>
      <c r="BU463" s="198"/>
      <c r="BV463" s="90"/>
      <c r="BW463" s="198"/>
      <c r="BX463" s="90"/>
      <c r="BY463" s="198"/>
      <c r="BZ463" s="90"/>
      <c r="CA463" s="91"/>
    </row>
    <row r="464" spans="1:1199" ht="50.1" customHeight="1" outlineLevel="2" x14ac:dyDescent="0.3">
      <c r="A464" s="103" t="s">
        <v>449</v>
      </c>
      <c r="B464" s="102" t="s">
        <v>452</v>
      </c>
      <c r="C464" s="79" t="s">
        <v>37</v>
      </c>
      <c r="D464" s="81">
        <f t="shared" si="110"/>
        <v>105688.84461999999</v>
      </c>
      <c r="E464" s="82">
        <f t="shared" si="99"/>
        <v>28128.872139999999</v>
      </c>
      <c r="F464" s="83">
        <f t="shared" si="105"/>
        <v>77559.972479999982</v>
      </c>
      <c r="G464" s="84">
        <v>6495.8177599999999</v>
      </c>
      <c r="H464" s="85">
        <v>2602.8315200000002</v>
      </c>
      <c r="I464" s="85"/>
      <c r="J464" s="84"/>
      <c r="K464" s="85"/>
      <c r="L464" s="85">
        <v>716.98356000000001</v>
      </c>
      <c r="M464" s="85"/>
      <c r="N464" s="85"/>
      <c r="O464" s="82"/>
      <c r="P464" s="83"/>
      <c r="Q464" s="83">
        <v>4.5205500000000001</v>
      </c>
      <c r="R464" s="83"/>
      <c r="S464" s="82">
        <v>2850.56333</v>
      </c>
      <c r="T464" s="83">
        <v>1768.2003</v>
      </c>
      <c r="U464" s="83">
        <v>1205.20109</v>
      </c>
      <c r="V464" s="84"/>
      <c r="W464" s="85">
        <v>455.82</v>
      </c>
      <c r="X464" s="87"/>
      <c r="Y464" s="83">
        <v>936</v>
      </c>
      <c r="Z464" s="84"/>
      <c r="AA464" s="85"/>
      <c r="AB464" s="84"/>
      <c r="AC464" s="85"/>
      <c r="AD464" s="89">
        <f t="shared" si="98"/>
        <v>1792.6492699999999</v>
      </c>
      <c r="AE464" s="89">
        <f>167.6298+51.5784</f>
        <v>219.20819999999998</v>
      </c>
      <c r="AF464" s="186">
        <f>1248.66509+62.10783+262.66815</f>
        <v>1573.4410699999999</v>
      </c>
      <c r="AG464" s="85"/>
      <c r="AH464" s="85"/>
      <c r="AI464" s="85"/>
      <c r="AJ464" s="84">
        <v>7948.8</v>
      </c>
      <c r="AK464" s="85">
        <v>2937.6</v>
      </c>
      <c r="AL464" s="84"/>
      <c r="AM464" s="88"/>
      <c r="AN464" s="84"/>
      <c r="AO464" s="85"/>
      <c r="AP464" s="84">
        <v>7016.9118799999997</v>
      </c>
      <c r="AQ464" s="83">
        <v>26293.75822</v>
      </c>
      <c r="AR464" s="83"/>
      <c r="AS464" s="83"/>
      <c r="AT464" s="85"/>
      <c r="AU464" s="85"/>
      <c r="AV464" s="85">
        <f>12960.02631+9927.69254</f>
        <v>22887.718849999997</v>
      </c>
      <c r="AW464" s="88"/>
      <c r="AX464" s="84"/>
      <c r="AY464" s="85"/>
      <c r="AZ464" s="84">
        <v>3816.7791699999998</v>
      </c>
      <c r="BA464" s="85">
        <v>3456.4043700000002</v>
      </c>
      <c r="BB464" s="88"/>
      <c r="BC464" s="85"/>
      <c r="BD464" s="84"/>
      <c r="BE464" s="88"/>
      <c r="BF464" s="85"/>
      <c r="BG464" s="85">
        <v>11551.30833</v>
      </c>
      <c r="BH464" s="85"/>
      <c r="BI464" s="85"/>
      <c r="BJ464" s="85"/>
      <c r="BK464" s="85">
        <v>377.26400000000001</v>
      </c>
      <c r="BL464" s="85"/>
      <c r="BM464" s="85"/>
      <c r="BN464" s="85"/>
      <c r="BO464" s="85"/>
      <c r="BP464" s="85"/>
      <c r="BQ464" s="85"/>
      <c r="BR464" s="84"/>
      <c r="BS464" s="85"/>
      <c r="BT464" s="85">
        <v>67.5</v>
      </c>
      <c r="BU464" s="97">
        <f>60.93685+445.27557</f>
        <v>506.21242000000001</v>
      </c>
      <c r="BV464" s="90"/>
      <c r="BW464" s="198"/>
      <c r="BX464" s="90"/>
      <c r="BY464" s="198"/>
      <c r="BZ464" s="90"/>
      <c r="CA464" s="91"/>
    </row>
    <row r="465" spans="1:79" ht="50.1" customHeight="1" outlineLevel="2" x14ac:dyDescent="0.3">
      <c r="A465" s="103" t="s">
        <v>449</v>
      </c>
      <c r="B465" s="102" t="s">
        <v>453</v>
      </c>
      <c r="C465" s="79" t="s">
        <v>37</v>
      </c>
      <c r="D465" s="81">
        <f t="shared" si="110"/>
        <v>33798.051820000001</v>
      </c>
      <c r="E465" s="82">
        <f t="shared" si="99"/>
        <v>12901.251779999999</v>
      </c>
      <c r="F465" s="83">
        <f t="shared" si="105"/>
        <v>20896.800040000002</v>
      </c>
      <c r="G465" s="84"/>
      <c r="H465" s="85"/>
      <c r="I465" s="85"/>
      <c r="J465" s="84"/>
      <c r="K465" s="85"/>
      <c r="L465" s="85"/>
      <c r="M465" s="85"/>
      <c r="N465" s="85"/>
      <c r="O465" s="82"/>
      <c r="P465" s="83"/>
      <c r="Q465" s="83"/>
      <c r="R465" s="83"/>
      <c r="S465" s="82"/>
      <c r="T465" s="83"/>
      <c r="U465" s="83"/>
      <c r="V465" s="84">
        <v>182.505</v>
      </c>
      <c r="W465" s="85">
        <v>468.6</v>
      </c>
      <c r="X465" s="87"/>
      <c r="Y465" s="83">
        <v>624</v>
      </c>
      <c r="Z465" s="84"/>
      <c r="AA465" s="85"/>
      <c r="AB465" s="84"/>
      <c r="AC465" s="85"/>
      <c r="AD465" s="89">
        <f t="shared" si="98"/>
        <v>1262.58907</v>
      </c>
      <c r="AE465" s="89">
        <f>52.569+124.6478</f>
        <v>177.21680000000001</v>
      </c>
      <c r="AF465" s="186">
        <f>776.19722+32.68833+220.83582+55.6509</f>
        <v>1085.3722700000001</v>
      </c>
      <c r="AG465" s="85"/>
      <c r="AH465" s="85"/>
      <c r="AI465" s="85"/>
      <c r="AJ465" s="84">
        <v>6987.1049999999996</v>
      </c>
      <c r="AK465" s="85">
        <v>1912.5</v>
      </c>
      <c r="AL465" s="84"/>
      <c r="AM465" s="88"/>
      <c r="AN465" s="84"/>
      <c r="AO465" s="85"/>
      <c r="AP465" s="84">
        <v>3518.5812799999999</v>
      </c>
      <c r="AQ465" s="83">
        <v>5117.4177</v>
      </c>
      <c r="AR465" s="83"/>
      <c r="AS465" s="83"/>
      <c r="AT465" s="85"/>
      <c r="AU465" s="85"/>
      <c r="AV465" s="85">
        <f>2832.5587+4026.2204</f>
        <v>6858.7790999999997</v>
      </c>
      <c r="AW465" s="88"/>
      <c r="AX465" s="84"/>
      <c r="AY465" s="85"/>
      <c r="AZ465" s="84">
        <v>2213.0605</v>
      </c>
      <c r="BA465" s="85">
        <v>2004.10358</v>
      </c>
      <c r="BB465" s="88">
        <v>176.56073000000001</v>
      </c>
      <c r="BC465" s="85"/>
      <c r="BD465" s="84"/>
      <c r="BE465" s="88"/>
      <c r="BF465" s="85"/>
      <c r="BG465" s="85">
        <v>1357.3248599999999</v>
      </c>
      <c r="BH465" s="85"/>
      <c r="BI465" s="85"/>
      <c r="BJ465" s="85"/>
      <c r="BK465" s="85"/>
      <c r="BL465" s="85"/>
      <c r="BM465" s="85"/>
      <c r="BN465" s="85"/>
      <c r="BO465" s="85"/>
      <c r="BP465" s="85"/>
      <c r="BQ465" s="85"/>
      <c r="BR465" s="84"/>
      <c r="BS465" s="85"/>
      <c r="BT465" s="85">
        <v>1114.925</v>
      </c>
      <c r="BU465" s="198"/>
      <c r="BV465" s="90"/>
      <c r="BW465" s="198"/>
      <c r="BX465" s="90"/>
      <c r="BY465" s="198"/>
      <c r="BZ465" s="90"/>
      <c r="CA465" s="91"/>
    </row>
    <row r="466" spans="1:79" ht="50.1" customHeight="1" outlineLevel="2" x14ac:dyDescent="0.3">
      <c r="A466" s="103" t="s">
        <v>449</v>
      </c>
      <c r="B466" s="102" t="s">
        <v>454</v>
      </c>
      <c r="C466" s="79" t="s">
        <v>37</v>
      </c>
      <c r="D466" s="81">
        <f t="shared" si="110"/>
        <v>31340.495919999998</v>
      </c>
      <c r="E466" s="82">
        <f t="shared" si="99"/>
        <v>7447.05159</v>
      </c>
      <c r="F466" s="83">
        <f t="shared" si="105"/>
        <v>23893.444329999998</v>
      </c>
      <c r="G466" s="84"/>
      <c r="H466" s="85"/>
      <c r="I466" s="85"/>
      <c r="J466" s="84">
        <f>376.35235+272.03297+142.88601</f>
        <v>791.27133000000003</v>
      </c>
      <c r="K466" s="85">
        <f>124.69793+91.95019+48.2971</f>
        <v>264.94522000000001</v>
      </c>
      <c r="L466" s="85">
        <v>276.15807999999998</v>
      </c>
      <c r="M466" s="85"/>
      <c r="N466" s="85"/>
      <c r="O466" s="82"/>
      <c r="P466" s="83"/>
      <c r="Q466" s="83"/>
      <c r="R466" s="83"/>
      <c r="S466" s="82"/>
      <c r="T466" s="83"/>
      <c r="U466" s="83"/>
      <c r="V466" s="84">
        <v>153.64400000000001</v>
      </c>
      <c r="W466" s="85">
        <v>545.1</v>
      </c>
      <c r="X466" s="87"/>
      <c r="Y466" s="83">
        <v>321.98399999999998</v>
      </c>
      <c r="Z466" s="84"/>
      <c r="AA466" s="85"/>
      <c r="AB466" s="84"/>
      <c r="AC466" s="85"/>
      <c r="AD466" s="89">
        <f t="shared" si="98"/>
        <v>1118.7191399999999</v>
      </c>
      <c r="AE466" s="89">
        <f>52.569+310.7412+55.8766</f>
        <v>419.18680000000001</v>
      </c>
      <c r="AF466" s="186">
        <f>472.46787+16.34416+182.89486+27.82545</f>
        <v>699.53233999999998</v>
      </c>
      <c r="AG466" s="85"/>
      <c r="AH466" s="85"/>
      <c r="AI466" s="85"/>
      <c r="AJ466" s="84"/>
      <c r="AK466" s="85"/>
      <c r="AL466" s="84"/>
      <c r="AM466" s="88"/>
      <c r="AN466" s="84"/>
      <c r="AO466" s="85"/>
      <c r="AP466" s="84">
        <v>4461.0922300000002</v>
      </c>
      <c r="AQ466" s="83">
        <v>8105.0856800000001</v>
      </c>
      <c r="AR466" s="83"/>
      <c r="AS466" s="83"/>
      <c r="AT466" s="85"/>
      <c r="AU466" s="85"/>
      <c r="AV466" s="85">
        <f>1525.51744+4118.82985</f>
        <v>5644.3472899999997</v>
      </c>
      <c r="AW466" s="88"/>
      <c r="AX466" s="84"/>
      <c r="AY466" s="85"/>
      <c r="AZ466" s="84">
        <v>2041.04403</v>
      </c>
      <c r="BA466" s="85">
        <v>1848.3316299999999</v>
      </c>
      <c r="BB466" s="88">
        <v>24.213290000000001</v>
      </c>
      <c r="BC466" s="85"/>
      <c r="BD466" s="84"/>
      <c r="BE466" s="88"/>
      <c r="BF466" s="85"/>
      <c r="BG466" s="85">
        <v>1132.44695</v>
      </c>
      <c r="BH466" s="85"/>
      <c r="BI466" s="85"/>
      <c r="BJ466" s="85"/>
      <c r="BK466" s="85">
        <v>574.86305000000004</v>
      </c>
      <c r="BL466" s="85"/>
      <c r="BM466" s="85"/>
      <c r="BN466" s="85"/>
      <c r="BO466" s="85"/>
      <c r="BP466" s="85"/>
      <c r="BQ466" s="85"/>
      <c r="BR466" s="84"/>
      <c r="BS466" s="85">
        <v>3942</v>
      </c>
      <c r="BT466" s="85">
        <v>95.25</v>
      </c>
      <c r="BU466" s="198"/>
      <c r="BV466" s="90"/>
      <c r="BW466" s="198"/>
      <c r="BX466" s="90"/>
      <c r="BY466" s="198"/>
      <c r="BZ466" s="90"/>
      <c r="CA466" s="91"/>
    </row>
    <row r="467" spans="1:79" ht="50.1" customHeight="1" outlineLevel="2" x14ac:dyDescent="0.3">
      <c r="A467" s="103" t="s">
        <v>449</v>
      </c>
      <c r="B467" s="102" t="s">
        <v>455</v>
      </c>
      <c r="C467" s="79" t="s">
        <v>37</v>
      </c>
      <c r="D467" s="81">
        <f t="shared" si="110"/>
        <v>71958.999460000006</v>
      </c>
      <c r="E467" s="82">
        <f t="shared" si="99"/>
        <v>22952.257900000001</v>
      </c>
      <c r="F467" s="83">
        <f t="shared" si="105"/>
        <v>49006.741560000002</v>
      </c>
      <c r="G467" s="84"/>
      <c r="H467" s="85"/>
      <c r="I467" s="85"/>
      <c r="J467" s="84"/>
      <c r="K467" s="85"/>
      <c r="L467" s="85">
        <v>3301.47426</v>
      </c>
      <c r="M467" s="85"/>
      <c r="N467" s="85">
        <f>4500+4500+10500</f>
        <v>19500</v>
      </c>
      <c r="O467" s="82"/>
      <c r="P467" s="83"/>
      <c r="Q467" s="83"/>
      <c r="R467" s="83"/>
      <c r="S467" s="82">
        <v>1204.5903800000001</v>
      </c>
      <c r="T467" s="83">
        <v>2175.3142800000001</v>
      </c>
      <c r="U467" s="83"/>
      <c r="V467" s="84">
        <v>228.89500000000001</v>
      </c>
      <c r="W467" s="85">
        <v>687.91155000000003</v>
      </c>
      <c r="X467" s="87"/>
      <c r="Y467" s="83">
        <v>694.2</v>
      </c>
      <c r="Z467" s="84"/>
      <c r="AA467" s="85"/>
      <c r="AB467" s="84"/>
      <c r="AC467" s="85"/>
      <c r="AD467" s="89">
        <f t="shared" si="98"/>
        <v>2076.1759099999999</v>
      </c>
      <c r="AE467" s="89">
        <f>677.9808+141.246+21.491</f>
        <v>840.71780000000001</v>
      </c>
      <c r="AF467" s="186">
        <f>776.19722+9.8065+449.45439</f>
        <v>1235.45811</v>
      </c>
      <c r="AG467" s="85"/>
      <c r="AH467" s="85"/>
      <c r="AI467" s="85"/>
      <c r="AJ467" s="84">
        <v>11427.7984</v>
      </c>
      <c r="AK467" s="85">
        <v>3128</v>
      </c>
      <c r="AL467" s="84"/>
      <c r="AM467" s="88"/>
      <c r="AN467" s="84"/>
      <c r="AO467" s="85"/>
      <c r="AP467" s="82">
        <v>6084.1303699999999</v>
      </c>
      <c r="AQ467" s="83">
        <v>11509.493539999999</v>
      </c>
      <c r="AR467" s="83"/>
      <c r="AS467" s="83"/>
      <c r="AT467" s="85"/>
      <c r="AU467" s="85"/>
      <c r="AV467" s="85"/>
      <c r="AW467" s="88"/>
      <c r="AX467" s="84"/>
      <c r="AY467" s="85"/>
      <c r="AZ467" s="84">
        <v>4006.84375</v>
      </c>
      <c r="BA467" s="85">
        <v>3628.5201200000001</v>
      </c>
      <c r="BB467" s="88"/>
      <c r="BC467" s="85"/>
      <c r="BD467" s="84"/>
      <c r="BE467" s="88"/>
      <c r="BF467" s="85"/>
      <c r="BG467" s="85">
        <v>1202.8518999999999</v>
      </c>
      <c r="BH467" s="85"/>
      <c r="BI467" s="85"/>
      <c r="BJ467" s="85"/>
      <c r="BK467" s="85"/>
      <c r="BL467" s="85"/>
      <c r="BM467" s="85"/>
      <c r="BN467" s="85"/>
      <c r="BO467" s="85"/>
      <c r="BP467" s="85"/>
      <c r="BQ467" s="85"/>
      <c r="BR467" s="84"/>
      <c r="BS467" s="85">
        <v>1037.4000000000001</v>
      </c>
      <c r="BT467" s="85">
        <v>65.400000000000006</v>
      </c>
      <c r="BU467" s="198"/>
      <c r="BV467" s="90"/>
      <c r="BW467" s="198"/>
      <c r="BX467" s="90"/>
      <c r="BY467" s="198"/>
      <c r="BZ467" s="90"/>
      <c r="CA467" s="91"/>
    </row>
    <row r="468" spans="1:79" ht="50.1" customHeight="1" outlineLevel="2" x14ac:dyDescent="0.3">
      <c r="A468" s="103" t="s">
        <v>449</v>
      </c>
      <c r="B468" s="102" t="s">
        <v>1064</v>
      </c>
      <c r="C468" s="79" t="s">
        <v>37</v>
      </c>
      <c r="D468" s="81">
        <f t="shared" si="110"/>
        <v>218.71199999999999</v>
      </c>
      <c r="E468" s="82">
        <f t="shared" si="99"/>
        <v>0</v>
      </c>
      <c r="F468" s="83">
        <f t="shared" si="105"/>
        <v>218.71199999999999</v>
      </c>
      <c r="G468" s="84"/>
      <c r="H468" s="85"/>
      <c r="I468" s="85"/>
      <c r="J468" s="84"/>
      <c r="K468" s="85"/>
      <c r="L468" s="85"/>
      <c r="M468" s="85"/>
      <c r="N468" s="85"/>
      <c r="O468" s="82"/>
      <c r="P468" s="83"/>
      <c r="Q468" s="83"/>
      <c r="R468" s="83"/>
      <c r="S468" s="82"/>
      <c r="T468" s="83"/>
      <c r="U468" s="83"/>
      <c r="V468" s="84"/>
      <c r="W468" s="85"/>
      <c r="X468" s="82"/>
      <c r="Y468" s="83">
        <v>218.71199999999999</v>
      </c>
      <c r="Z468" s="84"/>
      <c r="AA468" s="85"/>
      <c r="AB468" s="84"/>
      <c r="AC468" s="85"/>
      <c r="AD468" s="89"/>
      <c r="AE468" s="89"/>
      <c r="AF468" s="186"/>
      <c r="AG468" s="85"/>
      <c r="AH468" s="85"/>
      <c r="AI468" s="85"/>
      <c r="AJ468" s="84"/>
      <c r="AK468" s="85"/>
      <c r="AL468" s="84"/>
      <c r="AM468" s="88"/>
      <c r="AN468" s="84"/>
      <c r="AO468" s="85"/>
      <c r="AP468" s="84"/>
      <c r="AQ468" s="83"/>
      <c r="AR468" s="83"/>
      <c r="AS468" s="83"/>
      <c r="AT468" s="85"/>
      <c r="AU468" s="85"/>
      <c r="AV468" s="85"/>
      <c r="AW468" s="88"/>
      <c r="AX468" s="84"/>
      <c r="AY468" s="85"/>
      <c r="AZ468" s="84"/>
      <c r="BA468" s="85"/>
      <c r="BB468" s="88"/>
      <c r="BC468" s="85"/>
      <c r="BD468" s="84"/>
      <c r="BE468" s="88"/>
      <c r="BF468" s="85"/>
      <c r="BG468" s="85"/>
      <c r="BH468" s="85"/>
      <c r="BI468" s="85"/>
      <c r="BJ468" s="85"/>
      <c r="BK468" s="85"/>
      <c r="BL468" s="85"/>
      <c r="BM468" s="85"/>
      <c r="BN468" s="85"/>
      <c r="BO468" s="85"/>
      <c r="BP468" s="85"/>
      <c r="BQ468" s="85"/>
      <c r="BR468" s="84"/>
      <c r="BS468" s="85"/>
      <c r="BT468" s="85"/>
      <c r="BU468" s="198"/>
      <c r="BV468" s="90"/>
      <c r="BW468" s="198"/>
      <c r="BX468" s="90"/>
      <c r="BY468" s="198"/>
      <c r="BZ468" s="90"/>
      <c r="CA468" s="91"/>
    </row>
    <row r="469" spans="1:79" ht="50.1" customHeight="1" outlineLevel="2" x14ac:dyDescent="0.3">
      <c r="A469" s="103" t="s">
        <v>449</v>
      </c>
      <c r="B469" s="102" t="s">
        <v>456</v>
      </c>
      <c r="C469" s="79" t="s">
        <v>37</v>
      </c>
      <c r="D469" s="81">
        <f t="shared" si="110"/>
        <v>4130.1576500000001</v>
      </c>
      <c r="E469" s="82">
        <f t="shared" si="99"/>
        <v>859.80711999999994</v>
      </c>
      <c r="F469" s="83">
        <f t="shared" si="105"/>
        <v>3270.3505300000002</v>
      </c>
      <c r="G469" s="84"/>
      <c r="H469" s="85"/>
      <c r="I469" s="85"/>
      <c r="J469" s="84">
        <f>3.48159+4.78854+3.41777</f>
        <v>11.687899999999999</v>
      </c>
      <c r="K469" s="85">
        <f>1.26602+1.79574+1.28165</f>
        <v>4.3434099999999995</v>
      </c>
      <c r="L469" s="85"/>
      <c r="M469" s="85"/>
      <c r="N469" s="85"/>
      <c r="O469" s="82"/>
      <c r="P469" s="83"/>
      <c r="Q469" s="83"/>
      <c r="R469" s="83"/>
      <c r="S469" s="82"/>
      <c r="T469" s="83"/>
      <c r="U469" s="83">
        <v>182.72236000000001</v>
      </c>
      <c r="V469" s="84">
        <v>57.987499999999997</v>
      </c>
      <c r="W469" s="85">
        <v>101.25</v>
      </c>
      <c r="X469" s="87"/>
      <c r="Y469" s="83">
        <v>93.6</v>
      </c>
      <c r="Z469" s="84"/>
      <c r="AA469" s="85"/>
      <c r="AB469" s="84"/>
      <c r="AC469" s="85"/>
      <c r="AD469" s="89">
        <f t="shared" ref="AD469:AD522" si="111">AE469+AF469</f>
        <v>353.43629999999996</v>
      </c>
      <c r="AE469" s="89">
        <v>225.99359999999999</v>
      </c>
      <c r="AF469" s="186">
        <v>127.4427</v>
      </c>
      <c r="AG469" s="85"/>
      <c r="AH469" s="85"/>
      <c r="AI469" s="85"/>
      <c r="AJ469" s="84"/>
      <c r="AK469" s="85"/>
      <c r="AL469" s="84"/>
      <c r="AM469" s="88"/>
      <c r="AN469" s="84"/>
      <c r="AO469" s="85"/>
      <c r="AP469" s="84">
        <v>790.13171999999997</v>
      </c>
      <c r="AQ469" s="83">
        <v>1102.72855</v>
      </c>
      <c r="AR469" s="83"/>
      <c r="AS469" s="83"/>
      <c r="AT469" s="85"/>
      <c r="AU469" s="85"/>
      <c r="AV469" s="85">
        <f>296.93545+999.49585</f>
        <v>1296.4313</v>
      </c>
      <c r="AW469" s="88"/>
      <c r="AX469" s="84"/>
      <c r="AY469" s="85"/>
      <c r="AZ469" s="84"/>
      <c r="BA469" s="85"/>
      <c r="BB469" s="88">
        <v>4.4386099999999997</v>
      </c>
      <c r="BC469" s="85"/>
      <c r="BD469" s="84"/>
      <c r="BE469" s="88"/>
      <c r="BF469" s="85"/>
      <c r="BG469" s="85"/>
      <c r="BH469" s="85"/>
      <c r="BI469" s="85"/>
      <c r="BJ469" s="85"/>
      <c r="BK469" s="85"/>
      <c r="BL469" s="85"/>
      <c r="BM469" s="85"/>
      <c r="BN469" s="85"/>
      <c r="BO469" s="85"/>
      <c r="BP469" s="85"/>
      <c r="BQ469" s="85"/>
      <c r="BR469" s="84"/>
      <c r="BS469" s="85"/>
      <c r="BT469" s="85">
        <v>131.4</v>
      </c>
      <c r="BU469" s="198"/>
      <c r="BV469" s="90"/>
      <c r="BW469" s="198"/>
      <c r="BX469" s="90"/>
      <c r="BY469" s="198"/>
      <c r="BZ469" s="90"/>
      <c r="CA469" s="91"/>
    </row>
    <row r="470" spans="1:79" ht="50.1" customHeight="1" outlineLevel="2" x14ac:dyDescent="0.3">
      <c r="A470" s="103" t="s">
        <v>449</v>
      </c>
      <c r="B470" s="102" t="s">
        <v>457</v>
      </c>
      <c r="C470" s="79" t="s">
        <v>99</v>
      </c>
      <c r="D470" s="81">
        <f t="shared" si="110"/>
        <v>1507.1408300000001</v>
      </c>
      <c r="E470" s="82">
        <f t="shared" si="99"/>
        <v>0</v>
      </c>
      <c r="F470" s="83">
        <f t="shared" si="105"/>
        <v>1507.1408300000001</v>
      </c>
      <c r="G470" s="84"/>
      <c r="H470" s="85"/>
      <c r="I470" s="85"/>
      <c r="J470" s="84"/>
      <c r="K470" s="85"/>
      <c r="L470" s="85"/>
      <c r="M470" s="85"/>
      <c r="N470" s="85"/>
      <c r="O470" s="82"/>
      <c r="P470" s="83"/>
      <c r="Q470" s="83"/>
      <c r="R470" s="83"/>
      <c r="S470" s="82"/>
      <c r="T470" s="83"/>
      <c r="U470" s="83"/>
      <c r="V470" s="84"/>
      <c r="W470" s="85"/>
      <c r="X470" s="87"/>
      <c r="Y470" s="83"/>
      <c r="Z470" s="84"/>
      <c r="AA470" s="85"/>
      <c r="AB470" s="84"/>
      <c r="AC470" s="85"/>
      <c r="AD470" s="89">
        <f t="shared" si="111"/>
        <v>0</v>
      </c>
      <c r="AE470" s="89"/>
      <c r="AF470" s="186"/>
      <c r="AG470" s="85"/>
      <c r="AH470" s="85"/>
      <c r="AI470" s="85"/>
      <c r="AJ470" s="84"/>
      <c r="AK470" s="85"/>
      <c r="AL470" s="84"/>
      <c r="AM470" s="88"/>
      <c r="AN470" s="84"/>
      <c r="AO470" s="85"/>
      <c r="AP470" s="84"/>
      <c r="AQ470" s="83"/>
      <c r="AR470" s="83"/>
      <c r="AS470" s="83"/>
      <c r="AT470" s="85"/>
      <c r="AU470" s="85"/>
      <c r="AV470" s="85"/>
      <c r="AW470" s="88"/>
      <c r="AX470" s="84"/>
      <c r="AY470" s="85"/>
      <c r="AZ470" s="84"/>
      <c r="BA470" s="85"/>
      <c r="BB470" s="88"/>
      <c r="BC470" s="85"/>
      <c r="BD470" s="84"/>
      <c r="BE470" s="88"/>
      <c r="BF470" s="85"/>
      <c r="BG470" s="85">
        <f>1507.14083</f>
        <v>1507.1408300000001</v>
      </c>
      <c r="BH470" s="85"/>
      <c r="BI470" s="85"/>
      <c r="BJ470" s="85"/>
      <c r="BK470" s="85"/>
      <c r="BL470" s="85"/>
      <c r="BM470" s="85"/>
      <c r="BN470" s="85"/>
      <c r="BO470" s="85"/>
      <c r="BP470" s="85"/>
      <c r="BQ470" s="85"/>
      <c r="BR470" s="84"/>
      <c r="BS470" s="85"/>
      <c r="BT470" s="85"/>
      <c r="BU470" s="198"/>
      <c r="BV470" s="90"/>
      <c r="BW470" s="198"/>
      <c r="BX470" s="90"/>
      <c r="BY470" s="198"/>
      <c r="BZ470" s="90"/>
      <c r="CA470" s="91"/>
    </row>
    <row r="471" spans="1:79" ht="50.1" customHeight="1" outlineLevel="2" x14ac:dyDescent="0.3">
      <c r="A471" s="103" t="s">
        <v>449</v>
      </c>
      <c r="B471" s="102" t="s">
        <v>750</v>
      </c>
      <c r="C471" s="79" t="s">
        <v>37</v>
      </c>
      <c r="D471" s="81">
        <f t="shared" si="110"/>
        <v>236.31119999999999</v>
      </c>
      <c r="E471" s="82">
        <f t="shared" si="99"/>
        <v>0</v>
      </c>
      <c r="F471" s="83">
        <f t="shared" si="105"/>
        <v>236.31119999999999</v>
      </c>
      <c r="G471" s="84"/>
      <c r="H471" s="85"/>
      <c r="I471" s="85"/>
      <c r="J471" s="84"/>
      <c r="K471" s="85"/>
      <c r="L471" s="85"/>
      <c r="M471" s="85"/>
      <c r="N471" s="85"/>
      <c r="O471" s="82"/>
      <c r="P471" s="83"/>
      <c r="Q471" s="83"/>
      <c r="R471" s="83"/>
      <c r="S471" s="82"/>
      <c r="T471" s="83"/>
      <c r="U471" s="83"/>
      <c r="V471" s="84"/>
      <c r="W471" s="85"/>
      <c r="X471" s="87"/>
      <c r="Y471" s="83"/>
      <c r="Z471" s="84"/>
      <c r="AA471" s="85"/>
      <c r="AB471" s="84"/>
      <c r="AC471" s="85"/>
      <c r="AD471" s="89">
        <f t="shared" si="111"/>
        <v>236.31119999999999</v>
      </c>
      <c r="AE471" s="89">
        <v>101.0077</v>
      </c>
      <c r="AF471" s="186">
        <f>9.8065+125.497</f>
        <v>135.30349999999999</v>
      </c>
      <c r="AG471" s="85"/>
      <c r="AH471" s="85"/>
      <c r="AI471" s="85"/>
      <c r="AJ471" s="84"/>
      <c r="AK471" s="85"/>
      <c r="AL471" s="84"/>
      <c r="AM471" s="88"/>
      <c r="AN471" s="84"/>
      <c r="AO471" s="85"/>
      <c r="AP471" s="84"/>
      <c r="AQ471" s="83"/>
      <c r="AR471" s="83"/>
      <c r="AS471" s="83"/>
      <c r="AT471" s="85"/>
      <c r="AU471" s="85"/>
      <c r="AV471" s="85"/>
      <c r="AW471" s="88"/>
      <c r="AX471" s="84"/>
      <c r="AY471" s="85"/>
      <c r="AZ471" s="84"/>
      <c r="BA471" s="85"/>
      <c r="BB471" s="88"/>
      <c r="BC471" s="85"/>
      <c r="BD471" s="84"/>
      <c r="BE471" s="88"/>
      <c r="BF471" s="85"/>
      <c r="BG471" s="85"/>
      <c r="BH471" s="85"/>
      <c r="BI471" s="85"/>
      <c r="BJ471" s="85"/>
      <c r="BK471" s="85"/>
      <c r="BL471" s="85"/>
      <c r="BM471" s="85"/>
      <c r="BN471" s="85"/>
      <c r="BO471" s="85"/>
      <c r="BP471" s="85"/>
      <c r="BQ471" s="85"/>
      <c r="BR471" s="84"/>
      <c r="BS471" s="85"/>
      <c r="BT471" s="85"/>
      <c r="BU471" s="198"/>
      <c r="BV471" s="90"/>
      <c r="BW471" s="198"/>
      <c r="BX471" s="90"/>
      <c r="BY471" s="198"/>
      <c r="BZ471" s="90"/>
      <c r="CA471" s="91"/>
    </row>
    <row r="472" spans="1:79" ht="50.1" customHeight="1" outlineLevel="2" x14ac:dyDescent="0.3">
      <c r="A472" s="106" t="s">
        <v>449</v>
      </c>
      <c r="B472" s="102" t="s">
        <v>458</v>
      </c>
      <c r="C472" s="79" t="s">
        <v>53</v>
      </c>
      <c r="D472" s="81">
        <f t="shared" si="110"/>
        <v>268.29930000000002</v>
      </c>
      <c r="E472" s="82">
        <f t="shared" si="99"/>
        <v>77.411169999999998</v>
      </c>
      <c r="F472" s="83">
        <f t="shared" si="105"/>
        <v>190.88812999999999</v>
      </c>
      <c r="G472" s="84"/>
      <c r="H472" s="85"/>
      <c r="I472" s="85"/>
      <c r="J472" s="84"/>
      <c r="K472" s="85"/>
      <c r="L472" s="85"/>
      <c r="M472" s="85"/>
      <c r="N472" s="85"/>
      <c r="O472" s="82"/>
      <c r="P472" s="83"/>
      <c r="Q472" s="83"/>
      <c r="R472" s="83"/>
      <c r="S472" s="82"/>
      <c r="T472" s="83"/>
      <c r="U472" s="83"/>
      <c r="V472" s="84"/>
      <c r="W472" s="85"/>
      <c r="X472" s="82"/>
      <c r="Y472" s="83"/>
      <c r="Z472" s="84"/>
      <c r="AA472" s="85"/>
      <c r="AB472" s="84"/>
      <c r="AC472" s="85"/>
      <c r="AD472" s="89">
        <f t="shared" si="111"/>
        <v>17.511209999999998</v>
      </c>
      <c r="AE472" s="89"/>
      <c r="AF472" s="188">
        <v>17.511209999999998</v>
      </c>
      <c r="AG472" s="85"/>
      <c r="AH472" s="85"/>
      <c r="AI472" s="85"/>
      <c r="AJ472" s="84"/>
      <c r="AK472" s="85"/>
      <c r="AL472" s="84"/>
      <c r="AM472" s="88"/>
      <c r="AN472" s="84"/>
      <c r="AO472" s="85"/>
      <c r="AP472" s="84"/>
      <c r="AQ472" s="83"/>
      <c r="AR472" s="83"/>
      <c r="AS472" s="83"/>
      <c r="AT472" s="85"/>
      <c r="AU472" s="85"/>
      <c r="AV472" s="85">
        <v>103.27485</v>
      </c>
      <c r="AW472" s="88"/>
      <c r="AX472" s="84"/>
      <c r="AY472" s="85"/>
      <c r="AZ472" s="84">
        <v>77.411169999999998</v>
      </c>
      <c r="BA472" s="85">
        <v>70.102069999999998</v>
      </c>
      <c r="BB472" s="88"/>
      <c r="BC472" s="85"/>
      <c r="BD472" s="84"/>
      <c r="BE472" s="88"/>
      <c r="BF472" s="85"/>
      <c r="BG472" s="85"/>
      <c r="BH472" s="85"/>
      <c r="BI472" s="85"/>
      <c r="BJ472" s="85"/>
      <c r="BK472" s="85"/>
      <c r="BL472" s="85"/>
      <c r="BM472" s="85"/>
      <c r="BN472" s="85"/>
      <c r="BO472" s="85"/>
      <c r="BP472" s="85"/>
      <c r="BQ472" s="85"/>
      <c r="BR472" s="84"/>
      <c r="BS472" s="85"/>
      <c r="BT472" s="85"/>
      <c r="BU472" s="198"/>
      <c r="BV472" s="90"/>
      <c r="BW472" s="198"/>
      <c r="BX472" s="90"/>
      <c r="BY472" s="198"/>
      <c r="BZ472" s="90"/>
      <c r="CA472" s="91"/>
    </row>
    <row r="473" spans="1:79" ht="50.1" customHeight="1" outlineLevel="2" x14ac:dyDescent="0.3">
      <c r="A473" s="106" t="s">
        <v>449</v>
      </c>
      <c r="B473" s="102" t="s">
        <v>1063</v>
      </c>
      <c r="C473" s="119" t="s">
        <v>55</v>
      </c>
      <c r="D473" s="81">
        <f t="shared" si="110"/>
        <v>12.48</v>
      </c>
      <c r="E473" s="82">
        <f t="shared" si="99"/>
        <v>0</v>
      </c>
      <c r="F473" s="83">
        <f t="shared" si="105"/>
        <v>12.48</v>
      </c>
      <c r="G473" s="84"/>
      <c r="H473" s="85"/>
      <c r="I473" s="85"/>
      <c r="J473" s="84"/>
      <c r="K473" s="85"/>
      <c r="L473" s="85"/>
      <c r="M473" s="85"/>
      <c r="N473" s="85"/>
      <c r="O473" s="82"/>
      <c r="P473" s="83"/>
      <c r="Q473" s="83"/>
      <c r="R473" s="83"/>
      <c r="S473" s="82"/>
      <c r="T473" s="83"/>
      <c r="U473" s="83"/>
      <c r="V473" s="84"/>
      <c r="W473" s="85"/>
      <c r="X473" s="82"/>
      <c r="Y473" s="83">
        <v>12.48</v>
      </c>
      <c r="Z473" s="84"/>
      <c r="AA473" s="85"/>
      <c r="AB473" s="84"/>
      <c r="AC473" s="85"/>
      <c r="AD473" s="89"/>
      <c r="AE473" s="89"/>
      <c r="AF473" s="186"/>
      <c r="AG473" s="85"/>
      <c r="AH473" s="85"/>
      <c r="AI473" s="85"/>
      <c r="AJ473" s="84"/>
      <c r="AK473" s="85"/>
      <c r="AL473" s="84"/>
      <c r="AM473" s="88"/>
      <c r="AN473" s="84"/>
      <c r="AO473" s="85"/>
      <c r="AP473" s="84"/>
      <c r="AQ473" s="83"/>
      <c r="AR473" s="83"/>
      <c r="AS473" s="83"/>
      <c r="AT473" s="85"/>
      <c r="AU473" s="85"/>
      <c r="AV473" s="85"/>
      <c r="AW473" s="88"/>
      <c r="AX473" s="84"/>
      <c r="AY473" s="85"/>
      <c r="AZ473" s="84"/>
      <c r="BA473" s="85"/>
      <c r="BB473" s="88"/>
      <c r="BC473" s="85"/>
      <c r="BD473" s="84"/>
      <c r="BE473" s="88"/>
      <c r="BF473" s="85"/>
      <c r="BG473" s="85"/>
      <c r="BH473" s="85"/>
      <c r="BI473" s="85"/>
      <c r="BJ473" s="85"/>
      <c r="BK473" s="85"/>
      <c r="BL473" s="85"/>
      <c r="BM473" s="85"/>
      <c r="BN473" s="85"/>
      <c r="BO473" s="85"/>
      <c r="BP473" s="85"/>
      <c r="BQ473" s="85"/>
      <c r="BR473" s="84"/>
      <c r="BS473" s="85"/>
      <c r="BT473" s="85"/>
      <c r="BU473" s="198"/>
      <c r="BV473" s="90"/>
      <c r="BW473" s="198"/>
      <c r="BX473" s="90"/>
      <c r="BY473" s="198"/>
      <c r="BZ473" s="90"/>
      <c r="CA473" s="91"/>
    </row>
    <row r="474" spans="1:79" ht="50.1" customHeight="1" outlineLevel="2" x14ac:dyDescent="0.3">
      <c r="A474" s="103" t="s">
        <v>449</v>
      </c>
      <c r="B474" s="102" t="s">
        <v>459</v>
      </c>
      <c r="C474" s="79" t="s">
        <v>55</v>
      </c>
      <c r="D474" s="81">
        <f t="shared" si="110"/>
        <v>125.81688</v>
      </c>
      <c r="E474" s="82">
        <f t="shared" si="99"/>
        <v>36.98565</v>
      </c>
      <c r="F474" s="83">
        <f t="shared" si="105"/>
        <v>88.831230000000005</v>
      </c>
      <c r="G474" s="84"/>
      <c r="H474" s="85"/>
      <c r="I474" s="85"/>
      <c r="J474" s="84"/>
      <c r="K474" s="85"/>
      <c r="L474" s="85"/>
      <c r="M474" s="85"/>
      <c r="N474" s="85"/>
      <c r="O474" s="82"/>
      <c r="P474" s="83"/>
      <c r="Q474" s="83"/>
      <c r="R474" s="83"/>
      <c r="S474" s="82"/>
      <c r="T474" s="83"/>
      <c r="U474" s="83"/>
      <c r="V474" s="84"/>
      <c r="W474" s="85"/>
      <c r="X474" s="82"/>
      <c r="Y474" s="83">
        <v>20.28</v>
      </c>
      <c r="Z474" s="84"/>
      <c r="AA474" s="85"/>
      <c r="AB474" s="84"/>
      <c r="AC474" s="85"/>
      <c r="AD474" s="89">
        <f t="shared" si="111"/>
        <v>0</v>
      </c>
      <c r="AE474" s="89"/>
      <c r="AF474" s="186"/>
      <c r="AG474" s="85"/>
      <c r="AH474" s="85"/>
      <c r="AI474" s="85"/>
      <c r="AJ474" s="84"/>
      <c r="AK474" s="85"/>
      <c r="AL474" s="84"/>
      <c r="AM474" s="88"/>
      <c r="AN474" s="84"/>
      <c r="AO474" s="85"/>
      <c r="AP474" s="84"/>
      <c r="AQ474" s="83"/>
      <c r="AR474" s="83"/>
      <c r="AS474" s="83"/>
      <c r="AT474" s="85"/>
      <c r="AU474" s="85"/>
      <c r="AV474" s="85">
        <v>35.057749999999999</v>
      </c>
      <c r="AW474" s="88"/>
      <c r="AX474" s="84"/>
      <c r="AY474" s="85"/>
      <c r="AZ474" s="84">
        <v>36.98565</v>
      </c>
      <c r="BA474" s="94">
        <v>33.493479999999998</v>
      </c>
      <c r="BB474" s="88"/>
      <c r="BC474" s="85"/>
      <c r="BD474" s="84"/>
      <c r="BE474" s="88"/>
      <c r="BF474" s="85"/>
      <c r="BG474" s="85"/>
      <c r="BH474" s="85"/>
      <c r="BI474" s="85"/>
      <c r="BJ474" s="85"/>
      <c r="BK474" s="85"/>
      <c r="BL474" s="85"/>
      <c r="BM474" s="85"/>
      <c r="BN474" s="85"/>
      <c r="BO474" s="85"/>
      <c r="BP474" s="85"/>
      <c r="BQ474" s="85"/>
      <c r="BR474" s="84"/>
      <c r="BS474" s="85"/>
      <c r="BT474" s="85"/>
      <c r="BU474" s="198"/>
      <c r="BV474" s="90"/>
      <c r="BW474" s="198"/>
      <c r="BX474" s="90"/>
      <c r="BY474" s="198"/>
      <c r="BZ474" s="90"/>
      <c r="CA474" s="91"/>
    </row>
    <row r="475" spans="1:79" ht="50.1" customHeight="1" outlineLevel="2" x14ac:dyDescent="0.3">
      <c r="A475" s="103" t="s">
        <v>449</v>
      </c>
      <c r="B475" s="102" t="s">
        <v>460</v>
      </c>
      <c r="C475" s="79" t="s">
        <v>55</v>
      </c>
      <c r="D475" s="81">
        <f t="shared" si="110"/>
        <v>306.14895000000001</v>
      </c>
      <c r="E475" s="82">
        <f t="shared" si="99"/>
        <v>68.919669999999996</v>
      </c>
      <c r="F475" s="83">
        <f t="shared" si="105"/>
        <v>237.22928000000002</v>
      </c>
      <c r="G475" s="84"/>
      <c r="H475" s="85"/>
      <c r="I475" s="85"/>
      <c r="J475" s="84"/>
      <c r="K475" s="85"/>
      <c r="L475" s="85"/>
      <c r="M475" s="85"/>
      <c r="N475" s="85"/>
      <c r="O475" s="82"/>
      <c r="P475" s="83"/>
      <c r="Q475" s="83"/>
      <c r="R475" s="83"/>
      <c r="S475" s="82"/>
      <c r="T475" s="83"/>
      <c r="U475" s="83"/>
      <c r="V475" s="84"/>
      <c r="W475" s="85"/>
      <c r="X475" s="87"/>
      <c r="Y475" s="83">
        <v>26.832000000000001</v>
      </c>
      <c r="Z475" s="84"/>
      <c r="AA475" s="85"/>
      <c r="AB475" s="84"/>
      <c r="AC475" s="85"/>
      <c r="AD475" s="89">
        <f t="shared" si="111"/>
        <v>0</v>
      </c>
      <c r="AE475" s="89"/>
      <c r="AF475" s="186"/>
      <c r="AG475" s="85"/>
      <c r="AH475" s="85"/>
      <c r="AI475" s="85"/>
      <c r="AJ475" s="84"/>
      <c r="AK475" s="85"/>
      <c r="AL475" s="84"/>
      <c r="AM475" s="88"/>
      <c r="AN475" s="84"/>
      <c r="AO475" s="85"/>
      <c r="AP475" s="84"/>
      <c r="AQ475" s="83"/>
      <c r="AR475" s="83"/>
      <c r="AS475" s="83"/>
      <c r="AT475" s="85"/>
      <c r="AU475" s="85"/>
      <c r="AV475" s="85">
        <v>147.98490000000001</v>
      </c>
      <c r="AW475" s="88"/>
      <c r="AX475" s="84"/>
      <c r="AY475" s="85"/>
      <c r="AZ475" s="84">
        <v>68.919669999999996</v>
      </c>
      <c r="BA475" s="85">
        <v>62.412379999999999</v>
      </c>
      <c r="BB475" s="88"/>
      <c r="BC475" s="85"/>
      <c r="BD475" s="84"/>
      <c r="BE475" s="88"/>
      <c r="BF475" s="85"/>
      <c r="BG475" s="85"/>
      <c r="BH475" s="85"/>
      <c r="BI475" s="85"/>
      <c r="BJ475" s="85"/>
      <c r="BK475" s="85"/>
      <c r="BL475" s="85"/>
      <c r="BM475" s="85"/>
      <c r="BN475" s="85"/>
      <c r="BO475" s="85"/>
      <c r="BP475" s="85"/>
      <c r="BQ475" s="85"/>
      <c r="BR475" s="84"/>
      <c r="BS475" s="85"/>
      <c r="BT475" s="85"/>
      <c r="BU475" s="198"/>
      <c r="BV475" s="90"/>
      <c r="BW475" s="198"/>
      <c r="BX475" s="90"/>
      <c r="BY475" s="198"/>
      <c r="BZ475" s="90"/>
      <c r="CA475" s="91"/>
    </row>
    <row r="476" spans="1:79" ht="50.1" customHeight="1" outlineLevel="2" x14ac:dyDescent="0.3">
      <c r="A476" s="103" t="s">
        <v>449</v>
      </c>
      <c r="B476" s="102" t="s">
        <v>461</v>
      </c>
      <c r="C476" s="79" t="s">
        <v>55</v>
      </c>
      <c r="D476" s="81">
        <f t="shared" si="110"/>
        <v>156.69981000000001</v>
      </c>
      <c r="E476" s="82">
        <f t="shared" si="99"/>
        <v>59.954549999999998</v>
      </c>
      <c r="F476" s="83">
        <f t="shared" si="105"/>
        <v>96.745260000000002</v>
      </c>
      <c r="G476" s="84"/>
      <c r="H476" s="85"/>
      <c r="I476" s="85"/>
      <c r="J476" s="84"/>
      <c r="K476" s="85"/>
      <c r="L476" s="85"/>
      <c r="M476" s="85"/>
      <c r="N476" s="85"/>
      <c r="O476" s="82"/>
      <c r="P476" s="83"/>
      <c r="Q476" s="83"/>
      <c r="R476" s="83"/>
      <c r="S476" s="82"/>
      <c r="T476" s="83"/>
      <c r="U476" s="83"/>
      <c r="V476" s="84"/>
      <c r="W476" s="85"/>
      <c r="X476" s="87"/>
      <c r="Y476" s="83">
        <v>33.695999999999998</v>
      </c>
      <c r="Z476" s="84"/>
      <c r="AA476" s="85"/>
      <c r="AB476" s="84"/>
      <c r="AC476" s="85"/>
      <c r="AD476" s="89">
        <f t="shared" si="111"/>
        <v>8.7555999999999994</v>
      </c>
      <c r="AE476" s="89"/>
      <c r="AF476" s="188">
        <v>8.7555999999999994</v>
      </c>
      <c r="AG476" s="85"/>
      <c r="AH476" s="85"/>
      <c r="AI476" s="85"/>
      <c r="AJ476" s="84"/>
      <c r="AK476" s="85"/>
      <c r="AL476" s="84"/>
      <c r="AM476" s="88"/>
      <c r="AN476" s="84"/>
      <c r="AO476" s="85"/>
      <c r="AP476" s="84"/>
      <c r="AQ476" s="83"/>
      <c r="AR476" s="83"/>
      <c r="AS476" s="83"/>
      <c r="AT476" s="85"/>
      <c r="AU476" s="85"/>
      <c r="AV476" s="85"/>
      <c r="AW476" s="88"/>
      <c r="AX476" s="84"/>
      <c r="AY476" s="85"/>
      <c r="AZ476" s="84">
        <v>59.954549999999998</v>
      </c>
      <c r="BA476" s="85">
        <v>54.293660000000003</v>
      </c>
      <c r="BB476" s="88"/>
      <c r="BC476" s="85"/>
      <c r="BD476" s="84"/>
      <c r="BE476" s="88"/>
      <c r="BF476" s="85"/>
      <c r="BG476" s="85"/>
      <c r="BH476" s="85"/>
      <c r="BI476" s="85"/>
      <c r="BJ476" s="85"/>
      <c r="BK476" s="85"/>
      <c r="BL476" s="85"/>
      <c r="BM476" s="85"/>
      <c r="BN476" s="85"/>
      <c r="BO476" s="85"/>
      <c r="BP476" s="85"/>
      <c r="BQ476" s="85"/>
      <c r="BR476" s="84"/>
      <c r="BS476" s="85"/>
      <c r="BT476" s="85"/>
      <c r="BU476" s="198"/>
      <c r="BV476" s="90"/>
      <c r="BW476" s="198"/>
      <c r="BX476" s="90"/>
      <c r="BY476" s="198"/>
      <c r="BZ476" s="90"/>
      <c r="CA476" s="91"/>
    </row>
    <row r="477" spans="1:79" ht="50.1" customHeight="1" outlineLevel="2" x14ac:dyDescent="0.3">
      <c r="A477" s="103" t="s">
        <v>449</v>
      </c>
      <c r="B477" s="102" t="s">
        <v>462</v>
      </c>
      <c r="C477" s="79" t="s">
        <v>55</v>
      </c>
      <c r="D477" s="81">
        <f t="shared" si="110"/>
        <v>193.07076000000001</v>
      </c>
      <c r="E477" s="82">
        <f t="shared" si="99"/>
        <v>71.611159999999998</v>
      </c>
      <c r="F477" s="83">
        <f t="shared" si="105"/>
        <v>121.45960000000001</v>
      </c>
      <c r="G477" s="84"/>
      <c r="H477" s="85"/>
      <c r="I477" s="85"/>
      <c r="J477" s="84"/>
      <c r="K477" s="85"/>
      <c r="L477" s="85"/>
      <c r="M477" s="85"/>
      <c r="N477" s="85"/>
      <c r="O477" s="82"/>
      <c r="P477" s="83"/>
      <c r="Q477" s="83"/>
      <c r="R477" s="83"/>
      <c r="S477" s="82"/>
      <c r="T477" s="83"/>
      <c r="U477" s="83"/>
      <c r="V477" s="84"/>
      <c r="W477" s="85"/>
      <c r="X477" s="87"/>
      <c r="Y477" s="83">
        <v>32.448</v>
      </c>
      <c r="Z477" s="84"/>
      <c r="AA477" s="85"/>
      <c r="AB477" s="84"/>
      <c r="AC477" s="85"/>
      <c r="AD477" s="89">
        <f t="shared" si="111"/>
        <v>24.161919999999999</v>
      </c>
      <c r="AE477" s="89">
        <v>8.5963999999999992</v>
      </c>
      <c r="AF477" s="186">
        <v>15.565519999999999</v>
      </c>
      <c r="AG477" s="85"/>
      <c r="AH477" s="85"/>
      <c r="AI477" s="85"/>
      <c r="AJ477" s="84"/>
      <c r="AK477" s="85"/>
      <c r="AL477" s="84"/>
      <c r="AM477" s="88"/>
      <c r="AN477" s="84"/>
      <c r="AO477" s="85"/>
      <c r="AP477" s="84"/>
      <c r="AQ477" s="83"/>
      <c r="AR477" s="83"/>
      <c r="AS477" s="83"/>
      <c r="AT477" s="85"/>
      <c r="AU477" s="85"/>
      <c r="AV477" s="85"/>
      <c r="AW477" s="88"/>
      <c r="AX477" s="84"/>
      <c r="AY477" s="85"/>
      <c r="AZ477" s="84">
        <v>71.611159999999998</v>
      </c>
      <c r="BA477" s="85">
        <v>64.849680000000006</v>
      </c>
      <c r="BB477" s="88"/>
      <c r="BC477" s="85"/>
      <c r="BD477" s="84"/>
      <c r="BE477" s="88"/>
      <c r="BF477" s="85"/>
      <c r="BG477" s="85"/>
      <c r="BH477" s="85"/>
      <c r="BI477" s="85"/>
      <c r="BJ477" s="85"/>
      <c r="BK477" s="85"/>
      <c r="BL477" s="85"/>
      <c r="BM477" s="85"/>
      <c r="BN477" s="85"/>
      <c r="BO477" s="85"/>
      <c r="BP477" s="85"/>
      <c r="BQ477" s="85"/>
      <c r="BR477" s="84"/>
      <c r="BS477" s="85"/>
      <c r="BT477" s="85"/>
      <c r="BU477" s="198"/>
      <c r="BV477" s="90"/>
      <c r="BW477" s="198"/>
      <c r="BX477" s="90"/>
      <c r="BY477" s="198"/>
      <c r="BZ477" s="90"/>
      <c r="CA477" s="91"/>
    </row>
    <row r="478" spans="1:79" ht="50.1" customHeight="1" outlineLevel="2" x14ac:dyDescent="0.3">
      <c r="A478" s="103" t="s">
        <v>449</v>
      </c>
      <c r="B478" s="102" t="s">
        <v>463</v>
      </c>
      <c r="C478" s="79" t="s">
        <v>55</v>
      </c>
      <c r="D478" s="81">
        <f t="shared" si="110"/>
        <v>140.47234</v>
      </c>
      <c r="E478" s="82">
        <f t="shared" si="99"/>
        <v>34.69688</v>
      </c>
      <c r="F478" s="83">
        <f t="shared" si="105"/>
        <v>105.77546</v>
      </c>
      <c r="G478" s="84"/>
      <c r="H478" s="85"/>
      <c r="I478" s="85"/>
      <c r="J478" s="84"/>
      <c r="K478" s="85"/>
      <c r="L478" s="85"/>
      <c r="M478" s="85"/>
      <c r="N478" s="85"/>
      <c r="O478" s="82"/>
      <c r="P478" s="83"/>
      <c r="Q478" s="83"/>
      <c r="R478" s="83"/>
      <c r="S478" s="82"/>
      <c r="T478" s="83"/>
      <c r="U478" s="83"/>
      <c r="V478" s="84"/>
      <c r="W478" s="85"/>
      <c r="X478" s="87"/>
      <c r="Y478" s="83">
        <v>10.92</v>
      </c>
      <c r="Z478" s="84"/>
      <c r="AA478" s="85"/>
      <c r="AB478" s="84"/>
      <c r="AC478" s="85"/>
      <c r="AD478" s="89">
        <f t="shared" si="111"/>
        <v>4.8642200000000004</v>
      </c>
      <c r="AE478" s="89"/>
      <c r="AF478" s="186">
        <v>4.8642200000000004</v>
      </c>
      <c r="AG478" s="85"/>
      <c r="AH478" s="85"/>
      <c r="AI478" s="85"/>
      <c r="AJ478" s="84"/>
      <c r="AK478" s="85"/>
      <c r="AL478" s="84"/>
      <c r="AM478" s="88"/>
      <c r="AN478" s="84"/>
      <c r="AO478" s="85"/>
      <c r="AP478" s="84"/>
      <c r="AQ478" s="83"/>
      <c r="AR478" s="83"/>
      <c r="AS478" s="83"/>
      <c r="AT478" s="85"/>
      <c r="AU478" s="85"/>
      <c r="AV478" s="85">
        <v>58.570399999999999</v>
      </c>
      <c r="AW478" s="88"/>
      <c r="AX478" s="84"/>
      <c r="AY478" s="85"/>
      <c r="AZ478" s="84">
        <v>34.69688</v>
      </c>
      <c r="BA478" s="85">
        <v>31.420839999999998</v>
      </c>
      <c r="BB478" s="88"/>
      <c r="BC478" s="85"/>
      <c r="BD478" s="84"/>
      <c r="BE478" s="88"/>
      <c r="BF478" s="85"/>
      <c r="BG478" s="85"/>
      <c r="BH478" s="85"/>
      <c r="BI478" s="85"/>
      <c r="BJ478" s="85"/>
      <c r="BK478" s="85"/>
      <c r="BL478" s="85"/>
      <c r="BM478" s="85"/>
      <c r="BN478" s="85"/>
      <c r="BO478" s="85"/>
      <c r="BP478" s="85"/>
      <c r="BQ478" s="85"/>
      <c r="BR478" s="84"/>
      <c r="BS478" s="85"/>
      <c r="BT478" s="85"/>
      <c r="BU478" s="198"/>
      <c r="BV478" s="90"/>
      <c r="BW478" s="198"/>
      <c r="BX478" s="90"/>
      <c r="BY478" s="198"/>
      <c r="BZ478" s="90"/>
      <c r="CA478" s="91"/>
    </row>
    <row r="479" spans="1:79" ht="50.1" customHeight="1" outlineLevel="2" x14ac:dyDescent="0.3">
      <c r="A479" s="103" t="s">
        <v>449</v>
      </c>
      <c r="B479" s="102" t="s">
        <v>464</v>
      </c>
      <c r="C479" s="79" t="s">
        <v>55</v>
      </c>
      <c r="D479" s="81">
        <f t="shared" si="110"/>
        <v>125.43343000000002</v>
      </c>
      <c r="E479" s="82">
        <f t="shared" si="99"/>
        <v>44.509790000000002</v>
      </c>
      <c r="F479" s="83">
        <f t="shared" si="105"/>
        <v>80.923640000000006</v>
      </c>
      <c r="G479" s="84"/>
      <c r="H479" s="85"/>
      <c r="I479" s="85"/>
      <c r="J479" s="84"/>
      <c r="K479" s="85"/>
      <c r="L479" s="85"/>
      <c r="M479" s="85"/>
      <c r="N479" s="85"/>
      <c r="O479" s="82"/>
      <c r="P479" s="83"/>
      <c r="Q479" s="83"/>
      <c r="R479" s="83"/>
      <c r="S479" s="82"/>
      <c r="T479" s="83"/>
      <c r="U479" s="83"/>
      <c r="V479" s="84"/>
      <c r="W479" s="85"/>
      <c r="X479" s="87"/>
      <c r="Y479" s="83">
        <v>30.888000000000002</v>
      </c>
      <c r="Z479" s="84"/>
      <c r="AA479" s="85"/>
      <c r="AB479" s="84"/>
      <c r="AC479" s="85"/>
      <c r="AD479" s="89">
        <f t="shared" si="111"/>
        <v>9.7284500000000005</v>
      </c>
      <c r="AE479" s="89"/>
      <c r="AF479" s="187">
        <v>9.7284500000000005</v>
      </c>
      <c r="AG479" s="85"/>
      <c r="AH479" s="85"/>
      <c r="AI479" s="85"/>
      <c r="AJ479" s="84"/>
      <c r="AK479" s="85"/>
      <c r="AL479" s="84"/>
      <c r="AM479" s="88"/>
      <c r="AN479" s="84"/>
      <c r="AO479" s="85"/>
      <c r="AP479" s="84"/>
      <c r="AQ479" s="83"/>
      <c r="AR479" s="83"/>
      <c r="AS479" s="83"/>
      <c r="AT479" s="85"/>
      <c r="AU479" s="85"/>
      <c r="AV479" s="85"/>
      <c r="AW479" s="88"/>
      <c r="AX479" s="84"/>
      <c r="AY479" s="85"/>
      <c r="AZ479" s="84">
        <v>44.509790000000002</v>
      </c>
      <c r="BA479" s="85">
        <v>40.307189999999999</v>
      </c>
      <c r="BB479" s="88"/>
      <c r="BC479" s="85"/>
      <c r="BD479" s="84"/>
      <c r="BE479" s="88"/>
      <c r="BF479" s="85"/>
      <c r="BG479" s="85"/>
      <c r="BH479" s="85"/>
      <c r="BI479" s="85"/>
      <c r="BJ479" s="85"/>
      <c r="BK479" s="85"/>
      <c r="BL479" s="85"/>
      <c r="BM479" s="85"/>
      <c r="BN479" s="85"/>
      <c r="BO479" s="85"/>
      <c r="BP479" s="85"/>
      <c r="BQ479" s="85"/>
      <c r="BR479" s="84"/>
      <c r="BS479" s="85"/>
      <c r="BT479" s="85"/>
      <c r="BU479" s="198"/>
      <c r="BV479" s="90"/>
      <c r="BW479" s="198"/>
      <c r="BX479" s="90"/>
      <c r="BY479" s="198"/>
      <c r="BZ479" s="90"/>
      <c r="CA479" s="91"/>
    </row>
    <row r="480" spans="1:79" ht="50.1" customHeight="1" outlineLevel="2" x14ac:dyDescent="0.3">
      <c r="A480" s="106" t="s">
        <v>449</v>
      </c>
      <c r="B480" s="102" t="s">
        <v>465</v>
      </c>
      <c r="C480" s="79" t="s">
        <v>55</v>
      </c>
      <c r="D480" s="81">
        <f t="shared" si="110"/>
        <v>98.107679999999988</v>
      </c>
      <c r="E480" s="82">
        <f t="shared" si="99"/>
        <v>33.810650000000003</v>
      </c>
      <c r="F480" s="83">
        <f t="shared" si="105"/>
        <v>64.297029999999992</v>
      </c>
      <c r="G480" s="84"/>
      <c r="H480" s="85"/>
      <c r="I480" s="85"/>
      <c r="J480" s="84"/>
      <c r="K480" s="85"/>
      <c r="L480" s="85"/>
      <c r="M480" s="85"/>
      <c r="N480" s="85"/>
      <c r="O480" s="82"/>
      <c r="P480" s="83"/>
      <c r="Q480" s="83"/>
      <c r="R480" s="83"/>
      <c r="S480" s="82"/>
      <c r="T480" s="83"/>
      <c r="U480" s="83"/>
      <c r="V480" s="84"/>
      <c r="W480" s="85"/>
      <c r="X480" s="87"/>
      <c r="Y480" s="83">
        <v>25.896000000000001</v>
      </c>
      <c r="Z480" s="84"/>
      <c r="AA480" s="85"/>
      <c r="AB480" s="84"/>
      <c r="AC480" s="85"/>
      <c r="AD480" s="89">
        <f t="shared" si="111"/>
        <v>7.7827599999999997</v>
      </c>
      <c r="AE480" s="89"/>
      <c r="AF480" s="188">
        <v>7.7827599999999997</v>
      </c>
      <c r="AG480" s="85"/>
      <c r="AH480" s="85"/>
      <c r="AI480" s="85"/>
      <c r="AJ480" s="84"/>
      <c r="AK480" s="85"/>
      <c r="AL480" s="84"/>
      <c r="AM480" s="88"/>
      <c r="AN480" s="84"/>
      <c r="AO480" s="85"/>
      <c r="AP480" s="84"/>
      <c r="AQ480" s="83"/>
      <c r="AR480" s="83"/>
      <c r="AS480" s="83"/>
      <c r="AT480" s="85"/>
      <c r="AU480" s="85"/>
      <c r="AV480" s="85"/>
      <c r="AW480" s="88"/>
      <c r="AX480" s="84"/>
      <c r="AY480" s="85"/>
      <c r="AZ480" s="84">
        <v>33.810650000000003</v>
      </c>
      <c r="BA480" s="85">
        <v>30.618269999999999</v>
      </c>
      <c r="BB480" s="88"/>
      <c r="BC480" s="85"/>
      <c r="BD480" s="84"/>
      <c r="BE480" s="88"/>
      <c r="BF480" s="85"/>
      <c r="BG480" s="85"/>
      <c r="BH480" s="85"/>
      <c r="BI480" s="85"/>
      <c r="BJ480" s="85"/>
      <c r="BK480" s="85"/>
      <c r="BL480" s="85"/>
      <c r="BM480" s="85"/>
      <c r="BN480" s="85"/>
      <c r="BO480" s="85"/>
      <c r="BP480" s="85"/>
      <c r="BQ480" s="85"/>
      <c r="BR480" s="84"/>
      <c r="BS480" s="85"/>
      <c r="BT480" s="85"/>
      <c r="BU480" s="198"/>
      <c r="BV480" s="90"/>
      <c r="BW480" s="198"/>
      <c r="BX480" s="90"/>
      <c r="BY480" s="198"/>
      <c r="BZ480" s="90"/>
      <c r="CA480" s="91"/>
    </row>
    <row r="481" spans="1:79" ht="50.1" customHeight="1" outlineLevel="2" x14ac:dyDescent="0.3">
      <c r="A481" s="106" t="s">
        <v>449</v>
      </c>
      <c r="B481" s="102" t="s">
        <v>466</v>
      </c>
      <c r="C481" s="79" t="s">
        <v>55</v>
      </c>
      <c r="D481" s="81">
        <f t="shared" si="110"/>
        <v>324.21589999999998</v>
      </c>
      <c r="E481" s="82">
        <f t="shared" si="99"/>
        <v>99.984649999999988</v>
      </c>
      <c r="F481" s="83">
        <f t="shared" si="105"/>
        <v>224.23124999999999</v>
      </c>
      <c r="G481" s="84"/>
      <c r="H481" s="85"/>
      <c r="I481" s="85"/>
      <c r="J481" s="84"/>
      <c r="K481" s="85"/>
      <c r="L481" s="85"/>
      <c r="M481" s="85"/>
      <c r="N481" s="85"/>
      <c r="O481" s="82"/>
      <c r="P481" s="83"/>
      <c r="Q481" s="83"/>
      <c r="R481" s="83"/>
      <c r="S481" s="82"/>
      <c r="T481" s="83"/>
      <c r="U481" s="83"/>
      <c r="V481" s="84">
        <v>23.195</v>
      </c>
      <c r="W481" s="85">
        <v>40.5</v>
      </c>
      <c r="X481" s="87"/>
      <c r="Y481" s="83">
        <v>114.19199999999999</v>
      </c>
      <c r="Z481" s="84"/>
      <c r="AA481" s="85"/>
      <c r="AB481" s="84"/>
      <c r="AC481" s="85"/>
      <c r="AD481" s="89">
        <f t="shared" si="111"/>
        <v>0</v>
      </c>
      <c r="AE481" s="89"/>
      <c r="AF481" s="186"/>
      <c r="AG481" s="85"/>
      <c r="AH481" s="85"/>
      <c r="AI481" s="85"/>
      <c r="AJ481" s="84"/>
      <c r="AK481" s="85"/>
      <c r="AL481" s="84"/>
      <c r="AM481" s="88"/>
      <c r="AN481" s="84"/>
      <c r="AO481" s="85"/>
      <c r="AP481" s="84"/>
      <c r="AQ481" s="83"/>
      <c r="AR481" s="83"/>
      <c r="AS481" s="83"/>
      <c r="AT481" s="85"/>
      <c r="AU481" s="85"/>
      <c r="AV481" s="85"/>
      <c r="AW481" s="88"/>
      <c r="AX481" s="84"/>
      <c r="AY481" s="85"/>
      <c r="AZ481" s="84">
        <v>76.789649999999995</v>
      </c>
      <c r="BA481" s="85">
        <v>69.539249999999996</v>
      </c>
      <c r="BB481" s="88"/>
      <c r="BC481" s="85"/>
      <c r="BD481" s="84"/>
      <c r="BE481" s="88"/>
      <c r="BF481" s="85"/>
      <c r="BG481" s="85"/>
      <c r="BH481" s="85"/>
      <c r="BI481" s="85"/>
      <c r="BJ481" s="85"/>
      <c r="BK481" s="85"/>
      <c r="BL481" s="85"/>
      <c r="BM481" s="85"/>
      <c r="BN481" s="85"/>
      <c r="BO481" s="85"/>
      <c r="BP481" s="85"/>
      <c r="BQ481" s="85"/>
      <c r="BR481" s="84"/>
      <c r="BS481" s="85"/>
      <c r="BT481" s="85"/>
      <c r="BU481" s="198"/>
      <c r="BV481" s="90"/>
      <c r="BW481" s="198"/>
      <c r="BX481" s="90"/>
      <c r="BY481" s="198"/>
      <c r="BZ481" s="90"/>
      <c r="CA481" s="91"/>
    </row>
    <row r="482" spans="1:79" ht="50.1" customHeight="1" outlineLevel="2" x14ac:dyDescent="0.3">
      <c r="A482" s="106" t="s">
        <v>449</v>
      </c>
      <c r="B482" s="102" t="s">
        <v>467</v>
      </c>
      <c r="C482" s="79" t="s">
        <v>55</v>
      </c>
      <c r="D482" s="81">
        <f t="shared" si="110"/>
        <v>656.59440000000006</v>
      </c>
      <c r="E482" s="82">
        <f t="shared" si="99"/>
        <v>206.57128</v>
      </c>
      <c r="F482" s="83">
        <f t="shared" si="105"/>
        <v>450.02312000000006</v>
      </c>
      <c r="G482" s="84"/>
      <c r="H482" s="85"/>
      <c r="I482" s="85"/>
      <c r="J482" s="84"/>
      <c r="K482" s="85"/>
      <c r="L482" s="85"/>
      <c r="M482" s="85"/>
      <c r="N482" s="85"/>
      <c r="O482" s="82"/>
      <c r="P482" s="83"/>
      <c r="Q482" s="83"/>
      <c r="R482" s="83"/>
      <c r="S482" s="82"/>
      <c r="T482" s="83"/>
      <c r="U482" s="83"/>
      <c r="V482" s="84"/>
      <c r="W482" s="85"/>
      <c r="X482" s="87"/>
      <c r="Y482" s="83">
        <v>167.54400000000001</v>
      </c>
      <c r="Z482" s="84"/>
      <c r="AA482" s="85"/>
      <c r="AB482" s="84"/>
      <c r="AC482" s="85"/>
      <c r="AD482" s="89">
        <f t="shared" si="111"/>
        <v>95.412199999999999</v>
      </c>
      <c r="AE482" s="89">
        <v>56.498399999999997</v>
      </c>
      <c r="AF482" s="186">
        <v>38.913800000000002</v>
      </c>
      <c r="AG482" s="85"/>
      <c r="AH482" s="85"/>
      <c r="AI482" s="85"/>
      <c r="AJ482" s="84"/>
      <c r="AK482" s="85"/>
      <c r="AL482" s="84"/>
      <c r="AM482" s="88"/>
      <c r="AN482" s="84"/>
      <c r="AO482" s="85"/>
      <c r="AP482" s="84"/>
      <c r="AQ482" s="83"/>
      <c r="AR482" s="83"/>
      <c r="AS482" s="83"/>
      <c r="AT482" s="85"/>
      <c r="AU482" s="85"/>
      <c r="AV482" s="85"/>
      <c r="AW482" s="88"/>
      <c r="AX482" s="84"/>
      <c r="AY482" s="85"/>
      <c r="AZ482" s="84">
        <v>206.57128</v>
      </c>
      <c r="BA482" s="85">
        <v>187.06692000000001</v>
      </c>
      <c r="BB482" s="88"/>
      <c r="BC482" s="85"/>
      <c r="BD482" s="84"/>
      <c r="BE482" s="88"/>
      <c r="BF482" s="85"/>
      <c r="BG482" s="85"/>
      <c r="BH482" s="85"/>
      <c r="BI482" s="85"/>
      <c r="BJ482" s="85"/>
      <c r="BK482" s="85"/>
      <c r="BL482" s="85"/>
      <c r="BM482" s="85"/>
      <c r="BN482" s="85"/>
      <c r="BO482" s="85"/>
      <c r="BP482" s="85"/>
      <c r="BQ482" s="85"/>
      <c r="BR482" s="84"/>
      <c r="BS482" s="85"/>
      <c r="BT482" s="85"/>
      <c r="BU482" s="198"/>
      <c r="BV482" s="90"/>
      <c r="BW482" s="198"/>
      <c r="BX482" s="90"/>
      <c r="BY482" s="198"/>
      <c r="BZ482" s="90"/>
      <c r="CA482" s="91"/>
    </row>
    <row r="483" spans="1:79" ht="50.1" customHeight="1" outlineLevel="2" x14ac:dyDescent="0.3">
      <c r="A483" s="106" t="s">
        <v>449</v>
      </c>
      <c r="B483" s="102" t="s">
        <v>468</v>
      </c>
      <c r="C483" s="79" t="s">
        <v>53</v>
      </c>
      <c r="D483" s="81">
        <f t="shared" si="110"/>
        <v>163.47778</v>
      </c>
      <c r="E483" s="82">
        <f t="shared" ref="E483:E534" si="112">G483+J483+O483+S483+V483+X483+Z483+AB483+AJ483+AL483+AN483+AP483+AX483+AZ483+BD483+BV483+BX483+BZ483+BR483</f>
        <v>17.5137</v>
      </c>
      <c r="F483" s="83">
        <f t="shared" si="105"/>
        <v>145.96408</v>
      </c>
      <c r="G483" s="84"/>
      <c r="H483" s="85"/>
      <c r="I483" s="85"/>
      <c r="J483" s="84"/>
      <c r="K483" s="85"/>
      <c r="L483" s="85"/>
      <c r="M483" s="85"/>
      <c r="N483" s="85"/>
      <c r="O483" s="82"/>
      <c r="P483" s="83"/>
      <c r="Q483" s="83"/>
      <c r="R483" s="83"/>
      <c r="S483" s="82"/>
      <c r="T483" s="83"/>
      <c r="U483" s="83"/>
      <c r="V483" s="84"/>
      <c r="W483" s="85"/>
      <c r="X483" s="87"/>
      <c r="Y483" s="83">
        <v>13.103999999999999</v>
      </c>
      <c r="Z483" s="84"/>
      <c r="AA483" s="85"/>
      <c r="AB483" s="84"/>
      <c r="AC483" s="85"/>
      <c r="AD483" s="89">
        <f t="shared" si="111"/>
        <v>0</v>
      </c>
      <c r="AE483" s="89"/>
      <c r="AF483" s="186"/>
      <c r="AG483" s="85"/>
      <c r="AH483" s="85"/>
      <c r="AI483" s="85"/>
      <c r="AJ483" s="84"/>
      <c r="AK483" s="85"/>
      <c r="AL483" s="84"/>
      <c r="AM483" s="88"/>
      <c r="AN483" s="84"/>
      <c r="AO483" s="85"/>
      <c r="AP483" s="84"/>
      <c r="AQ483" s="83"/>
      <c r="AR483" s="83"/>
      <c r="AS483" s="83"/>
      <c r="AT483" s="85"/>
      <c r="AU483" s="85"/>
      <c r="AV483" s="85"/>
      <c r="AW483" s="88"/>
      <c r="AX483" s="84"/>
      <c r="AY483" s="85"/>
      <c r="AZ483" s="84">
        <v>17.5137</v>
      </c>
      <c r="BA483" s="85">
        <v>15.86008</v>
      </c>
      <c r="BB483" s="88"/>
      <c r="BC483" s="85"/>
      <c r="BD483" s="84"/>
      <c r="BE483" s="88"/>
      <c r="BF483" s="85"/>
      <c r="BG483" s="85">
        <v>117</v>
      </c>
      <c r="BH483" s="85"/>
      <c r="BI483" s="85"/>
      <c r="BJ483" s="85"/>
      <c r="BK483" s="85"/>
      <c r="BL483" s="85"/>
      <c r="BM483" s="85"/>
      <c r="BN483" s="85"/>
      <c r="BO483" s="85"/>
      <c r="BP483" s="85"/>
      <c r="BQ483" s="85"/>
      <c r="BR483" s="84"/>
      <c r="BS483" s="85"/>
      <c r="BT483" s="85"/>
      <c r="BU483" s="198"/>
      <c r="BV483" s="90"/>
      <c r="BW483" s="198"/>
      <c r="BX483" s="90"/>
      <c r="BY483" s="198"/>
      <c r="BZ483" s="90"/>
      <c r="CA483" s="91"/>
    </row>
    <row r="484" spans="1:79" ht="50.1" customHeight="1" outlineLevel="2" x14ac:dyDescent="0.3">
      <c r="A484" s="106" t="s">
        <v>449</v>
      </c>
      <c r="B484" s="102" t="s">
        <v>469</v>
      </c>
      <c r="C484" s="119" t="s">
        <v>55</v>
      </c>
      <c r="D484" s="81">
        <f t="shared" si="110"/>
        <v>92.045720000000003</v>
      </c>
      <c r="E484" s="82">
        <f t="shared" si="112"/>
        <v>36.07123</v>
      </c>
      <c r="F484" s="83">
        <f t="shared" si="105"/>
        <v>55.974490000000003</v>
      </c>
      <c r="G484" s="84"/>
      <c r="H484" s="85"/>
      <c r="I484" s="85"/>
      <c r="J484" s="84"/>
      <c r="K484" s="85"/>
      <c r="L484" s="85"/>
      <c r="M484" s="85"/>
      <c r="N484" s="85"/>
      <c r="O484" s="82"/>
      <c r="P484" s="83"/>
      <c r="Q484" s="83"/>
      <c r="R484" s="83"/>
      <c r="S484" s="82"/>
      <c r="T484" s="83"/>
      <c r="U484" s="83"/>
      <c r="V484" s="84"/>
      <c r="W484" s="85"/>
      <c r="X484" s="87"/>
      <c r="Y484" s="83">
        <v>17.472000000000001</v>
      </c>
      <c r="Z484" s="84"/>
      <c r="AA484" s="85"/>
      <c r="AB484" s="84"/>
      <c r="AC484" s="85"/>
      <c r="AD484" s="89">
        <f t="shared" si="111"/>
        <v>5.8370699999999998</v>
      </c>
      <c r="AE484" s="89"/>
      <c r="AF484" s="188">
        <v>5.8370699999999998</v>
      </c>
      <c r="AG484" s="85"/>
      <c r="AH484" s="85"/>
      <c r="AI484" s="85"/>
      <c r="AJ484" s="84"/>
      <c r="AK484" s="85"/>
      <c r="AL484" s="84"/>
      <c r="AM484" s="88"/>
      <c r="AN484" s="84"/>
      <c r="AO484" s="85"/>
      <c r="AP484" s="84"/>
      <c r="AQ484" s="83"/>
      <c r="AR484" s="83"/>
      <c r="AS484" s="83"/>
      <c r="AT484" s="85"/>
      <c r="AU484" s="85"/>
      <c r="AV484" s="85"/>
      <c r="AW484" s="88"/>
      <c r="AX484" s="84"/>
      <c r="AY484" s="85"/>
      <c r="AZ484" s="84">
        <v>36.07123</v>
      </c>
      <c r="BA484" s="85">
        <v>32.665419999999997</v>
      </c>
      <c r="BB484" s="88"/>
      <c r="BC484" s="85"/>
      <c r="BD484" s="84"/>
      <c r="BE484" s="88"/>
      <c r="BF484" s="85"/>
      <c r="BG484" s="85"/>
      <c r="BH484" s="85"/>
      <c r="BI484" s="85"/>
      <c r="BJ484" s="85"/>
      <c r="BK484" s="85"/>
      <c r="BL484" s="85"/>
      <c r="BM484" s="85"/>
      <c r="BN484" s="85"/>
      <c r="BO484" s="85"/>
      <c r="BP484" s="85"/>
      <c r="BQ484" s="85"/>
      <c r="BR484" s="84"/>
      <c r="BS484" s="85"/>
      <c r="BT484" s="85"/>
      <c r="BU484" s="198"/>
      <c r="BV484" s="90"/>
      <c r="BW484" s="198"/>
      <c r="BX484" s="90"/>
      <c r="BY484" s="198"/>
      <c r="BZ484" s="90"/>
      <c r="CA484" s="91"/>
    </row>
    <row r="485" spans="1:79" ht="50.1" customHeight="1" outlineLevel="2" x14ac:dyDescent="0.3">
      <c r="A485" s="106" t="s">
        <v>449</v>
      </c>
      <c r="B485" s="102" t="s">
        <v>470</v>
      </c>
      <c r="C485" s="79" t="s">
        <v>53</v>
      </c>
      <c r="D485" s="81">
        <f t="shared" si="110"/>
        <v>34.290770000000002</v>
      </c>
      <c r="E485" s="82">
        <f t="shared" si="112"/>
        <v>17.99492</v>
      </c>
      <c r="F485" s="83">
        <f t="shared" si="105"/>
        <v>16.295850000000002</v>
      </c>
      <c r="G485" s="84"/>
      <c r="H485" s="85"/>
      <c r="I485" s="85"/>
      <c r="J485" s="84"/>
      <c r="K485" s="85"/>
      <c r="L485" s="85"/>
      <c r="M485" s="85"/>
      <c r="N485" s="85"/>
      <c r="O485" s="82"/>
      <c r="P485" s="83"/>
      <c r="Q485" s="83"/>
      <c r="R485" s="83"/>
      <c r="S485" s="82"/>
      <c r="T485" s="83"/>
      <c r="U485" s="83"/>
      <c r="V485" s="84"/>
      <c r="W485" s="85"/>
      <c r="X485" s="87"/>
      <c r="Y485" s="83"/>
      <c r="Z485" s="84"/>
      <c r="AA485" s="85"/>
      <c r="AB485" s="84"/>
      <c r="AC485" s="85"/>
      <c r="AD485" s="89">
        <f t="shared" si="111"/>
        <v>0</v>
      </c>
      <c r="AE485" s="89"/>
      <c r="AF485" s="186"/>
      <c r="AG485" s="85"/>
      <c r="AH485" s="85"/>
      <c r="AI485" s="85"/>
      <c r="AJ485" s="84"/>
      <c r="AK485" s="85"/>
      <c r="AL485" s="84"/>
      <c r="AM485" s="88"/>
      <c r="AN485" s="84"/>
      <c r="AO485" s="85"/>
      <c r="AP485" s="84"/>
      <c r="AQ485" s="83"/>
      <c r="AR485" s="83"/>
      <c r="AS485" s="83"/>
      <c r="AT485" s="85"/>
      <c r="AU485" s="85"/>
      <c r="AV485" s="85"/>
      <c r="AW485" s="88"/>
      <c r="AX485" s="84"/>
      <c r="AY485" s="85"/>
      <c r="AZ485" s="84">
        <v>17.99492</v>
      </c>
      <c r="BA485" s="85">
        <v>16.295850000000002</v>
      </c>
      <c r="BB485" s="88"/>
      <c r="BC485" s="85"/>
      <c r="BD485" s="84"/>
      <c r="BE485" s="88"/>
      <c r="BF485" s="85"/>
      <c r="BG485" s="85"/>
      <c r="BH485" s="85"/>
      <c r="BI485" s="85"/>
      <c r="BJ485" s="85"/>
      <c r="BK485" s="85"/>
      <c r="BL485" s="85"/>
      <c r="BM485" s="85"/>
      <c r="BN485" s="85"/>
      <c r="BO485" s="85"/>
      <c r="BP485" s="85"/>
      <c r="BQ485" s="85"/>
      <c r="BR485" s="84"/>
      <c r="BS485" s="85"/>
      <c r="BT485" s="85"/>
      <c r="BU485" s="198"/>
      <c r="BV485" s="90"/>
      <c r="BW485" s="198"/>
      <c r="BX485" s="90"/>
      <c r="BY485" s="198"/>
      <c r="BZ485" s="90"/>
      <c r="CA485" s="91"/>
    </row>
    <row r="486" spans="1:79" ht="50.1" customHeight="1" outlineLevel="2" x14ac:dyDescent="0.3">
      <c r="A486" s="106" t="s">
        <v>449</v>
      </c>
      <c r="B486" s="102" t="s">
        <v>471</v>
      </c>
      <c r="C486" s="79" t="s">
        <v>53</v>
      </c>
      <c r="D486" s="81">
        <f t="shared" si="110"/>
        <v>101.51772</v>
      </c>
      <c r="E486" s="82">
        <f t="shared" si="112"/>
        <v>21.340129999999998</v>
      </c>
      <c r="F486" s="83">
        <f t="shared" si="105"/>
        <v>80.177589999999995</v>
      </c>
      <c r="G486" s="84"/>
      <c r="H486" s="85"/>
      <c r="I486" s="85"/>
      <c r="J486" s="84"/>
      <c r="K486" s="85"/>
      <c r="L486" s="85"/>
      <c r="M486" s="85"/>
      <c r="N486" s="85"/>
      <c r="O486" s="82"/>
      <c r="P486" s="83"/>
      <c r="Q486" s="83"/>
      <c r="R486" s="83"/>
      <c r="S486" s="82"/>
      <c r="T486" s="83"/>
      <c r="U486" s="83"/>
      <c r="V486" s="84"/>
      <c r="W486" s="85"/>
      <c r="X486" s="82"/>
      <c r="Y486" s="83">
        <v>10.295999999999999</v>
      </c>
      <c r="Z486" s="84"/>
      <c r="AA486" s="85"/>
      <c r="AB486" s="84"/>
      <c r="AC486" s="85"/>
      <c r="AD486" s="89">
        <f t="shared" si="111"/>
        <v>4.8642200000000004</v>
      </c>
      <c r="AE486" s="89"/>
      <c r="AF486" s="188">
        <v>4.8642200000000004</v>
      </c>
      <c r="AG486" s="85"/>
      <c r="AH486" s="85"/>
      <c r="AI486" s="85"/>
      <c r="AJ486" s="84"/>
      <c r="AK486" s="85"/>
      <c r="AL486" s="84"/>
      <c r="AM486" s="88"/>
      <c r="AN486" s="84"/>
      <c r="AO486" s="85"/>
      <c r="AP486" s="84"/>
      <c r="AQ486" s="83"/>
      <c r="AR486" s="83"/>
      <c r="AS486" s="83"/>
      <c r="AT486" s="85"/>
      <c r="AU486" s="85"/>
      <c r="AV486" s="85">
        <v>45.692149999999998</v>
      </c>
      <c r="AW486" s="88"/>
      <c r="AX486" s="84"/>
      <c r="AY486" s="85"/>
      <c r="AZ486" s="84">
        <v>21.340129999999998</v>
      </c>
      <c r="BA486" s="85">
        <v>19.325220000000002</v>
      </c>
      <c r="BB486" s="88"/>
      <c r="BC486" s="85"/>
      <c r="BD486" s="84"/>
      <c r="BE486" s="88"/>
      <c r="BF486" s="85"/>
      <c r="BG486" s="85"/>
      <c r="BH486" s="85"/>
      <c r="BI486" s="85"/>
      <c r="BJ486" s="85"/>
      <c r="BK486" s="85"/>
      <c r="BL486" s="85"/>
      <c r="BM486" s="85"/>
      <c r="BN486" s="85"/>
      <c r="BO486" s="85"/>
      <c r="BP486" s="85"/>
      <c r="BQ486" s="85"/>
      <c r="BR486" s="84"/>
      <c r="BS486" s="85"/>
      <c r="BT486" s="85"/>
      <c r="BU486" s="198"/>
      <c r="BV486" s="90"/>
      <c r="BW486" s="198"/>
      <c r="BX486" s="90"/>
      <c r="BY486" s="198"/>
      <c r="BZ486" s="90"/>
      <c r="CA486" s="91"/>
    </row>
    <row r="487" spans="1:79" ht="50.1" customHeight="1" outlineLevel="2" x14ac:dyDescent="0.3">
      <c r="A487" s="106" t="s">
        <v>449</v>
      </c>
      <c r="B487" s="102" t="s">
        <v>472</v>
      </c>
      <c r="C487" s="79" t="s">
        <v>53</v>
      </c>
      <c r="D487" s="81">
        <f t="shared" si="110"/>
        <v>843.31942000000004</v>
      </c>
      <c r="E487" s="82">
        <f t="shared" si="112"/>
        <v>237.54748000000001</v>
      </c>
      <c r="F487" s="83">
        <f t="shared" si="105"/>
        <v>605.77194000000009</v>
      </c>
      <c r="G487" s="84"/>
      <c r="H487" s="85"/>
      <c r="I487" s="85"/>
      <c r="J487" s="84"/>
      <c r="K487" s="85"/>
      <c r="L487" s="85"/>
      <c r="M487" s="85"/>
      <c r="N487" s="85"/>
      <c r="O487" s="82"/>
      <c r="P487" s="83"/>
      <c r="Q487" s="83"/>
      <c r="R487" s="83"/>
      <c r="S487" s="82"/>
      <c r="T487" s="83"/>
      <c r="U487" s="83"/>
      <c r="V487" s="84"/>
      <c r="W487" s="85"/>
      <c r="X487" s="87"/>
      <c r="Y487" s="83">
        <v>132.6</v>
      </c>
      <c r="Z487" s="84"/>
      <c r="AA487" s="85"/>
      <c r="AB487" s="84"/>
      <c r="AC487" s="85"/>
      <c r="AD487" s="89">
        <f t="shared" si="111"/>
        <v>46.17474</v>
      </c>
      <c r="AE487" s="89">
        <v>15.043699999999999</v>
      </c>
      <c r="AF487" s="186">
        <v>31.131039999999999</v>
      </c>
      <c r="AG487" s="85"/>
      <c r="AH487" s="85"/>
      <c r="AI487" s="85"/>
      <c r="AJ487" s="84"/>
      <c r="AK487" s="85"/>
      <c r="AL487" s="84"/>
      <c r="AM487" s="88"/>
      <c r="AN487" s="84"/>
      <c r="AO487" s="85"/>
      <c r="AP487" s="84"/>
      <c r="AQ487" s="83"/>
      <c r="AR487" s="83"/>
      <c r="AS487" s="83"/>
      <c r="AT487" s="85"/>
      <c r="AU487" s="85"/>
      <c r="AV487" s="85">
        <v>211.87880000000001</v>
      </c>
      <c r="AW487" s="88"/>
      <c r="AX487" s="84"/>
      <c r="AY487" s="85"/>
      <c r="AZ487" s="84">
        <v>237.54748000000001</v>
      </c>
      <c r="BA487" s="85">
        <v>215.11840000000001</v>
      </c>
      <c r="BB487" s="88"/>
      <c r="BC487" s="85"/>
      <c r="BD487" s="84"/>
      <c r="BE487" s="88"/>
      <c r="BF487" s="85"/>
      <c r="BG487" s="85"/>
      <c r="BH487" s="85"/>
      <c r="BI487" s="85"/>
      <c r="BJ487" s="85"/>
      <c r="BK487" s="85"/>
      <c r="BL487" s="85"/>
      <c r="BM487" s="85"/>
      <c r="BN487" s="85"/>
      <c r="BO487" s="85"/>
      <c r="BP487" s="85"/>
      <c r="BQ487" s="85"/>
      <c r="BR487" s="84"/>
      <c r="BS487" s="85"/>
      <c r="BT487" s="85"/>
      <c r="BU487" s="198"/>
      <c r="BV487" s="90"/>
      <c r="BW487" s="198"/>
      <c r="BX487" s="90"/>
      <c r="BY487" s="198"/>
      <c r="BZ487" s="90"/>
      <c r="CA487" s="91"/>
    </row>
    <row r="488" spans="1:79" ht="50.1" customHeight="1" outlineLevel="2" x14ac:dyDescent="0.3">
      <c r="A488" s="106" t="s">
        <v>449</v>
      </c>
      <c r="B488" s="102" t="s">
        <v>473</v>
      </c>
      <c r="C488" s="79" t="s">
        <v>53</v>
      </c>
      <c r="D488" s="81">
        <f t="shared" si="110"/>
        <v>85.276900000000012</v>
      </c>
      <c r="E488" s="82">
        <f t="shared" si="112"/>
        <v>40.330440000000003</v>
      </c>
      <c r="F488" s="83">
        <f t="shared" si="105"/>
        <v>44.946460000000002</v>
      </c>
      <c r="G488" s="84"/>
      <c r="H488" s="85"/>
      <c r="I488" s="85"/>
      <c r="J488" s="84"/>
      <c r="K488" s="85"/>
      <c r="L488" s="85"/>
      <c r="M488" s="85"/>
      <c r="N488" s="85"/>
      <c r="O488" s="82"/>
      <c r="P488" s="83"/>
      <c r="Q488" s="83"/>
      <c r="R488" s="83"/>
      <c r="S488" s="82"/>
      <c r="T488" s="83"/>
      <c r="U488" s="83"/>
      <c r="V488" s="84"/>
      <c r="W488" s="85"/>
      <c r="X488" s="87"/>
      <c r="Y488" s="83">
        <v>8.4239999999999995</v>
      </c>
      <c r="Z488" s="84"/>
      <c r="AA488" s="85"/>
      <c r="AB488" s="84"/>
      <c r="AC488" s="85"/>
      <c r="AD488" s="89">
        <f t="shared" si="111"/>
        <v>0</v>
      </c>
      <c r="AE488" s="89"/>
      <c r="AF488" s="186"/>
      <c r="AG488" s="85"/>
      <c r="AH488" s="85"/>
      <c r="AI488" s="85"/>
      <c r="AJ488" s="84"/>
      <c r="AK488" s="85"/>
      <c r="AL488" s="84"/>
      <c r="AM488" s="88"/>
      <c r="AN488" s="84"/>
      <c r="AO488" s="85"/>
      <c r="AP488" s="84"/>
      <c r="AQ488" s="83"/>
      <c r="AR488" s="83"/>
      <c r="AS488" s="83"/>
      <c r="AT488" s="85"/>
      <c r="AU488" s="85"/>
      <c r="AV488" s="85"/>
      <c r="AW488" s="88"/>
      <c r="AX488" s="84"/>
      <c r="AY488" s="85"/>
      <c r="AZ488" s="84">
        <v>40.330440000000003</v>
      </c>
      <c r="BA488" s="85">
        <v>36.522460000000002</v>
      </c>
      <c r="BB488" s="88"/>
      <c r="BC488" s="85"/>
      <c r="BD488" s="84"/>
      <c r="BE488" s="88"/>
      <c r="BF488" s="85"/>
      <c r="BG488" s="85"/>
      <c r="BH488" s="85"/>
      <c r="BI488" s="85"/>
      <c r="BJ488" s="85"/>
      <c r="BK488" s="85"/>
      <c r="BL488" s="85"/>
      <c r="BM488" s="85"/>
      <c r="BN488" s="85"/>
      <c r="BO488" s="85"/>
      <c r="BP488" s="85"/>
      <c r="BQ488" s="85"/>
      <c r="BR488" s="84"/>
      <c r="BS488" s="85"/>
      <c r="BT488" s="85"/>
      <c r="BU488" s="198"/>
      <c r="BV488" s="90"/>
      <c r="BW488" s="198"/>
      <c r="BX488" s="90"/>
      <c r="BY488" s="198"/>
      <c r="BZ488" s="90"/>
      <c r="CA488" s="91"/>
    </row>
    <row r="489" spans="1:79" ht="50.1" customHeight="1" outlineLevel="2" x14ac:dyDescent="0.3">
      <c r="A489" s="106" t="s">
        <v>449</v>
      </c>
      <c r="B489" s="102" t="s">
        <v>1267</v>
      </c>
      <c r="C489" s="79" t="s">
        <v>55</v>
      </c>
      <c r="D489" s="81">
        <f t="shared" si="110"/>
        <v>21.216000000000001</v>
      </c>
      <c r="E489" s="82">
        <f t="shared" si="112"/>
        <v>0</v>
      </c>
      <c r="F489" s="83">
        <f t="shared" si="105"/>
        <v>21.216000000000001</v>
      </c>
      <c r="G489" s="84"/>
      <c r="H489" s="85"/>
      <c r="I489" s="85"/>
      <c r="J489" s="84"/>
      <c r="K489" s="85"/>
      <c r="L489" s="85"/>
      <c r="M489" s="85"/>
      <c r="N489" s="85"/>
      <c r="O489" s="82"/>
      <c r="P489" s="83"/>
      <c r="Q489" s="83"/>
      <c r="R489" s="83"/>
      <c r="S489" s="82"/>
      <c r="T489" s="83"/>
      <c r="U489" s="83"/>
      <c r="V489" s="84"/>
      <c r="W489" s="85"/>
      <c r="X489" s="87"/>
      <c r="Y489" s="83">
        <v>21.216000000000001</v>
      </c>
      <c r="Z489" s="84"/>
      <c r="AA489" s="85"/>
      <c r="AB489" s="84"/>
      <c r="AC489" s="85"/>
      <c r="AD489" s="89"/>
      <c r="AE489" s="89"/>
      <c r="AF489" s="186"/>
      <c r="AG489" s="85"/>
      <c r="AH489" s="85"/>
      <c r="AI489" s="85"/>
      <c r="AJ489" s="84"/>
      <c r="AK489" s="85"/>
      <c r="AL489" s="84"/>
      <c r="AM489" s="88"/>
      <c r="AN489" s="84"/>
      <c r="AO489" s="85"/>
      <c r="AP489" s="84"/>
      <c r="AQ489" s="83"/>
      <c r="AR489" s="83"/>
      <c r="AS489" s="83"/>
      <c r="AT489" s="85"/>
      <c r="AU489" s="85"/>
      <c r="AV489" s="85"/>
      <c r="AW489" s="88"/>
      <c r="AX489" s="84"/>
      <c r="AY489" s="85"/>
      <c r="AZ489" s="84"/>
      <c r="BA489" s="85"/>
      <c r="BB489" s="88"/>
      <c r="BC489" s="85"/>
      <c r="BD489" s="84"/>
      <c r="BE489" s="88"/>
      <c r="BF489" s="85"/>
      <c r="BG489" s="85"/>
      <c r="BH489" s="85"/>
      <c r="BI489" s="85"/>
      <c r="BJ489" s="85"/>
      <c r="BK489" s="85"/>
      <c r="BL489" s="85"/>
      <c r="BM489" s="85"/>
      <c r="BN489" s="85"/>
      <c r="BO489" s="85"/>
      <c r="BP489" s="85"/>
      <c r="BQ489" s="85"/>
      <c r="BR489" s="84"/>
      <c r="BS489" s="85"/>
      <c r="BT489" s="85"/>
      <c r="BU489" s="198"/>
      <c r="BV489" s="90"/>
      <c r="BW489" s="198"/>
      <c r="BX489" s="90"/>
      <c r="BY489" s="198"/>
      <c r="BZ489" s="90"/>
      <c r="CA489" s="91"/>
    </row>
    <row r="490" spans="1:79" ht="50.1" customHeight="1" outlineLevel="2" x14ac:dyDescent="0.3">
      <c r="A490" s="106" t="s">
        <v>449</v>
      </c>
      <c r="B490" s="102" t="s">
        <v>474</v>
      </c>
      <c r="C490" s="79" t="s">
        <v>55</v>
      </c>
      <c r="D490" s="81">
        <f t="shared" si="110"/>
        <v>19.16423</v>
      </c>
      <c r="E490" s="82">
        <f t="shared" si="112"/>
        <v>2.8527999999999998</v>
      </c>
      <c r="F490" s="83">
        <f t="shared" si="105"/>
        <v>16.311430000000001</v>
      </c>
      <c r="G490" s="84"/>
      <c r="H490" s="85"/>
      <c r="I490" s="85"/>
      <c r="J490" s="84"/>
      <c r="K490" s="85"/>
      <c r="L490" s="85"/>
      <c r="M490" s="85"/>
      <c r="N490" s="85"/>
      <c r="O490" s="82"/>
      <c r="P490" s="83"/>
      <c r="Q490" s="83"/>
      <c r="R490" s="83"/>
      <c r="S490" s="82"/>
      <c r="T490" s="83"/>
      <c r="U490" s="83"/>
      <c r="V490" s="84"/>
      <c r="W490" s="85"/>
      <c r="X490" s="87"/>
      <c r="Y490" s="83">
        <v>13.728</v>
      </c>
      <c r="Z490" s="84"/>
      <c r="AA490" s="85"/>
      <c r="AB490" s="84"/>
      <c r="AC490" s="85"/>
      <c r="AD490" s="89">
        <f t="shared" si="111"/>
        <v>0</v>
      </c>
      <c r="AE490" s="83"/>
      <c r="AF490" s="123"/>
      <c r="AG490" s="85"/>
      <c r="AH490" s="85"/>
      <c r="AI490" s="85"/>
      <c r="AJ490" s="84"/>
      <c r="AK490" s="85"/>
      <c r="AL490" s="84"/>
      <c r="AM490" s="85"/>
      <c r="AN490" s="84"/>
      <c r="AO490" s="85"/>
      <c r="AP490" s="84"/>
      <c r="AQ490" s="83"/>
      <c r="AR490" s="83"/>
      <c r="AS490" s="83"/>
      <c r="AT490" s="85"/>
      <c r="AU490" s="85"/>
      <c r="AV490" s="85"/>
      <c r="AW490" s="85"/>
      <c r="AX490" s="84"/>
      <c r="AY490" s="85"/>
      <c r="AZ490" s="84">
        <v>2.8527999999999998</v>
      </c>
      <c r="BA490" s="85">
        <v>2.5834299999999999</v>
      </c>
      <c r="BB490" s="85"/>
      <c r="BC490" s="85"/>
      <c r="BD490" s="85"/>
      <c r="BE490" s="85"/>
      <c r="BF490" s="85"/>
      <c r="BG490" s="85"/>
      <c r="BH490" s="85"/>
      <c r="BI490" s="85"/>
      <c r="BJ490" s="85"/>
      <c r="BK490" s="85"/>
      <c r="BL490" s="85"/>
      <c r="BM490" s="85"/>
      <c r="BN490" s="85"/>
      <c r="BO490" s="85"/>
      <c r="BP490" s="85"/>
      <c r="BQ490" s="85"/>
      <c r="BR490" s="84"/>
      <c r="BS490" s="85"/>
      <c r="BT490" s="85"/>
      <c r="BU490" s="198"/>
      <c r="BV490" s="90"/>
      <c r="BW490" s="198"/>
      <c r="BX490" s="90"/>
      <c r="BY490" s="198"/>
      <c r="BZ490" s="90"/>
      <c r="CA490" s="91"/>
    </row>
    <row r="491" spans="1:79" ht="50.1" customHeight="1" outlineLevel="2" x14ac:dyDescent="0.3">
      <c r="A491" s="106" t="s">
        <v>449</v>
      </c>
      <c r="B491" s="102" t="s">
        <v>475</v>
      </c>
      <c r="C491" s="79" t="s">
        <v>55</v>
      </c>
      <c r="D491" s="81">
        <f t="shared" si="110"/>
        <v>275.59147000000002</v>
      </c>
      <c r="E491" s="82">
        <f t="shared" si="112"/>
        <v>54.244590000000002</v>
      </c>
      <c r="F491" s="83">
        <f t="shared" si="105"/>
        <v>221.34688</v>
      </c>
      <c r="G491" s="84"/>
      <c r="H491" s="85"/>
      <c r="I491" s="85"/>
      <c r="J491" s="84"/>
      <c r="K491" s="85"/>
      <c r="L491" s="85"/>
      <c r="M491" s="85"/>
      <c r="N491" s="85"/>
      <c r="O491" s="82"/>
      <c r="P491" s="83"/>
      <c r="Q491" s="83"/>
      <c r="R491" s="83"/>
      <c r="S491" s="82"/>
      <c r="T491" s="83"/>
      <c r="U491" s="83"/>
      <c r="V491" s="84"/>
      <c r="W491" s="85"/>
      <c r="X491" s="87"/>
      <c r="Y491" s="83">
        <v>172.22399999999999</v>
      </c>
      <c r="Z491" s="84"/>
      <c r="AA491" s="85"/>
      <c r="AB491" s="84"/>
      <c r="AC491" s="85"/>
      <c r="AD491" s="89">
        <f t="shared" si="111"/>
        <v>0</v>
      </c>
      <c r="AE491" s="83"/>
      <c r="AF491" s="123"/>
      <c r="AG491" s="85"/>
      <c r="AH491" s="85"/>
      <c r="AI491" s="85"/>
      <c r="AJ491" s="84"/>
      <c r="AK491" s="85"/>
      <c r="AL491" s="84"/>
      <c r="AM491" s="85"/>
      <c r="AN491" s="84"/>
      <c r="AO491" s="85"/>
      <c r="AP491" s="84"/>
      <c r="AQ491" s="83"/>
      <c r="AR491" s="83"/>
      <c r="AS491" s="83"/>
      <c r="AT491" s="85"/>
      <c r="AU491" s="85"/>
      <c r="AV491" s="85"/>
      <c r="AW491" s="85"/>
      <c r="AX491" s="84"/>
      <c r="AY491" s="85"/>
      <c r="AZ491" s="84">
        <v>54.244590000000002</v>
      </c>
      <c r="BA491" s="85">
        <v>49.122880000000002</v>
      </c>
      <c r="BB491" s="85"/>
      <c r="BC491" s="85"/>
      <c r="BD491" s="85"/>
      <c r="BE491" s="85"/>
      <c r="BF491" s="85"/>
      <c r="BG491" s="85"/>
      <c r="BH491" s="85"/>
      <c r="BI491" s="85"/>
      <c r="BJ491" s="85"/>
      <c r="BK491" s="85"/>
      <c r="BL491" s="85"/>
      <c r="BM491" s="85"/>
      <c r="BN491" s="85"/>
      <c r="BO491" s="85"/>
      <c r="BP491" s="85"/>
      <c r="BQ491" s="85"/>
      <c r="BR491" s="84"/>
      <c r="BS491" s="85"/>
      <c r="BT491" s="85"/>
      <c r="BU491" s="198"/>
      <c r="BV491" s="90"/>
      <c r="BW491" s="198"/>
      <c r="BX491" s="90"/>
      <c r="BY491" s="198"/>
      <c r="BZ491" s="90"/>
      <c r="CA491" s="91"/>
    </row>
    <row r="492" spans="1:79" ht="50.1" customHeight="1" outlineLevel="2" x14ac:dyDescent="0.3">
      <c r="A492" s="106" t="s">
        <v>449</v>
      </c>
      <c r="B492" s="102" t="s">
        <v>1266</v>
      </c>
      <c r="C492" s="79" t="s">
        <v>53</v>
      </c>
      <c r="D492" s="81">
        <f t="shared" si="110"/>
        <v>13.103999999999999</v>
      </c>
      <c r="E492" s="82">
        <f t="shared" si="112"/>
        <v>0</v>
      </c>
      <c r="F492" s="83">
        <f t="shared" si="105"/>
        <v>13.103999999999999</v>
      </c>
      <c r="G492" s="84"/>
      <c r="H492" s="85"/>
      <c r="I492" s="85"/>
      <c r="J492" s="84"/>
      <c r="K492" s="85"/>
      <c r="L492" s="85"/>
      <c r="M492" s="85"/>
      <c r="N492" s="85"/>
      <c r="O492" s="82"/>
      <c r="P492" s="83"/>
      <c r="Q492" s="83"/>
      <c r="R492" s="83"/>
      <c r="S492" s="82"/>
      <c r="T492" s="83"/>
      <c r="U492" s="83"/>
      <c r="V492" s="84"/>
      <c r="W492" s="85"/>
      <c r="X492" s="87"/>
      <c r="Y492" s="83">
        <v>13.103999999999999</v>
      </c>
      <c r="Z492" s="84"/>
      <c r="AA492" s="85"/>
      <c r="AB492" s="84"/>
      <c r="AC492" s="85"/>
      <c r="AD492" s="89"/>
      <c r="AE492" s="83"/>
      <c r="AF492" s="123"/>
      <c r="AG492" s="85"/>
      <c r="AH492" s="85"/>
      <c r="AI492" s="85"/>
      <c r="AJ492" s="84"/>
      <c r="AK492" s="85"/>
      <c r="AL492" s="84"/>
      <c r="AM492" s="85"/>
      <c r="AN492" s="84"/>
      <c r="AO492" s="85"/>
      <c r="AP492" s="84"/>
      <c r="AQ492" s="83"/>
      <c r="AR492" s="83"/>
      <c r="AS492" s="83"/>
      <c r="AT492" s="85"/>
      <c r="AU492" s="85"/>
      <c r="AV492" s="85"/>
      <c r="AW492" s="85"/>
      <c r="AX492" s="84"/>
      <c r="AY492" s="85"/>
      <c r="AZ492" s="84"/>
      <c r="BA492" s="85"/>
      <c r="BB492" s="85"/>
      <c r="BC492" s="85"/>
      <c r="BD492" s="85"/>
      <c r="BE492" s="85"/>
      <c r="BF492" s="85"/>
      <c r="BG492" s="85"/>
      <c r="BH492" s="85"/>
      <c r="BI492" s="85"/>
      <c r="BJ492" s="85"/>
      <c r="BK492" s="85"/>
      <c r="BL492" s="85"/>
      <c r="BM492" s="85"/>
      <c r="BN492" s="85"/>
      <c r="BO492" s="85"/>
      <c r="BP492" s="85"/>
      <c r="BQ492" s="85"/>
      <c r="BR492" s="84"/>
      <c r="BS492" s="85"/>
      <c r="BT492" s="85"/>
      <c r="BU492" s="198"/>
      <c r="BV492" s="90"/>
      <c r="BW492" s="198"/>
      <c r="BX492" s="90"/>
      <c r="BY492" s="198"/>
      <c r="BZ492" s="90"/>
      <c r="CA492" s="91"/>
    </row>
    <row r="493" spans="1:79" ht="50.1" customHeight="1" outlineLevel="2" x14ac:dyDescent="0.3">
      <c r="A493" s="106" t="s">
        <v>1251</v>
      </c>
      <c r="B493" s="102" t="s">
        <v>476</v>
      </c>
      <c r="C493" s="79" t="s">
        <v>55</v>
      </c>
      <c r="D493" s="81">
        <f t="shared" si="110"/>
        <v>472.16044999999997</v>
      </c>
      <c r="E493" s="82">
        <f t="shared" si="112"/>
        <v>159.87522999999999</v>
      </c>
      <c r="F493" s="83">
        <f t="shared" si="105"/>
        <v>312.28521999999998</v>
      </c>
      <c r="G493" s="84"/>
      <c r="H493" s="85"/>
      <c r="I493" s="85"/>
      <c r="J493" s="84"/>
      <c r="K493" s="85"/>
      <c r="L493" s="85"/>
      <c r="M493" s="85"/>
      <c r="N493" s="85"/>
      <c r="O493" s="82"/>
      <c r="P493" s="83"/>
      <c r="Q493" s="83"/>
      <c r="R493" s="83"/>
      <c r="S493" s="82"/>
      <c r="T493" s="83"/>
      <c r="U493" s="83"/>
      <c r="V493" s="84">
        <v>11.5975</v>
      </c>
      <c r="W493" s="85">
        <v>20.25</v>
      </c>
      <c r="X493" s="87"/>
      <c r="Y493" s="83">
        <v>90.09</v>
      </c>
      <c r="Z493" s="84"/>
      <c r="AA493" s="85"/>
      <c r="AB493" s="84"/>
      <c r="AC493" s="85"/>
      <c r="AD493" s="89">
        <f t="shared" si="111"/>
        <v>67.667770000000004</v>
      </c>
      <c r="AE493" s="89">
        <v>42.373800000000003</v>
      </c>
      <c r="AF493" s="186">
        <v>25.293970000000002</v>
      </c>
      <c r="AG493" s="85"/>
      <c r="AH493" s="85"/>
      <c r="AI493" s="85"/>
      <c r="AJ493" s="84"/>
      <c r="AK493" s="85"/>
      <c r="AL493" s="84"/>
      <c r="AM493" s="88"/>
      <c r="AN493" s="84"/>
      <c r="AO493" s="85"/>
      <c r="AP493" s="84"/>
      <c r="AQ493" s="83"/>
      <c r="AR493" s="83"/>
      <c r="AS493" s="83"/>
      <c r="AT493" s="85"/>
      <c r="AU493" s="85"/>
      <c r="AV493" s="85"/>
      <c r="AW493" s="88"/>
      <c r="AX493" s="84"/>
      <c r="AY493" s="85"/>
      <c r="AZ493" s="84">
        <v>148.27772999999999</v>
      </c>
      <c r="BA493" s="85">
        <v>134.27744999999999</v>
      </c>
      <c r="BB493" s="88"/>
      <c r="BC493" s="85"/>
      <c r="BD493" s="84"/>
      <c r="BE493" s="88"/>
      <c r="BF493" s="85"/>
      <c r="BG493" s="85"/>
      <c r="BH493" s="85"/>
      <c r="BI493" s="85"/>
      <c r="BJ493" s="85"/>
      <c r="BK493" s="85"/>
      <c r="BL493" s="85"/>
      <c r="BM493" s="85"/>
      <c r="BN493" s="85"/>
      <c r="BO493" s="85"/>
      <c r="BP493" s="85"/>
      <c r="BQ493" s="85"/>
      <c r="BR493" s="84"/>
      <c r="BS493" s="85"/>
      <c r="BT493" s="85"/>
      <c r="BU493" s="198"/>
      <c r="BV493" s="90"/>
      <c r="BW493" s="198"/>
      <c r="BX493" s="90"/>
      <c r="BY493" s="198"/>
      <c r="BZ493" s="90"/>
      <c r="CA493" s="91"/>
    </row>
    <row r="494" spans="1:79" ht="50.1" customHeight="1" outlineLevel="2" x14ac:dyDescent="0.3">
      <c r="A494" s="106" t="s">
        <v>449</v>
      </c>
      <c r="B494" s="102" t="s">
        <v>477</v>
      </c>
      <c r="C494" s="79" t="s">
        <v>55</v>
      </c>
      <c r="D494" s="81">
        <f t="shared" si="110"/>
        <v>463.55787000000004</v>
      </c>
      <c r="E494" s="82">
        <f t="shared" si="112"/>
        <v>173.63098000000002</v>
      </c>
      <c r="F494" s="83">
        <f t="shared" si="105"/>
        <v>289.92689000000001</v>
      </c>
      <c r="G494" s="84"/>
      <c r="H494" s="85"/>
      <c r="I494" s="85"/>
      <c r="J494" s="84">
        <f>8.84218</f>
        <v>8.8421800000000008</v>
      </c>
      <c r="K494" s="85">
        <v>24.715990000000001</v>
      </c>
      <c r="L494" s="85"/>
      <c r="M494" s="85"/>
      <c r="N494" s="85"/>
      <c r="O494" s="82">
        <f>4.68587+22.76245</f>
        <v>27.448320000000002</v>
      </c>
      <c r="P494" s="83">
        <f>2.34293+1.19803</f>
        <v>3.5409600000000001</v>
      </c>
      <c r="Q494" s="83"/>
      <c r="R494" s="83"/>
      <c r="S494" s="82"/>
      <c r="T494" s="83"/>
      <c r="U494" s="83"/>
      <c r="V494" s="84"/>
      <c r="W494" s="85"/>
      <c r="X494" s="87"/>
      <c r="Y494" s="83">
        <v>66.144000000000005</v>
      </c>
      <c r="Z494" s="84"/>
      <c r="AA494" s="85"/>
      <c r="AB494" s="84"/>
      <c r="AC494" s="85"/>
      <c r="AD494" s="89">
        <f t="shared" si="111"/>
        <v>22.375440000000001</v>
      </c>
      <c r="AE494" s="89"/>
      <c r="AF494" s="187">
        <v>22.375440000000001</v>
      </c>
      <c r="AG494" s="85"/>
      <c r="AH494" s="85"/>
      <c r="AI494" s="85"/>
      <c r="AJ494" s="84"/>
      <c r="AK494" s="85"/>
      <c r="AL494" s="84"/>
      <c r="AM494" s="88"/>
      <c r="AN494" s="84"/>
      <c r="AO494" s="85"/>
      <c r="AP494" s="84"/>
      <c r="AQ494" s="83"/>
      <c r="AR494" s="83"/>
      <c r="AS494" s="83"/>
      <c r="AT494" s="85"/>
      <c r="AU494" s="85"/>
      <c r="AV494" s="85">
        <v>48.777749999999997</v>
      </c>
      <c r="AW494" s="88"/>
      <c r="AX494" s="84"/>
      <c r="AY494" s="85"/>
      <c r="AZ494" s="84">
        <v>137.34048000000001</v>
      </c>
      <c r="BA494" s="85">
        <v>124.37275</v>
      </c>
      <c r="BB494" s="88"/>
      <c r="BC494" s="85"/>
      <c r="BD494" s="84"/>
      <c r="BE494" s="88"/>
      <c r="BF494" s="85"/>
      <c r="BG494" s="85"/>
      <c r="BH494" s="85"/>
      <c r="BI494" s="85"/>
      <c r="BJ494" s="85"/>
      <c r="BK494" s="85"/>
      <c r="BL494" s="85"/>
      <c r="BM494" s="85"/>
      <c r="BN494" s="85"/>
      <c r="BO494" s="85"/>
      <c r="BP494" s="85"/>
      <c r="BQ494" s="85"/>
      <c r="BR494" s="84"/>
      <c r="BS494" s="85"/>
      <c r="BT494" s="85"/>
      <c r="BU494" s="198"/>
      <c r="BV494" s="90"/>
      <c r="BW494" s="198"/>
      <c r="BX494" s="90"/>
      <c r="BY494" s="198"/>
      <c r="BZ494" s="90"/>
      <c r="CA494" s="91"/>
    </row>
    <row r="495" spans="1:79" ht="50.1" customHeight="1" outlineLevel="2" x14ac:dyDescent="0.3">
      <c r="A495" s="96" t="s">
        <v>449</v>
      </c>
      <c r="B495" s="102" t="s">
        <v>87</v>
      </c>
      <c r="C495" s="79" t="s">
        <v>55</v>
      </c>
      <c r="D495" s="81">
        <f t="shared" si="110"/>
        <v>46.472480000000004</v>
      </c>
      <c r="E495" s="82">
        <f t="shared" si="112"/>
        <v>24.38757</v>
      </c>
      <c r="F495" s="83">
        <f t="shared" si="105"/>
        <v>22.084910000000001</v>
      </c>
      <c r="G495" s="84"/>
      <c r="H495" s="85"/>
      <c r="I495" s="85"/>
      <c r="J495" s="84"/>
      <c r="K495" s="85"/>
      <c r="L495" s="85"/>
      <c r="M495" s="85"/>
      <c r="N495" s="85"/>
      <c r="O495" s="82"/>
      <c r="P495" s="83"/>
      <c r="Q495" s="83"/>
      <c r="R495" s="83"/>
      <c r="S495" s="82"/>
      <c r="T495" s="83"/>
      <c r="U495" s="83"/>
      <c r="V495" s="84"/>
      <c r="W495" s="85"/>
      <c r="X495" s="87"/>
      <c r="Y495" s="83"/>
      <c r="Z495" s="84"/>
      <c r="AA495" s="85"/>
      <c r="AB495" s="84"/>
      <c r="AC495" s="85"/>
      <c r="AD495" s="89">
        <f t="shared" si="111"/>
        <v>0</v>
      </c>
      <c r="AE495" s="89"/>
      <c r="AF495" s="186"/>
      <c r="AG495" s="85"/>
      <c r="AH495" s="85"/>
      <c r="AI495" s="85"/>
      <c r="AJ495" s="84"/>
      <c r="AK495" s="85"/>
      <c r="AL495" s="84"/>
      <c r="AM495" s="88"/>
      <c r="AN495" s="84"/>
      <c r="AO495" s="85"/>
      <c r="AP495" s="84"/>
      <c r="AQ495" s="83"/>
      <c r="AR495" s="83"/>
      <c r="AS495" s="83"/>
      <c r="AT495" s="85"/>
      <c r="AU495" s="85"/>
      <c r="AV495" s="85"/>
      <c r="AW495" s="88"/>
      <c r="AX495" s="84"/>
      <c r="AY495" s="85"/>
      <c r="AZ495" s="84">
        <v>24.38757</v>
      </c>
      <c r="BA495" s="85">
        <v>22.084910000000001</v>
      </c>
      <c r="BB495" s="88"/>
      <c r="BC495" s="85"/>
      <c r="BD495" s="84"/>
      <c r="BE495" s="88"/>
      <c r="BF495" s="85"/>
      <c r="BG495" s="85"/>
      <c r="BH495" s="85"/>
      <c r="BI495" s="85"/>
      <c r="BJ495" s="85"/>
      <c r="BK495" s="85"/>
      <c r="BL495" s="85"/>
      <c r="BM495" s="85"/>
      <c r="BN495" s="85"/>
      <c r="BO495" s="85"/>
      <c r="BP495" s="85"/>
      <c r="BQ495" s="85"/>
      <c r="BR495" s="84"/>
      <c r="BS495" s="85"/>
      <c r="BT495" s="85"/>
      <c r="BU495" s="198"/>
      <c r="BV495" s="90"/>
      <c r="BW495" s="198"/>
      <c r="BX495" s="90"/>
      <c r="BY495" s="198"/>
      <c r="BZ495" s="90"/>
      <c r="CA495" s="91"/>
    </row>
    <row r="496" spans="1:79" ht="50.1" customHeight="1" outlineLevel="2" x14ac:dyDescent="0.3">
      <c r="A496" s="106" t="s">
        <v>449</v>
      </c>
      <c r="B496" s="102" t="s">
        <v>432</v>
      </c>
      <c r="C496" s="79" t="s">
        <v>55</v>
      </c>
      <c r="D496" s="81">
        <f t="shared" si="110"/>
        <v>2803.6825400000002</v>
      </c>
      <c r="E496" s="82">
        <f t="shared" si="112"/>
        <v>147.07130000000001</v>
      </c>
      <c r="F496" s="83">
        <f t="shared" si="105"/>
        <v>2656.6112400000002</v>
      </c>
      <c r="G496" s="84"/>
      <c r="H496" s="85"/>
      <c r="I496" s="85"/>
      <c r="J496" s="84"/>
      <c r="K496" s="85"/>
      <c r="L496" s="85"/>
      <c r="M496" s="85"/>
      <c r="N496" s="85"/>
      <c r="O496" s="82"/>
      <c r="P496" s="83"/>
      <c r="Q496" s="83"/>
      <c r="R496" s="83"/>
      <c r="S496" s="82"/>
      <c r="T496" s="83"/>
      <c r="U496" s="83"/>
      <c r="V496" s="84"/>
      <c r="W496" s="85"/>
      <c r="X496" s="87"/>
      <c r="Y496" s="83">
        <v>124.8</v>
      </c>
      <c r="Z496" s="84"/>
      <c r="AA496" s="85"/>
      <c r="AB496" s="84"/>
      <c r="AC496" s="85"/>
      <c r="AD496" s="89">
        <f t="shared" si="111"/>
        <v>0</v>
      </c>
      <c r="AE496" s="89"/>
      <c r="AF496" s="186"/>
      <c r="AG496" s="85"/>
      <c r="AH496" s="85"/>
      <c r="AI496" s="85"/>
      <c r="AJ496" s="84"/>
      <c r="AK496" s="85"/>
      <c r="AL496" s="84"/>
      <c r="AM496" s="88"/>
      <c r="AN496" s="84"/>
      <c r="AO496" s="85"/>
      <c r="AP496" s="84"/>
      <c r="AQ496" s="83"/>
      <c r="AR496" s="83"/>
      <c r="AS496" s="83"/>
      <c r="AT496" s="85"/>
      <c r="AU496" s="85"/>
      <c r="AV496" s="85">
        <f>22.47+2376.15635</f>
        <v>2398.62635</v>
      </c>
      <c r="AW496" s="88"/>
      <c r="AX496" s="84"/>
      <c r="AY496" s="85"/>
      <c r="AZ496" s="84">
        <v>147.07130000000001</v>
      </c>
      <c r="BA496" s="85">
        <v>133.18489</v>
      </c>
      <c r="BB496" s="88"/>
      <c r="BC496" s="85"/>
      <c r="BD496" s="84"/>
      <c r="BE496" s="88"/>
      <c r="BF496" s="85"/>
      <c r="BG496" s="85"/>
      <c r="BH496" s="85"/>
      <c r="BI496" s="85"/>
      <c r="BJ496" s="85"/>
      <c r="BK496" s="85"/>
      <c r="BL496" s="85"/>
      <c r="BM496" s="85"/>
      <c r="BN496" s="85"/>
      <c r="BO496" s="85"/>
      <c r="BP496" s="85"/>
      <c r="BQ496" s="85"/>
      <c r="BR496" s="84"/>
      <c r="BS496" s="85"/>
      <c r="BT496" s="85"/>
      <c r="BU496" s="198"/>
      <c r="BV496" s="90"/>
      <c r="BW496" s="198"/>
      <c r="BX496" s="90"/>
      <c r="BY496" s="198"/>
      <c r="BZ496" s="90"/>
      <c r="CA496" s="91"/>
    </row>
    <row r="497" spans="1:1199" ht="50.1" customHeight="1" outlineLevel="2" x14ac:dyDescent="0.3">
      <c r="A497" s="103" t="s">
        <v>449</v>
      </c>
      <c r="B497" s="102" t="s">
        <v>478</v>
      </c>
      <c r="C497" s="79" t="s">
        <v>55</v>
      </c>
      <c r="D497" s="81">
        <f t="shared" si="110"/>
        <v>552.24142000000006</v>
      </c>
      <c r="E497" s="82">
        <f t="shared" si="112"/>
        <v>130.15019000000001</v>
      </c>
      <c r="F497" s="83">
        <f t="shared" si="105"/>
        <v>422.09123</v>
      </c>
      <c r="G497" s="84"/>
      <c r="H497" s="85"/>
      <c r="I497" s="85"/>
      <c r="J497" s="84"/>
      <c r="K497" s="85"/>
      <c r="L497" s="85"/>
      <c r="M497" s="85"/>
      <c r="N497" s="85"/>
      <c r="O497" s="82"/>
      <c r="P497" s="83"/>
      <c r="Q497" s="83"/>
      <c r="R497" s="83"/>
      <c r="S497" s="82"/>
      <c r="T497" s="83"/>
      <c r="U497" s="83"/>
      <c r="V497" s="84"/>
      <c r="W497" s="85"/>
      <c r="X497" s="87"/>
      <c r="Y497" s="83">
        <v>62.4</v>
      </c>
      <c r="Z497" s="84"/>
      <c r="AA497" s="85"/>
      <c r="AB497" s="84"/>
      <c r="AC497" s="85"/>
      <c r="AD497" s="89">
        <f t="shared" si="111"/>
        <v>13.61983</v>
      </c>
      <c r="AE497" s="89"/>
      <c r="AF497" s="186">
        <v>13.61983</v>
      </c>
      <c r="AG497" s="85"/>
      <c r="AH497" s="85"/>
      <c r="AI497" s="85"/>
      <c r="AJ497" s="84"/>
      <c r="AK497" s="85"/>
      <c r="AL497" s="84"/>
      <c r="AM497" s="88"/>
      <c r="AN497" s="84"/>
      <c r="AO497" s="85"/>
      <c r="AP497" s="84">
        <v>35.307589999999998</v>
      </c>
      <c r="AQ497" s="83">
        <v>56.415840000000003</v>
      </c>
      <c r="AR497" s="83"/>
      <c r="AS497" s="83"/>
      <c r="AT497" s="85"/>
      <c r="AU497" s="85"/>
      <c r="AV497" s="85">
        <v>203.7679</v>
      </c>
      <c r="AW497" s="88"/>
      <c r="AX497" s="84"/>
      <c r="AY497" s="85"/>
      <c r="AZ497" s="84">
        <v>94.842600000000004</v>
      </c>
      <c r="BA497" s="85">
        <v>85.887659999999997</v>
      </c>
      <c r="BB497" s="88"/>
      <c r="BC497" s="85"/>
      <c r="BD497" s="84"/>
      <c r="BE497" s="88"/>
      <c r="BF497" s="85"/>
      <c r="BG497" s="85"/>
      <c r="BH497" s="85"/>
      <c r="BI497" s="85"/>
      <c r="BJ497" s="85"/>
      <c r="BK497" s="85"/>
      <c r="BL497" s="85"/>
      <c r="BM497" s="85"/>
      <c r="BN497" s="85"/>
      <c r="BO497" s="85"/>
      <c r="BP497" s="85"/>
      <c r="BQ497" s="85"/>
      <c r="BR497" s="84"/>
      <c r="BS497" s="85"/>
      <c r="BT497" s="85"/>
      <c r="BU497" s="198"/>
      <c r="BV497" s="90"/>
      <c r="BW497" s="198"/>
      <c r="BX497" s="90"/>
      <c r="BY497" s="198"/>
      <c r="BZ497" s="90"/>
      <c r="CA497" s="91"/>
    </row>
    <row r="498" spans="1:1199" ht="50.1" customHeight="1" outlineLevel="2" x14ac:dyDescent="0.3">
      <c r="A498" s="103" t="s">
        <v>449</v>
      </c>
      <c r="B498" s="111" t="s">
        <v>479</v>
      </c>
      <c r="C498" s="79"/>
      <c r="D498" s="81">
        <f t="shared" si="110"/>
        <v>300</v>
      </c>
      <c r="E498" s="82">
        <f t="shared" si="112"/>
        <v>0</v>
      </c>
      <c r="F498" s="83">
        <f t="shared" si="105"/>
        <v>300</v>
      </c>
      <c r="G498" s="84"/>
      <c r="H498" s="85"/>
      <c r="I498" s="85"/>
      <c r="J498" s="84"/>
      <c r="K498" s="85"/>
      <c r="L498" s="85"/>
      <c r="M498" s="85"/>
      <c r="N498" s="85"/>
      <c r="O498" s="82"/>
      <c r="P498" s="83"/>
      <c r="Q498" s="83"/>
      <c r="R498" s="83"/>
      <c r="S498" s="82"/>
      <c r="T498" s="83"/>
      <c r="U498" s="83"/>
      <c r="V498" s="84"/>
      <c r="W498" s="85"/>
      <c r="X498" s="82"/>
      <c r="Y498" s="83"/>
      <c r="Z498" s="84"/>
      <c r="AA498" s="85"/>
      <c r="AB498" s="84"/>
      <c r="AC498" s="85"/>
      <c r="AD498" s="89">
        <f t="shared" si="111"/>
        <v>0</v>
      </c>
      <c r="AE498" s="89"/>
      <c r="AF498" s="186"/>
      <c r="AG498" s="85"/>
      <c r="AH498" s="85"/>
      <c r="AI498" s="85"/>
      <c r="AJ498" s="84"/>
      <c r="AK498" s="85"/>
      <c r="AL498" s="84"/>
      <c r="AM498" s="88"/>
      <c r="AN498" s="84"/>
      <c r="AO498" s="85"/>
      <c r="AP498" s="84"/>
      <c r="AQ498" s="83"/>
      <c r="AR498" s="83"/>
      <c r="AS498" s="83"/>
      <c r="AT498" s="85"/>
      <c r="AU498" s="85"/>
      <c r="AV498" s="85"/>
      <c r="AW498" s="88"/>
      <c r="AX498" s="84"/>
      <c r="AY498" s="85"/>
      <c r="AZ498" s="84"/>
      <c r="BA498" s="85"/>
      <c r="BB498" s="88"/>
      <c r="BC498" s="85"/>
      <c r="BD498" s="84"/>
      <c r="BE498" s="88"/>
      <c r="BF498" s="85"/>
      <c r="BG498" s="85"/>
      <c r="BH498" s="85">
        <v>300</v>
      </c>
      <c r="BI498" s="85"/>
      <c r="BJ498" s="85"/>
      <c r="BK498" s="85"/>
      <c r="BL498" s="85"/>
      <c r="BM498" s="85"/>
      <c r="BN498" s="85"/>
      <c r="BO498" s="85"/>
      <c r="BP498" s="85"/>
      <c r="BQ498" s="85"/>
      <c r="BR498" s="84"/>
      <c r="BS498" s="85"/>
      <c r="BT498" s="85"/>
      <c r="BU498" s="198"/>
      <c r="BV498" s="90"/>
      <c r="BW498" s="198"/>
      <c r="BX498" s="90"/>
      <c r="BY498" s="198"/>
      <c r="BZ498" s="90"/>
      <c r="CA498" s="91"/>
    </row>
    <row r="499" spans="1:1199" ht="50.1" customHeight="1" outlineLevel="2" x14ac:dyDescent="0.3">
      <c r="A499" s="103" t="s">
        <v>449</v>
      </c>
      <c r="B499" s="111" t="s">
        <v>1016</v>
      </c>
      <c r="C499" s="79"/>
      <c r="D499" s="81">
        <f t="shared" si="110"/>
        <v>300</v>
      </c>
      <c r="E499" s="82">
        <f t="shared" si="112"/>
        <v>0</v>
      </c>
      <c r="F499" s="83">
        <f t="shared" si="105"/>
        <v>300</v>
      </c>
      <c r="G499" s="84"/>
      <c r="H499" s="85"/>
      <c r="I499" s="85"/>
      <c r="J499" s="84"/>
      <c r="K499" s="85"/>
      <c r="L499" s="85"/>
      <c r="M499" s="85"/>
      <c r="N499" s="85"/>
      <c r="O499" s="82"/>
      <c r="P499" s="83"/>
      <c r="Q499" s="83"/>
      <c r="R499" s="83"/>
      <c r="S499" s="82"/>
      <c r="T499" s="83"/>
      <c r="U499" s="83"/>
      <c r="V499" s="84"/>
      <c r="W499" s="85"/>
      <c r="X499" s="82"/>
      <c r="Y499" s="83"/>
      <c r="Z499" s="84"/>
      <c r="AA499" s="85"/>
      <c r="AB499" s="84"/>
      <c r="AC499" s="85"/>
      <c r="AD499" s="89">
        <f t="shared" si="111"/>
        <v>0</v>
      </c>
      <c r="AE499" s="89"/>
      <c r="AF499" s="186"/>
      <c r="AG499" s="85"/>
      <c r="AH499" s="85"/>
      <c r="AI499" s="85"/>
      <c r="AJ499" s="84"/>
      <c r="AK499" s="85"/>
      <c r="AL499" s="84"/>
      <c r="AM499" s="88"/>
      <c r="AN499" s="84"/>
      <c r="AO499" s="85"/>
      <c r="AP499" s="84"/>
      <c r="AQ499" s="83"/>
      <c r="AR499" s="83"/>
      <c r="AS499" s="83"/>
      <c r="AT499" s="85"/>
      <c r="AU499" s="85"/>
      <c r="AV499" s="85"/>
      <c r="AW499" s="88"/>
      <c r="AX499" s="84"/>
      <c r="AY499" s="85"/>
      <c r="AZ499" s="84"/>
      <c r="BA499" s="85"/>
      <c r="BB499" s="88"/>
      <c r="BC499" s="85"/>
      <c r="BD499" s="84"/>
      <c r="BE499" s="88"/>
      <c r="BF499" s="85"/>
      <c r="BG499" s="85"/>
      <c r="BH499" s="85">
        <v>300</v>
      </c>
      <c r="BI499" s="85"/>
      <c r="BJ499" s="85"/>
      <c r="BK499" s="85"/>
      <c r="BL499" s="85"/>
      <c r="BM499" s="85"/>
      <c r="BN499" s="85"/>
      <c r="BO499" s="85"/>
      <c r="BP499" s="85"/>
      <c r="BQ499" s="85"/>
      <c r="BR499" s="84"/>
      <c r="BS499" s="85"/>
      <c r="BT499" s="85"/>
      <c r="BU499" s="198"/>
      <c r="BV499" s="90"/>
      <c r="BW499" s="198"/>
      <c r="BX499" s="90"/>
      <c r="BY499" s="198"/>
      <c r="BZ499" s="90"/>
      <c r="CA499" s="91"/>
    </row>
    <row r="500" spans="1:1199" ht="50.1" customHeight="1" outlineLevel="2" x14ac:dyDescent="0.3">
      <c r="A500" s="103" t="s">
        <v>449</v>
      </c>
      <c r="B500" s="111" t="s">
        <v>1018</v>
      </c>
      <c r="C500" s="79"/>
      <c r="D500" s="81">
        <f t="shared" si="110"/>
        <v>300</v>
      </c>
      <c r="E500" s="82">
        <f t="shared" si="112"/>
        <v>0</v>
      </c>
      <c r="F500" s="83">
        <f t="shared" si="105"/>
        <v>300</v>
      </c>
      <c r="G500" s="84"/>
      <c r="H500" s="85"/>
      <c r="I500" s="85"/>
      <c r="J500" s="84"/>
      <c r="K500" s="85"/>
      <c r="L500" s="85"/>
      <c r="M500" s="85"/>
      <c r="N500" s="85"/>
      <c r="O500" s="82"/>
      <c r="P500" s="83"/>
      <c r="Q500" s="83"/>
      <c r="R500" s="83"/>
      <c r="S500" s="82"/>
      <c r="T500" s="83"/>
      <c r="U500" s="83"/>
      <c r="V500" s="84"/>
      <c r="W500" s="85"/>
      <c r="X500" s="87"/>
      <c r="Y500" s="83"/>
      <c r="Z500" s="84"/>
      <c r="AA500" s="85"/>
      <c r="AB500" s="84"/>
      <c r="AC500" s="85"/>
      <c r="AD500" s="89">
        <f t="shared" si="111"/>
        <v>0</v>
      </c>
      <c r="AE500" s="89"/>
      <c r="AF500" s="186"/>
      <c r="AG500" s="85"/>
      <c r="AH500" s="85"/>
      <c r="AI500" s="85"/>
      <c r="AJ500" s="84"/>
      <c r="AK500" s="85"/>
      <c r="AL500" s="84"/>
      <c r="AM500" s="88"/>
      <c r="AN500" s="84"/>
      <c r="AO500" s="85"/>
      <c r="AP500" s="84"/>
      <c r="AQ500" s="83"/>
      <c r="AR500" s="83"/>
      <c r="AS500" s="83"/>
      <c r="AT500" s="85"/>
      <c r="AU500" s="85"/>
      <c r="AV500" s="85"/>
      <c r="AW500" s="88"/>
      <c r="AX500" s="84"/>
      <c r="AY500" s="85"/>
      <c r="AZ500" s="84"/>
      <c r="BA500" s="85"/>
      <c r="BB500" s="88"/>
      <c r="BC500" s="85"/>
      <c r="BD500" s="84"/>
      <c r="BE500" s="88"/>
      <c r="BF500" s="85"/>
      <c r="BG500" s="85"/>
      <c r="BH500" s="85">
        <v>300</v>
      </c>
      <c r="BI500" s="85"/>
      <c r="BJ500" s="85"/>
      <c r="BK500" s="85"/>
      <c r="BL500" s="85"/>
      <c r="BM500" s="85"/>
      <c r="BN500" s="85"/>
      <c r="BO500" s="85"/>
      <c r="BP500" s="85"/>
      <c r="BQ500" s="85"/>
      <c r="BR500" s="84"/>
      <c r="BS500" s="85"/>
      <c r="BT500" s="85"/>
      <c r="BU500" s="198"/>
      <c r="BV500" s="90"/>
      <c r="BW500" s="198"/>
      <c r="BX500" s="90"/>
      <c r="BY500" s="198"/>
      <c r="BZ500" s="90"/>
      <c r="CA500" s="91"/>
    </row>
    <row r="501" spans="1:1199" ht="50.1" customHeight="1" outlineLevel="2" x14ac:dyDescent="0.3">
      <c r="A501" s="103" t="s">
        <v>449</v>
      </c>
      <c r="B501" s="111" t="s">
        <v>1017</v>
      </c>
      <c r="C501" s="79"/>
      <c r="D501" s="81">
        <f t="shared" si="110"/>
        <v>300</v>
      </c>
      <c r="E501" s="82">
        <f t="shared" si="112"/>
        <v>0</v>
      </c>
      <c r="F501" s="83">
        <f t="shared" si="105"/>
        <v>300</v>
      </c>
      <c r="G501" s="84"/>
      <c r="H501" s="85"/>
      <c r="I501" s="85"/>
      <c r="J501" s="84"/>
      <c r="K501" s="85"/>
      <c r="L501" s="85"/>
      <c r="M501" s="85"/>
      <c r="N501" s="85"/>
      <c r="O501" s="82"/>
      <c r="P501" s="83"/>
      <c r="Q501" s="83"/>
      <c r="R501" s="83"/>
      <c r="S501" s="82"/>
      <c r="T501" s="83"/>
      <c r="U501" s="83"/>
      <c r="V501" s="84"/>
      <c r="W501" s="85"/>
      <c r="X501" s="87"/>
      <c r="Y501" s="83"/>
      <c r="Z501" s="84"/>
      <c r="AA501" s="85"/>
      <c r="AB501" s="84"/>
      <c r="AC501" s="85"/>
      <c r="AD501" s="89">
        <f t="shared" si="111"/>
        <v>0</v>
      </c>
      <c r="AE501" s="89"/>
      <c r="AF501" s="186"/>
      <c r="AG501" s="85"/>
      <c r="AH501" s="85"/>
      <c r="AI501" s="85"/>
      <c r="AJ501" s="84"/>
      <c r="AK501" s="85"/>
      <c r="AL501" s="84"/>
      <c r="AM501" s="88"/>
      <c r="AN501" s="84"/>
      <c r="AO501" s="85"/>
      <c r="AP501" s="84"/>
      <c r="AQ501" s="83"/>
      <c r="AR501" s="83"/>
      <c r="AS501" s="83"/>
      <c r="AT501" s="85"/>
      <c r="AU501" s="85"/>
      <c r="AV501" s="85"/>
      <c r="AW501" s="88"/>
      <c r="AX501" s="84"/>
      <c r="AY501" s="85"/>
      <c r="AZ501" s="84"/>
      <c r="BA501" s="85"/>
      <c r="BB501" s="88"/>
      <c r="BC501" s="85"/>
      <c r="BD501" s="84"/>
      <c r="BE501" s="88"/>
      <c r="BF501" s="85"/>
      <c r="BG501" s="85"/>
      <c r="BH501" s="85">
        <v>300</v>
      </c>
      <c r="BI501" s="85"/>
      <c r="BJ501" s="85"/>
      <c r="BK501" s="85"/>
      <c r="BL501" s="85"/>
      <c r="BM501" s="85"/>
      <c r="BN501" s="85"/>
      <c r="BO501" s="85"/>
      <c r="BP501" s="85"/>
      <c r="BQ501" s="85"/>
      <c r="BR501" s="84"/>
      <c r="BS501" s="85"/>
      <c r="BT501" s="85"/>
      <c r="BU501" s="198"/>
      <c r="BV501" s="90"/>
      <c r="BW501" s="198"/>
      <c r="BX501" s="90"/>
      <c r="BY501" s="198"/>
      <c r="BZ501" s="90"/>
      <c r="CA501" s="91"/>
    </row>
    <row r="502" spans="1:1199" ht="50.1" customHeight="1" outlineLevel="2" x14ac:dyDescent="0.3">
      <c r="A502" s="103" t="s">
        <v>449</v>
      </c>
      <c r="B502" s="111" t="s">
        <v>1019</v>
      </c>
      <c r="C502" s="79"/>
      <c r="D502" s="81">
        <f t="shared" si="110"/>
        <v>300</v>
      </c>
      <c r="E502" s="82">
        <f t="shared" si="112"/>
        <v>0</v>
      </c>
      <c r="F502" s="83">
        <f t="shared" si="105"/>
        <v>300</v>
      </c>
      <c r="G502" s="84"/>
      <c r="H502" s="85"/>
      <c r="I502" s="85"/>
      <c r="J502" s="84"/>
      <c r="K502" s="85"/>
      <c r="L502" s="85"/>
      <c r="M502" s="85"/>
      <c r="N502" s="85"/>
      <c r="O502" s="82"/>
      <c r="P502" s="83"/>
      <c r="Q502" s="83"/>
      <c r="R502" s="83"/>
      <c r="S502" s="82"/>
      <c r="T502" s="83"/>
      <c r="U502" s="83"/>
      <c r="V502" s="84"/>
      <c r="W502" s="85"/>
      <c r="X502" s="87"/>
      <c r="Y502" s="83"/>
      <c r="Z502" s="84"/>
      <c r="AA502" s="85"/>
      <c r="AB502" s="84"/>
      <c r="AC502" s="85"/>
      <c r="AD502" s="89">
        <f t="shared" si="111"/>
        <v>0</v>
      </c>
      <c r="AE502" s="89"/>
      <c r="AF502" s="186"/>
      <c r="AG502" s="85"/>
      <c r="AH502" s="85"/>
      <c r="AI502" s="85"/>
      <c r="AJ502" s="84"/>
      <c r="AK502" s="85"/>
      <c r="AL502" s="84"/>
      <c r="AM502" s="88"/>
      <c r="AN502" s="84"/>
      <c r="AO502" s="85"/>
      <c r="AP502" s="84"/>
      <c r="AQ502" s="83"/>
      <c r="AR502" s="83"/>
      <c r="AS502" s="83"/>
      <c r="AT502" s="85"/>
      <c r="AU502" s="85"/>
      <c r="AV502" s="85"/>
      <c r="AW502" s="88"/>
      <c r="AX502" s="84"/>
      <c r="AY502" s="85"/>
      <c r="AZ502" s="84"/>
      <c r="BA502" s="85"/>
      <c r="BB502" s="88"/>
      <c r="BC502" s="85"/>
      <c r="BD502" s="84"/>
      <c r="BE502" s="88"/>
      <c r="BF502" s="85"/>
      <c r="BG502" s="85"/>
      <c r="BH502" s="85">
        <v>300</v>
      </c>
      <c r="BI502" s="85"/>
      <c r="BJ502" s="85"/>
      <c r="BK502" s="85"/>
      <c r="BL502" s="85"/>
      <c r="BM502" s="85"/>
      <c r="BN502" s="85"/>
      <c r="BO502" s="85"/>
      <c r="BP502" s="85"/>
      <c r="BQ502" s="85"/>
      <c r="BR502" s="84"/>
      <c r="BS502" s="85"/>
      <c r="BT502" s="85"/>
      <c r="BU502" s="198"/>
      <c r="BV502" s="90"/>
      <c r="BW502" s="198"/>
      <c r="BX502" s="90"/>
      <c r="BY502" s="198"/>
      <c r="BZ502" s="90"/>
      <c r="CA502" s="91"/>
    </row>
    <row r="503" spans="1:1199" ht="50.1" customHeight="1" outlineLevel="2" x14ac:dyDescent="0.3">
      <c r="A503" s="103" t="s">
        <v>449</v>
      </c>
      <c r="B503" s="111" t="s">
        <v>1020</v>
      </c>
      <c r="C503" s="79"/>
      <c r="D503" s="81">
        <f t="shared" si="110"/>
        <v>300</v>
      </c>
      <c r="E503" s="82">
        <f t="shared" si="112"/>
        <v>0</v>
      </c>
      <c r="F503" s="83">
        <f t="shared" si="105"/>
        <v>300</v>
      </c>
      <c r="G503" s="84"/>
      <c r="H503" s="85"/>
      <c r="I503" s="85"/>
      <c r="J503" s="84"/>
      <c r="K503" s="85"/>
      <c r="L503" s="85"/>
      <c r="M503" s="85"/>
      <c r="N503" s="85"/>
      <c r="O503" s="82"/>
      <c r="P503" s="83"/>
      <c r="Q503" s="83"/>
      <c r="R503" s="83"/>
      <c r="S503" s="82"/>
      <c r="T503" s="83"/>
      <c r="U503" s="83"/>
      <c r="V503" s="84"/>
      <c r="W503" s="85"/>
      <c r="X503" s="87"/>
      <c r="Y503" s="83"/>
      <c r="Z503" s="84"/>
      <c r="AA503" s="85"/>
      <c r="AB503" s="84"/>
      <c r="AC503" s="85"/>
      <c r="AD503" s="89">
        <f t="shared" si="111"/>
        <v>0</v>
      </c>
      <c r="AE503" s="89"/>
      <c r="AF503" s="186"/>
      <c r="AG503" s="85"/>
      <c r="AH503" s="85"/>
      <c r="AI503" s="85"/>
      <c r="AJ503" s="84"/>
      <c r="AK503" s="85"/>
      <c r="AL503" s="84"/>
      <c r="AM503" s="88"/>
      <c r="AN503" s="84"/>
      <c r="AO503" s="85"/>
      <c r="AP503" s="84"/>
      <c r="AQ503" s="83"/>
      <c r="AR503" s="83"/>
      <c r="AS503" s="83"/>
      <c r="AT503" s="85"/>
      <c r="AU503" s="85"/>
      <c r="AV503" s="85"/>
      <c r="AW503" s="88"/>
      <c r="AX503" s="84"/>
      <c r="AY503" s="85"/>
      <c r="AZ503" s="84"/>
      <c r="BA503" s="85"/>
      <c r="BB503" s="88"/>
      <c r="BC503" s="85"/>
      <c r="BD503" s="84"/>
      <c r="BE503" s="88"/>
      <c r="BF503" s="85"/>
      <c r="BG503" s="85"/>
      <c r="BH503" s="85">
        <v>300</v>
      </c>
      <c r="BI503" s="85"/>
      <c r="BJ503" s="85"/>
      <c r="BK503" s="85"/>
      <c r="BL503" s="85"/>
      <c r="BM503" s="85"/>
      <c r="BN503" s="85"/>
      <c r="BO503" s="85"/>
      <c r="BP503" s="85"/>
      <c r="BQ503" s="85"/>
      <c r="BR503" s="84"/>
      <c r="BS503" s="85"/>
      <c r="BT503" s="85"/>
      <c r="BU503" s="198"/>
      <c r="BV503" s="90"/>
      <c r="BW503" s="198"/>
      <c r="BX503" s="90"/>
      <c r="BY503" s="198"/>
      <c r="BZ503" s="90"/>
      <c r="CA503" s="91"/>
    </row>
    <row r="504" spans="1:1199" ht="50.1" customHeight="1" outlineLevel="2" x14ac:dyDescent="0.3">
      <c r="A504" s="103" t="s">
        <v>449</v>
      </c>
      <c r="B504" s="111" t="s">
        <v>1074</v>
      </c>
      <c r="C504" s="79"/>
      <c r="D504" s="81">
        <f t="shared" si="110"/>
        <v>300</v>
      </c>
      <c r="E504" s="82">
        <f t="shared" si="112"/>
        <v>0</v>
      </c>
      <c r="F504" s="83">
        <f t="shared" si="105"/>
        <v>300</v>
      </c>
      <c r="G504" s="84"/>
      <c r="H504" s="85"/>
      <c r="I504" s="85"/>
      <c r="J504" s="84"/>
      <c r="K504" s="85"/>
      <c r="L504" s="85"/>
      <c r="M504" s="85"/>
      <c r="N504" s="85"/>
      <c r="O504" s="82"/>
      <c r="P504" s="83"/>
      <c r="Q504" s="83"/>
      <c r="R504" s="83"/>
      <c r="S504" s="82"/>
      <c r="T504" s="83"/>
      <c r="U504" s="83"/>
      <c r="V504" s="84"/>
      <c r="W504" s="85"/>
      <c r="X504" s="87"/>
      <c r="Y504" s="83"/>
      <c r="Z504" s="84"/>
      <c r="AA504" s="85"/>
      <c r="AB504" s="84"/>
      <c r="AC504" s="85"/>
      <c r="AD504" s="89">
        <f t="shared" si="111"/>
        <v>0</v>
      </c>
      <c r="AE504" s="89"/>
      <c r="AF504" s="186"/>
      <c r="AG504" s="85"/>
      <c r="AH504" s="85"/>
      <c r="AI504" s="85"/>
      <c r="AJ504" s="84"/>
      <c r="AK504" s="85"/>
      <c r="AL504" s="84"/>
      <c r="AM504" s="88"/>
      <c r="AN504" s="84"/>
      <c r="AO504" s="85"/>
      <c r="AP504" s="84"/>
      <c r="AQ504" s="83"/>
      <c r="AR504" s="83"/>
      <c r="AS504" s="83"/>
      <c r="AT504" s="85"/>
      <c r="AU504" s="85"/>
      <c r="AV504" s="85"/>
      <c r="AW504" s="88"/>
      <c r="AX504" s="84"/>
      <c r="AY504" s="85"/>
      <c r="AZ504" s="84"/>
      <c r="BA504" s="85"/>
      <c r="BB504" s="88"/>
      <c r="BC504" s="85"/>
      <c r="BD504" s="84"/>
      <c r="BE504" s="88"/>
      <c r="BF504" s="85"/>
      <c r="BG504" s="85"/>
      <c r="BH504" s="85">
        <v>300</v>
      </c>
      <c r="BI504" s="85"/>
      <c r="BJ504" s="85"/>
      <c r="BK504" s="85"/>
      <c r="BL504" s="85"/>
      <c r="BM504" s="85"/>
      <c r="BN504" s="85"/>
      <c r="BO504" s="85"/>
      <c r="BP504" s="85"/>
      <c r="BQ504" s="85"/>
      <c r="BR504" s="84"/>
      <c r="BS504" s="85"/>
      <c r="BT504" s="85"/>
      <c r="BU504" s="198"/>
      <c r="BV504" s="90"/>
      <c r="BW504" s="198"/>
      <c r="BX504" s="90"/>
      <c r="BY504" s="198"/>
      <c r="BZ504" s="90"/>
      <c r="CA504" s="91"/>
    </row>
    <row r="505" spans="1:1199" ht="50.1" customHeight="1" outlineLevel="2" x14ac:dyDescent="0.3">
      <c r="A505" s="103" t="s">
        <v>449</v>
      </c>
      <c r="B505" s="111" t="s">
        <v>1114</v>
      </c>
      <c r="C505" s="79"/>
      <c r="D505" s="81">
        <f t="shared" si="110"/>
        <v>34.270000000000003</v>
      </c>
      <c r="E505" s="82">
        <f t="shared" si="112"/>
        <v>0</v>
      </c>
      <c r="F505" s="83">
        <f t="shared" si="105"/>
        <v>34.270000000000003</v>
      </c>
      <c r="G505" s="84"/>
      <c r="H505" s="85"/>
      <c r="I505" s="85"/>
      <c r="J505" s="84"/>
      <c r="K505" s="85"/>
      <c r="L505" s="85"/>
      <c r="M505" s="85"/>
      <c r="N505" s="85"/>
      <c r="O505" s="82"/>
      <c r="P505" s="83"/>
      <c r="Q505" s="83"/>
      <c r="R505" s="83"/>
      <c r="S505" s="82"/>
      <c r="T505" s="83"/>
      <c r="U505" s="83"/>
      <c r="V505" s="84"/>
      <c r="W505" s="85"/>
      <c r="X505" s="87"/>
      <c r="Y505" s="83"/>
      <c r="Z505" s="84"/>
      <c r="AA505" s="85"/>
      <c r="AB505" s="84"/>
      <c r="AC505" s="85"/>
      <c r="AD505" s="89">
        <f t="shared" si="111"/>
        <v>0</v>
      </c>
      <c r="AE505" s="89"/>
      <c r="AF505" s="186"/>
      <c r="AG505" s="85"/>
      <c r="AH505" s="85"/>
      <c r="AI505" s="85"/>
      <c r="AJ505" s="84"/>
      <c r="AK505" s="85"/>
      <c r="AL505" s="84"/>
      <c r="AM505" s="88"/>
      <c r="AN505" s="84"/>
      <c r="AO505" s="85"/>
      <c r="AP505" s="84"/>
      <c r="AQ505" s="83"/>
      <c r="AR505" s="83"/>
      <c r="AS505" s="83"/>
      <c r="AT505" s="85"/>
      <c r="AU505" s="85"/>
      <c r="AV505" s="85"/>
      <c r="AW505" s="88"/>
      <c r="AX505" s="84"/>
      <c r="AY505" s="85"/>
      <c r="AZ505" s="84"/>
      <c r="BA505" s="85"/>
      <c r="BB505" s="88"/>
      <c r="BC505" s="85"/>
      <c r="BD505" s="84"/>
      <c r="BE505" s="88"/>
      <c r="BF505" s="85"/>
      <c r="BG505" s="85"/>
      <c r="BH505" s="85"/>
      <c r="BI505" s="85">
        <v>34.270000000000003</v>
      </c>
      <c r="BJ505" s="85"/>
      <c r="BK505" s="85"/>
      <c r="BL505" s="85"/>
      <c r="BM505" s="85"/>
      <c r="BN505" s="85"/>
      <c r="BO505" s="85"/>
      <c r="BP505" s="85"/>
      <c r="BQ505" s="85"/>
      <c r="BR505" s="84"/>
      <c r="BS505" s="85"/>
      <c r="BT505" s="85"/>
      <c r="BU505" s="198"/>
      <c r="BV505" s="90"/>
      <c r="BW505" s="198"/>
      <c r="BX505" s="90"/>
      <c r="BY505" s="198"/>
      <c r="BZ505" s="90"/>
      <c r="CA505" s="91"/>
    </row>
    <row r="506" spans="1:1199" ht="50.1" customHeight="1" outlineLevel="2" x14ac:dyDescent="0.3">
      <c r="A506" s="103" t="s">
        <v>449</v>
      </c>
      <c r="B506" s="111" t="s">
        <v>1143</v>
      </c>
      <c r="C506" s="79"/>
      <c r="D506" s="81">
        <f t="shared" si="110"/>
        <v>300</v>
      </c>
      <c r="E506" s="82">
        <f t="shared" si="112"/>
        <v>0</v>
      </c>
      <c r="F506" s="83">
        <f t="shared" si="105"/>
        <v>300</v>
      </c>
      <c r="G506" s="84"/>
      <c r="H506" s="85"/>
      <c r="I506" s="85"/>
      <c r="J506" s="84"/>
      <c r="K506" s="85"/>
      <c r="L506" s="85"/>
      <c r="M506" s="85"/>
      <c r="N506" s="85"/>
      <c r="O506" s="82"/>
      <c r="P506" s="83"/>
      <c r="Q506" s="83"/>
      <c r="R506" s="83"/>
      <c r="S506" s="82"/>
      <c r="T506" s="83"/>
      <c r="U506" s="83"/>
      <c r="V506" s="84"/>
      <c r="W506" s="85"/>
      <c r="X506" s="87"/>
      <c r="Y506" s="83"/>
      <c r="Z506" s="84"/>
      <c r="AA506" s="85"/>
      <c r="AB506" s="84"/>
      <c r="AC506" s="85"/>
      <c r="AD506" s="89">
        <f t="shared" si="111"/>
        <v>0</v>
      </c>
      <c r="AE506" s="89"/>
      <c r="AF506" s="186"/>
      <c r="AG506" s="85"/>
      <c r="AH506" s="85"/>
      <c r="AI506" s="85"/>
      <c r="AJ506" s="84"/>
      <c r="AK506" s="85"/>
      <c r="AL506" s="84"/>
      <c r="AM506" s="88"/>
      <c r="AN506" s="84"/>
      <c r="AO506" s="85"/>
      <c r="AP506" s="84"/>
      <c r="AQ506" s="83"/>
      <c r="AR506" s="83"/>
      <c r="AS506" s="83"/>
      <c r="AT506" s="85"/>
      <c r="AU506" s="85"/>
      <c r="AV506" s="85"/>
      <c r="AW506" s="88"/>
      <c r="AX506" s="84"/>
      <c r="AY506" s="85"/>
      <c r="AZ506" s="84"/>
      <c r="BA506" s="85"/>
      <c r="BB506" s="88"/>
      <c r="BC506" s="85"/>
      <c r="BD506" s="84"/>
      <c r="BE506" s="88"/>
      <c r="BF506" s="85"/>
      <c r="BG506" s="85"/>
      <c r="BH506" s="85">
        <v>300</v>
      </c>
      <c r="BI506" s="85"/>
      <c r="BJ506" s="85"/>
      <c r="BK506" s="85"/>
      <c r="BL506" s="85"/>
      <c r="BM506" s="85"/>
      <c r="BN506" s="85"/>
      <c r="BO506" s="85"/>
      <c r="BP506" s="85"/>
      <c r="BQ506" s="85"/>
      <c r="BR506" s="84"/>
      <c r="BS506" s="85"/>
      <c r="BT506" s="85"/>
      <c r="BU506" s="198"/>
      <c r="BV506" s="90"/>
      <c r="BW506" s="198"/>
      <c r="BX506" s="90"/>
      <c r="BY506" s="198"/>
      <c r="BZ506" s="90"/>
      <c r="CA506" s="91"/>
    </row>
    <row r="507" spans="1:1199" ht="50.1" customHeight="1" outlineLevel="2" x14ac:dyDescent="0.3">
      <c r="A507" s="103" t="s">
        <v>449</v>
      </c>
      <c r="B507" s="111" t="s">
        <v>1115</v>
      </c>
      <c r="C507" s="79"/>
      <c r="D507" s="81">
        <f t="shared" si="110"/>
        <v>33</v>
      </c>
      <c r="E507" s="82">
        <f t="shared" si="112"/>
        <v>0</v>
      </c>
      <c r="F507" s="83">
        <f t="shared" si="105"/>
        <v>33</v>
      </c>
      <c r="G507" s="84"/>
      <c r="H507" s="85"/>
      <c r="I507" s="85"/>
      <c r="J507" s="84"/>
      <c r="K507" s="85"/>
      <c r="L507" s="85"/>
      <c r="M507" s="85"/>
      <c r="N507" s="85"/>
      <c r="O507" s="82"/>
      <c r="P507" s="83"/>
      <c r="Q507" s="83"/>
      <c r="R507" s="83"/>
      <c r="S507" s="82"/>
      <c r="T507" s="83"/>
      <c r="U507" s="83"/>
      <c r="V507" s="84"/>
      <c r="W507" s="85"/>
      <c r="X507" s="87"/>
      <c r="Y507" s="83"/>
      <c r="Z507" s="84"/>
      <c r="AA507" s="85"/>
      <c r="AB507" s="84"/>
      <c r="AC507" s="85"/>
      <c r="AD507" s="89"/>
      <c r="AE507" s="89"/>
      <c r="AF507" s="186"/>
      <c r="AG507" s="85"/>
      <c r="AH507" s="85"/>
      <c r="AI507" s="85"/>
      <c r="AJ507" s="84"/>
      <c r="AK507" s="85"/>
      <c r="AL507" s="84"/>
      <c r="AM507" s="88"/>
      <c r="AN507" s="84"/>
      <c r="AO507" s="85"/>
      <c r="AP507" s="84"/>
      <c r="AQ507" s="83"/>
      <c r="AR507" s="83"/>
      <c r="AS507" s="83"/>
      <c r="AT507" s="85"/>
      <c r="AU507" s="85"/>
      <c r="AV507" s="85"/>
      <c r="AW507" s="88"/>
      <c r="AX507" s="84"/>
      <c r="AY507" s="85"/>
      <c r="AZ507" s="84"/>
      <c r="BA507" s="85"/>
      <c r="BB507" s="88"/>
      <c r="BC507" s="85"/>
      <c r="BD507" s="84"/>
      <c r="BE507" s="88"/>
      <c r="BF507" s="85"/>
      <c r="BG507" s="85"/>
      <c r="BH507" s="85"/>
      <c r="BI507" s="85">
        <v>33</v>
      </c>
      <c r="BJ507" s="85"/>
      <c r="BK507" s="85"/>
      <c r="BL507" s="85"/>
      <c r="BM507" s="85"/>
      <c r="BN507" s="85"/>
      <c r="BO507" s="85"/>
      <c r="BP507" s="85"/>
      <c r="BQ507" s="85"/>
      <c r="BR507" s="84"/>
      <c r="BS507" s="85"/>
      <c r="BT507" s="85"/>
      <c r="BU507" s="198"/>
      <c r="BV507" s="90"/>
      <c r="BW507" s="198"/>
      <c r="BX507" s="90"/>
      <c r="BY507" s="198"/>
      <c r="BZ507" s="90"/>
      <c r="CA507" s="91"/>
    </row>
    <row r="508" spans="1:1199" ht="50.1" customHeight="1" outlineLevel="2" x14ac:dyDescent="0.3">
      <c r="A508" s="103" t="s">
        <v>449</v>
      </c>
      <c r="B508" s="111" t="s">
        <v>1069</v>
      </c>
      <c r="C508" s="79"/>
      <c r="D508" s="81">
        <f t="shared" si="110"/>
        <v>11.045</v>
      </c>
      <c r="E508" s="82">
        <f t="shared" si="112"/>
        <v>0</v>
      </c>
      <c r="F508" s="83">
        <f t="shared" si="105"/>
        <v>11.045</v>
      </c>
      <c r="G508" s="84"/>
      <c r="H508" s="85"/>
      <c r="I508" s="85"/>
      <c r="J508" s="84"/>
      <c r="K508" s="85"/>
      <c r="L508" s="85"/>
      <c r="M508" s="85"/>
      <c r="N508" s="85"/>
      <c r="O508" s="82"/>
      <c r="P508" s="83"/>
      <c r="Q508" s="83"/>
      <c r="R508" s="83"/>
      <c r="S508" s="82"/>
      <c r="T508" s="83"/>
      <c r="U508" s="83"/>
      <c r="V508" s="84"/>
      <c r="W508" s="85"/>
      <c r="X508" s="87"/>
      <c r="Y508" s="83"/>
      <c r="Z508" s="84"/>
      <c r="AA508" s="85"/>
      <c r="AB508" s="84"/>
      <c r="AC508" s="85"/>
      <c r="AD508" s="89"/>
      <c r="AE508" s="89"/>
      <c r="AF508" s="186"/>
      <c r="AG508" s="85"/>
      <c r="AH508" s="85"/>
      <c r="AI508" s="85"/>
      <c r="AJ508" s="84"/>
      <c r="AK508" s="85"/>
      <c r="AL508" s="84"/>
      <c r="AM508" s="88"/>
      <c r="AN508" s="84"/>
      <c r="AO508" s="85"/>
      <c r="AP508" s="84"/>
      <c r="AQ508" s="83"/>
      <c r="AR508" s="83"/>
      <c r="AS508" s="83"/>
      <c r="AT508" s="85"/>
      <c r="AU508" s="85"/>
      <c r="AV508" s="85"/>
      <c r="AW508" s="88"/>
      <c r="AX508" s="84"/>
      <c r="AY508" s="85"/>
      <c r="AZ508" s="84"/>
      <c r="BA508" s="85"/>
      <c r="BB508" s="88"/>
      <c r="BC508" s="85"/>
      <c r="BD508" s="84"/>
      <c r="BE508" s="88"/>
      <c r="BF508" s="85"/>
      <c r="BG508" s="85"/>
      <c r="BH508" s="85"/>
      <c r="BI508" s="85">
        <v>11.045</v>
      </c>
      <c r="BJ508" s="85"/>
      <c r="BK508" s="85"/>
      <c r="BL508" s="85"/>
      <c r="BM508" s="85"/>
      <c r="BN508" s="85"/>
      <c r="BO508" s="85"/>
      <c r="BP508" s="85"/>
      <c r="BQ508" s="85"/>
      <c r="BR508" s="84"/>
      <c r="BS508" s="85"/>
      <c r="BT508" s="85"/>
      <c r="BU508" s="198"/>
      <c r="BV508" s="90"/>
      <c r="BW508" s="198"/>
      <c r="BX508" s="90"/>
      <c r="BY508" s="198"/>
      <c r="BZ508" s="90"/>
      <c r="CA508" s="91"/>
    </row>
    <row r="509" spans="1:1199" ht="50.1" customHeight="1" outlineLevel="2" x14ac:dyDescent="0.3">
      <c r="A509" s="103" t="s">
        <v>449</v>
      </c>
      <c r="B509" s="111" t="s">
        <v>1104</v>
      </c>
      <c r="C509" s="79"/>
      <c r="D509" s="81">
        <f t="shared" si="110"/>
        <v>300</v>
      </c>
      <c r="E509" s="82">
        <f t="shared" si="112"/>
        <v>0</v>
      </c>
      <c r="F509" s="83">
        <f t="shared" si="105"/>
        <v>300</v>
      </c>
      <c r="G509" s="84"/>
      <c r="H509" s="85"/>
      <c r="I509" s="85"/>
      <c r="J509" s="84"/>
      <c r="K509" s="85"/>
      <c r="L509" s="85"/>
      <c r="M509" s="85"/>
      <c r="N509" s="85"/>
      <c r="O509" s="82"/>
      <c r="P509" s="83"/>
      <c r="Q509" s="83"/>
      <c r="R509" s="83"/>
      <c r="S509" s="82"/>
      <c r="T509" s="83"/>
      <c r="U509" s="83"/>
      <c r="V509" s="84"/>
      <c r="W509" s="85"/>
      <c r="X509" s="87"/>
      <c r="Y509" s="83"/>
      <c r="Z509" s="84"/>
      <c r="AA509" s="85"/>
      <c r="AB509" s="84"/>
      <c r="AC509" s="85"/>
      <c r="AD509" s="89">
        <f t="shared" si="111"/>
        <v>0</v>
      </c>
      <c r="AE509" s="89"/>
      <c r="AF509" s="186"/>
      <c r="AG509" s="85"/>
      <c r="AH509" s="85"/>
      <c r="AI509" s="85"/>
      <c r="AJ509" s="84"/>
      <c r="AK509" s="85"/>
      <c r="AL509" s="84"/>
      <c r="AM509" s="88"/>
      <c r="AN509" s="84"/>
      <c r="AO509" s="85"/>
      <c r="AP509" s="84"/>
      <c r="AQ509" s="83"/>
      <c r="AR509" s="83"/>
      <c r="AS509" s="83"/>
      <c r="AT509" s="85"/>
      <c r="AU509" s="85"/>
      <c r="AV509" s="85"/>
      <c r="AW509" s="88"/>
      <c r="AX509" s="84"/>
      <c r="AY509" s="85"/>
      <c r="AZ509" s="84"/>
      <c r="BA509" s="85"/>
      <c r="BB509" s="88"/>
      <c r="BC509" s="85"/>
      <c r="BD509" s="84"/>
      <c r="BE509" s="88"/>
      <c r="BF509" s="85"/>
      <c r="BG509" s="85"/>
      <c r="BH509" s="85">
        <v>300</v>
      </c>
      <c r="BI509" s="85"/>
      <c r="BJ509" s="85"/>
      <c r="BK509" s="85"/>
      <c r="BL509" s="85"/>
      <c r="BM509" s="85"/>
      <c r="BN509" s="85"/>
      <c r="BO509" s="85"/>
      <c r="BP509" s="85"/>
      <c r="BQ509" s="85"/>
      <c r="BR509" s="84"/>
      <c r="BS509" s="85"/>
      <c r="BT509" s="85"/>
      <c r="BU509" s="198"/>
      <c r="BV509" s="90"/>
      <c r="BW509" s="198"/>
      <c r="BX509" s="90"/>
      <c r="BY509" s="198"/>
      <c r="BZ509" s="90"/>
      <c r="CA509" s="91"/>
    </row>
    <row r="510" spans="1:1199" s="101" customFormat="1" ht="50.1" customHeight="1" outlineLevel="1" x14ac:dyDescent="0.3">
      <c r="A510" s="132" t="s">
        <v>480</v>
      </c>
      <c r="B510" s="133"/>
      <c r="C510" s="134" t="s">
        <v>94</v>
      </c>
      <c r="D510" s="114">
        <f t="shared" ref="D510:AI510" si="113">SUBTOTAL(9,D462:D509)</f>
        <v>327408.83821999998</v>
      </c>
      <c r="E510" s="114">
        <f t="shared" si="113"/>
        <v>100650.21087000001</v>
      </c>
      <c r="F510" s="114">
        <f t="shared" si="113"/>
        <v>226758.62734999997</v>
      </c>
      <c r="G510" s="114">
        <f t="shared" si="113"/>
        <v>6495.8177599999999</v>
      </c>
      <c r="H510" s="114">
        <f t="shared" si="113"/>
        <v>2602.8315200000002</v>
      </c>
      <c r="I510" s="114">
        <f t="shared" si="113"/>
        <v>0</v>
      </c>
      <c r="J510" s="114">
        <f t="shared" si="113"/>
        <v>2622.1976500000005</v>
      </c>
      <c r="K510" s="114">
        <f t="shared" si="113"/>
        <v>688.4268800000001</v>
      </c>
      <c r="L510" s="114">
        <f t="shared" si="113"/>
        <v>4294.6158999999998</v>
      </c>
      <c r="M510" s="114">
        <f t="shared" si="113"/>
        <v>0</v>
      </c>
      <c r="N510" s="114">
        <f t="shared" si="113"/>
        <v>19500</v>
      </c>
      <c r="O510" s="114">
        <f t="shared" si="113"/>
        <v>27.448320000000002</v>
      </c>
      <c r="P510" s="114">
        <f t="shared" si="113"/>
        <v>3.5409600000000001</v>
      </c>
      <c r="Q510" s="114">
        <f t="shared" si="113"/>
        <v>209.76549999999997</v>
      </c>
      <c r="R510" s="114">
        <f t="shared" si="113"/>
        <v>0</v>
      </c>
      <c r="S510" s="114">
        <f t="shared" si="113"/>
        <v>5719.4737600000008</v>
      </c>
      <c r="T510" s="114">
        <f t="shared" si="113"/>
        <v>5787.5319899999995</v>
      </c>
      <c r="U510" s="114">
        <f t="shared" si="113"/>
        <v>1636.9645399999999</v>
      </c>
      <c r="V510" s="114">
        <f t="shared" si="113"/>
        <v>1057.6265000000001</v>
      </c>
      <c r="W510" s="114">
        <f t="shared" si="113"/>
        <v>3242.8315499999999</v>
      </c>
      <c r="X510" s="114">
        <f t="shared" si="113"/>
        <v>0</v>
      </c>
      <c r="Y510" s="114">
        <f t="shared" si="113"/>
        <v>5550.402000000001</v>
      </c>
      <c r="Z510" s="114">
        <f t="shared" si="113"/>
        <v>0</v>
      </c>
      <c r="AA510" s="114">
        <f t="shared" si="113"/>
        <v>0</v>
      </c>
      <c r="AB510" s="114">
        <f t="shared" si="113"/>
        <v>0</v>
      </c>
      <c r="AC510" s="114">
        <f t="shared" si="113"/>
        <v>0</v>
      </c>
      <c r="AD510" s="114">
        <f t="shared" si="113"/>
        <v>8732.3940700000003</v>
      </c>
      <c r="AE510" s="114">
        <f t="shared" si="113"/>
        <v>2432.5063999999998</v>
      </c>
      <c r="AF510" s="191">
        <f t="shared" si="113"/>
        <v>6299.8876699999992</v>
      </c>
      <c r="AG510" s="114">
        <f t="shared" si="113"/>
        <v>0</v>
      </c>
      <c r="AH510" s="114">
        <f t="shared" si="113"/>
        <v>0</v>
      </c>
      <c r="AI510" s="114">
        <f t="shared" si="113"/>
        <v>0</v>
      </c>
      <c r="AJ510" s="114">
        <f t="shared" ref="AJ510:BO510" si="114">SUBTOTAL(9,AJ462:AJ509)</f>
        <v>36920.703399999999</v>
      </c>
      <c r="AK510" s="114">
        <f t="shared" si="114"/>
        <v>11879.6</v>
      </c>
      <c r="AL510" s="114">
        <f t="shared" si="114"/>
        <v>0</v>
      </c>
      <c r="AM510" s="114">
        <f t="shared" si="114"/>
        <v>0</v>
      </c>
      <c r="AN510" s="114">
        <f t="shared" si="114"/>
        <v>0</v>
      </c>
      <c r="AO510" s="114">
        <f t="shared" si="114"/>
        <v>0</v>
      </c>
      <c r="AP510" s="114">
        <f t="shared" si="114"/>
        <v>29286.45912</v>
      </c>
      <c r="AQ510" s="114">
        <f t="shared" si="114"/>
        <v>64869.989089999988</v>
      </c>
      <c r="AR510" s="114">
        <f t="shared" si="114"/>
        <v>0</v>
      </c>
      <c r="AS510" s="114">
        <f t="shared" si="114"/>
        <v>0</v>
      </c>
      <c r="AT510" s="114">
        <f t="shared" si="114"/>
        <v>0</v>
      </c>
      <c r="AU510" s="114">
        <f t="shared" si="114"/>
        <v>0</v>
      </c>
      <c r="AV510" s="114">
        <f t="shared" si="114"/>
        <v>47211.761939999989</v>
      </c>
      <c r="AW510" s="114">
        <f t="shared" si="114"/>
        <v>0</v>
      </c>
      <c r="AX510" s="114">
        <f t="shared" si="114"/>
        <v>0</v>
      </c>
      <c r="AY510" s="114">
        <f t="shared" si="114"/>
        <v>0</v>
      </c>
      <c r="AZ510" s="114">
        <f t="shared" si="114"/>
        <v>18520.484359999999</v>
      </c>
      <c r="BA510" s="114">
        <f t="shared" si="114"/>
        <v>16771.798860000003</v>
      </c>
      <c r="BB510" s="114">
        <f t="shared" si="114"/>
        <v>243.29246000000001</v>
      </c>
      <c r="BC510" s="114">
        <f t="shared" si="114"/>
        <v>0</v>
      </c>
      <c r="BD510" s="114">
        <f t="shared" si="114"/>
        <v>0</v>
      </c>
      <c r="BE510" s="114">
        <f t="shared" si="114"/>
        <v>0</v>
      </c>
      <c r="BF510" s="114">
        <f t="shared" si="114"/>
        <v>0</v>
      </c>
      <c r="BG510" s="114">
        <f t="shared" si="114"/>
        <v>18514.44166</v>
      </c>
      <c r="BH510" s="114">
        <f t="shared" si="114"/>
        <v>2700</v>
      </c>
      <c r="BI510" s="114">
        <f t="shared" si="114"/>
        <v>78.315000000000012</v>
      </c>
      <c r="BJ510" s="114">
        <f t="shared" si="114"/>
        <v>0</v>
      </c>
      <c r="BK510" s="114">
        <f t="shared" si="114"/>
        <v>1882.7360100000001</v>
      </c>
      <c r="BL510" s="114">
        <f t="shared" si="114"/>
        <v>0</v>
      </c>
      <c r="BM510" s="114">
        <f t="shared" si="114"/>
        <v>0</v>
      </c>
      <c r="BN510" s="114">
        <f t="shared" si="114"/>
        <v>0</v>
      </c>
      <c r="BO510" s="114">
        <f t="shared" si="114"/>
        <v>0</v>
      </c>
      <c r="BP510" s="114">
        <f t="shared" ref="BP510:CU510" si="115">SUBTOTAL(9,BP462:BP509)</f>
        <v>0</v>
      </c>
      <c r="BQ510" s="114">
        <f t="shared" si="115"/>
        <v>0</v>
      </c>
      <c r="BR510" s="114">
        <f t="shared" si="115"/>
        <v>0</v>
      </c>
      <c r="BS510" s="114">
        <f t="shared" si="115"/>
        <v>8051.6</v>
      </c>
      <c r="BT510" s="114">
        <f t="shared" si="115"/>
        <v>1799.5750000000003</v>
      </c>
      <c r="BU510" s="114">
        <f t="shared" si="115"/>
        <v>506.21242000000001</v>
      </c>
      <c r="BV510" s="114">
        <f t="shared" si="115"/>
        <v>0</v>
      </c>
      <c r="BW510" s="114">
        <f t="shared" si="115"/>
        <v>0</v>
      </c>
      <c r="BX510" s="114">
        <f t="shared" si="115"/>
        <v>0</v>
      </c>
      <c r="BY510" s="114">
        <f t="shared" si="115"/>
        <v>0</v>
      </c>
      <c r="BZ510" s="114">
        <f t="shared" si="115"/>
        <v>0</v>
      </c>
      <c r="CA510" s="114">
        <f t="shared" si="115"/>
        <v>0</v>
      </c>
      <c r="CB510" s="176"/>
      <c r="CC510" s="176"/>
      <c r="CD510" s="176"/>
      <c r="CE510" s="176"/>
      <c r="CF510" s="176"/>
      <c r="CG510" s="176"/>
      <c r="CH510" s="176"/>
      <c r="CI510" s="176"/>
      <c r="CJ510" s="176"/>
      <c r="CK510" s="176"/>
      <c r="CL510" s="176"/>
      <c r="CM510" s="176"/>
      <c r="CN510" s="176"/>
      <c r="CO510" s="176"/>
      <c r="CP510" s="176"/>
      <c r="CQ510" s="176"/>
      <c r="CR510" s="176"/>
      <c r="CS510" s="176"/>
      <c r="CT510" s="176"/>
      <c r="CU510" s="176"/>
      <c r="CV510" s="176"/>
      <c r="CW510" s="176"/>
      <c r="CX510" s="176"/>
      <c r="CY510" s="176"/>
      <c r="CZ510" s="176"/>
      <c r="DA510" s="176"/>
      <c r="DB510" s="176"/>
      <c r="DC510" s="176"/>
      <c r="DD510" s="176"/>
      <c r="DE510" s="176"/>
      <c r="DF510" s="176"/>
      <c r="DG510" s="176"/>
      <c r="DH510" s="176"/>
      <c r="DI510" s="176"/>
      <c r="DJ510" s="176"/>
      <c r="DK510" s="176"/>
      <c r="DL510" s="176"/>
      <c r="DM510" s="176"/>
      <c r="DN510" s="176"/>
      <c r="DO510" s="176"/>
      <c r="DP510" s="176"/>
      <c r="DQ510" s="176"/>
      <c r="DR510" s="176"/>
      <c r="DS510" s="176"/>
      <c r="DT510" s="176"/>
      <c r="DU510" s="176"/>
      <c r="DV510" s="176"/>
      <c r="DW510" s="176"/>
      <c r="DX510" s="176"/>
      <c r="DY510" s="176"/>
      <c r="DZ510" s="176"/>
      <c r="EA510" s="176"/>
      <c r="EB510" s="176"/>
      <c r="EC510" s="176"/>
      <c r="ED510" s="176"/>
      <c r="EE510" s="176"/>
      <c r="EF510" s="176"/>
      <c r="EG510" s="176"/>
      <c r="EH510" s="176"/>
      <c r="EI510" s="176"/>
      <c r="EJ510" s="176"/>
      <c r="EK510" s="176"/>
      <c r="EL510" s="176"/>
      <c r="EM510" s="176"/>
      <c r="EN510" s="176"/>
      <c r="EO510" s="176"/>
      <c r="EP510" s="176"/>
      <c r="EQ510" s="176"/>
      <c r="ER510" s="176"/>
      <c r="ES510" s="176"/>
      <c r="ET510" s="176"/>
      <c r="EU510" s="176"/>
      <c r="EV510" s="176"/>
      <c r="EW510" s="176"/>
      <c r="EX510" s="176"/>
      <c r="EY510" s="176"/>
      <c r="EZ510" s="176"/>
      <c r="FA510" s="176"/>
      <c r="FB510" s="176"/>
      <c r="FC510" s="176"/>
      <c r="FD510" s="176"/>
      <c r="FE510" s="176"/>
      <c r="FF510" s="176"/>
      <c r="FG510" s="176"/>
      <c r="FH510" s="176"/>
      <c r="FI510" s="176"/>
      <c r="FJ510" s="176"/>
      <c r="FK510" s="176"/>
      <c r="FL510" s="176"/>
      <c r="FM510" s="176"/>
      <c r="FN510" s="176"/>
      <c r="FO510" s="176"/>
      <c r="FP510" s="176"/>
      <c r="FQ510" s="176"/>
      <c r="FR510" s="176"/>
      <c r="FS510" s="176"/>
      <c r="FT510" s="176"/>
      <c r="FU510" s="176"/>
      <c r="FV510" s="176"/>
      <c r="FW510" s="176"/>
      <c r="FX510" s="176"/>
      <c r="FY510" s="176"/>
      <c r="FZ510" s="176"/>
      <c r="GA510" s="176"/>
      <c r="GB510" s="176"/>
      <c r="GC510" s="176"/>
      <c r="GD510" s="176"/>
      <c r="GE510" s="176"/>
      <c r="GF510" s="176"/>
      <c r="GG510" s="176"/>
      <c r="GH510" s="176"/>
      <c r="GI510" s="176"/>
      <c r="GJ510" s="176"/>
      <c r="GK510" s="176"/>
      <c r="GL510" s="176"/>
      <c r="GM510" s="176"/>
      <c r="GN510" s="176"/>
      <c r="GO510" s="176"/>
      <c r="GP510" s="176"/>
      <c r="GQ510" s="176"/>
      <c r="GR510" s="176"/>
      <c r="GS510" s="176"/>
      <c r="GT510" s="176"/>
      <c r="GU510" s="176"/>
      <c r="GV510" s="176"/>
      <c r="GW510" s="176"/>
      <c r="GX510" s="176"/>
      <c r="GY510" s="176"/>
      <c r="GZ510" s="176"/>
      <c r="HA510" s="176"/>
      <c r="HB510" s="176"/>
      <c r="HC510" s="176"/>
      <c r="HD510" s="176"/>
      <c r="HE510" s="176"/>
      <c r="HF510" s="176"/>
      <c r="HG510" s="176"/>
      <c r="HH510" s="176"/>
      <c r="HI510" s="176"/>
      <c r="HJ510" s="176"/>
      <c r="HK510" s="176"/>
      <c r="HL510" s="176"/>
      <c r="HM510" s="176"/>
      <c r="HN510" s="176"/>
      <c r="HO510" s="176"/>
      <c r="HP510" s="176"/>
      <c r="HQ510" s="176"/>
      <c r="HR510" s="176"/>
      <c r="HS510" s="176"/>
      <c r="HT510" s="176"/>
      <c r="HU510" s="176"/>
      <c r="HV510" s="176"/>
      <c r="HW510" s="176"/>
      <c r="HX510" s="176"/>
      <c r="HY510" s="176"/>
      <c r="HZ510" s="176"/>
      <c r="IA510" s="176"/>
      <c r="IB510" s="176"/>
      <c r="IC510" s="176"/>
      <c r="ID510" s="176"/>
      <c r="IE510" s="176"/>
      <c r="IF510" s="176"/>
      <c r="IG510" s="176"/>
      <c r="IH510" s="176"/>
      <c r="II510" s="176"/>
      <c r="IJ510" s="176"/>
      <c r="IK510" s="176"/>
      <c r="IL510" s="176"/>
      <c r="IM510" s="176"/>
      <c r="IN510" s="176"/>
      <c r="IO510" s="176"/>
      <c r="IP510" s="176"/>
      <c r="IQ510" s="176"/>
      <c r="IR510" s="176"/>
      <c r="IS510" s="176"/>
      <c r="IT510" s="176"/>
      <c r="IU510" s="176"/>
      <c r="IV510" s="176"/>
      <c r="IW510" s="176"/>
      <c r="IX510" s="176"/>
      <c r="IY510" s="176"/>
      <c r="IZ510" s="176"/>
      <c r="JA510" s="176"/>
      <c r="JB510" s="176"/>
      <c r="JC510" s="176"/>
      <c r="JD510" s="176"/>
      <c r="JE510" s="176"/>
      <c r="JF510" s="176"/>
      <c r="JG510" s="176"/>
      <c r="JH510" s="176"/>
      <c r="JI510" s="176"/>
      <c r="JJ510" s="176"/>
      <c r="JK510" s="176"/>
      <c r="JL510" s="176"/>
      <c r="JM510" s="176"/>
      <c r="JN510" s="176"/>
      <c r="JO510" s="176"/>
      <c r="JP510" s="176"/>
      <c r="JQ510" s="176"/>
      <c r="JR510" s="176"/>
      <c r="JS510" s="176"/>
      <c r="JT510" s="176"/>
      <c r="JU510" s="176"/>
      <c r="JV510" s="176"/>
      <c r="JW510" s="131"/>
      <c r="JX510" s="131"/>
      <c r="JY510" s="131"/>
      <c r="JZ510" s="131"/>
      <c r="KA510" s="131"/>
      <c r="KB510" s="131"/>
      <c r="KC510" s="131"/>
      <c r="KD510" s="131"/>
      <c r="KE510" s="131"/>
      <c r="KF510" s="131"/>
      <c r="KG510" s="131"/>
      <c r="KH510" s="131"/>
      <c r="KI510" s="131"/>
      <c r="KJ510" s="131"/>
      <c r="KK510" s="131"/>
      <c r="KL510" s="131"/>
      <c r="KM510" s="131"/>
      <c r="KN510" s="131"/>
      <c r="KO510" s="131"/>
      <c r="KP510" s="131"/>
      <c r="KQ510" s="131"/>
      <c r="KR510" s="131"/>
      <c r="KS510" s="131"/>
      <c r="KT510" s="131"/>
      <c r="KU510" s="131"/>
      <c r="KV510" s="131"/>
      <c r="KW510" s="131"/>
      <c r="KX510" s="131"/>
      <c r="KY510" s="131"/>
      <c r="KZ510" s="131"/>
      <c r="LA510" s="131"/>
      <c r="LB510" s="131"/>
      <c r="LC510" s="131"/>
      <c r="LD510" s="131"/>
      <c r="LE510" s="131"/>
      <c r="LF510" s="131"/>
      <c r="LG510" s="131"/>
      <c r="LH510" s="131"/>
      <c r="LI510" s="131"/>
      <c r="LJ510" s="131"/>
      <c r="LK510" s="131"/>
      <c r="LL510" s="131"/>
      <c r="LM510" s="131"/>
      <c r="LN510" s="131"/>
      <c r="LO510" s="131"/>
      <c r="LP510" s="131"/>
      <c r="LQ510" s="131"/>
      <c r="LR510" s="131"/>
      <c r="LS510" s="131"/>
      <c r="LT510" s="131"/>
      <c r="LU510" s="131"/>
      <c r="LV510" s="131"/>
      <c r="LW510" s="131"/>
      <c r="LX510" s="131"/>
      <c r="LY510" s="131"/>
      <c r="LZ510" s="131"/>
      <c r="MA510" s="131"/>
      <c r="MB510" s="131"/>
      <c r="MC510" s="131"/>
      <c r="MD510" s="131"/>
      <c r="ME510" s="131"/>
      <c r="MF510" s="131"/>
      <c r="MG510" s="131"/>
      <c r="MH510" s="131"/>
      <c r="MI510" s="131"/>
      <c r="MJ510" s="131"/>
      <c r="MK510" s="131"/>
      <c r="ML510" s="131"/>
      <c r="MM510" s="131"/>
      <c r="MN510" s="131"/>
      <c r="MO510" s="131"/>
      <c r="MP510" s="131"/>
      <c r="MQ510" s="131"/>
      <c r="MR510" s="131"/>
      <c r="MS510" s="131"/>
      <c r="MT510" s="131"/>
      <c r="MU510" s="131"/>
      <c r="MV510" s="131"/>
      <c r="MW510" s="131"/>
      <c r="MX510" s="131"/>
      <c r="MY510" s="131"/>
      <c r="MZ510" s="131"/>
      <c r="NA510" s="131"/>
      <c r="NB510" s="131"/>
      <c r="NC510" s="131"/>
      <c r="ND510" s="131"/>
      <c r="NE510" s="131"/>
      <c r="NF510" s="131"/>
      <c r="NG510" s="131"/>
      <c r="NH510" s="131"/>
      <c r="NI510" s="131"/>
      <c r="NJ510" s="131"/>
      <c r="NK510" s="131"/>
      <c r="NL510" s="131"/>
      <c r="NM510" s="131"/>
      <c r="NN510" s="131"/>
      <c r="NO510" s="131"/>
      <c r="NP510" s="131"/>
      <c r="NQ510" s="131"/>
      <c r="NR510" s="131"/>
      <c r="NS510" s="131"/>
      <c r="NT510" s="131"/>
      <c r="NU510" s="131"/>
      <c r="NV510" s="131"/>
      <c r="NW510" s="131"/>
      <c r="NX510" s="131"/>
      <c r="NY510" s="131"/>
      <c r="NZ510" s="131"/>
      <c r="OA510" s="131"/>
      <c r="OB510" s="131"/>
      <c r="OC510" s="131"/>
      <c r="OD510" s="131"/>
      <c r="OE510" s="131"/>
      <c r="OF510" s="131"/>
      <c r="OG510" s="131"/>
      <c r="OH510" s="131"/>
      <c r="OI510" s="131"/>
      <c r="OJ510" s="131"/>
      <c r="OK510" s="131"/>
      <c r="OL510" s="131"/>
      <c r="OM510" s="131"/>
      <c r="ON510" s="131"/>
      <c r="OO510" s="131"/>
      <c r="OP510" s="131"/>
      <c r="OQ510" s="131"/>
      <c r="OR510" s="131"/>
      <c r="OS510" s="131"/>
      <c r="OT510" s="131"/>
      <c r="OU510" s="131"/>
      <c r="OV510" s="131"/>
      <c r="OW510" s="131"/>
      <c r="OX510" s="131"/>
      <c r="OY510" s="131"/>
      <c r="OZ510" s="131"/>
      <c r="PA510" s="131"/>
      <c r="PB510" s="131"/>
      <c r="PC510" s="131"/>
      <c r="PD510" s="131"/>
      <c r="PE510" s="131"/>
      <c r="PF510" s="131"/>
      <c r="PG510" s="131"/>
      <c r="PH510" s="131"/>
      <c r="PI510" s="131"/>
      <c r="PJ510" s="131"/>
      <c r="PK510" s="131"/>
      <c r="PL510" s="131"/>
      <c r="PM510" s="131"/>
      <c r="PN510" s="131"/>
      <c r="PO510" s="131"/>
      <c r="PP510" s="131"/>
      <c r="PQ510" s="131"/>
      <c r="PR510" s="131"/>
      <c r="PS510" s="131"/>
      <c r="PT510" s="131"/>
      <c r="PU510" s="131"/>
      <c r="PV510" s="131"/>
      <c r="PW510" s="131"/>
      <c r="PX510" s="131"/>
      <c r="PY510" s="131"/>
      <c r="PZ510" s="131"/>
      <c r="QA510" s="131"/>
      <c r="QB510" s="131"/>
      <c r="QC510" s="131"/>
      <c r="QD510" s="131"/>
      <c r="QE510" s="131"/>
      <c r="QF510" s="131"/>
      <c r="QG510" s="131"/>
      <c r="QH510" s="131"/>
      <c r="QI510" s="131"/>
      <c r="QJ510" s="131"/>
      <c r="QK510" s="131"/>
      <c r="QL510" s="131"/>
      <c r="QM510" s="131"/>
      <c r="QN510" s="131"/>
      <c r="QO510" s="131"/>
      <c r="QP510" s="131"/>
      <c r="QQ510" s="131"/>
      <c r="QR510" s="131"/>
      <c r="QS510" s="131"/>
      <c r="QT510" s="131"/>
      <c r="QU510" s="131"/>
      <c r="QV510" s="131"/>
      <c r="QW510" s="131"/>
      <c r="QX510" s="131"/>
      <c r="QY510" s="131"/>
      <c r="QZ510" s="131"/>
      <c r="RA510" s="131"/>
      <c r="RB510" s="131"/>
      <c r="RC510" s="131"/>
      <c r="RD510" s="131"/>
      <c r="RE510" s="131"/>
      <c r="RF510" s="131"/>
      <c r="RG510" s="131"/>
      <c r="RH510" s="131"/>
      <c r="RI510" s="131"/>
      <c r="RJ510" s="131"/>
      <c r="RK510" s="131"/>
      <c r="RL510" s="131"/>
      <c r="RM510" s="131"/>
      <c r="RN510" s="131"/>
      <c r="RO510" s="131"/>
      <c r="RP510" s="131"/>
      <c r="RQ510" s="131"/>
      <c r="RR510" s="131"/>
      <c r="RS510" s="131"/>
      <c r="RT510" s="131"/>
      <c r="RU510" s="131"/>
      <c r="RV510" s="131"/>
      <c r="RW510" s="131"/>
      <c r="RX510" s="131"/>
      <c r="RY510" s="131"/>
      <c r="RZ510" s="131"/>
      <c r="SA510" s="131"/>
      <c r="SB510" s="131"/>
      <c r="SC510" s="131"/>
      <c r="SD510" s="131"/>
      <c r="SE510" s="131"/>
      <c r="SF510" s="131"/>
      <c r="SG510" s="131"/>
      <c r="SH510" s="131"/>
      <c r="SI510" s="131"/>
      <c r="SJ510" s="131"/>
      <c r="SK510" s="131"/>
      <c r="SL510" s="131"/>
      <c r="SM510" s="131"/>
      <c r="SN510" s="131"/>
      <c r="SO510" s="131"/>
      <c r="SP510" s="131"/>
      <c r="SQ510" s="131"/>
      <c r="SR510" s="131"/>
      <c r="SS510" s="131"/>
      <c r="ST510" s="131"/>
      <c r="SU510" s="131"/>
      <c r="SV510" s="131"/>
      <c r="SW510" s="131"/>
      <c r="SX510" s="131"/>
      <c r="SY510" s="131"/>
      <c r="SZ510" s="131"/>
      <c r="TA510" s="131"/>
      <c r="TB510" s="131"/>
      <c r="TC510" s="131"/>
      <c r="TD510" s="131"/>
      <c r="TE510" s="131"/>
      <c r="TF510" s="131"/>
      <c r="TG510" s="131"/>
      <c r="TH510" s="131"/>
      <c r="TI510" s="131"/>
      <c r="TJ510" s="131"/>
      <c r="TK510" s="131"/>
      <c r="TL510" s="131"/>
      <c r="TM510" s="131"/>
      <c r="TN510" s="131"/>
      <c r="TO510" s="131"/>
      <c r="TP510" s="131"/>
      <c r="TQ510" s="131"/>
      <c r="TR510" s="131"/>
      <c r="TS510" s="131"/>
      <c r="TT510" s="131"/>
      <c r="TU510" s="131"/>
      <c r="TV510" s="131"/>
      <c r="TW510" s="131"/>
      <c r="TX510" s="131"/>
      <c r="TY510" s="131"/>
      <c r="TZ510" s="131"/>
      <c r="UA510" s="131"/>
      <c r="UB510" s="131"/>
      <c r="UC510" s="131"/>
      <c r="UD510" s="131"/>
      <c r="UE510" s="131"/>
      <c r="UF510" s="131"/>
      <c r="UG510" s="131"/>
      <c r="UH510" s="131"/>
      <c r="UI510" s="131"/>
      <c r="UJ510" s="131"/>
      <c r="UK510" s="131"/>
      <c r="UL510" s="131"/>
      <c r="UM510" s="131"/>
      <c r="UN510" s="131"/>
      <c r="UO510" s="131"/>
      <c r="UP510" s="131"/>
      <c r="UQ510" s="131"/>
      <c r="UR510" s="131"/>
      <c r="US510" s="131"/>
      <c r="UT510" s="131"/>
      <c r="UU510" s="131"/>
      <c r="UV510" s="131"/>
      <c r="UW510" s="131"/>
      <c r="UX510" s="131"/>
      <c r="UY510" s="131"/>
      <c r="UZ510" s="131"/>
      <c r="VA510" s="131"/>
      <c r="VB510" s="131"/>
      <c r="VC510" s="131"/>
      <c r="VD510" s="131"/>
      <c r="VE510" s="131"/>
      <c r="VF510" s="131"/>
      <c r="VG510" s="131"/>
      <c r="VH510" s="131"/>
      <c r="VI510" s="131"/>
      <c r="VJ510" s="131"/>
      <c r="VK510" s="131"/>
      <c r="VL510" s="131"/>
      <c r="VM510" s="131"/>
      <c r="VN510" s="131"/>
      <c r="VO510" s="131"/>
      <c r="VP510" s="131"/>
      <c r="VQ510" s="131"/>
      <c r="VR510" s="131"/>
      <c r="VS510" s="131"/>
      <c r="VT510" s="131"/>
      <c r="VU510" s="131"/>
      <c r="VV510" s="131"/>
      <c r="VW510" s="131"/>
      <c r="VX510" s="131"/>
      <c r="VY510" s="131"/>
      <c r="VZ510" s="131"/>
      <c r="WA510" s="131"/>
      <c r="WB510" s="131"/>
      <c r="WC510" s="131"/>
      <c r="WD510" s="131"/>
      <c r="WE510" s="131"/>
      <c r="WF510" s="131"/>
      <c r="WG510" s="131"/>
      <c r="WH510" s="131"/>
      <c r="WI510" s="131"/>
      <c r="WJ510" s="131"/>
      <c r="WK510" s="131"/>
      <c r="WL510" s="131"/>
      <c r="WM510" s="131"/>
      <c r="WN510" s="131"/>
      <c r="WO510" s="131"/>
      <c r="WP510" s="131"/>
      <c r="WQ510" s="131"/>
      <c r="WR510" s="131"/>
      <c r="WS510" s="131"/>
      <c r="WT510" s="131"/>
      <c r="WU510" s="131"/>
      <c r="WV510" s="131"/>
      <c r="WW510" s="131"/>
      <c r="WX510" s="131"/>
      <c r="WY510" s="131"/>
      <c r="WZ510" s="131"/>
      <c r="XA510" s="131"/>
      <c r="XB510" s="131"/>
      <c r="XC510" s="131"/>
      <c r="XD510" s="131"/>
      <c r="XE510" s="131"/>
      <c r="XF510" s="131"/>
      <c r="XG510" s="131"/>
      <c r="XH510" s="131"/>
      <c r="XI510" s="131"/>
      <c r="XJ510" s="131"/>
      <c r="XK510" s="131"/>
      <c r="XL510" s="131"/>
      <c r="XM510" s="131"/>
      <c r="XN510" s="131"/>
      <c r="XO510" s="131"/>
      <c r="XP510" s="131"/>
      <c r="XQ510" s="131"/>
      <c r="XR510" s="131"/>
      <c r="XS510" s="131"/>
      <c r="XT510" s="131"/>
      <c r="XU510" s="131"/>
      <c r="XV510" s="131"/>
      <c r="XW510" s="131"/>
      <c r="XX510" s="131"/>
      <c r="XY510" s="131"/>
      <c r="XZ510" s="131"/>
      <c r="YA510" s="131"/>
      <c r="YB510" s="131"/>
      <c r="YC510" s="131"/>
      <c r="YD510" s="131"/>
      <c r="YE510" s="131"/>
      <c r="YF510" s="131"/>
      <c r="YG510" s="131"/>
      <c r="YH510" s="131"/>
      <c r="YI510" s="131"/>
      <c r="YJ510" s="131"/>
      <c r="YK510" s="131"/>
      <c r="YL510" s="131"/>
      <c r="YM510" s="131"/>
      <c r="YN510" s="131"/>
      <c r="YO510" s="131"/>
      <c r="YP510" s="131"/>
      <c r="YQ510" s="131"/>
      <c r="YR510" s="131"/>
      <c r="YS510" s="131"/>
      <c r="YT510" s="131"/>
      <c r="YU510" s="131"/>
      <c r="YV510" s="131"/>
      <c r="YW510" s="131"/>
      <c r="YX510" s="131"/>
      <c r="YY510" s="131"/>
      <c r="YZ510" s="131"/>
      <c r="ZA510" s="131"/>
      <c r="ZB510" s="131"/>
      <c r="ZC510" s="131"/>
      <c r="ZD510" s="131"/>
      <c r="ZE510" s="131"/>
      <c r="ZF510" s="131"/>
      <c r="ZG510" s="131"/>
      <c r="ZH510" s="131"/>
      <c r="ZI510" s="131"/>
      <c r="ZJ510" s="131"/>
      <c r="ZK510" s="131"/>
      <c r="ZL510" s="131"/>
      <c r="ZM510" s="131"/>
      <c r="ZN510" s="131"/>
      <c r="ZO510" s="131"/>
      <c r="ZP510" s="131"/>
      <c r="ZQ510" s="131"/>
      <c r="ZR510" s="131"/>
      <c r="ZS510" s="131"/>
      <c r="ZT510" s="131"/>
      <c r="ZU510" s="131"/>
      <c r="ZV510" s="131"/>
      <c r="ZW510" s="131"/>
      <c r="ZX510" s="131"/>
      <c r="ZY510" s="131"/>
      <c r="ZZ510" s="131"/>
      <c r="AAA510" s="131"/>
      <c r="AAB510" s="131"/>
      <c r="AAC510" s="131"/>
      <c r="AAD510" s="131"/>
      <c r="AAE510" s="131"/>
      <c r="AAF510" s="131"/>
      <c r="AAG510" s="131"/>
      <c r="AAH510" s="131"/>
      <c r="AAI510" s="131"/>
      <c r="AAJ510" s="131"/>
      <c r="AAK510" s="131"/>
      <c r="AAL510" s="131"/>
      <c r="AAM510" s="131"/>
      <c r="AAN510" s="131"/>
      <c r="AAO510" s="131"/>
      <c r="AAP510" s="131"/>
      <c r="AAQ510" s="131"/>
      <c r="AAR510" s="131"/>
      <c r="AAS510" s="131"/>
      <c r="AAT510" s="131"/>
      <c r="AAU510" s="131"/>
      <c r="AAV510" s="131"/>
      <c r="AAW510" s="131"/>
      <c r="AAX510" s="131"/>
      <c r="AAY510" s="131"/>
      <c r="AAZ510" s="131"/>
      <c r="ABA510" s="131"/>
      <c r="ABB510" s="131"/>
      <c r="ABC510" s="131"/>
      <c r="ABD510" s="131"/>
      <c r="ABE510" s="131"/>
      <c r="ABF510" s="131"/>
      <c r="ABG510" s="131"/>
      <c r="ABH510" s="131"/>
      <c r="ABI510" s="131"/>
      <c r="ABJ510" s="131"/>
      <c r="ABK510" s="131"/>
      <c r="ABL510" s="131"/>
      <c r="ABM510" s="131"/>
      <c r="ABN510" s="131"/>
      <c r="ABO510" s="131"/>
      <c r="ABP510" s="131"/>
      <c r="ABQ510" s="131"/>
      <c r="ABR510" s="131"/>
      <c r="ABS510" s="131"/>
      <c r="ABT510" s="131"/>
      <c r="ABU510" s="131"/>
      <c r="ABV510" s="131"/>
      <c r="ABW510" s="131"/>
      <c r="ABX510" s="131"/>
      <c r="ABY510" s="131"/>
      <c r="ABZ510" s="131"/>
      <c r="ACA510" s="131"/>
      <c r="ACB510" s="131"/>
      <c r="ACC510" s="131"/>
      <c r="ACD510" s="131"/>
      <c r="ACE510" s="131"/>
      <c r="ACF510" s="131"/>
      <c r="ACG510" s="131"/>
      <c r="ACH510" s="131"/>
      <c r="ACI510" s="131"/>
      <c r="ACJ510" s="131"/>
      <c r="ACK510" s="131"/>
      <c r="ACL510" s="131"/>
      <c r="ACM510" s="131"/>
      <c r="ACN510" s="131"/>
      <c r="ACO510" s="131"/>
      <c r="ACP510" s="131"/>
      <c r="ACQ510" s="131"/>
      <c r="ACR510" s="131"/>
      <c r="ACS510" s="131"/>
      <c r="ACT510" s="131"/>
      <c r="ACU510" s="131"/>
      <c r="ACV510" s="131"/>
      <c r="ACW510" s="131"/>
      <c r="ACX510" s="131"/>
      <c r="ACY510" s="131"/>
      <c r="ACZ510" s="131"/>
      <c r="ADA510" s="131"/>
      <c r="ADB510" s="131"/>
      <c r="ADC510" s="131"/>
      <c r="ADD510" s="131"/>
      <c r="ADE510" s="131"/>
      <c r="ADF510" s="131"/>
      <c r="ADG510" s="131"/>
      <c r="ADH510" s="131"/>
      <c r="ADI510" s="131"/>
      <c r="ADJ510" s="131"/>
      <c r="ADK510" s="131"/>
      <c r="ADL510" s="131"/>
      <c r="ADM510" s="131"/>
      <c r="ADN510" s="131"/>
      <c r="ADO510" s="131"/>
      <c r="ADP510" s="131"/>
      <c r="ADQ510" s="131"/>
      <c r="ADR510" s="131"/>
      <c r="ADS510" s="131"/>
      <c r="ADT510" s="131"/>
      <c r="ADU510" s="131"/>
      <c r="ADV510" s="131"/>
      <c r="ADW510" s="131"/>
      <c r="ADX510" s="131"/>
      <c r="ADY510" s="131"/>
      <c r="ADZ510" s="131"/>
      <c r="AEA510" s="131"/>
      <c r="AEB510" s="131"/>
      <c r="AEC510" s="131"/>
      <c r="AED510" s="131"/>
      <c r="AEE510" s="131"/>
      <c r="AEF510" s="131"/>
      <c r="AEG510" s="131"/>
      <c r="AEH510" s="131"/>
      <c r="AEI510" s="131"/>
      <c r="AEJ510" s="131"/>
      <c r="AEK510" s="131"/>
      <c r="AEL510" s="131"/>
      <c r="AEM510" s="131"/>
      <c r="AEN510" s="131"/>
      <c r="AEO510" s="131"/>
      <c r="AEP510" s="131"/>
      <c r="AEQ510" s="131"/>
      <c r="AER510" s="131"/>
      <c r="AES510" s="131"/>
      <c r="AET510" s="131"/>
      <c r="AEU510" s="131"/>
      <c r="AEV510" s="131"/>
      <c r="AEW510" s="131"/>
      <c r="AEX510" s="131"/>
      <c r="AEY510" s="131"/>
      <c r="AEZ510" s="131"/>
      <c r="AFA510" s="131"/>
      <c r="AFB510" s="131"/>
      <c r="AFC510" s="131"/>
      <c r="AFD510" s="131"/>
      <c r="AFE510" s="131"/>
      <c r="AFF510" s="131"/>
      <c r="AFG510" s="131"/>
      <c r="AFH510" s="131"/>
      <c r="AFI510" s="131"/>
      <c r="AFJ510" s="131"/>
      <c r="AFK510" s="131"/>
      <c r="AFL510" s="131"/>
      <c r="AFM510" s="131"/>
      <c r="AFN510" s="131"/>
      <c r="AFO510" s="131"/>
      <c r="AFP510" s="131"/>
      <c r="AFQ510" s="131"/>
      <c r="AFR510" s="131"/>
      <c r="AFS510" s="131"/>
      <c r="AFT510" s="131"/>
      <c r="AFU510" s="131"/>
      <c r="AFV510" s="131"/>
      <c r="AFW510" s="131"/>
      <c r="AFX510" s="131"/>
      <c r="AFY510" s="131"/>
      <c r="AFZ510" s="131"/>
      <c r="AGA510" s="131"/>
      <c r="AGB510" s="131"/>
      <c r="AGC510" s="131"/>
      <c r="AGD510" s="131"/>
      <c r="AGE510" s="131"/>
      <c r="AGF510" s="131"/>
      <c r="AGG510" s="131"/>
      <c r="AGH510" s="131"/>
      <c r="AGI510" s="131"/>
      <c r="AGJ510" s="131"/>
      <c r="AGK510" s="131"/>
      <c r="AGL510" s="131"/>
      <c r="AGM510" s="131"/>
      <c r="AGN510" s="131"/>
      <c r="AGO510" s="131"/>
      <c r="AGP510" s="131"/>
      <c r="AGQ510" s="131"/>
      <c r="AGR510" s="131"/>
      <c r="AGS510" s="131"/>
      <c r="AGT510" s="131"/>
      <c r="AGU510" s="131"/>
      <c r="AGV510" s="131"/>
      <c r="AGW510" s="131"/>
      <c r="AGX510" s="131"/>
      <c r="AGY510" s="131"/>
      <c r="AGZ510" s="131"/>
      <c r="AHA510" s="131"/>
      <c r="AHB510" s="131"/>
      <c r="AHC510" s="131"/>
      <c r="AHD510" s="131"/>
      <c r="AHE510" s="131"/>
      <c r="AHF510" s="131"/>
      <c r="AHG510" s="131"/>
      <c r="AHH510" s="131"/>
      <c r="AHI510" s="131"/>
      <c r="AHJ510" s="131"/>
      <c r="AHK510" s="131"/>
      <c r="AHL510" s="131"/>
      <c r="AHM510" s="131"/>
      <c r="AHN510" s="131"/>
      <c r="AHO510" s="131"/>
      <c r="AHP510" s="131"/>
      <c r="AHQ510" s="131"/>
      <c r="AHR510" s="131"/>
      <c r="AHS510" s="131"/>
      <c r="AHT510" s="131"/>
      <c r="AHU510" s="131"/>
      <c r="AHV510" s="131"/>
      <c r="AHW510" s="131"/>
      <c r="AHX510" s="131"/>
      <c r="AHY510" s="131"/>
      <c r="AHZ510" s="131"/>
      <c r="AIA510" s="131"/>
      <c r="AIB510" s="131"/>
      <c r="AIC510" s="131"/>
      <c r="AID510" s="131"/>
      <c r="AIE510" s="131"/>
      <c r="AIF510" s="131"/>
      <c r="AIG510" s="131"/>
      <c r="AIH510" s="131"/>
      <c r="AII510" s="131"/>
      <c r="AIJ510" s="131"/>
      <c r="AIK510" s="131"/>
      <c r="AIL510" s="131"/>
      <c r="AIM510" s="131"/>
      <c r="AIN510" s="131"/>
      <c r="AIO510" s="131"/>
      <c r="AIP510" s="131"/>
      <c r="AIQ510" s="131"/>
      <c r="AIR510" s="131"/>
      <c r="AIS510" s="131"/>
      <c r="AIT510" s="131"/>
      <c r="AIU510" s="131"/>
      <c r="AIV510" s="131"/>
      <c r="AIW510" s="131"/>
      <c r="AIX510" s="131"/>
      <c r="AIY510" s="131"/>
      <c r="AIZ510" s="131"/>
      <c r="AJA510" s="131"/>
      <c r="AJB510" s="131"/>
      <c r="AJC510" s="131"/>
      <c r="AJD510" s="131"/>
      <c r="AJE510" s="131"/>
      <c r="AJF510" s="131"/>
      <c r="AJG510" s="131"/>
      <c r="AJH510" s="131"/>
      <c r="AJI510" s="131"/>
      <c r="AJJ510" s="131"/>
      <c r="AJK510" s="131"/>
      <c r="AJL510" s="131"/>
      <c r="AJM510" s="131"/>
      <c r="AJN510" s="131"/>
      <c r="AJO510" s="131"/>
      <c r="AJP510" s="131"/>
      <c r="AJQ510" s="131"/>
      <c r="AJR510" s="131"/>
      <c r="AJS510" s="131"/>
      <c r="AJT510" s="131"/>
      <c r="AJU510" s="131"/>
      <c r="AJV510" s="131"/>
      <c r="AJW510" s="131"/>
      <c r="AJX510" s="131"/>
      <c r="AJY510" s="131"/>
      <c r="AJZ510" s="131"/>
      <c r="AKA510" s="131"/>
      <c r="AKB510" s="131"/>
      <c r="AKC510" s="131"/>
      <c r="AKD510" s="131"/>
      <c r="AKE510" s="131"/>
      <c r="AKF510" s="131"/>
      <c r="AKG510" s="131"/>
      <c r="AKH510" s="131"/>
      <c r="AKI510" s="131"/>
      <c r="AKJ510" s="131"/>
      <c r="AKK510" s="131"/>
      <c r="AKL510" s="131"/>
      <c r="AKM510" s="131"/>
      <c r="AKN510" s="131"/>
      <c r="AKO510" s="131"/>
      <c r="AKP510" s="131"/>
      <c r="AKQ510" s="131"/>
      <c r="AKR510" s="131"/>
      <c r="AKS510" s="131"/>
      <c r="AKT510" s="131"/>
      <c r="AKU510" s="131"/>
      <c r="AKV510" s="131"/>
      <c r="AKW510" s="131"/>
      <c r="AKX510" s="131"/>
      <c r="AKY510" s="131"/>
      <c r="AKZ510" s="131"/>
      <c r="ALA510" s="131"/>
      <c r="ALB510" s="131"/>
      <c r="ALC510" s="131"/>
      <c r="ALD510" s="131"/>
      <c r="ALE510" s="131"/>
      <c r="ALF510" s="131"/>
      <c r="ALG510" s="131"/>
      <c r="ALH510" s="131"/>
      <c r="ALI510" s="131"/>
      <c r="ALJ510" s="131"/>
      <c r="ALK510" s="131"/>
      <c r="ALL510" s="131"/>
      <c r="ALM510" s="131"/>
      <c r="ALN510" s="131"/>
      <c r="ALO510" s="131"/>
      <c r="ALP510" s="131"/>
      <c r="ALQ510" s="131"/>
      <c r="ALR510" s="131"/>
      <c r="ALS510" s="131"/>
      <c r="ALT510" s="131"/>
      <c r="ALU510" s="131"/>
      <c r="ALV510" s="131"/>
      <c r="ALW510" s="131"/>
      <c r="ALX510" s="131"/>
      <c r="ALY510" s="131"/>
      <c r="ALZ510" s="131"/>
      <c r="AMA510" s="131"/>
      <c r="AMB510" s="131"/>
      <c r="AMC510" s="131"/>
      <c r="AMD510" s="131"/>
      <c r="AME510" s="131"/>
      <c r="AMF510" s="131"/>
      <c r="AMG510" s="131"/>
      <c r="AMH510" s="131"/>
      <c r="AMI510" s="131"/>
      <c r="AMJ510" s="131"/>
      <c r="AMK510" s="131"/>
      <c r="AML510" s="131"/>
      <c r="AMM510" s="131"/>
      <c r="AMN510" s="131"/>
      <c r="AMO510" s="131"/>
      <c r="AMP510" s="131"/>
      <c r="AMQ510" s="131"/>
      <c r="AMR510" s="131"/>
      <c r="AMS510" s="131"/>
      <c r="AMT510" s="131"/>
      <c r="AMU510" s="131"/>
      <c r="AMV510" s="131"/>
      <c r="AMW510" s="131"/>
      <c r="AMX510" s="131"/>
      <c r="AMY510" s="131"/>
      <c r="AMZ510" s="131"/>
      <c r="ANA510" s="131"/>
      <c r="ANB510" s="131"/>
      <c r="ANC510" s="131"/>
      <c r="AND510" s="131"/>
      <c r="ANE510" s="131"/>
      <c r="ANF510" s="131"/>
      <c r="ANG510" s="131"/>
      <c r="ANH510" s="131"/>
      <c r="ANI510" s="131"/>
      <c r="ANJ510" s="131"/>
      <c r="ANK510" s="131"/>
      <c r="ANL510" s="131"/>
      <c r="ANM510" s="131"/>
      <c r="ANN510" s="131"/>
      <c r="ANO510" s="131"/>
      <c r="ANP510" s="131"/>
      <c r="ANQ510" s="131"/>
      <c r="ANR510" s="131"/>
      <c r="ANS510" s="131"/>
      <c r="ANT510" s="131"/>
      <c r="ANU510" s="131"/>
      <c r="ANV510" s="131"/>
      <c r="ANW510" s="131"/>
      <c r="ANX510" s="131"/>
      <c r="ANY510" s="131"/>
      <c r="ANZ510" s="131"/>
      <c r="AOA510" s="131"/>
      <c r="AOB510" s="131"/>
      <c r="AOC510" s="131"/>
      <c r="AOD510" s="131"/>
      <c r="AOE510" s="131"/>
      <c r="AOF510" s="131"/>
      <c r="AOG510" s="131"/>
      <c r="AOH510" s="131"/>
      <c r="AOI510" s="131"/>
      <c r="AOJ510" s="131"/>
      <c r="AOK510" s="131"/>
      <c r="AOL510" s="131"/>
      <c r="AOM510" s="131"/>
      <c r="AON510" s="131"/>
      <c r="AOO510" s="131"/>
      <c r="AOP510" s="131"/>
      <c r="AOQ510" s="131"/>
      <c r="AOR510" s="131"/>
      <c r="AOS510" s="131"/>
      <c r="AOT510" s="131"/>
      <c r="AOU510" s="131"/>
      <c r="AOV510" s="131"/>
      <c r="AOW510" s="131"/>
      <c r="AOX510" s="131"/>
      <c r="AOY510" s="131"/>
      <c r="AOZ510" s="131"/>
      <c r="APA510" s="131"/>
      <c r="APB510" s="131"/>
      <c r="APC510" s="131"/>
      <c r="APD510" s="131"/>
      <c r="APE510" s="131"/>
      <c r="APF510" s="131"/>
      <c r="APG510" s="131"/>
      <c r="APH510" s="131"/>
      <c r="API510" s="131"/>
      <c r="APJ510" s="131"/>
      <c r="APK510" s="131"/>
      <c r="APL510" s="131"/>
      <c r="APM510" s="131"/>
      <c r="APN510" s="131"/>
      <c r="APO510" s="131"/>
      <c r="APP510" s="131"/>
      <c r="APQ510" s="131"/>
      <c r="APR510" s="131"/>
      <c r="APS510" s="131"/>
      <c r="APT510" s="131"/>
      <c r="APU510" s="131"/>
      <c r="APV510" s="131"/>
      <c r="APW510" s="131"/>
      <c r="APX510" s="131"/>
      <c r="APY510" s="131"/>
      <c r="APZ510" s="131"/>
      <c r="AQA510" s="131"/>
      <c r="AQB510" s="131"/>
      <c r="AQC510" s="131"/>
      <c r="AQD510" s="131"/>
      <c r="AQE510" s="131"/>
      <c r="AQF510" s="131"/>
      <c r="AQG510" s="131"/>
      <c r="AQH510" s="131"/>
      <c r="AQI510" s="131"/>
      <c r="AQJ510" s="131"/>
      <c r="AQK510" s="131"/>
      <c r="AQL510" s="131"/>
      <c r="AQM510" s="131"/>
      <c r="AQN510" s="131"/>
      <c r="AQO510" s="131"/>
      <c r="AQP510" s="131"/>
      <c r="AQQ510" s="131"/>
      <c r="AQR510" s="131"/>
      <c r="AQS510" s="131"/>
      <c r="AQT510" s="131"/>
      <c r="AQU510" s="131"/>
      <c r="AQV510" s="131"/>
      <c r="AQW510" s="131"/>
      <c r="AQX510" s="131"/>
      <c r="AQY510" s="131"/>
      <c r="AQZ510" s="131"/>
      <c r="ARA510" s="131"/>
      <c r="ARB510" s="131"/>
      <c r="ARC510" s="131"/>
      <c r="ARD510" s="131"/>
      <c r="ARE510" s="131"/>
      <c r="ARF510" s="131"/>
      <c r="ARG510" s="131"/>
      <c r="ARH510" s="131"/>
      <c r="ARI510" s="131"/>
      <c r="ARJ510" s="131"/>
      <c r="ARK510" s="131"/>
      <c r="ARL510" s="131"/>
      <c r="ARM510" s="131"/>
      <c r="ARN510" s="131"/>
      <c r="ARO510" s="131"/>
      <c r="ARP510" s="131"/>
      <c r="ARQ510" s="131"/>
      <c r="ARR510" s="131"/>
      <c r="ARS510" s="131"/>
      <c r="ART510" s="131"/>
      <c r="ARU510" s="131"/>
      <c r="ARV510" s="131"/>
      <c r="ARW510" s="131"/>
      <c r="ARX510" s="131"/>
      <c r="ARY510" s="131"/>
      <c r="ARZ510" s="131"/>
      <c r="ASA510" s="131"/>
      <c r="ASB510" s="131"/>
      <c r="ASC510" s="131"/>
      <c r="ASD510" s="131"/>
      <c r="ASE510" s="131"/>
      <c r="ASF510" s="131"/>
      <c r="ASG510" s="131"/>
      <c r="ASH510" s="131"/>
      <c r="ASI510" s="131"/>
      <c r="ASJ510" s="131"/>
      <c r="ASK510" s="131"/>
      <c r="ASL510" s="131"/>
      <c r="ASM510" s="131"/>
      <c r="ASN510" s="131"/>
      <c r="ASO510" s="131"/>
      <c r="ASP510" s="131"/>
      <c r="ASQ510" s="131"/>
      <c r="ASR510" s="131"/>
      <c r="ASS510" s="131"/>
      <c r="AST510" s="131"/>
      <c r="ASU510" s="131"/>
      <c r="ASV510" s="131"/>
      <c r="ASW510" s="131"/>
      <c r="ASX510" s="131"/>
      <c r="ASY510" s="131"/>
      <c r="ASZ510" s="131"/>
      <c r="ATA510" s="131"/>
      <c r="ATB510" s="131"/>
      <c r="ATC510" s="131"/>
    </row>
    <row r="511" spans="1:1199" ht="50.1" customHeight="1" outlineLevel="2" x14ac:dyDescent="0.3">
      <c r="A511" s="103" t="s">
        <v>481</v>
      </c>
      <c r="B511" s="102" t="s">
        <v>482</v>
      </c>
      <c r="C511" s="121" t="s">
        <v>37</v>
      </c>
      <c r="D511" s="81">
        <f t="shared" ref="D511" si="116">E511+F511</f>
        <v>2994.3628100000001</v>
      </c>
      <c r="E511" s="82">
        <f t="shared" si="112"/>
        <v>2994.3628100000001</v>
      </c>
      <c r="F511" s="83">
        <f t="shared" si="105"/>
        <v>0</v>
      </c>
      <c r="G511" s="84"/>
      <c r="H511" s="85"/>
      <c r="I511" s="85"/>
      <c r="J511" s="84"/>
      <c r="K511" s="85"/>
      <c r="L511" s="85"/>
      <c r="M511" s="85"/>
      <c r="N511" s="85"/>
      <c r="O511" s="82"/>
      <c r="P511" s="83"/>
      <c r="Q511" s="83"/>
      <c r="R511" s="83"/>
      <c r="S511" s="82"/>
      <c r="T511" s="83"/>
      <c r="U511" s="83"/>
      <c r="V511" s="84"/>
      <c r="W511" s="85"/>
      <c r="X511" s="87"/>
      <c r="Y511" s="83"/>
      <c r="Z511" s="84"/>
      <c r="AA511" s="85"/>
      <c r="AB511" s="84"/>
      <c r="AC511" s="85"/>
      <c r="AD511" s="89">
        <f t="shared" si="111"/>
        <v>0</v>
      </c>
      <c r="AE511" s="89"/>
      <c r="AF511" s="186"/>
      <c r="AG511" s="85"/>
      <c r="AH511" s="85"/>
      <c r="AI511" s="85"/>
      <c r="AJ511" s="84"/>
      <c r="AK511" s="85"/>
      <c r="AL511" s="84"/>
      <c r="AM511" s="88"/>
      <c r="AN511" s="84"/>
      <c r="AO511" s="85"/>
      <c r="AP511" s="84"/>
      <c r="AQ511" s="83"/>
      <c r="AR511" s="83"/>
      <c r="AS511" s="83"/>
      <c r="AT511" s="85"/>
      <c r="AU511" s="85"/>
      <c r="AV511" s="85"/>
      <c r="AW511" s="88"/>
      <c r="AX511" s="84"/>
      <c r="AY511" s="85"/>
      <c r="AZ511" s="84"/>
      <c r="BA511" s="85"/>
      <c r="BB511" s="88"/>
      <c r="BC511" s="85"/>
      <c r="BD511" s="84"/>
      <c r="BE511" s="88"/>
      <c r="BF511" s="85"/>
      <c r="BG511" s="85"/>
      <c r="BH511" s="85"/>
      <c r="BI511" s="85"/>
      <c r="BJ511" s="85"/>
      <c r="BK511" s="85"/>
      <c r="BL511" s="85"/>
      <c r="BM511" s="85"/>
      <c r="BN511" s="85"/>
      <c r="BO511" s="85"/>
      <c r="BP511" s="85"/>
      <c r="BQ511" s="85"/>
      <c r="BR511" s="84">
        <v>2994.3628100000001</v>
      </c>
      <c r="BS511" s="85"/>
      <c r="BT511" s="85"/>
      <c r="BU511" s="198"/>
      <c r="BV511" s="90"/>
      <c r="BW511" s="198"/>
      <c r="BX511" s="90"/>
      <c r="BY511" s="198"/>
      <c r="BZ511" s="90"/>
      <c r="CA511" s="91"/>
    </row>
    <row r="512" spans="1:1199" ht="54.75" customHeight="1" outlineLevel="2" x14ac:dyDescent="0.3">
      <c r="A512" s="103" t="s">
        <v>481</v>
      </c>
      <c r="B512" s="102" t="s">
        <v>571</v>
      </c>
      <c r="C512" s="121" t="s">
        <v>37</v>
      </c>
      <c r="D512" s="81">
        <f t="shared" ref="D512" si="117">E512+F512</f>
        <v>2442.9441400000001</v>
      </c>
      <c r="E512" s="82">
        <f t="shared" ref="E512" si="118">G512+J512+O512+S512+V512+X512+Z512+AB512+AJ512+AL512+AN512+AP512+AX512+AZ512+BD512+BV512+BX512+BZ512+BR512</f>
        <v>2442.9441400000001</v>
      </c>
      <c r="F512" s="83">
        <f t="shared" si="105"/>
        <v>0</v>
      </c>
      <c r="G512" s="84"/>
      <c r="H512" s="85"/>
      <c r="I512" s="85"/>
      <c r="J512" s="84"/>
      <c r="K512" s="85"/>
      <c r="L512" s="85"/>
      <c r="M512" s="85"/>
      <c r="N512" s="85"/>
      <c r="O512" s="82"/>
      <c r="P512" s="83"/>
      <c r="Q512" s="83"/>
      <c r="R512" s="83"/>
      <c r="S512" s="82"/>
      <c r="T512" s="83"/>
      <c r="U512" s="83"/>
      <c r="V512" s="84"/>
      <c r="W512" s="85"/>
      <c r="X512" s="87"/>
      <c r="Y512" s="83"/>
      <c r="Z512" s="84"/>
      <c r="AA512" s="85"/>
      <c r="AB512" s="84"/>
      <c r="AC512" s="85"/>
      <c r="AD512" s="89"/>
      <c r="AE512" s="89"/>
      <c r="AF512" s="186"/>
      <c r="AG512" s="85"/>
      <c r="AH512" s="85"/>
      <c r="AI512" s="85"/>
      <c r="AJ512" s="84"/>
      <c r="AK512" s="85"/>
      <c r="AL512" s="84"/>
      <c r="AM512" s="88"/>
      <c r="AN512" s="84"/>
      <c r="AO512" s="85"/>
      <c r="AP512" s="84"/>
      <c r="AQ512" s="83"/>
      <c r="AR512" s="83"/>
      <c r="AS512" s="83"/>
      <c r="AT512" s="85"/>
      <c r="AU512" s="85"/>
      <c r="AV512" s="85"/>
      <c r="AW512" s="88"/>
      <c r="AX512" s="84"/>
      <c r="AY512" s="85"/>
      <c r="AZ512" s="84"/>
      <c r="BA512" s="85"/>
      <c r="BB512" s="88"/>
      <c r="BC512" s="85"/>
      <c r="BD512" s="84"/>
      <c r="BE512" s="88"/>
      <c r="BF512" s="85"/>
      <c r="BG512" s="85"/>
      <c r="BH512" s="85"/>
      <c r="BI512" s="85"/>
      <c r="BJ512" s="85"/>
      <c r="BK512" s="85"/>
      <c r="BL512" s="85"/>
      <c r="BM512" s="85"/>
      <c r="BN512" s="85"/>
      <c r="BO512" s="85"/>
      <c r="BP512" s="85"/>
      <c r="BQ512" s="85"/>
      <c r="BR512" s="84">
        <v>2442.9441400000001</v>
      </c>
      <c r="BS512" s="85"/>
      <c r="BT512" s="85"/>
      <c r="BU512" s="198"/>
      <c r="BV512" s="90"/>
      <c r="BW512" s="198"/>
      <c r="BX512" s="90"/>
      <c r="BY512" s="198"/>
      <c r="BZ512" s="90"/>
      <c r="CA512" s="91"/>
    </row>
    <row r="513" spans="1:282" ht="50.1" customHeight="1" outlineLevel="2" x14ac:dyDescent="0.3">
      <c r="A513" s="103" t="s">
        <v>481</v>
      </c>
      <c r="B513" s="102" t="s">
        <v>483</v>
      </c>
      <c r="C513" s="79" t="s">
        <v>37</v>
      </c>
      <c r="D513" s="81">
        <f t="shared" ref="D513:D534" si="119">E513+F513</f>
        <v>4154.3929799999996</v>
      </c>
      <c r="E513" s="82">
        <f t="shared" si="112"/>
        <v>3548.1521199999997</v>
      </c>
      <c r="F513" s="83">
        <f t="shared" ref="F513:F557" si="120">H513+I513+K513+L513+M513+N513+P513+Q513+R513+T513+U513+W513+Y513+AA513+AC513+AD513+AG513+AH513+AI513+AK513+AM513+AO513+AQ513+AR513+AS513+AT513+AU513+AV513+AW513+AY513+BA513+BB513+BC513+BE513+BF513+BG513+BH513+BI513+BJ513+BK513+BL513+BO513+BP513+BQ513+BS513+BT513+BU513+BW513+BY513+CA513+BM513+BN513</f>
        <v>606.24086</v>
      </c>
      <c r="G513" s="84"/>
      <c r="H513" s="85"/>
      <c r="I513" s="85"/>
      <c r="J513" s="84"/>
      <c r="K513" s="85"/>
      <c r="L513" s="85"/>
      <c r="M513" s="85"/>
      <c r="N513" s="85"/>
      <c r="O513" s="82"/>
      <c r="P513" s="83"/>
      <c r="Q513" s="83"/>
      <c r="R513" s="83"/>
      <c r="S513" s="82"/>
      <c r="T513" s="83"/>
      <c r="U513" s="83"/>
      <c r="V513" s="84"/>
      <c r="W513" s="85"/>
      <c r="X513" s="87"/>
      <c r="Y513" s="83">
        <v>243.36</v>
      </c>
      <c r="Z513" s="84"/>
      <c r="AA513" s="85"/>
      <c r="AB513" s="84"/>
      <c r="AC513" s="85"/>
      <c r="AD513" s="89">
        <f t="shared" si="111"/>
        <v>0</v>
      </c>
      <c r="AE513" s="89"/>
      <c r="AF513" s="186"/>
      <c r="AG513" s="85"/>
      <c r="AH513" s="85"/>
      <c r="AI513" s="85"/>
      <c r="AJ513" s="84"/>
      <c r="AK513" s="85"/>
      <c r="AL513" s="84"/>
      <c r="AM513" s="88"/>
      <c r="AN513" s="84"/>
      <c r="AO513" s="85"/>
      <c r="AP513" s="84"/>
      <c r="AQ513" s="83"/>
      <c r="AR513" s="83"/>
      <c r="AS513" s="83"/>
      <c r="AT513" s="85"/>
      <c r="AU513" s="85"/>
      <c r="AV513" s="85"/>
      <c r="AW513" s="88"/>
      <c r="AX513" s="84"/>
      <c r="AY513" s="85"/>
      <c r="AZ513" s="84">
        <v>400.71568000000002</v>
      </c>
      <c r="BA513" s="85">
        <v>362.88085999999998</v>
      </c>
      <c r="BB513" s="88"/>
      <c r="BC513" s="85"/>
      <c r="BD513" s="84"/>
      <c r="BE513" s="88"/>
      <c r="BF513" s="85"/>
      <c r="BG513" s="85"/>
      <c r="BH513" s="85"/>
      <c r="BI513" s="85"/>
      <c r="BJ513" s="85"/>
      <c r="BK513" s="85"/>
      <c r="BL513" s="85"/>
      <c r="BM513" s="85"/>
      <c r="BN513" s="85"/>
      <c r="BO513" s="85"/>
      <c r="BP513" s="85"/>
      <c r="BQ513" s="85"/>
      <c r="BR513" s="84">
        <v>3147.4364399999999</v>
      </c>
      <c r="BS513" s="85"/>
      <c r="BT513" s="85"/>
      <c r="BU513" s="198"/>
      <c r="BV513" s="90"/>
      <c r="BW513" s="198"/>
      <c r="BX513" s="90"/>
      <c r="BY513" s="198"/>
      <c r="BZ513" s="90"/>
      <c r="CA513" s="91"/>
    </row>
    <row r="514" spans="1:282" ht="50.1" customHeight="1" outlineLevel="2" x14ac:dyDescent="0.3">
      <c r="A514" s="106" t="s">
        <v>481</v>
      </c>
      <c r="B514" s="96" t="s">
        <v>484</v>
      </c>
      <c r="C514" s="79" t="s">
        <v>55</v>
      </c>
      <c r="D514" s="81">
        <f t="shared" si="119"/>
        <v>360.96113000000003</v>
      </c>
      <c r="E514" s="82">
        <f t="shared" si="112"/>
        <v>82.923280000000005</v>
      </c>
      <c r="F514" s="83">
        <f t="shared" si="120"/>
        <v>278.03784999999999</v>
      </c>
      <c r="G514" s="84"/>
      <c r="H514" s="85"/>
      <c r="I514" s="85"/>
      <c r="J514" s="84"/>
      <c r="K514" s="85"/>
      <c r="L514" s="85"/>
      <c r="M514" s="85"/>
      <c r="N514" s="85"/>
      <c r="O514" s="82"/>
      <c r="P514" s="83"/>
      <c r="Q514" s="83"/>
      <c r="R514" s="83"/>
      <c r="S514" s="82"/>
      <c r="T514" s="83"/>
      <c r="U514" s="83"/>
      <c r="V514" s="84"/>
      <c r="W514" s="85"/>
      <c r="X514" s="87"/>
      <c r="Y514" s="83">
        <v>37.128</v>
      </c>
      <c r="Z514" s="84"/>
      <c r="AA514" s="85"/>
      <c r="AB514" s="84"/>
      <c r="AC514" s="85"/>
      <c r="AD514" s="89">
        <f t="shared" si="111"/>
        <v>36.752420000000001</v>
      </c>
      <c r="AE514" s="89">
        <v>21.186900000000001</v>
      </c>
      <c r="AF514" s="186">
        <v>15.565519999999999</v>
      </c>
      <c r="AG514" s="85"/>
      <c r="AH514" s="85"/>
      <c r="AI514" s="85"/>
      <c r="AJ514" s="84"/>
      <c r="AK514" s="85"/>
      <c r="AL514" s="84"/>
      <c r="AM514" s="88"/>
      <c r="AN514" s="84"/>
      <c r="AO514" s="85"/>
      <c r="AP514" s="84"/>
      <c r="AQ514" s="83"/>
      <c r="AR514" s="83"/>
      <c r="AS514" s="83"/>
      <c r="AT514" s="85"/>
      <c r="AU514" s="85"/>
      <c r="AV514" s="85"/>
      <c r="AW514" s="88"/>
      <c r="AX514" s="84"/>
      <c r="AY514" s="85"/>
      <c r="AZ514" s="84">
        <v>82.923280000000005</v>
      </c>
      <c r="BA514" s="85">
        <v>75.093710000000002</v>
      </c>
      <c r="BB514" s="88"/>
      <c r="BC514" s="85"/>
      <c r="BD514" s="84"/>
      <c r="BE514" s="88"/>
      <c r="BF514" s="85"/>
      <c r="BG514" s="85"/>
      <c r="BH514" s="85"/>
      <c r="BI514" s="85"/>
      <c r="BJ514" s="85"/>
      <c r="BK514" s="85">
        <v>129.06371999999999</v>
      </c>
      <c r="BL514" s="85"/>
      <c r="BM514" s="85"/>
      <c r="BN514" s="85"/>
      <c r="BO514" s="85"/>
      <c r="BP514" s="85"/>
      <c r="BQ514" s="85"/>
      <c r="BR514" s="84"/>
      <c r="BS514" s="85"/>
      <c r="BT514" s="85"/>
      <c r="BU514" s="198"/>
      <c r="BV514" s="90"/>
      <c r="BW514" s="198"/>
      <c r="BX514" s="90"/>
      <c r="BY514" s="198"/>
      <c r="BZ514" s="90"/>
      <c r="CA514" s="91"/>
    </row>
    <row r="515" spans="1:282" ht="50.1" customHeight="1" outlineLevel="2" x14ac:dyDescent="0.3">
      <c r="A515" s="106" t="s">
        <v>481</v>
      </c>
      <c r="B515" s="96" t="s">
        <v>485</v>
      </c>
      <c r="C515" s="79" t="s">
        <v>55</v>
      </c>
      <c r="D515" s="81">
        <f t="shared" si="119"/>
        <v>2161.98909</v>
      </c>
      <c r="E515" s="82">
        <f t="shared" si="112"/>
        <v>584.82184000000007</v>
      </c>
      <c r="F515" s="83">
        <f t="shared" si="120"/>
        <v>1577.1672500000002</v>
      </c>
      <c r="G515" s="84"/>
      <c r="H515" s="85"/>
      <c r="I515" s="85"/>
      <c r="J515" s="84"/>
      <c r="K515" s="85"/>
      <c r="L515" s="85"/>
      <c r="M515" s="85"/>
      <c r="N515" s="85"/>
      <c r="O515" s="82">
        <v>71.479839999999996</v>
      </c>
      <c r="P515" s="83">
        <v>4.1325599999999998</v>
      </c>
      <c r="Q515" s="83"/>
      <c r="R515" s="83"/>
      <c r="S515" s="82"/>
      <c r="T515" s="83"/>
      <c r="U515" s="83"/>
      <c r="V515" s="84">
        <v>100.89037</v>
      </c>
      <c r="W515" s="85">
        <v>169.31110000000001</v>
      </c>
      <c r="X515" s="87"/>
      <c r="Y515" s="83">
        <v>176.28</v>
      </c>
      <c r="Z515" s="84"/>
      <c r="AA515" s="85"/>
      <c r="AB515" s="84"/>
      <c r="AC515" s="85"/>
      <c r="AD515" s="89">
        <f t="shared" si="111"/>
        <v>185.96017999999998</v>
      </c>
      <c r="AE515" s="89">
        <v>112.99679999999999</v>
      </c>
      <c r="AF515" s="186">
        <v>72.963380000000001</v>
      </c>
      <c r="AG515" s="85"/>
      <c r="AH515" s="85"/>
      <c r="AI515" s="85"/>
      <c r="AJ515" s="84"/>
      <c r="AK515" s="85"/>
      <c r="AL515" s="84"/>
      <c r="AM515" s="88"/>
      <c r="AN515" s="84"/>
      <c r="AO515" s="85"/>
      <c r="AP515" s="84"/>
      <c r="AQ515" s="83"/>
      <c r="AR515" s="83"/>
      <c r="AS515" s="83"/>
      <c r="AT515" s="85"/>
      <c r="AU515" s="85"/>
      <c r="AV515" s="85">
        <v>289.34640000000002</v>
      </c>
      <c r="AW515" s="88"/>
      <c r="AX515" s="84"/>
      <c r="AY515" s="85"/>
      <c r="AZ515" s="84">
        <v>412.45163000000002</v>
      </c>
      <c r="BA515" s="85">
        <v>373.50792000000001</v>
      </c>
      <c r="BB515" s="88"/>
      <c r="BC515" s="85"/>
      <c r="BD515" s="84"/>
      <c r="BE515" s="88"/>
      <c r="BF515" s="85"/>
      <c r="BG515" s="85">
        <v>99.442160000000001</v>
      </c>
      <c r="BH515" s="85"/>
      <c r="BI515" s="85"/>
      <c r="BJ515" s="85"/>
      <c r="BK515" s="85">
        <v>279.18693000000002</v>
      </c>
      <c r="BL515" s="85"/>
      <c r="BM515" s="85"/>
      <c r="BN515" s="85"/>
      <c r="BO515" s="85"/>
      <c r="BP515" s="85"/>
      <c r="BQ515" s="85"/>
      <c r="BR515" s="84"/>
      <c r="BS515" s="85"/>
      <c r="BT515" s="85"/>
      <c r="BU515" s="198"/>
      <c r="BV515" s="90"/>
      <c r="BW515" s="198"/>
      <c r="BX515" s="90"/>
      <c r="BY515" s="198"/>
      <c r="BZ515" s="90"/>
      <c r="CA515" s="91"/>
    </row>
    <row r="516" spans="1:282" ht="50.1" customHeight="1" outlineLevel="2" x14ac:dyDescent="0.3">
      <c r="A516" s="106" t="s">
        <v>481</v>
      </c>
      <c r="B516" s="96" t="s">
        <v>486</v>
      </c>
      <c r="C516" s="79" t="s">
        <v>55</v>
      </c>
      <c r="D516" s="81">
        <f t="shared" si="119"/>
        <v>783.40456999999992</v>
      </c>
      <c r="E516" s="82">
        <f t="shared" si="112"/>
        <v>588.78719999999998</v>
      </c>
      <c r="F516" s="83">
        <f t="shared" si="120"/>
        <v>194.61736999999999</v>
      </c>
      <c r="G516" s="84"/>
      <c r="H516" s="85"/>
      <c r="I516" s="85"/>
      <c r="J516" s="84"/>
      <c r="K516" s="85"/>
      <c r="L516" s="85"/>
      <c r="M516" s="85"/>
      <c r="N516" s="85"/>
      <c r="O516" s="82"/>
      <c r="P516" s="83"/>
      <c r="Q516" s="83"/>
      <c r="R516" s="83"/>
      <c r="S516" s="82"/>
      <c r="T516" s="83"/>
      <c r="U516" s="83"/>
      <c r="V516" s="84"/>
      <c r="W516" s="85"/>
      <c r="X516" s="87"/>
      <c r="Y516" s="83">
        <v>75.504000000000005</v>
      </c>
      <c r="Z516" s="84"/>
      <c r="AA516" s="85"/>
      <c r="AB516" s="84"/>
      <c r="AC516" s="85"/>
      <c r="AD516" s="89">
        <f t="shared" si="111"/>
        <v>0</v>
      </c>
      <c r="AE516" s="89"/>
      <c r="AF516" s="186"/>
      <c r="AG516" s="85"/>
      <c r="AH516" s="85"/>
      <c r="AI516" s="85"/>
      <c r="AJ516" s="84"/>
      <c r="AK516" s="85"/>
      <c r="AL516" s="84"/>
      <c r="AM516" s="88"/>
      <c r="AN516" s="84"/>
      <c r="AO516" s="85"/>
      <c r="AP516" s="84"/>
      <c r="AQ516" s="83"/>
      <c r="AR516" s="83"/>
      <c r="AS516" s="83"/>
      <c r="AT516" s="85"/>
      <c r="AU516" s="85"/>
      <c r="AV516" s="85"/>
      <c r="AW516" s="88"/>
      <c r="AX516" s="84"/>
      <c r="AY516" s="85"/>
      <c r="AZ516" s="84">
        <v>131.53251</v>
      </c>
      <c r="BA516" s="85">
        <v>119.11337</v>
      </c>
      <c r="BB516" s="88"/>
      <c r="BC516" s="85"/>
      <c r="BD516" s="84"/>
      <c r="BE516" s="88"/>
      <c r="BF516" s="85"/>
      <c r="BG516" s="85"/>
      <c r="BH516" s="85"/>
      <c r="BI516" s="85"/>
      <c r="BJ516" s="85"/>
      <c r="BK516" s="85"/>
      <c r="BL516" s="85"/>
      <c r="BM516" s="85"/>
      <c r="BN516" s="85"/>
      <c r="BO516" s="85"/>
      <c r="BP516" s="85"/>
      <c r="BQ516" s="85"/>
      <c r="BR516" s="84">
        <v>457.25468999999998</v>
      </c>
      <c r="BS516" s="85"/>
      <c r="BT516" s="85"/>
      <c r="BU516" s="198"/>
      <c r="BV516" s="90"/>
      <c r="BW516" s="198"/>
      <c r="BX516" s="90"/>
      <c r="BY516" s="198"/>
      <c r="BZ516" s="90"/>
      <c r="CA516" s="91"/>
    </row>
    <row r="517" spans="1:282" ht="50.1" customHeight="1" outlineLevel="2" x14ac:dyDescent="0.3">
      <c r="A517" s="96" t="s">
        <v>481</v>
      </c>
      <c r="B517" s="80" t="s">
        <v>487</v>
      </c>
      <c r="C517" s="79" t="s">
        <v>55</v>
      </c>
      <c r="D517" s="81">
        <f t="shared" si="119"/>
        <v>116.93862</v>
      </c>
      <c r="E517" s="82">
        <f t="shared" si="112"/>
        <v>41.172939999999997</v>
      </c>
      <c r="F517" s="83">
        <f t="shared" si="120"/>
        <v>75.765680000000003</v>
      </c>
      <c r="G517" s="84"/>
      <c r="H517" s="85"/>
      <c r="I517" s="85"/>
      <c r="J517" s="84"/>
      <c r="K517" s="85"/>
      <c r="L517" s="85"/>
      <c r="M517" s="85"/>
      <c r="N517" s="85"/>
      <c r="O517" s="82"/>
      <c r="P517" s="83"/>
      <c r="Q517" s="83"/>
      <c r="R517" s="83"/>
      <c r="S517" s="82"/>
      <c r="T517" s="83"/>
      <c r="U517" s="83"/>
      <c r="V517" s="84"/>
      <c r="W517" s="85"/>
      <c r="X517" s="87"/>
      <c r="Y517" s="83">
        <v>15.6</v>
      </c>
      <c r="Z517" s="84"/>
      <c r="AA517" s="85"/>
      <c r="AB517" s="84"/>
      <c r="AC517" s="85"/>
      <c r="AD517" s="89">
        <f t="shared" si="111"/>
        <v>22.880199999999999</v>
      </c>
      <c r="AE517" s="89">
        <v>14.124599999999999</v>
      </c>
      <c r="AF517" s="186">
        <v>8.7555999999999994</v>
      </c>
      <c r="AG517" s="85"/>
      <c r="AH517" s="85"/>
      <c r="AI517" s="85"/>
      <c r="AJ517" s="84"/>
      <c r="AK517" s="85"/>
      <c r="AL517" s="84"/>
      <c r="AM517" s="88"/>
      <c r="AN517" s="84"/>
      <c r="AO517" s="85"/>
      <c r="AP517" s="84"/>
      <c r="AQ517" s="83"/>
      <c r="AR517" s="83"/>
      <c r="AS517" s="83"/>
      <c r="AT517" s="85"/>
      <c r="AU517" s="85"/>
      <c r="AV517" s="85"/>
      <c r="AW517" s="88"/>
      <c r="AX517" s="84"/>
      <c r="AY517" s="85"/>
      <c r="AZ517" s="84">
        <v>41.172939999999997</v>
      </c>
      <c r="BA517" s="85">
        <v>37.28548</v>
      </c>
      <c r="BB517" s="88"/>
      <c r="BC517" s="85"/>
      <c r="BD517" s="84"/>
      <c r="BE517" s="88"/>
      <c r="BF517" s="85"/>
      <c r="BG517" s="85"/>
      <c r="BH517" s="85"/>
      <c r="BI517" s="85"/>
      <c r="BJ517" s="85"/>
      <c r="BK517" s="85"/>
      <c r="BL517" s="85"/>
      <c r="BM517" s="85"/>
      <c r="BN517" s="85"/>
      <c r="BO517" s="85"/>
      <c r="BP517" s="85"/>
      <c r="BQ517" s="85"/>
      <c r="BR517" s="84"/>
      <c r="BS517" s="85"/>
      <c r="BT517" s="85"/>
      <c r="BU517" s="198"/>
      <c r="BV517" s="90"/>
      <c r="BW517" s="198"/>
      <c r="BX517" s="90"/>
      <c r="BY517" s="198"/>
      <c r="BZ517" s="90"/>
      <c r="CA517" s="91"/>
    </row>
    <row r="518" spans="1:282" ht="50.1" customHeight="1" outlineLevel="2" x14ac:dyDescent="0.3">
      <c r="A518" s="96" t="s">
        <v>481</v>
      </c>
      <c r="B518" s="80" t="s">
        <v>488</v>
      </c>
      <c r="C518" s="79" t="s">
        <v>55</v>
      </c>
      <c r="D518" s="81">
        <f t="shared" si="119"/>
        <v>79.068919999999991</v>
      </c>
      <c r="E518" s="82">
        <f t="shared" si="112"/>
        <v>31.612719999999999</v>
      </c>
      <c r="F518" s="83">
        <f t="shared" si="120"/>
        <v>47.456199999999995</v>
      </c>
      <c r="G518" s="84"/>
      <c r="H518" s="85"/>
      <c r="I518" s="85"/>
      <c r="J518" s="84"/>
      <c r="K518" s="85"/>
      <c r="L518" s="85"/>
      <c r="M518" s="85"/>
      <c r="N518" s="85"/>
      <c r="O518" s="82"/>
      <c r="P518" s="83"/>
      <c r="Q518" s="83"/>
      <c r="R518" s="83"/>
      <c r="S518" s="82"/>
      <c r="T518" s="83"/>
      <c r="U518" s="83"/>
      <c r="V518" s="84"/>
      <c r="W518" s="85"/>
      <c r="X518" s="87"/>
      <c r="Y518" s="83">
        <v>15.288</v>
      </c>
      <c r="Z518" s="84"/>
      <c r="AA518" s="85"/>
      <c r="AB518" s="84"/>
      <c r="AC518" s="85"/>
      <c r="AD518" s="89">
        <f t="shared" si="111"/>
        <v>0</v>
      </c>
      <c r="AE518" s="89"/>
      <c r="AF518" s="186"/>
      <c r="AG518" s="85"/>
      <c r="AH518" s="85"/>
      <c r="AI518" s="85"/>
      <c r="AJ518" s="84"/>
      <c r="AK518" s="85"/>
      <c r="AL518" s="84"/>
      <c r="AM518" s="88"/>
      <c r="AN518" s="84"/>
      <c r="AO518" s="85"/>
      <c r="AP518" s="84"/>
      <c r="AQ518" s="83"/>
      <c r="AR518" s="83"/>
      <c r="AS518" s="83"/>
      <c r="AT518" s="85"/>
      <c r="AU518" s="85"/>
      <c r="AV518" s="85"/>
      <c r="AW518" s="88"/>
      <c r="AX518" s="84"/>
      <c r="AY518" s="85"/>
      <c r="AZ518" s="84">
        <v>31.612719999999999</v>
      </c>
      <c r="BA518" s="85">
        <v>28.62791</v>
      </c>
      <c r="BB518" s="88">
        <v>3.5402900000000002</v>
      </c>
      <c r="BC518" s="85"/>
      <c r="BD518" s="84"/>
      <c r="BE518" s="88"/>
      <c r="BF518" s="85"/>
      <c r="BG518" s="85"/>
      <c r="BH518" s="85"/>
      <c r="BI518" s="85"/>
      <c r="BJ518" s="85"/>
      <c r="BK518" s="85"/>
      <c r="BL518" s="85"/>
      <c r="BM518" s="85"/>
      <c r="BN518" s="85"/>
      <c r="BO518" s="85"/>
      <c r="BP518" s="85"/>
      <c r="BQ518" s="85"/>
      <c r="BR518" s="84"/>
      <c r="BS518" s="85"/>
      <c r="BT518" s="85"/>
      <c r="BU518" s="198"/>
      <c r="BV518" s="90"/>
      <c r="BW518" s="198"/>
      <c r="BX518" s="90"/>
      <c r="BY518" s="198"/>
      <c r="BZ518" s="90"/>
      <c r="CA518" s="91"/>
    </row>
    <row r="519" spans="1:282" ht="50.1" customHeight="1" outlineLevel="2" x14ac:dyDescent="0.3">
      <c r="A519" s="106" t="s">
        <v>481</v>
      </c>
      <c r="B519" s="96" t="s">
        <v>489</v>
      </c>
      <c r="C519" s="79" t="s">
        <v>55</v>
      </c>
      <c r="D519" s="81">
        <f t="shared" si="119"/>
        <v>108.55544</v>
      </c>
      <c r="E519" s="82">
        <f t="shared" si="112"/>
        <v>37.912330000000004</v>
      </c>
      <c r="F519" s="83">
        <f t="shared" si="120"/>
        <v>70.643110000000007</v>
      </c>
      <c r="G519" s="84"/>
      <c r="H519" s="85"/>
      <c r="I519" s="85"/>
      <c r="J519" s="84"/>
      <c r="K519" s="85"/>
      <c r="L519" s="85"/>
      <c r="M519" s="85"/>
      <c r="N519" s="85"/>
      <c r="O519" s="82">
        <v>2.0916999999999999</v>
      </c>
      <c r="P519" s="83">
        <v>0.11008999999999999</v>
      </c>
      <c r="Q519" s="83"/>
      <c r="R519" s="83"/>
      <c r="S519" s="82"/>
      <c r="T519" s="83"/>
      <c r="U519" s="83"/>
      <c r="V519" s="84"/>
      <c r="W519" s="85"/>
      <c r="X519" s="87"/>
      <c r="Y519" s="83">
        <v>17.16</v>
      </c>
      <c r="Z519" s="84"/>
      <c r="AA519" s="85"/>
      <c r="AB519" s="84"/>
      <c r="AC519" s="85"/>
      <c r="AD519" s="89">
        <f t="shared" si="111"/>
        <v>20.934519999999999</v>
      </c>
      <c r="AE519" s="89">
        <v>14.124599999999999</v>
      </c>
      <c r="AF519" s="186">
        <v>6.80992</v>
      </c>
      <c r="AG519" s="85"/>
      <c r="AH519" s="85"/>
      <c r="AI519" s="85"/>
      <c r="AJ519" s="84"/>
      <c r="AK519" s="85"/>
      <c r="AL519" s="84"/>
      <c r="AM519" s="88"/>
      <c r="AN519" s="84"/>
      <c r="AO519" s="85"/>
      <c r="AP519" s="84"/>
      <c r="AQ519" s="83"/>
      <c r="AR519" s="83"/>
      <c r="AS519" s="83"/>
      <c r="AT519" s="85"/>
      <c r="AU519" s="85"/>
      <c r="AV519" s="85"/>
      <c r="AW519" s="88"/>
      <c r="AX519" s="84"/>
      <c r="AY519" s="85"/>
      <c r="AZ519" s="84">
        <v>35.820630000000001</v>
      </c>
      <c r="BA519" s="85">
        <v>32.438499999999998</v>
      </c>
      <c r="BB519" s="88"/>
      <c r="BC519" s="85"/>
      <c r="BD519" s="84"/>
      <c r="BE519" s="88"/>
      <c r="BF519" s="85"/>
      <c r="BG519" s="85"/>
      <c r="BH519" s="85"/>
      <c r="BI519" s="85"/>
      <c r="BJ519" s="85"/>
      <c r="BK519" s="85"/>
      <c r="BL519" s="85"/>
      <c r="BM519" s="85"/>
      <c r="BN519" s="85"/>
      <c r="BO519" s="85"/>
      <c r="BP519" s="85"/>
      <c r="BQ519" s="85"/>
      <c r="BR519" s="84"/>
      <c r="BS519" s="85"/>
      <c r="BT519" s="85"/>
      <c r="BU519" s="198"/>
      <c r="BV519" s="90"/>
      <c r="BW519" s="198"/>
      <c r="BX519" s="90"/>
      <c r="BY519" s="198"/>
      <c r="BZ519" s="90"/>
      <c r="CA519" s="91"/>
    </row>
    <row r="520" spans="1:282" s="126" customFormat="1" ht="50.1" customHeight="1" outlineLevel="2" x14ac:dyDescent="0.3">
      <c r="A520" s="123" t="s">
        <v>481</v>
      </c>
      <c r="B520" s="124" t="s">
        <v>490</v>
      </c>
      <c r="C520" s="125" t="s">
        <v>55</v>
      </c>
      <c r="D520" s="81">
        <f t="shared" si="119"/>
        <v>156.98035999999999</v>
      </c>
      <c r="E520" s="82">
        <f t="shared" si="112"/>
        <v>61.610100000000003</v>
      </c>
      <c r="F520" s="83">
        <f t="shared" si="120"/>
        <v>95.370259999999988</v>
      </c>
      <c r="G520" s="84"/>
      <c r="H520" s="85"/>
      <c r="I520" s="85"/>
      <c r="J520" s="84"/>
      <c r="K520" s="85"/>
      <c r="L520" s="85"/>
      <c r="M520" s="85"/>
      <c r="N520" s="85"/>
      <c r="O520" s="82"/>
      <c r="P520" s="83"/>
      <c r="Q520" s="83"/>
      <c r="R520" s="83"/>
      <c r="S520" s="82"/>
      <c r="T520" s="83"/>
      <c r="U520" s="83"/>
      <c r="V520" s="84">
        <v>35.952249999999999</v>
      </c>
      <c r="W520" s="85">
        <v>62.774999999999999</v>
      </c>
      <c r="X520" s="87"/>
      <c r="Y520" s="83">
        <v>9.36</v>
      </c>
      <c r="Z520" s="84"/>
      <c r="AA520" s="85"/>
      <c r="AB520" s="84"/>
      <c r="AC520" s="85"/>
      <c r="AD520" s="89">
        <f t="shared" si="111"/>
        <v>0</v>
      </c>
      <c r="AE520" s="89"/>
      <c r="AF520" s="186"/>
      <c r="AG520" s="85"/>
      <c r="AH520" s="85"/>
      <c r="AI520" s="85"/>
      <c r="AJ520" s="84"/>
      <c r="AK520" s="85"/>
      <c r="AL520" s="84"/>
      <c r="AM520" s="88"/>
      <c r="AN520" s="84"/>
      <c r="AO520" s="85"/>
      <c r="AP520" s="84"/>
      <c r="AQ520" s="83"/>
      <c r="AR520" s="83"/>
      <c r="AS520" s="83"/>
      <c r="AT520" s="85"/>
      <c r="AU520" s="85"/>
      <c r="AV520" s="85"/>
      <c r="AW520" s="88"/>
      <c r="AX520" s="84"/>
      <c r="AY520" s="85"/>
      <c r="AZ520" s="84">
        <v>25.65785</v>
      </c>
      <c r="BA520" s="85">
        <v>23.23526</v>
      </c>
      <c r="BB520" s="88"/>
      <c r="BC520" s="85"/>
      <c r="BD520" s="84"/>
      <c r="BE520" s="88"/>
      <c r="BF520" s="85"/>
      <c r="BG520" s="85"/>
      <c r="BH520" s="85"/>
      <c r="BI520" s="85"/>
      <c r="BJ520" s="85"/>
      <c r="BK520" s="85"/>
      <c r="BL520" s="85"/>
      <c r="BM520" s="85"/>
      <c r="BN520" s="85"/>
      <c r="BO520" s="85"/>
      <c r="BP520" s="85"/>
      <c r="BQ520" s="85"/>
      <c r="BR520" s="84"/>
      <c r="BS520" s="85"/>
      <c r="BT520" s="85"/>
      <c r="BU520" s="198"/>
      <c r="BV520" s="90"/>
      <c r="BW520" s="198"/>
      <c r="BX520" s="90"/>
      <c r="BY520" s="198"/>
      <c r="BZ520" s="90"/>
      <c r="CA520" s="91"/>
      <c r="CB520" s="177"/>
      <c r="CC520" s="177"/>
      <c r="CD520" s="177"/>
      <c r="CE520" s="177"/>
      <c r="CF520" s="177"/>
      <c r="CG520" s="177"/>
      <c r="CH520" s="177"/>
      <c r="CI520" s="177"/>
      <c r="CJ520" s="177"/>
      <c r="CK520" s="177"/>
      <c r="CL520" s="177"/>
      <c r="CM520" s="177"/>
      <c r="CN520" s="177"/>
      <c r="CO520" s="177"/>
      <c r="CP520" s="177"/>
      <c r="CQ520" s="177"/>
      <c r="CR520" s="177"/>
      <c r="CS520" s="177"/>
      <c r="CT520" s="177"/>
      <c r="CU520" s="177"/>
      <c r="CV520" s="177"/>
      <c r="CW520" s="177"/>
      <c r="CX520" s="177"/>
      <c r="CY520" s="177"/>
      <c r="CZ520" s="177"/>
      <c r="DA520" s="177"/>
      <c r="DB520" s="177"/>
      <c r="DC520" s="177"/>
      <c r="DD520" s="177"/>
      <c r="DE520" s="177"/>
      <c r="DF520" s="177"/>
      <c r="DG520" s="177"/>
      <c r="DH520" s="177"/>
      <c r="DI520" s="177"/>
      <c r="DJ520" s="177"/>
      <c r="DK520" s="177"/>
      <c r="DL520" s="177"/>
      <c r="DM520" s="177"/>
      <c r="DN520" s="177"/>
      <c r="DO520" s="177"/>
      <c r="DP520" s="177"/>
      <c r="DQ520" s="177"/>
      <c r="DR520" s="177"/>
      <c r="DS520" s="177"/>
      <c r="DT520" s="177"/>
      <c r="DU520" s="177"/>
      <c r="DV520" s="177"/>
      <c r="DW520" s="177"/>
      <c r="DX520" s="177"/>
      <c r="DY520" s="177"/>
      <c r="DZ520" s="177"/>
      <c r="EA520" s="177"/>
      <c r="EB520" s="177"/>
      <c r="EC520" s="177"/>
      <c r="ED520" s="177"/>
      <c r="EE520" s="177"/>
      <c r="EF520" s="177"/>
      <c r="EG520" s="177"/>
      <c r="EH520" s="177"/>
      <c r="EI520" s="177"/>
      <c r="EJ520" s="177"/>
      <c r="EK520" s="177"/>
      <c r="EL520" s="177"/>
      <c r="EM520" s="177"/>
      <c r="EN520" s="177"/>
      <c r="EO520" s="177"/>
      <c r="EP520" s="177"/>
      <c r="EQ520" s="177"/>
      <c r="ER520" s="177"/>
      <c r="ES520" s="177"/>
      <c r="ET520" s="177"/>
      <c r="EU520" s="177"/>
      <c r="EV520" s="177"/>
      <c r="EW520" s="177"/>
      <c r="EX520" s="177"/>
      <c r="EY520" s="177"/>
      <c r="EZ520" s="177"/>
      <c r="FA520" s="177"/>
      <c r="FB520" s="177"/>
      <c r="FC520" s="177"/>
      <c r="FD520" s="177"/>
      <c r="FE520" s="177"/>
      <c r="FF520" s="177"/>
      <c r="FG520" s="177"/>
      <c r="FH520" s="177"/>
      <c r="FI520" s="177"/>
      <c r="FJ520" s="177"/>
      <c r="FK520" s="177"/>
      <c r="FL520" s="177"/>
      <c r="FM520" s="177"/>
      <c r="FN520" s="177"/>
      <c r="FO520" s="177"/>
      <c r="FP520" s="177"/>
      <c r="FQ520" s="177"/>
      <c r="FR520" s="177"/>
      <c r="FS520" s="177"/>
      <c r="FT520" s="177"/>
      <c r="FU520" s="177"/>
      <c r="FV520" s="177"/>
      <c r="FW520" s="177"/>
      <c r="FX520" s="177"/>
      <c r="FY520" s="177"/>
      <c r="FZ520" s="177"/>
      <c r="GA520" s="177"/>
      <c r="GB520" s="177"/>
      <c r="GC520" s="177"/>
      <c r="GD520" s="177"/>
      <c r="GE520" s="177"/>
      <c r="GF520" s="177"/>
      <c r="GG520" s="177"/>
      <c r="GH520" s="177"/>
      <c r="GI520" s="177"/>
      <c r="GJ520" s="177"/>
      <c r="GK520" s="177"/>
      <c r="GL520" s="177"/>
      <c r="GM520" s="177"/>
      <c r="GN520" s="177"/>
      <c r="GO520" s="177"/>
      <c r="GP520" s="177"/>
      <c r="GQ520" s="177"/>
      <c r="GR520" s="177"/>
      <c r="GS520" s="177"/>
      <c r="GT520" s="177"/>
      <c r="GU520" s="177"/>
      <c r="GV520" s="177"/>
      <c r="GW520" s="177"/>
      <c r="GX520" s="177"/>
      <c r="GY520" s="177"/>
      <c r="GZ520" s="177"/>
      <c r="HA520" s="177"/>
      <c r="HB520" s="177"/>
      <c r="HC520" s="177"/>
      <c r="HD520" s="177"/>
      <c r="HE520" s="177"/>
      <c r="HF520" s="177"/>
      <c r="HG520" s="177"/>
      <c r="HH520" s="177"/>
      <c r="HI520" s="177"/>
      <c r="HJ520" s="177"/>
      <c r="HK520" s="177"/>
      <c r="HL520" s="177"/>
      <c r="HM520" s="177"/>
      <c r="HN520" s="177"/>
      <c r="HO520" s="177"/>
      <c r="HP520" s="177"/>
      <c r="HQ520" s="177"/>
      <c r="HR520" s="177"/>
      <c r="HS520" s="177"/>
      <c r="HT520" s="177"/>
      <c r="HU520" s="177"/>
      <c r="HV520" s="177"/>
      <c r="HW520" s="177"/>
      <c r="HX520" s="177"/>
      <c r="HY520" s="177"/>
      <c r="HZ520" s="177"/>
      <c r="IA520" s="177"/>
      <c r="IB520" s="177"/>
      <c r="IC520" s="177"/>
      <c r="ID520" s="177"/>
      <c r="IE520" s="177"/>
      <c r="IF520" s="177"/>
      <c r="IG520" s="177"/>
      <c r="IH520" s="177"/>
      <c r="II520" s="177"/>
      <c r="IJ520" s="177"/>
      <c r="IK520" s="177"/>
      <c r="IL520" s="177"/>
      <c r="IM520" s="177"/>
      <c r="IN520" s="177"/>
      <c r="IO520" s="177"/>
      <c r="IP520" s="177"/>
      <c r="IQ520" s="177"/>
      <c r="IR520" s="177"/>
      <c r="IS520" s="177"/>
      <c r="IT520" s="177"/>
      <c r="IU520" s="177"/>
      <c r="IV520" s="177"/>
      <c r="IW520" s="177"/>
      <c r="IX520" s="177"/>
      <c r="IY520" s="177"/>
      <c r="IZ520" s="177"/>
      <c r="JA520" s="177"/>
      <c r="JB520" s="177"/>
      <c r="JC520" s="177"/>
      <c r="JD520" s="177"/>
      <c r="JE520" s="177"/>
      <c r="JF520" s="177"/>
      <c r="JG520" s="177"/>
      <c r="JH520" s="177"/>
      <c r="JI520" s="177"/>
      <c r="JJ520" s="177"/>
      <c r="JK520" s="177"/>
      <c r="JL520" s="177"/>
      <c r="JM520" s="177"/>
      <c r="JN520" s="177"/>
      <c r="JO520" s="177"/>
      <c r="JP520" s="177"/>
      <c r="JQ520" s="177"/>
      <c r="JR520" s="177"/>
      <c r="JS520" s="177"/>
      <c r="JT520" s="177"/>
      <c r="JU520" s="177"/>
      <c r="JV520" s="177"/>
    </row>
    <row r="521" spans="1:282" ht="50.1" customHeight="1" outlineLevel="2" x14ac:dyDescent="0.3">
      <c r="A521" s="106" t="s">
        <v>481</v>
      </c>
      <c r="B521" s="96" t="s">
        <v>491</v>
      </c>
      <c r="C521" s="79" t="s">
        <v>55</v>
      </c>
      <c r="D521" s="81">
        <f t="shared" si="119"/>
        <v>126.38800000000001</v>
      </c>
      <c r="E521" s="82">
        <f t="shared" si="112"/>
        <v>66.32517</v>
      </c>
      <c r="F521" s="83">
        <f t="shared" si="120"/>
        <v>60.062829999999998</v>
      </c>
      <c r="G521" s="84"/>
      <c r="H521" s="85"/>
      <c r="I521" s="85"/>
      <c r="J521" s="84"/>
      <c r="K521" s="85"/>
      <c r="L521" s="85"/>
      <c r="M521" s="85"/>
      <c r="N521" s="85"/>
      <c r="O521" s="82"/>
      <c r="P521" s="83"/>
      <c r="Q521" s="83"/>
      <c r="R521" s="83"/>
      <c r="S521" s="82"/>
      <c r="T521" s="83"/>
      <c r="U521" s="83"/>
      <c r="V521" s="84"/>
      <c r="W521" s="85"/>
      <c r="X521" s="87"/>
      <c r="Y521" s="83"/>
      <c r="Z521" s="84"/>
      <c r="AA521" s="85"/>
      <c r="AB521" s="84"/>
      <c r="AC521" s="85"/>
      <c r="AD521" s="89">
        <f t="shared" si="111"/>
        <v>0</v>
      </c>
      <c r="AE521" s="89"/>
      <c r="AF521" s="186"/>
      <c r="AG521" s="85"/>
      <c r="AH521" s="85"/>
      <c r="AI521" s="85"/>
      <c r="AJ521" s="84"/>
      <c r="AK521" s="85"/>
      <c r="AL521" s="84"/>
      <c r="AM521" s="88"/>
      <c r="AN521" s="84"/>
      <c r="AO521" s="85"/>
      <c r="AP521" s="84"/>
      <c r="AQ521" s="83"/>
      <c r="AR521" s="83"/>
      <c r="AS521" s="83"/>
      <c r="AT521" s="85"/>
      <c r="AU521" s="85"/>
      <c r="AV521" s="85"/>
      <c r="AW521" s="88"/>
      <c r="AX521" s="84"/>
      <c r="AY521" s="85"/>
      <c r="AZ521" s="84">
        <v>66.32517</v>
      </c>
      <c r="BA521" s="85">
        <v>60.062829999999998</v>
      </c>
      <c r="BB521" s="88"/>
      <c r="BC521" s="85"/>
      <c r="BD521" s="84"/>
      <c r="BE521" s="88"/>
      <c r="BF521" s="85"/>
      <c r="BG521" s="85"/>
      <c r="BH521" s="85"/>
      <c r="BI521" s="85"/>
      <c r="BJ521" s="85"/>
      <c r="BK521" s="85"/>
      <c r="BL521" s="85"/>
      <c r="BM521" s="85"/>
      <c r="BN521" s="85"/>
      <c r="BO521" s="85"/>
      <c r="BP521" s="85"/>
      <c r="BQ521" s="85"/>
      <c r="BR521" s="84"/>
      <c r="BS521" s="85"/>
      <c r="BT521" s="85"/>
      <c r="BU521" s="198"/>
      <c r="BV521" s="90"/>
      <c r="BW521" s="198"/>
      <c r="BX521" s="90"/>
      <c r="BY521" s="198"/>
      <c r="BZ521" s="90"/>
      <c r="CA521" s="91"/>
    </row>
    <row r="522" spans="1:282" ht="50.1" customHeight="1" outlineLevel="2" x14ac:dyDescent="0.3">
      <c r="A522" s="106" t="s">
        <v>481</v>
      </c>
      <c r="B522" s="96" t="s">
        <v>492</v>
      </c>
      <c r="C522" s="79" t="s">
        <v>55</v>
      </c>
      <c r="D522" s="81">
        <f t="shared" si="119"/>
        <v>303.84505999999999</v>
      </c>
      <c r="E522" s="82">
        <f t="shared" si="112"/>
        <v>110.96044000000001</v>
      </c>
      <c r="F522" s="83">
        <f t="shared" si="120"/>
        <v>192.88462000000001</v>
      </c>
      <c r="G522" s="84"/>
      <c r="H522" s="85"/>
      <c r="I522" s="85"/>
      <c r="J522" s="84"/>
      <c r="K522" s="85"/>
      <c r="L522" s="85"/>
      <c r="M522" s="85"/>
      <c r="N522" s="85"/>
      <c r="O522" s="82"/>
      <c r="P522" s="83"/>
      <c r="Q522" s="83"/>
      <c r="R522" s="83"/>
      <c r="S522" s="82"/>
      <c r="T522" s="83"/>
      <c r="U522" s="83"/>
      <c r="V522" s="84"/>
      <c r="W522" s="85"/>
      <c r="X522" s="87"/>
      <c r="Y522" s="83">
        <v>59.28</v>
      </c>
      <c r="Z522" s="84"/>
      <c r="AA522" s="85"/>
      <c r="AB522" s="84"/>
      <c r="AC522" s="85"/>
      <c r="AD522" s="89">
        <f t="shared" si="111"/>
        <v>33.120940000000004</v>
      </c>
      <c r="AE522" s="89">
        <v>10.7455</v>
      </c>
      <c r="AF522" s="186">
        <v>22.375440000000001</v>
      </c>
      <c r="AG522" s="85"/>
      <c r="AH522" s="85"/>
      <c r="AI522" s="85"/>
      <c r="AJ522" s="84"/>
      <c r="AK522" s="85"/>
      <c r="AL522" s="84"/>
      <c r="AM522" s="88"/>
      <c r="AN522" s="84"/>
      <c r="AO522" s="85"/>
      <c r="AP522" s="84"/>
      <c r="AQ522" s="83"/>
      <c r="AR522" s="83"/>
      <c r="AS522" s="83"/>
      <c r="AT522" s="85"/>
      <c r="AU522" s="85"/>
      <c r="AV522" s="85"/>
      <c r="AW522" s="88"/>
      <c r="AX522" s="84"/>
      <c r="AY522" s="85"/>
      <c r="AZ522" s="84">
        <v>110.96044000000001</v>
      </c>
      <c r="BA522" s="85">
        <v>100.48368000000001</v>
      </c>
      <c r="BB522" s="88"/>
      <c r="BC522" s="85"/>
      <c r="BD522" s="84"/>
      <c r="BE522" s="88"/>
      <c r="BF522" s="85"/>
      <c r="BG522" s="85"/>
      <c r="BH522" s="85"/>
      <c r="BI522" s="85"/>
      <c r="BJ522" s="85"/>
      <c r="BK522" s="85"/>
      <c r="BL522" s="85"/>
      <c r="BM522" s="85"/>
      <c r="BN522" s="85"/>
      <c r="BO522" s="85"/>
      <c r="BP522" s="85"/>
      <c r="BQ522" s="85"/>
      <c r="BR522" s="84"/>
      <c r="BS522" s="85"/>
      <c r="BT522" s="85"/>
      <c r="BU522" s="198"/>
      <c r="BV522" s="90"/>
      <c r="BW522" s="198"/>
      <c r="BX522" s="90"/>
      <c r="BY522" s="198"/>
      <c r="BZ522" s="90"/>
      <c r="CA522" s="91"/>
    </row>
    <row r="523" spans="1:282" ht="50.1" customHeight="1" outlineLevel="2" x14ac:dyDescent="0.3">
      <c r="A523" s="106" t="s">
        <v>481</v>
      </c>
      <c r="B523" s="96" t="s">
        <v>982</v>
      </c>
      <c r="C523" s="79" t="s">
        <v>55</v>
      </c>
      <c r="D523" s="81">
        <f t="shared" si="119"/>
        <v>3014.44758</v>
      </c>
      <c r="E523" s="82">
        <f t="shared" si="112"/>
        <v>2855.2878900000001</v>
      </c>
      <c r="F523" s="83">
        <f t="shared" si="120"/>
        <v>159.15968999999998</v>
      </c>
      <c r="G523" s="84"/>
      <c r="H523" s="85"/>
      <c r="I523" s="85"/>
      <c r="J523" s="84"/>
      <c r="K523" s="85"/>
      <c r="L523" s="85"/>
      <c r="M523" s="85"/>
      <c r="N523" s="85"/>
      <c r="O523" s="82"/>
      <c r="P523" s="83"/>
      <c r="Q523" s="83"/>
      <c r="R523" s="83"/>
      <c r="S523" s="82"/>
      <c r="T523" s="83"/>
      <c r="U523" s="83"/>
      <c r="V523" s="84"/>
      <c r="W523" s="85"/>
      <c r="X523" s="82"/>
      <c r="Y523" s="83">
        <v>2.496</v>
      </c>
      <c r="Z523" s="84"/>
      <c r="AA523" s="85"/>
      <c r="AB523" s="84"/>
      <c r="AC523" s="85"/>
      <c r="AD523" s="89">
        <f t="shared" ref="AD523:AD538" si="121">AE523+AF523</f>
        <v>0</v>
      </c>
      <c r="AE523" s="89"/>
      <c r="AF523" s="186"/>
      <c r="AG523" s="85"/>
      <c r="AH523" s="85"/>
      <c r="AI523" s="85"/>
      <c r="AJ523" s="84"/>
      <c r="AK523" s="85"/>
      <c r="AL523" s="84"/>
      <c r="AM523" s="88"/>
      <c r="AN523" s="84"/>
      <c r="AO523" s="85"/>
      <c r="AP523" s="84"/>
      <c r="AQ523" s="83"/>
      <c r="AR523" s="83"/>
      <c r="AS523" s="83"/>
      <c r="AT523" s="85"/>
      <c r="AU523" s="85"/>
      <c r="AV523" s="85"/>
      <c r="AW523" s="88"/>
      <c r="AX523" s="84"/>
      <c r="AY523" s="85"/>
      <c r="AZ523" s="84">
        <v>7.4861899999999997</v>
      </c>
      <c r="BA523" s="85">
        <v>6.7793900000000002</v>
      </c>
      <c r="BB523" s="88"/>
      <c r="BC523" s="85"/>
      <c r="BD523" s="84"/>
      <c r="BE523" s="88"/>
      <c r="BF523" s="85"/>
      <c r="BG523" s="85"/>
      <c r="BH523" s="85"/>
      <c r="BI523" s="85"/>
      <c r="BJ523" s="85"/>
      <c r="BK523" s="85"/>
      <c r="BL523" s="85"/>
      <c r="BM523" s="85"/>
      <c r="BN523" s="85"/>
      <c r="BO523" s="85"/>
      <c r="BP523" s="85"/>
      <c r="BQ523" s="85"/>
      <c r="BR523" s="84"/>
      <c r="BS523" s="85"/>
      <c r="BT523" s="85"/>
      <c r="BU523" s="198"/>
      <c r="BV523" s="90">
        <v>2847.8017</v>
      </c>
      <c r="BW523" s="198">
        <v>149.8843</v>
      </c>
      <c r="BX523" s="90"/>
      <c r="BY523" s="198"/>
      <c r="BZ523" s="90"/>
      <c r="CA523" s="91"/>
    </row>
    <row r="524" spans="1:282" ht="50.1" customHeight="1" outlineLevel="2" x14ac:dyDescent="0.3">
      <c r="A524" s="106" t="s">
        <v>481</v>
      </c>
      <c r="B524" s="96" t="s">
        <v>1179</v>
      </c>
      <c r="C524" s="79" t="s">
        <v>55</v>
      </c>
      <c r="D524" s="81">
        <f t="shared" si="119"/>
        <v>2685</v>
      </c>
      <c r="E524" s="82">
        <f t="shared" si="112"/>
        <v>2550.75</v>
      </c>
      <c r="F524" s="83">
        <f t="shared" si="120"/>
        <v>134.25</v>
      </c>
      <c r="G524" s="84"/>
      <c r="H524" s="85"/>
      <c r="I524" s="85"/>
      <c r="J524" s="84"/>
      <c r="K524" s="85"/>
      <c r="L524" s="85"/>
      <c r="M524" s="85"/>
      <c r="N524" s="85"/>
      <c r="O524" s="82"/>
      <c r="P524" s="83"/>
      <c r="Q524" s="83"/>
      <c r="R524" s="83"/>
      <c r="S524" s="82"/>
      <c r="T524" s="83"/>
      <c r="U524" s="83"/>
      <c r="V524" s="84"/>
      <c r="W524" s="85"/>
      <c r="X524" s="82"/>
      <c r="Y524" s="83"/>
      <c r="Z524" s="84"/>
      <c r="AA524" s="85"/>
      <c r="AB524" s="84"/>
      <c r="AC524" s="85"/>
      <c r="AD524" s="89"/>
      <c r="AE524" s="89"/>
      <c r="AF524" s="186"/>
      <c r="AG524" s="85"/>
      <c r="AH524" s="85"/>
      <c r="AI524" s="85"/>
      <c r="AJ524" s="84"/>
      <c r="AK524" s="85"/>
      <c r="AL524" s="84"/>
      <c r="AM524" s="88"/>
      <c r="AN524" s="84"/>
      <c r="AO524" s="85"/>
      <c r="AP524" s="84"/>
      <c r="AQ524" s="83"/>
      <c r="AR524" s="83"/>
      <c r="AS524" s="83"/>
      <c r="AT524" s="85"/>
      <c r="AU524" s="85"/>
      <c r="AV524" s="85"/>
      <c r="AW524" s="88"/>
      <c r="AX524" s="84"/>
      <c r="AY524" s="85"/>
      <c r="AZ524" s="84"/>
      <c r="BA524" s="85"/>
      <c r="BB524" s="88"/>
      <c r="BC524" s="85"/>
      <c r="BD524" s="84"/>
      <c r="BE524" s="88"/>
      <c r="BF524" s="85"/>
      <c r="BG524" s="85"/>
      <c r="BH524" s="85"/>
      <c r="BI524" s="85"/>
      <c r="BJ524" s="85"/>
      <c r="BK524" s="85"/>
      <c r="BL524" s="85"/>
      <c r="BM524" s="85"/>
      <c r="BN524" s="85"/>
      <c r="BO524" s="85"/>
      <c r="BP524" s="85"/>
      <c r="BQ524" s="85"/>
      <c r="BR524" s="84"/>
      <c r="BS524" s="85"/>
      <c r="BT524" s="85"/>
      <c r="BU524" s="198"/>
      <c r="BV524" s="90">
        <v>2550.75</v>
      </c>
      <c r="BW524" s="198">
        <v>134.25</v>
      </c>
      <c r="BX524" s="90"/>
      <c r="BY524" s="198"/>
      <c r="BZ524" s="90"/>
      <c r="CA524" s="91"/>
    </row>
    <row r="525" spans="1:282" ht="50.1" customHeight="1" outlineLevel="2" x14ac:dyDescent="0.3">
      <c r="A525" s="106" t="s">
        <v>481</v>
      </c>
      <c r="B525" s="96" t="s">
        <v>1201</v>
      </c>
      <c r="C525" s="79" t="s">
        <v>55</v>
      </c>
      <c r="D525" s="81">
        <f t="shared" si="119"/>
        <v>2790</v>
      </c>
      <c r="E525" s="82">
        <f t="shared" si="112"/>
        <v>0</v>
      </c>
      <c r="F525" s="83">
        <f t="shared" si="120"/>
        <v>2790</v>
      </c>
      <c r="G525" s="84"/>
      <c r="H525" s="85"/>
      <c r="I525" s="85"/>
      <c r="J525" s="84"/>
      <c r="K525" s="85"/>
      <c r="L525" s="85"/>
      <c r="M525" s="85"/>
      <c r="N525" s="85"/>
      <c r="O525" s="82"/>
      <c r="P525" s="83"/>
      <c r="Q525" s="83"/>
      <c r="R525" s="83"/>
      <c r="S525" s="82"/>
      <c r="T525" s="83"/>
      <c r="U525" s="83"/>
      <c r="V525" s="84"/>
      <c r="W525" s="85"/>
      <c r="X525" s="82"/>
      <c r="Y525" s="83"/>
      <c r="Z525" s="84"/>
      <c r="AA525" s="85"/>
      <c r="AB525" s="84"/>
      <c r="AC525" s="85"/>
      <c r="AD525" s="89"/>
      <c r="AE525" s="89"/>
      <c r="AF525" s="186"/>
      <c r="AG525" s="85"/>
      <c r="AH525" s="85"/>
      <c r="AI525" s="85"/>
      <c r="AJ525" s="84"/>
      <c r="AK525" s="85"/>
      <c r="AL525" s="84"/>
      <c r="AM525" s="88"/>
      <c r="AN525" s="84"/>
      <c r="AO525" s="85"/>
      <c r="AP525" s="84"/>
      <c r="AQ525" s="83"/>
      <c r="AR525" s="83"/>
      <c r="AS525" s="83"/>
      <c r="AT525" s="85"/>
      <c r="AU525" s="85"/>
      <c r="AV525" s="85"/>
      <c r="AW525" s="88"/>
      <c r="AX525" s="84"/>
      <c r="AY525" s="85"/>
      <c r="AZ525" s="84"/>
      <c r="BA525" s="85"/>
      <c r="BB525" s="88"/>
      <c r="BC525" s="85"/>
      <c r="BD525" s="84"/>
      <c r="BE525" s="88"/>
      <c r="BF525" s="85"/>
      <c r="BG525" s="85"/>
      <c r="BH525" s="85"/>
      <c r="BI525" s="85"/>
      <c r="BJ525" s="85"/>
      <c r="BK525" s="85"/>
      <c r="BL525" s="85"/>
      <c r="BM525" s="85"/>
      <c r="BN525" s="85"/>
      <c r="BO525" s="85"/>
      <c r="BP525" s="85"/>
      <c r="BQ525" s="85"/>
      <c r="BR525" s="84"/>
      <c r="BS525" s="85"/>
      <c r="BT525" s="85"/>
      <c r="BU525" s="198"/>
      <c r="BV525" s="90"/>
      <c r="BW525" s="198">
        <v>2790</v>
      </c>
      <c r="BX525" s="90"/>
      <c r="BY525" s="198"/>
      <c r="BZ525" s="90"/>
      <c r="CA525" s="91"/>
    </row>
    <row r="526" spans="1:282" ht="50.1" customHeight="1" outlineLevel="2" x14ac:dyDescent="0.3">
      <c r="A526" s="106" t="s">
        <v>481</v>
      </c>
      <c r="B526" s="171" t="s">
        <v>1048</v>
      </c>
      <c r="C526" s="79" t="s">
        <v>55</v>
      </c>
      <c r="D526" s="81">
        <f t="shared" si="119"/>
        <v>93.62487999999999</v>
      </c>
      <c r="E526" s="82">
        <f t="shared" si="112"/>
        <v>40.945439999999998</v>
      </c>
      <c r="F526" s="83">
        <f t="shared" si="120"/>
        <v>52.67944</v>
      </c>
      <c r="G526" s="84"/>
      <c r="H526" s="85"/>
      <c r="I526" s="85"/>
      <c r="J526" s="84"/>
      <c r="K526" s="85"/>
      <c r="L526" s="85"/>
      <c r="M526" s="85"/>
      <c r="N526" s="85"/>
      <c r="O526" s="82"/>
      <c r="P526" s="83"/>
      <c r="Q526" s="83"/>
      <c r="R526" s="83"/>
      <c r="S526" s="82"/>
      <c r="T526" s="83"/>
      <c r="U526" s="83"/>
      <c r="V526" s="84"/>
      <c r="W526" s="85"/>
      <c r="X526" s="82"/>
      <c r="Y526" s="83">
        <v>15.6</v>
      </c>
      <c r="Z526" s="84"/>
      <c r="AA526" s="85"/>
      <c r="AB526" s="84"/>
      <c r="AC526" s="85"/>
      <c r="AD526" s="89">
        <f t="shared" si="121"/>
        <v>0</v>
      </c>
      <c r="AE526" s="89"/>
      <c r="AF526" s="186"/>
      <c r="AG526" s="85"/>
      <c r="AH526" s="85"/>
      <c r="AI526" s="85"/>
      <c r="AJ526" s="84"/>
      <c r="AK526" s="85"/>
      <c r="AL526" s="84"/>
      <c r="AM526" s="88"/>
      <c r="AN526" s="84"/>
      <c r="AO526" s="85"/>
      <c r="AP526" s="84"/>
      <c r="AQ526" s="83"/>
      <c r="AR526" s="83"/>
      <c r="AS526" s="83"/>
      <c r="AT526" s="85"/>
      <c r="AU526" s="85"/>
      <c r="AV526" s="85"/>
      <c r="AW526" s="88"/>
      <c r="AX526" s="84"/>
      <c r="AY526" s="85"/>
      <c r="AZ526" s="84">
        <v>40.945439999999998</v>
      </c>
      <c r="BA526" s="85">
        <v>37.079439999999998</v>
      </c>
      <c r="BB526" s="88"/>
      <c r="BC526" s="85"/>
      <c r="BD526" s="84"/>
      <c r="BE526" s="88"/>
      <c r="BF526" s="85"/>
      <c r="BG526" s="85"/>
      <c r="BH526" s="85"/>
      <c r="BI526" s="85"/>
      <c r="BJ526" s="85"/>
      <c r="BK526" s="85"/>
      <c r="BL526" s="85"/>
      <c r="BM526" s="85"/>
      <c r="BN526" s="85"/>
      <c r="BO526" s="85"/>
      <c r="BP526" s="85"/>
      <c r="BQ526" s="85"/>
      <c r="BR526" s="84"/>
      <c r="BS526" s="85"/>
      <c r="BT526" s="85"/>
      <c r="BU526" s="198"/>
      <c r="BV526" s="90"/>
      <c r="BW526" s="198"/>
      <c r="BX526" s="90"/>
      <c r="BY526" s="198"/>
      <c r="BZ526" s="90"/>
      <c r="CA526" s="91"/>
    </row>
    <row r="527" spans="1:282" ht="50.1" customHeight="1" outlineLevel="2" x14ac:dyDescent="0.3">
      <c r="A527" s="106" t="s">
        <v>481</v>
      </c>
      <c r="B527" s="96" t="s">
        <v>627</v>
      </c>
      <c r="C527" s="112" t="s">
        <v>55</v>
      </c>
      <c r="D527" s="81">
        <f t="shared" si="119"/>
        <v>60.216000000000001</v>
      </c>
      <c r="E527" s="82">
        <f t="shared" si="112"/>
        <v>0</v>
      </c>
      <c r="F527" s="83">
        <f t="shared" si="120"/>
        <v>60.216000000000001</v>
      </c>
      <c r="G527" s="84"/>
      <c r="H527" s="85"/>
      <c r="I527" s="85"/>
      <c r="J527" s="84"/>
      <c r="K527" s="85"/>
      <c r="L527" s="85"/>
      <c r="M527" s="85"/>
      <c r="N527" s="85"/>
      <c r="O527" s="82"/>
      <c r="P527" s="83"/>
      <c r="Q527" s="83"/>
      <c r="R527" s="83"/>
      <c r="S527" s="82"/>
      <c r="T527" s="83"/>
      <c r="U527" s="83"/>
      <c r="V527" s="84"/>
      <c r="W527" s="85"/>
      <c r="X527" s="82"/>
      <c r="Y527" s="83">
        <v>60.216000000000001</v>
      </c>
      <c r="Z527" s="84"/>
      <c r="AA527" s="85"/>
      <c r="AB527" s="84"/>
      <c r="AC527" s="85"/>
      <c r="AD527" s="89">
        <f t="shared" si="121"/>
        <v>0</v>
      </c>
      <c r="AE527" s="89"/>
      <c r="AF527" s="186"/>
      <c r="AG527" s="85"/>
      <c r="AH527" s="85"/>
      <c r="AI527" s="85"/>
      <c r="AJ527" s="84"/>
      <c r="AK527" s="85"/>
      <c r="AL527" s="84"/>
      <c r="AM527" s="88"/>
      <c r="AN527" s="84"/>
      <c r="AO527" s="85"/>
      <c r="AP527" s="84"/>
      <c r="AQ527" s="83"/>
      <c r="AR527" s="83"/>
      <c r="AS527" s="83"/>
      <c r="AT527" s="85"/>
      <c r="AU527" s="85"/>
      <c r="AV527" s="85"/>
      <c r="AW527" s="88"/>
      <c r="AX527" s="84"/>
      <c r="AY527" s="85"/>
      <c r="AZ527" s="84"/>
      <c r="BA527" s="85"/>
      <c r="BB527" s="88"/>
      <c r="BC527" s="85"/>
      <c r="BD527" s="84"/>
      <c r="BE527" s="88"/>
      <c r="BF527" s="85"/>
      <c r="BG527" s="85"/>
      <c r="BH527" s="85"/>
      <c r="BI527" s="85"/>
      <c r="BJ527" s="85"/>
      <c r="BK527" s="85"/>
      <c r="BL527" s="85"/>
      <c r="BM527" s="85"/>
      <c r="BN527" s="85"/>
      <c r="BO527" s="85"/>
      <c r="BP527" s="85"/>
      <c r="BQ527" s="85"/>
      <c r="BR527" s="84"/>
      <c r="BS527" s="85"/>
      <c r="BT527" s="85"/>
      <c r="BU527" s="198"/>
      <c r="BV527" s="90"/>
      <c r="BW527" s="198"/>
      <c r="BX527" s="90"/>
      <c r="BY527" s="198"/>
      <c r="BZ527" s="90"/>
      <c r="CA527" s="91"/>
    </row>
    <row r="528" spans="1:282" ht="50.1" customHeight="1" outlineLevel="2" x14ac:dyDescent="0.3">
      <c r="A528" s="106" t="s">
        <v>481</v>
      </c>
      <c r="B528" s="96" t="s">
        <v>1156</v>
      </c>
      <c r="C528" s="79" t="s">
        <v>55</v>
      </c>
      <c r="D528" s="81">
        <f t="shared" si="119"/>
        <v>9.984</v>
      </c>
      <c r="E528" s="82">
        <f t="shared" si="112"/>
        <v>0</v>
      </c>
      <c r="F528" s="83">
        <f t="shared" si="120"/>
        <v>9.984</v>
      </c>
      <c r="G528" s="84"/>
      <c r="H528" s="85"/>
      <c r="I528" s="85"/>
      <c r="J528" s="84"/>
      <c r="K528" s="85"/>
      <c r="L528" s="85"/>
      <c r="M528" s="85"/>
      <c r="N528" s="85"/>
      <c r="O528" s="82"/>
      <c r="P528" s="83"/>
      <c r="Q528" s="83"/>
      <c r="R528" s="83"/>
      <c r="S528" s="82"/>
      <c r="T528" s="83"/>
      <c r="U528" s="83"/>
      <c r="V528" s="84"/>
      <c r="W528" s="85"/>
      <c r="X528" s="82"/>
      <c r="Y528" s="83">
        <v>9.984</v>
      </c>
      <c r="Z528" s="84"/>
      <c r="AA528" s="85"/>
      <c r="AB528" s="84"/>
      <c r="AC528" s="85"/>
      <c r="AD528" s="89"/>
      <c r="AE528" s="89"/>
      <c r="AF528" s="186"/>
      <c r="AG528" s="85"/>
      <c r="AH528" s="85"/>
      <c r="AI528" s="85"/>
      <c r="AJ528" s="84"/>
      <c r="AK528" s="85"/>
      <c r="AL528" s="84"/>
      <c r="AM528" s="88"/>
      <c r="AN528" s="84"/>
      <c r="AO528" s="85"/>
      <c r="AP528" s="84"/>
      <c r="AQ528" s="83"/>
      <c r="AR528" s="83"/>
      <c r="AS528" s="83"/>
      <c r="AT528" s="85"/>
      <c r="AU528" s="85"/>
      <c r="AV528" s="85"/>
      <c r="AW528" s="88"/>
      <c r="AX528" s="84"/>
      <c r="AY528" s="85"/>
      <c r="AZ528" s="84"/>
      <c r="BA528" s="85"/>
      <c r="BB528" s="88"/>
      <c r="BC528" s="85"/>
      <c r="BD528" s="84"/>
      <c r="BE528" s="88"/>
      <c r="BF528" s="85"/>
      <c r="BG528" s="85"/>
      <c r="BH528" s="85"/>
      <c r="BI528" s="85"/>
      <c r="BJ528" s="85"/>
      <c r="BK528" s="85"/>
      <c r="BL528" s="85"/>
      <c r="BM528" s="85"/>
      <c r="BN528" s="85"/>
      <c r="BO528" s="85"/>
      <c r="BP528" s="85"/>
      <c r="BQ528" s="85"/>
      <c r="BR528" s="84"/>
      <c r="BS528" s="85"/>
      <c r="BT528" s="85"/>
      <c r="BU528" s="198"/>
      <c r="BV528" s="90"/>
      <c r="BW528" s="198"/>
      <c r="BX528" s="90"/>
      <c r="BY528" s="198"/>
      <c r="BZ528" s="90"/>
      <c r="CA528" s="91"/>
    </row>
    <row r="529" spans="1:1199" ht="50.1" customHeight="1" outlineLevel="2" x14ac:dyDescent="0.3">
      <c r="A529" s="106" t="s">
        <v>481</v>
      </c>
      <c r="B529" s="96" t="s">
        <v>493</v>
      </c>
      <c r="C529" s="79" t="s">
        <v>89</v>
      </c>
      <c r="D529" s="81">
        <f t="shared" si="119"/>
        <v>992.43449999999996</v>
      </c>
      <c r="E529" s="82">
        <f t="shared" si="112"/>
        <v>0</v>
      </c>
      <c r="F529" s="83">
        <f t="shared" si="120"/>
        <v>992.43449999999996</v>
      </c>
      <c r="G529" s="84"/>
      <c r="H529" s="85"/>
      <c r="I529" s="85"/>
      <c r="J529" s="84"/>
      <c r="K529" s="85"/>
      <c r="L529" s="85"/>
      <c r="M529" s="85"/>
      <c r="N529" s="85"/>
      <c r="O529" s="82"/>
      <c r="P529" s="83"/>
      <c r="Q529" s="83"/>
      <c r="R529" s="83"/>
      <c r="S529" s="82"/>
      <c r="T529" s="83"/>
      <c r="U529" s="83"/>
      <c r="V529" s="84"/>
      <c r="W529" s="85"/>
      <c r="X529" s="82"/>
      <c r="Y529" s="83"/>
      <c r="Z529" s="84"/>
      <c r="AA529" s="85"/>
      <c r="AB529" s="84"/>
      <c r="AC529" s="85"/>
      <c r="AD529" s="89">
        <f t="shared" si="121"/>
        <v>0</v>
      </c>
      <c r="AE529" s="89"/>
      <c r="AF529" s="186"/>
      <c r="AG529" s="85"/>
      <c r="AH529" s="85"/>
      <c r="AI529" s="85"/>
      <c r="AJ529" s="84"/>
      <c r="AK529" s="85"/>
      <c r="AL529" s="84"/>
      <c r="AM529" s="88"/>
      <c r="AN529" s="84"/>
      <c r="AO529" s="85"/>
      <c r="AP529" s="84"/>
      <c r="AQ529" s="83"/>
      <c r="AR529" s="83"/>
      <c r="AS529" s="83"/>
      <c r="AT529" s="85"/>
      <c r="AU529" s="85"/>
      <c r="AV529" s="85"/>
      <c r="AW529" s="88"/>
      <c r="AX529" s="84"/>
      <c r="AY529" s="85"/>
      <c r="AZ529" s="84"/>
      <c r="BA529" s="85"/>
      <c r="BB529" s="88"/>
      <c r="BC529" s="85"/>
      <c r="BD529" s="84"/>
      <c r="BE529" s="88"/>
      <c r="BF529" s="85"/>
      <c r="BG529" s="85"/>
      <c r="BH529" s="85"/>
      <c r="BI529" s="85"/>
      <c r="BJ529" s="85"/>
      <c r="BK529" s="85"/>
      <c r="BL529" s="85"/>
      <c r="BM529" s="85"/>
      <c r="BN529" s="85"/>
      <c r="BO529" s="85"/>
      <c r="BP529" s="85">
        <v>992.43449999999996</v>
      </c>
      <c r="BQ529" s="85"/>
      <c r="BR529" s="84"/>
      <c r="BS529" s="85"/>
      <c r="BT529" s="85"/>
      <c r="BU529" s="198"/>
      <c r="BV529" s="90"/>
      <c r="BW529" s="198"/>
      <c r="BX529" s="90"/>
      <c r="BY529" s="198"/>
      <c r="BZ529" s="90"/>
      <c r="CA529" s="91"/>
    </row>
    <row r="530" spans="1:1199" ht="50.1" customHeight="1" outlineLevel="2" x14ac:dyDescent="0.3">
      <c r="A530" s="106" t="s">
        <v>481</v>
      </c>
      <c r="B530" s="96" t="s">
        <v>494</v>
      </c>
      <c r="C530" s="79" t="s">
        <v>89</v>
      </c>
      <c r="D530" s="81">
        <f t="shared" si="119"/>
        <v>5068.7282999999998</v>
      </c>
      <c r="E530" s="82">
        <f t="shared" si="112"/>
        <v>0</v>
      </c>
      <c r="F530" s="83">
        <f t="shared" si="120"/>
        <v>5068.7282999999998</v>
      </c>
      <c r="G530" s="84"/>
      <c r="H530" s="85"/>
      <c r="I530" s="85"/>
      <c r="J530" s="84"/>
      <c r="K530" s="85"/>
      <c r="L530" s="85"/>
      <c r="M530" s="85"/>
      <c r="N530" s="85"/>
      <c r="O530" s="82"/>
      <c r="P530" s="83"/>
      <c r="Q530" s="83"/>
      <c r="R530" s="83"/>
      <c r="S530" s="82"/>
      <c r="T530" s="83"/>
      <c r="U530" s="83"/>
      <c r="V530" s="84"/>
      <c r="W530" s="85"/>
      <c r="X530" s="82"/>
      <c r="Y530" s="83"/>
      <c r="Z530" s="84"/>
      <c r="AA530" s="85"/>
      <c r="AB530" s="84"/>
      <c r="AC530" s="85"/>
      <c r="AD530" s="89">
        <f t="shared" si="121"/>
        <v>0</v>
      </c>
      <c r="AE530" s="89"/>
      <c r="AF530" s="186"/>
      <c r="AG530" s="85"/>
      <c r="AH530" s="85"/>
      <c r="AI530" s="85"/>
      <c r="AJ530" s="84"/>
      <c r="AK530" s="85"/>
      <c r="AL530" s="84"/>
      <c r="AM530" s="88"/>
      <c r="AN530" s="84"/>
      <c r="AO530" s="85"/>
      <c r="AP530" s="84"/>
      <c r="AQ530" s="83"/>
      <c r="AR530" s="83"/>
      <c r="AS530" s="83"/>
      <c r="AT530" s="85"/>
      <c r="AU530" s="85"/>
      <c r="AV530" s="85"/>
      <c r="AW530" s="88"/>
      <c r="AX530" s="84"/>
      <c r="AY530" s="85"/>
      <c r="AZ530" s="84"/>
      <c r="BA530" s="85"/>
      <c r="BB530" s="88"/>
      <c r="BC530" s="85"/>
      <c r="BD530" s="84"/>
      <c r="BE530" s="88"/>
      <c r="BF530" s="85"/>
      <c r="BG530" s="85"/>
      <c r="BH530" s="85"/>
      <c r="BI530" s="85"/>
      <c r="BJ530" s="85"/>
      <c r="BK530" s="85"/>
      <c r="BL530" s="85"/>
      <c r="BM530" s="85"/>
      <c r="BN530" s="85"/>
      <c r="BO530" s="85"/>
      <c r="BP530" s="85">
        <v>5068.7282999999998</v>
      </c>
      <c r="BQ530" s="85"/>
      <c r="BR530" s="84"/>
      <c r="BS530" s="85"/>
      <c r="BT530" s="85"/>
      <c r="BU530" s="198"/>
      <c r="BV530" s="90"/>
      <c r="BW530" s="198"/>
      <c r="BX530" s="90"/>
      <c r="BY530" s="198"/>
      <c r="BZ530" s="90"/>
      <c r="CA530" s="91"/>
    </row>
    <row r="531" spans="1:1199" ht="50.1" customHeight="1" outlineLevel="2" x14ac:dyDescent="0.3">
      <c r="A531" s="106" t="s">
        <v>481</v>
      </c>
      <c r="B531" s="96" t="s">
        <v>495</v>
      </c>
      <c r="C531" s="79" t="s">
        <v>89</v>
      </c>
      <c r="D531" s="81">
        <f t="shared" si="119"/>
        <v>4984.4330200000004</v>
      </c>
      <c r="E531" s="82">
        <f t="shared" si="112"/>
        <v>0</v>
      </c>
      <c r="F531" s="83">
        <f t="shared" si="120"/>
        <v>4984.4330200000004</v>
      </c>
      <c r="G531" s="84"/>
      <c r="H531" s="85"/>
      <c r="I531" s="85"/>
      <c r="J531" s="84"/>
      <c r="K531" s="85"/>
      <c r="L531" s="85"/>
      <c r="M531" s="85"/>
      <c r="N531" s="85"/>
      <c r="O531" s="82"/>
      <c r="P531" s="83"/>
      <c r="Q531" s="83"/>
      <c r="R531" s="83"/>
      <c r="S531" s="82"/>
      <c r="T531" s="83"/>
      <c r="U531" s="83"/>
      <c r="V531" s="84"/>
      <c r="W531" s="85"/>
      <c r="X531" s="82"/>
      <c r="Y531" s="83"/>
      <c r="Z531" s="84"/>
      <c r="AA531" s="85"/>
      <c r="AB531" s="84"/>
      <c r="AC531" s="85"/>
      <c r="AD531" s="89">
        <f t="shared" si="121"/>
        <v>0</v>
      </c>
      <c r="AE531" s="89"/>
      <c r="AF531" s="186"/>
      <c r="AG531" s="85"/>
      <c r="AH531" s="85"/>
      <c r="AI531" s="85"/>
      <c r="AJ531" s="84"/>
      <c r="AK531" s="85"/>
      <c r="AL531" s="84"/>
      <c r="AM531" s="88"/>
      <c r="AN531" s="84"/>
      <c r="AO531" s="85"/>
      <c r="AP531" s="84"/>
      <c r="AQ531" s="83"/>
      <c r="AR531" s="83"/>
      <c r="AS531" s="83"/>
      <c r="AT531" s="85"/>
      <c r="AU531" s="85"/>
      <c r="AV531" s="85"/>
      <c r="AW531" s="88"/>
      <c r="AX531" s="84"/>
      <c r="AY531" s="85"/>
      <c r="AZ531" s="84"/>
      <c r="BA531" s="85"/>
      <c r="BB531" s="88"/>
      <c r="BC531" s="85"/>
      <c r="BD531" s="84"/>
      <c r="BE531" s="88"/>
      <c r="BF531" s="85"/>
      <c r="BG531" s="85"/>
      <c r="BH531" s="85"/>
      <c r="BI531" s="85"/>
      <c r="BJ531" s="85"/>
      <c r="BK531" s="85"/>
      <c r="BL531" s="85"/>
      <c r="BM531" s="85"/>
      <c r="BN531" s="85"/>
      <c r="BO531" s="85"/>
      <c r="BP531" s="85">
        <v>4984.4330200000004</v>
      </c>
      <c r="BQ531" s="85"/>
      <c r="BR531" s="84"/>
      <c r="BS531" s="85"/>
      <c r="BT531" s="85"/>
      <c r="BU531" s="198"/>
      <c r="BV531" s="90"/>
      <c r="BW531" s="198"/>
      <c r="BX531" s="90"/>
      <c r="BY531" s="198"/>
      <c r="BZ531" s="90"/>
      <c r="CA531" s="91"/>
    </row>
    <row r="532" spans="1:1199" ht="50.1" customHeight="1" outlineLevel="2" x14ac:dyDescent="0.3">
      <c r="A532" s="103" t="s">
        <v>481</v>
      </c>
      <c r="B532" s="102" t="s">
        <v>496</v>
      </c>
      <c r="C532" s="79" t="s">
        <v>1268</v>
      </c>
      <c r="D532" s="81">
        <f t="shared" si="119"/>
        <v>13952.943350000001</v>
      </c>
      <c r="E532" s="82">
        <f t="shared" si="112"/>
        <v>0</v>
      </c>
      <c r="F532" s="83">
        <f t="shared" si="120"/>
        <v>13952.943350000001</v>
      </c>
      <c r="G532" s="84"/>
      <c r="H532" s="85"/>
      <c r="I532" s="85"/>
      <c r="J532" s="84"/>
      <c r="K532" s="85"/>
      <c r="L532" s="85"/>
      <c r="M532" s="85"/>
      <c r="N532" s="85"/>
      <c r="O532" s="82"/>
      <c r="P532" s="83"/>
      <c r="Q532" s="83">
        <v>5220.4573700000001</v>
      </c>
      <c r="R532" s="83"/>
      <c r="S532" s="82"/>
      <c r="T532" s="83"/>
      <c r="U532" s="83"/>
      <c r="V532" s="84"/>
      <c r="W532" s="85"/>
      <c r="X532" s="82"/>
      <c r="Y532" s="83"/>
      <c r="Z532" s="84"/>
      <c r="AA532" s="85"/>
      <c r="AB532" s="84"/>
      <c r="AC532" s="85"/>
      <c r="AD532" s="89">
        <f t="shared" si="121"/>
        <v>1745.8804</v>
      </c>
      <c r="AE532" s="89">
        <f>157.707+692.1054</f>
        <v>849.81240000000003</v>
      </c>
      <c r="AF532" s="186">
        <f>202.48623+104.60266+338.55006+250.42905</f>
        <v>896.06799999999998</v>
      </c>
      <c r="AG532" s="85"/>
      <c r="AH532" s="85"/>
      <c r="AI532" s="85"/>
      <c r="AJ532" s="84"/>
      <c r="AK532" s="85"/>
      <c r="AL532" s="84"/>
      <c r="AM532" s="88"/>
      <c r="AN532" s="84"/>
      <c r="AO532" s="85"/>
      <c r="AP532" s="84"/>
      <c r="AQ532" s="83">
        <v>3536.0245300000001</v>
      </c>
      <c r="AR532" s="83"/>
      <c r="AS532" s="83"/>
      <c r="AT532" s="85"/>
      <c r="AU532" s="85"/>
      <c r="AV532" s="85"/>
      <c r="AW532" s="88"/>
      <c r="AX532" s="84"/>
      <c r="AY532" s="85"/>
      <c r="AZ532" s="84"/>
      <c r="BA532" s="85">
        <v>1973.6551400000001</v>
      </c>
      <c r="BB532" s="88"/>
      <c r="BC532" s="85"/>
      <c r="BD532" s="84"/>
      <c r="BE532" s="88"/>
      <c r="BF532" s="85"/>
      <c r="BG532" s="85">
        <v>623.03233</v>
      </c>
      <c r="BH532" s="85"/>
      <c r="BI532" s="85"/>
      <c r="BJ532" s="85"/>
      <c r="BK532" s="85"/>
      <c r="BL532" s="85"/>
      <c r="BM532" s="85"/>
      <c r="BN532" s="85"/>
      <c r="BO532" s="85"/>
      <c r="BP532" s="85"/>
      <c r="BQ532" s="85"/>
      <c r="BR532" s="84"/>
      <c r="BS532" s="85"/>
      <c r="BT532" s="85"/>
      <c r="BU532" s="97">
        <f>776.04358+77.85</f>
        <v>853.89358000000004</v>
      </c>
      <c r="BV532" s="90"/>
      <c r="BW532" s="198"/>
      <c r="BX532" s="90"/>
      <c r="BY532" s="198"/>
      <c r="BZ532" s="90"/>
      <c r="CA532" s="91"/>
    </row>
    <row r="533" spans="1:1199" ht="50.1" customHeight="1" outlineLevel="2" x14ac:dyDescent="0.3">
      <c r="A533" s="103" t="s">
        <v>481</v>
      </c>
      <c r="B533" s="108" t="s">
        <v>1128</v>
      </c>
      <c r="C533" s="79"/>
      <c r="D533" s="81">
        <f t="shared" si="119"/>
        <v>300</v>
      </c>
      <c r="E533" s="82">
        <f t="shared" si="112"/>
        <v>0</v>
      </c>
      <c r="F533" s="83">
        <f t="shared" si="120"/>
        <v>300</v>
      </c>
      <c r="G533" s="84"/>
      <c r="H533" s="85"/>
      <c r="I533" s="85"/>
      <c r="J533" s="84"/>
      <c r="K533" s="85"/>
      <c r="L533" s="85"/>
      <c r="M533" s="85"/>
      <c r="N533" s="85"/>
      <c r="O533" s="82"/>
      <c r="P533" s="83"/>
      <c r="Q533" s="83"/>
      <c r="R533" s="83"/>
      <c r="S533" s="82"/>
      <c r="T533" s="83"/>
      <c r="U533" s="83"/>
      <c r="V533" s="84"/>
      <c r="W533" s="85"/>
      <c r="X533" s="82"/>
      <c r="Y533" s="83"/>
      <c r="Z533" s="84"/>
      <c r="AA533" s="85"/>
      <c r="AB533" s="84"/>
      <c r="AC533" s="85"/>
      <c r="AD533" s="89">
        <f t="shared" si="121"/>
        <v>0</v>
      </c>
      <c r="AE533" s="89"/>
      <c r="AF533" s="186"/>
      <c r="AG533" s="85"/>
      <c r="AH533" s="85"/>
      <c r="AI533" s="85"/>
      <c r="AJ533" s="84"/>
      <c r="AK533" s="85"/>
      <c r="AL533" s="84"/>
      <c r="AM533" s="88"/>
      <c r="AN533" s="84"/>
      <c r="AO533" s="85"/>
      <c r="AP533" s="84"/>
      <c r="AQ533" s="83"/>
      <c r="AR533" s="83"/>
      <c r="AS533" s="83"/>
      <c r="AT533" s="85"/>
      <c r="AU533" s="85"/>
      <c r="AV533" s="85"/>
      <c r="AW533" s="88"/>
      <c r="AX533" s="84"/>
      <c r="AY533" s="85"/>
      <c r="AZ533" s="84"/>
      <c r="BA533" s="85"/>
      <c r="BB533" s="88"/>
      <c r="BC533" s="85"/>
      <c r="BD533" s="84"/>
      <c r="BE533" s="88"/>
      <c r="BF533" s="85"/>
      <c r="BG533" s="85"/>
      <c r="BH533" s="85">
        <v>300</v>
      </c>
      <c r="BI533" s="85"/>
      <c r="BJ533" s="85"/>
      <c r="BK533" s="85"/>
      <c r="BL533" s="85"/>
      <c r="BM533" s="85"/>
      <c r="BN533" s="85"/>
      <c r="BO533" s="85"/>
      <c r="BP533" s="85"/>
      <c r="BQ533" s="85"/>
      <c r="BR533" s="84"/>
      <c r="BS533" s="85"/>
      <c r="BT533" s="85"/>
      <c r="BU533" s="198"/>
      <c r="BV533" s="90"/>
      <c r="BW533" s="198"/>
      <c r="BX533" s="90"/>
      <c r="BY533" s="198"/>
      <c r="BZ533" s="90"/>
      <c r="CA533" s="91"/>
    </row>
    <row r="534" spans="1:1199" ht="50.1" customHeight="1" outlineLevel="2" x14ac:dyDescent="0.3">
      <c r="A534" s="103" t="s">
        <v>481</v>
      </c>
      <c r="B534" s="108" t="s">
        <v>1132</v>
      </c>
      <c r="C534" s="79"/>
      <c r="D534" s="81">
        <f t="shared" si="119"/>
        <v>300</v>
      </c>
      <c r="E534" s="82">
        <f t="shared" si="112"/>
        <v>0</v>
      </c>
      <c r="F534" s="83">
        <f t="shared" si="120"/>
        <v>300</v>
      </c>
      <c r="G534" s="84"/>
      <c r="H534" s="85"/>
      <c r="I534" s="85"/>
      <c r="J534" s="84"/>
      <c r="K534" s="85"/>
      <c r="L534" s="85"/>
      <c r="M534" s="85"/>
      <c r="N534" s="85"/>
      <c r="O534" s="82"/>
      <c r="P534" s="83"/>
      <c r="Q534" s="83"/>
      <c r="R534" s="83"/>
      <c r="S534" s="82"/>
      <c r="T534" s="83"/>
      <c r="U534" s="83"/>
      <c r="V534" s="84"/>
      <c r="W534" s="85"/>
      <c r="X534" s="82"/>
      <c r="Y534" s="83"/>
      <c r="Z534" s="84"/>
      <c r="AA534" s="85"/>
      <c r="AB534" s="84"/>
      <c r="AC534" s="85"/>
      <c r="AD534" s="89">
        <f t="shared" si="121"/>
        <v>0</v>
      </c>
      <c r="AE534" s="89"/>
      <c r="AF534" s="186"/>
      <c r="AG534" s="85"/>
      <c r="AH534" s="85"/>
      <c r="AI534" s="85"/>
      <c r="AJ534" s="84"/>
      <c r="AK534" s="85"/>
      <c r="AL534" s="84"/>
      <c r="AM534" s="88"/>
      <c r="AN534" s="84"/>
      <c r="AO534" s="85"/>
      <c r="AP534" s="84"/>
      <c r="AQ534" s="83"/>
      <c r="AR534" s="83"/>
      <c r="AS534" s="83"/>
      <c r="AT534" s="85"/>
      <c r="AU534" s="85"/>
      <c r="AV534" s="85"/>
      <c r="AW534" s="88"/>
      <c r="AX534" s="84"/>
      <c r="AY534" s="85"/>
      <c r="AZ534" s="84"/>
      <c r="BA534" s="85"/>
      <c r="BB534" s="88"/>
      <c r="BC534" s="85"/>
      <c r="BD534" s="84"/>
      <c r="BE534" s="88"/>
      <c r="BF534" s="85"/>
      <c r="BG534" s="85"/>
      <c r="BH534" s="85">
        <v>300</v>
      </c>
      <c r="BI534" s="85"/>
      <c r="BJ534" s="85"/>
      <c r="BK534" s="85"/>
      <c r="BL534" s="85"/>
      <c r="BM534" s="85"/>
      <c r="BN534" s="85"/>
      <c r="BO534" s="85"/>
      <c r="BP534" s="85"/>
      <c r="BQ534" s="85"/>
      <c r="BR534" s="84"/>
      <c r="BS534" s="85"/>
      <c r="BT534" s="85"/>
      <c r="BU534" s="198"/>
      <c r="BV534" s="90"/>
      <c r="BW534" s="198"/>
      <c r="BX534" s="90"/>
      <c r="BY534" s="198"/>
      <c r="BZ534" s="90"/>
      <c r="CA534" s="91"/>
    </row>
    <row r="535" spans="1:1199" s="101" customFormat="1" ht="50.1" customHeight="1" outlineLevel="1" x14ac:dyDescent="0.3">
      <c r="A535" s="132" t="s">
        <v>497</v>
      </c>
      <c r="B535" s="133"/>
      <c r="C535" s="134" t="s">
        <v>94</v>
      </c>
      <c r="D535" s="114">
        <f t="shared" ref="D535:AI535" si="122">SUBTOTAL(9,D511:D534)</f>
        <v>48041.642749999999</v>
      </c>
      <c r="E535" s="114">
        <f t="shared" si="122"/>
        <v>16038.568420000001</v>
      </c>
      <c r="F535" s="114">
        <f t="shared" si="122"/>
        <v>32003.074330000003</v>
      </c>
      <c r="G535" s="114">
        <f t="shared" si="122"/>
        <v>0</v>
      </c>
      <c r="H535" s="114">
        <f t="shared" si="122"/>
        <v>0</v>
      </c>
      <c r="I535" s="114">
        <f t="shared" si="122"/>
        <v>0</v>
      </c>
      <c r="J535" s="114">
        <f t="shared" si="122"/>
        <v>0</v>
      </c>
      <c r="K535" s="114">
        <f t="shared" si="122"/>
        <v>0</v>
      </c>
      <c r="L535" s="114">
        <f t="shared" si="122"/>
        <v>0</v>
      </c>
      <c r="M535" s="114">
        <f t="shared" si="122"/>
        <v>0</v>
      </c>
      <c r="N535" s="114">
        <f t="shared" si="122"/>
        <v>0</v>
      </c>
      <c r="O535" s="114">
        <f t="shared" si="122"/>
        <v>73.571539999999999</v>
      </c>
      <c r="P535" s="114">
        <f t="shared" si="122"/>
        <v>4.2426499999999994</v>
      </c>
      <c r="Q535" s="114">
        <f t="shared" si="122"/>
        <v>5220.4573700000001</v>
      </c>
      <c r="R535" s="114">
        <f t="shared" si="122"/>
        <v>0</v>
      </c>
      <c r="S535" s="114">
        <f t="shared" si="122"/>
        <v>0</v>
      </c>
      <c r="T535" s="114">
        <f t="shared" si="122"/>
        <v>0</v>
      </c>
      <c r="U535" s="114">
        <f t="shared" si="122"/>
        <v>0</v>
      </c>
      <c r="V535" s="114">
        <f t="shared" si="122"/>
        <v>136.84262000000001</v>
      </c>
      <c r="W535" s="114">
        <f t="shared" si="122"/>
        <v>232.08610000000002</v>
      </c>
      <c r="X535" s="114">
        <f t="shared" si="122"/>
        <v>0</v>
      </c>
      <c r="Y535" s="114">
        <f t="shared" si="122"/>
        <v>737.25600000000009</v>
      </c>
      <c r="Z535" s="114">
        <f t="shared" si="122"/>
        <v>0</v>
      </c>
      <c r="AA535" s="114">
        <f t="shared" si="122"/>
        <v>0</v>
      </c>
      <c r="AB535" s="114">
        <f t="shared" si="122"/>
        <v>0</v>
      </c>
      <c r="AC535" s="114">
        <f t="shared" si="122"/>
        <v>0</v>
      </c>
      <c r="AD535" s="114">
        <f t="shared" si="122"/>
        <v>2045.5286599999999</v>
      </c>
      <c r="AE535" s="114">
        <f t="shared" si="122"/>
        <v>1022.9908</v>
      </c>
      <c r="AF535" s="191">
        <f t="shared" si="122"/>
        <v>1022.53786</v>
      </c>
      <c r="AG535" s="114">
        <f t="shared" si="122"/>
        <v>0</v>
      </c>
      <c r="AH535" s="114">
        <f t="shared" si="122"/>
        <v>0</v>
      </c>
      <c r="AI535" s="114">
        <f t="shared" si="122"/>
        <v>0</v>
      </c>
      <c r="AJ535" s="114">
        <f t="shared" ref="AJ535:BO535" si="123">SUBTOTAL(9,AJ511:AJ534)</f>
        <v>0</v>
      </c>
      <c r="AK535" s="114">
        <f t="shared" si="123"/>
        <v>0</v>
      </c>
      <c r="AL535" s="114">
        <f t="shared" si="123"/>
        <v>0</v>
      </c>
      <c r="AM535" s="114">
        <f t="shared" si="123"/>
        <v>0</v>
      </c>
      <c r="AN535" s="114">
        <f t="shared" si="123"/>
        <v>0</v>
      </c>
      <c r="AO535" s="114">
        <f t="shared" si="123"/>
        <v>0</v>
      </c>
      <c r="AP535" s="114">
        <f t="shared" si="123"/>
        <v>0</v>
      </c>
      <c r="AQ535" s="114">
        <f t="shared" si="123"/>
        <v>3536.0245300000001</v>
      </c>
      <c r="AR535" s="114">
        <f t="shared" si="123"/>
        <v>0</v>
      </c>
      <c r="AS535" s="114">
        <f t="shared" si="123"/>
        <v>0</v>
      </c>
      <c r="AT535" s="114">
        <f t="shared" si="123"/>
        <v>0</v>
      </c>
      <c r="AU535" s="114">
        <f t="shared" si="123"/>
        <v>0</v>
      </c>
      <c r="AV535" s="114">
        <f t="shared" si="123"/>
        <v>289.34640000000002</v>
      </c>
      <c r="AW535" s="114">
        <f t="shared" si="123"/>
        <v>0</v>
      </c>
      <c r="AX535" s="114">
        <f t="shared" si="123"/>
        <v>0</v>
      </c>
      <c r="AY535" s="114">
        <f t="shared" si="123"/>
        <v>0</v>
      </c>
      <c r="AZ535" s="114">
        <f t="shared" si="123"/>
        <v>1387.6044800000002</v>
      </c>
      <c r="BA535" s="114">
        <f t="shared" si="123"/>
        <v>3230.2434899999998</v>
      </c>
      <c r="BB535" s="114">
        <f t="shared" si="123"/>
        <v>3.5402900000000002</v>
      </c>
      <c r="BC535" s="114">
        <f t="shared" si="123"/>
        <v>0</v>
      </c>
      <c r="BD535" s="114">
        <f t="shared" si="123"/>
        <v>0</v>
      </c>
      <c r="BE535" s="114">
        <f t="shared" si="123"/>
        <v>0</v>
      </c>
      <c r="BF535" s="114">
        <f t="shared" si="123"/>
        <v>0</v>
      </c>
      <c r="BG535" s="114">
        <f t="shared" si="123"/>
        <v>722.47449000000006</v>
      </c>
      <c r="BH535" s="114">
        <f t="shared" si="123"/>
        <v>600</v>
      </c>
      <c r="BI535" s="114">
        <f t="shared" si="123"/>
        <v>0</v>
      </c>
      <c r="BJ535" s="114">
        <f t="shared" si="123"/>
        <v>0</v>
      </c>
      <c r="BK535" s="114">
        <f t="shared" si="123"/>
        <v>408.25065000000001</v>
      </c>
      <c r="BL535" s="114">
        <f t="shared" si="123"/>
        <v>0</v>
      </c>
      <c r="BM535" s="114">
        <f t="shared" si="123"/>
        <v>0</v>
      </c>
      <c r="BN535" s="114">
        <f t="shared" si="123"/>
        <v>0</v>
      </c>
      <c r="BO535" s="114">
        <f t="shared" si="123"/>
        <v>0</v>
      </c>
      <c r="BP535" s="114">
        <f t="shared" ref="BP535:CU535" si="124">SUBTOTAL(9,BP511:BP534)</f>
        <v>11045.59582</v>
      </c>
      <c r="BQ535" s="114">
        <f t="shared" si="124"/>
        <v>0</v>
      </c>
      <c r="BR535" s="114">
        <f t="shared" si="124"/>
        <v>9041.9980799999994</v>
      </c>
      <c r="BS535" s="114">
        <f t="shared" si="124"/>
        <v>0</v>
      </c>
      <c r="BT535" s="114">
        <f t="shared" si="124"/>
        <v>0</v>
      </c>
      <c r="BU535" s="114">
        <f t="shared" si="124"/>
        <v>853.89358000000004</v>
      </c>
      <c r="BV535" s="114">
        <f t="shared" si="124"/>
        <v>5398.5517</v>
      </c>
      <c r="BW535" s="114">
        <f t="shared" si="124"/>
        <v>3074.1343000000002</v>
      </c>
      <c r="BX535" s="114">
        <f t="shared" si="124"/>
        <v>0</v>
      </c>
      <c r="BY535" s="114">
        <f t="shared" si="124"/>
        <v>0</v>
      </c>
      <c r="BZ535" s="114">
        <f t="shared" si="124"/>
        <v>0</v>
      </c>
      <c r="CA535" s="114">
        <f t="shared" si="124"/>
        <v>0</v>
      </c>
      <c r="CB535" s="176"/>
      <c r="CC535" s="176"/>
      <c r="CD535" s="176"/>
      <c r="CE535" s="176"/>
      <c r="CF535" s="176"/>
      <c r="CG535" s="176"/>
      <c r="CH535" s="176"/>
      <c r="CI535" s="176"/>
      <c r="CJ535" s="176"/>
      <c r="CK535" s="176"/>
      <c r="CL535" s="176"/>
      <c r="CM535" s="176"/>
      <c r="CN535" s="176"/>
      <c r="CO535" s="176"/>
      <c r="CP535" s="176"/>
      <c r="CQ535" s="176"/>
      <c r="CR535" s="176"/>
      <c r="CS535" s="176"/>
      <c r="CT535" s="176"/>
      <c r="CU535" s="176"/>
      <c r="CV535" s="176"/>
      <c r="CW535" s="176"/>
      <c r="CX535" s="176"/>
      <c r="CY535" s="176"/>
      <c r="CZ535" s="176"/>
      <c r="DA535" s="176"/>
      <c r="DB535" s="176"/>
      <c r="DC535" s="176"/>
      <c r="DD535" s="176"/>
      <c r="DE535" s="176"/>
      <c r="DF535" s="176"/>
      <c r="DG535" s="176"/>
      <c r="DH535" s="176"/>
      <c r="DI535" s="176"/>
      <c r="DJ535" s="176"/>
      <c r="DK535" s="176"/>
      <c r="DL535" s="176"/>
      <c r="DM535" s="176"/>
      <c r="DN535" s="176"/>
      <c r="DO535" s="176"/>
      <c r="DP535" s="176"/>
      <c r="DQ535" s="176"/>
      <c r="DR535" s="176"/>
      <c r="DS535" s="176"/>
      <c r="DT535" s="176"/>
      <c r="DU535" s="176"/>
      <c r="DV535" s="176"/>
      <c r="DW535" s="176"/>
      <c r="DX535" s="176"/>
      <c r="DY535" s="176"/>
      <c r="DZ535" s="176"/>
      <c r="EA535" s="176"/>
      <c r="EB535" s="176"/>
      <c r="EC535" s="176"/>
      <c r="ED535" s="176"/>
      <c r="EE535" s="176"/>
      <c r="EF535" s="176"/>
      <c r="EG535" s="176"/>
      <c r="EH535" s="176"/>
      <c r="EI535" s="176"/>
      <c r="EJ535" s="176"/>
      <c r="EK535" s="176"/>
      <c r="EL535" s="176"/>
      <c r="EM535" s="176"/>
      <c r="EN535" s="176"/>
      <c r="EO535" s="176"/>
      <c r="EP535" s="176"/>
      <c r="EQ535" s="176"/>
      <c r="ER535" s="176"/>
      <c r="ES535" s="176"/>
      <c r="ET535" s="176"/>
      <c r="EU535" s="176"/>
      <c r="EV535" s="176"/>
      <c r="EW535" s="176"/>
      <c r="EX535" s="176"/>
      <c r="EY535" s="176"/>
      <c r="EZ535" s="176"/>
      <c r="FA535" s="176"/>
      <c r="FB535" s="176"/>
      <c r="FC535" s="176"/>
      <c r="FD535" s="176"/>
      <c r="FE535" s="176"/>
      <c r="FF535" s="176"/>
      <c r="FG535" s="176"/>
      <c r="FH535" s="176"/>
      <c r="FI535" s="176"/>
      <c r="FJ535" s="176"/>
      <c r="FK535" s="176"/>
      <c r="FL535" s="176"/>
      <c r="FM535" s="176"/>
      <c r="FN535" s="176"/>
      <c r="FO535" s="176"/>
      <c r="FP535" s="176"/>
      <c r="FQ535" s="176"/>
      <c r="FR535" s="176"/>
      <c r="FS535" s="176"/>
      <c r="FT535" s="176"/>
      <c r="FU535" s="176"/>
      <c r="FV535" s="176"/>
      <c r="FW535" s="176"/>
      <c r="FX535" s="176"/>
      <c r="FY535" s="176"/>
      <c r="FZ535" s="176"/>
      <c r="GA535" s="176"/>
      <c r="GB535" s="176"/>
      <c r="GC535" s="176"/>
      <c r="GD535" s="176"/>
      <c r="GE535" s="176"/>
      <c r="GF535" s="176"/>
      <c r="GG535" s="176"/>
      <c r="GH535" s="176"/>
      <c r="GI535" s="176"/>
      <c r="GJ535" s="176"/>
      <c r="GK535" s="176"/>
      <c r="GL535" s="176"/>
      <c r="GM535" s="176"/>
      <c r="GN535" s="176"/>
      <c r="GO535" s="176"/>
      <c r="GP535" s="176"/>
      <c r="GQ535" s="176"/>
      <c r="GR535" s="176"/>
      <c r="GS535" s="176"/>
      <c r="GT535" s="176"/>
      <c r="GU535" s="176"/>
      <c r="GV535" s="176"/>
      <c r="GW535" s="176"/>
      <c r="GX535" s="176"/>
      <c r="GY535" s="176"/>
      <c r="GZ535" s="176"/>
      <c r="HA535" s="176"/>
      <c r="HB535" s="176"/>
      <c r="HC535" s="176"/>
      <c r="HD535" s="176"/>
      <c r="HE535" s="176"/>
      <c r="HF535" s="176"/>
      <c r="HG535" s="176"/>
      <c r="HH535" s="176"/>
      <c r="HI535" s="176"/>
      <c r="HJ535" s="176"/>
      <c r="HK535" s="176"/>
      <c r="HL535" s="176"/>
      <c r="HM535" s="176"/>
      <c r="HN535" s="176"/>
      <c r="HO535" s="176"/>
      <c r="HP535" s="176"/>
      <c r="HQ535" s="176"/>
      <c r="HR535" s="176"/>
      <c r="HS535" s="176"/>
      <c r="HT535" s="176"/>
      <c r="HU535" s="176"/>
      <c r="HV535" s="176"/>
      <c r="HW535" s="176"/>
      <c r="HX535" s="176"/>
      <c r="HY535" s="176"/>
      <c r="HZ535" s="176"/>
      <c r="IA535" s="176"/>
      <c r="IB535" s="176"/>
      <c r="IC535" s="176"/>
      <c r="ID535" s="176"/>
      <c r="IE535" s="176"/>
      <c r="IF535" s="176"/>
      <c r="IG535" s="176"/>
      <c r="IH535" s="176"/>
      <c r="II535" s="176"/>
      <c r="IJ535" s="176"/>
      <c r="IK535" s="176"/>
      <c r="IL535" s="176"/>
      <c r="IM535" s="176"/>
      <c r="IN535" s="176"/>
      <c r="IO535" s="176"/>
      <c r="IP535" s="176"/>
      <c r="IQ535" s="176"/>
      <c r="IR535" s="176"/>
      <c r="IS535" s="176"/>
      <c r="IT535" s="176"/>
      <c r="IU535" s="176"/>
      <c r="IV535" s="176"/>
      <c r="IW535" s="176"/>
      <c r="IX535" s="176"/>
      <c r="IY535" s="176"/>
      <c r="IZ535" s="176"/>
      <c r="JA535" s="176"/>
      <c r="JB535" s="176"/>
      <c r="JC535" s="176"/>
      <c r="JD535" s="176"/>
      <c r="JE535" s="176"/>
      <c r="JF535" s="176"/>
      <c r="JG535" s="176"/>
      <c r="JH535" s="176"/>
      <c r="JI535" s="176"/>
      <c r="JJ535" s="176"/>
      <c r="JK535" s="176"/>
      <c r="JL535" s="176"/>
      <c r="JM535" s="176"/>
      <c r="JN535" s="176"/>
      <c r="JO535" s="176"/>
      <c r="JP535" s="176"/>
      <c r="JQ535" s="176"/>
      <c r="JR535" s="176"/>
      <c r="JS535" s="176"/>
      <c r="JT535" s="176"/>
      <c r="JU535" s="176"/>
      <c r="JV535" s="176"/>
      <c r="JW535" s="131"/>
      <c r="JX535" s="131"/>
      <c r="JY535" s="131"/>
      <c r="JZ535" s="131"/>
      <c r="KA535" s="131"/>
      <c r="KB535" s="131"/>
      <c r="KC535" s="131"/>
      <c r="KD535" s="131"/>
      <c r="KE535" s="131"/>
      <c r="KF535" s="131"/>
      <c r="KG535" s="131"/>
      <c r="KH535" s="131"/>
      <c r="KI535" s="131"/>
      <c r="KJ535" s="131"/>
      <c r="KK535" s="131"/>
      <c r="KL535" s="131"/>
      <c r="KM535" s="131"/>
      <c r="KN535" s="131"/>
      <c r="KO535" s="131"/>
      <c r="KP535" s="131"/>
      <c r="KQ535" s="131"/>
      <c r="KR535" s="131"/>
      <c r="KS535" s="131"/>
      <c r="KT535" s="131"/>
      <c r="KU535" s="131"/>
      <c r="KV535" s="131"/>
      <c r="KW535" s="131"/>
      <c r="KX535" s="131"/>
      <c r="KY535" s="131"/>
      <c r="KZ535" s="131"/>
      <c r="LA535" s="131"/>
      <c r="LB535" s="131"/>
      <c r="LC535" s="131"/>
      <c r="LD535" s="131"/>
      <c r="LE535" s="131"/>
      <c r="LF535" s="131"/>
      <c r="LG535" s="131"/>
      <c r="LH535" s="131"/>
      <c r="LI535" s="131"/>
      <c r="LJ535" s="131"/>
      <c r="LK535" s="131"/>
      <c r="LL535" s="131"/>
      <c r="LM535" s="131"/>
      <c r="LN535" s="131"/>
      <c r="LO535" s="131"/>
      <c r="LP535" s="131"/>
      <c r="LQ535" s="131"/>
      <c r="LR535" s="131"/>
      <c r="LS535" s="131"/>
      <c r="LT535" s="131"/>
      <c r="LU535" s="131"/>
      <c r="LV535" s="131"/>
      <c r="LW535" s="131"/>
      <c r="LX535" s="131"/>
      <c r="LY535" s="131"/>
      <c r="LZ535" s="131"/>
      <c r="MA535" s="131"/>
      <c r="MB535" s="131"/>
      <c r="MC535" s="131"/>
      <c r="MD535" s="131"/>
      <c r="ME535" s="131"/>
      <c r="MF535" s="131"/>
      <c r="MG535" s="131"/>
      <c r="MH535" s="131"/>
      <c r="MI535" s="131"/>
      <c r="MJ535" s="131"/>
      <c r="MK535" s="131"/>
      <c r="ML535" s="131"/>
      <c r="MM535" s="131"/>
      <c r="MN535" s="131"/>
      <c r="MO535" s="131"/>
      <c r="MP535" s="131"/>
      <c r="MQ535" s="131"/>
      <c r="MR535" s="131"/>
      <c r="MS535" s="131"/>
      <c r="MT535" s="131"/>
      <c r="MU535" s="131"/>
      <c r="MV535" s="131"/>
      <c r="MW535" s="131"/>
      <c r="MX535" s="131"/>
      <c r="MY535" s="131"/>
      <c r="MZ535" s="131"/>
      <c r="NA535" s="131"/>
      <c r="NB535" s="131"/>
      <c r="NC535" s="131"/>
      <c r="ND535" s="131"/>
      <c r="NE535" s="131"/>
      <c r="NF535" s="131"/>
      <c r="NG535" s="131"/>
      <c r="NH535" s="131"/>
      <c r="NI535" s="131"/>
      <c r="NJ535" s="131"/>
      <c r="NK535" s="131"/>
      <c r="NL535" s="131"/>
      <c r="NM535" s="131"/>
      <c r="NN535" s="131"/>
      <c r="NO535" s="131"/>
      <c r="NP535" s="131"/>
      <c r="NQ535" s="131"/>
      <c r="NR535" s="131"/>
      <c r="NS535" s="131"/>
      <c r="NT535" s="131"/>
      <c r="NU535" s="131"/>
      <c r="NV535" s="131"/>
      <c r="NW535" s="131"/>
      <c r="NX535" s="131"/>
      <c r="NY535" s="131"/>
      <c r="NZ535" s="131"/>
      <c r="OA535" s="131"/>
      <c r="OB535" s="131"/>
      <c r="OC535" s="131"/>
      <c r="OD535" s="131"/>
      <c r="OE535" s="131"/>
      <c r="OF535" s="131"/>
      <c r="OG535" s="131"/>
      <c r="OH535" s="131"/>
      <c r="OI535" s="131"/>
      <c r="OJ535" s="131"/>
      <c r="OK535" s="131"/>
      <c r="OL535" s="131"/>
      <c r="OM535" s="131"/>
      <c r="ON535" s="131"/>
      <c r="OO535" s="131"/>
      <c r="OP535" s="131"/>
      <c r="OQ535" s="131"/>
      <c r="OR535" s="131"/>
      <c r="OS535" s="131"/>
      <c r="OT535" s="131"/>
      <c r="OU535" s="131"/>
      <c r="OV535" s="131"/>
      <c r="OW535" s="131"/>
      <c r="OX535" s="131"/>
      <c r="OY535" s="131"/>
      <c r="OZ535" s="131"/>
      <c r="PA535" s="131"/>
      <c r="PB535" s="131"/>
      <c r="PC535" s="131"/>
      <c r="PD535" s="131"/>
      <c r="PE535" s="131"/>
      <c r="PF535" s="131"/>
      <c r="PG535" s="131"/>
      <c r="PH535" s="131"/>
      <c r="PI535" s="131"/>
      <c r="PJ535" s="131"/>
      <c r="PK535" s="131"/>
      <c r="PL535" s="131"/>
      <c r="PM535" s="131"/>
      <c r="PN535" s="131"/>
      <c r="PO535" s="131"/>
      <c r="PP535" s="131"/>
      <c r="PQ535" s="131"/>
      <c r="PR535" s="131"/>
      <c r="PS535" s="131"/>
      <c r="PT535" s="131"/>
      <c r="PU535" s="131"/>
      <c r="PV535" s="131"/>
      <c r="PW535" s="131"/>
      <c r="PX535" s="131"/>
      <c r="PY535" s="131"/>
      <c r="PZ535" s="131"/>
      <c r="QA535" s="131"/>
      <c r="QB535" s="131"/>
      <c r="QC535" s="131"/>
      <c r="QD535" s="131"/>
      <c r="QE535" s="131"/>
      <c r="QF535" s="131"/>
      <c r="QG535" s="131"/>
      <c r="QH535" s="131"/>
      <c r="QI535" s="131"/>
      <c r="QJ535" s="131"/>
      <c r="QK535" s="131"/>
      <c r="QL535" s="131"/>
      <c r="QM535" s="131"/>
      <c r="QN535" s="131"/>
      <c r="QO535" s="131"/>
      <c r="QP535" s="131"/>
      <c r="QQ535" s="131"/>
      <c r="QR535" s="131"/>
      <c r="QS535" s="131"/>
      <c r="QT535" s="131"/>
      <c r="QU535" s="131"/>
      <c r="QV535" s="131"/>
      <c r="QW535" s="131"/>
      <c r="QX535" s="131"/>
      <c r="QY535" s="131"/>
      <c r="QZ535" s="131"/>
      <c r="RA535" s="131"/>
      <c r="RB535" s="131"/>
      <c r="RC535" s="131"/>
      <c r="RD535" s="131"/>
      <c r="RE535" s="131"/>
      <c r="RF535" s="131"/>
      <c r="RG535" s="131"/>
      <c r="RH535" s="131"/>
      <c r="RI535" s="131"/>
      <c r="RJ535" s="131"/>
      <c r="RK535" s="131"/>
      <c r="RL535" s="131"/>
      <c r="RM535" s="131"/>
      <c r="RN535" s="131"/>
      <c r="RO535" s="131"/>
      <c r="RP535" s="131"/>
      <c r="RQ535" s="131"/>
      <c r="RR535" s="131"/>
      <c r="RS535" s="131"/>
      <c r="RT535" s="131"/>
      <c r="RU535" s="131"/>
      <c r="RV535" s="131"/>
      <c r="RW535" s="131"/>
      <c r="RX535" s="131"/>
      <c r="RY535" s="131"/>
      <c r="RZ535" s="131"/>
      <c r="SA535" s="131"/>
      <c r="SB535" s="131"/>
      <c r="SC535" s="131"/>
      <c r="SD535" s="131"/>
      <c r="SE535" s="131"/>
      <c r="SF535" s="131"/>
      <c r="SG535" s="131"/>
      <c r="SH535" s="131"/>
      <c r="SI535" s="131"/>
      <c r="SJ535" s="131"/>
      <c r="SK535" s="131"/>
      <c r="SL535" s="131"/>
      <c r="SM535" s="131"/>
      <c r="SN535" s="131"/>
      <c r="SO535" s="131"/>
      <c r="SP535" s="131"/>
      <c r="SQ535" s="131"/>
      <c r="SR535" s="131"/>
      <c r="SS535" s="131"/>
      <c r="ST535" s="131"/>
      <c r="SU535" s="131"/>
      <c r="SV535" s="131"/>
      <c r="SW535" s="131"/>
      <c r="SX535" s="131"/>
      <c r="SY535" s="131"/>
      <c r="SZ535" s="131"/>
      <c r="TA535" s="131"/>
      <c r="TB535" s="131"/>
      <c r="TC535" s="131"/>
      <c r="TD535" s="131"/>
      <c r="TE535" s="131"/>
      <c r="TF535" s="131"/>
      <c r="TG535" s="131"/>
      <c r="TH535" s="131"/>
      <c r="TI535" s="131"/>
      <c r="TJ535" s="131"/>
      <c r="TK535" s="131"/>
      <c r="TL535" s="131"/>
      <c r="TM535" s="131"/>
      <c r="TN535" s="131"/>
      <c r="TO535" s="131"/>
      <c r="TP535" s="131"/>
      <c r="TQ535" s="131"/>
      <c r="TR535" s="131"/>
      <c r="TS535" s="131"/>
      <c r="TT535" s="131"/>
      <c r="TU535" s="131"/>
      <c r="TV535" s="131"/>
      <c r="TW535" s="131"/>
      <c r="TX535" s="131"/>
      <c r="TY535" s="131"/>
      <c r="TZ535" s="131"/>
      <c r="UA535" s="131"/>
      <c r="UB535" s="131"/>
      <c r="UC535" s="131"/>
      <c r="UD535" s="131"/>
      <c r="UE535" s="131"/>
      <c r="UF535" s="131"/>
      <c r="UG535" s="131"/>
      <c r="UH535" s="131"/>
      <c r="UI535" s="131"/>
      <c r="UJ535" s="131"/>
      <c r="UK535" s="131"/>
      <c r="UL535" s="131"/>
      <c r="UM535" s="131"/>
      <c r="UN535" s="131"/>
      <c r="UO535" s="131"/>
      <c r="UP535" s="131"/>
      <c r="UQ535" s="131"/>
      <c r="UR535" s="131"/>
      <c r="US535" s="131"/>
      <c r="UT535" s="131"/>
      <c r="UU535" s="131"/>
      <c r="UV535" s="131"/>
      <c r="UW535" s="131"/>
      <c r="UX535" s="131"/>
      <c r="UY535" s="131"/>
      <c r="UZ535" s="131"/>
      <c r="VA535" s="131"/>
      <c r="VB535" s="131"/>
      <c r="VC535" s="131"/>
      <c r="VD535" s="131"/>
      <c r="VE535" s="131"/>
      <c r="VF535" s="131"/>
      <c r="VG535" s="131"/>
      <c r="VH535" s="131"/>
      <c r="VI535" s="131"/>
      <c r="VJ535" s="131"/>
      <c r="VK535" s="131"/>
      <c r="VL535" s="131"/>
      <c r="VM535" s="131"/>
      <c r="VN535" s="131"/>
      <c r="VO535" s="131"/>
      <c r="VP535" s="131"/>
      <c r="VQ535" s="131"/>
      <c r="VR535" s="131"/>
      <c r="VS535" s="131"/>
      <c r="VT535" s="131"/>
      <c r="VU535" s="131"/>
      <c r="VV535" s="131"/>
      <c r="VW535" s="131"/>
      <c r="VX535" s="131"/>
      <c r="VY535" s="131"/>
      <c r="VZ535" s="131"/>
      <c r="WA535" s="131"/>
      <c r="WB535" s="131"/>
      <c r="WC535" s="131"/>
      <c r="WD535" s="131"/>
      <c r="WE535" s="131"/>
      <c r="WF535" s="131"/>
      <c r="WG535" s="131"/>
      <c r="WH535" s="131"/>
      <c r="WI535" s="131"/>
      <c r="WJ535" s="131"/>
      <c r="WK535" s="131"/>
      <c r="WL535" s="131"/>
      <c r="WM535" s="131"/>
      <c r="WN535" s="131"/>
      <c r="WO535" s="131"/>
      <c r="WP535" s="131"/>
      <c r="WQ535" s="131"/>
      <c r="WR535" s="131"/>
      <c r="WS535" s="131"/>
      <c r="WT535" s="131"/>
      <c r="WU535" s="131"/>
      <c r="WV535" s="131"/>
      <c r="WW535" s="131"/>
      <c r="WX535" s="131"/>
      <c r="WY535" s="131"/>
      <c r="WZ535" s="131"/>
      <c r="XA535" s="131"/>
      <c r="XB535" s="131"/>
      <c r="XC535" s="131"/>
      <c r="XD535" s="131"/>
      <c r="XE535" s="131"/>
      <c r="XF535" s="131"/>
      <c r="XG535" s="131"/>
      <c r="XH535" s="131"/>
      <c r="XI535" s="131"/>
      <c r="XJ535" s="131"/>
      <c r="XK535" s="131"/>
      <c r="XL535" s="131"/>
      <c r="XM535" s="131"/>
      <c r="XN535" s="131"/>
      <c r="XO535" s="131"/>
      <c r="XP535" s="131"/>
      <c r="XQ535" s="131"/>
      <c r="XR535" s="131"/>
      <c r="XS535" s="131"/>
      <c r="XT535" s="131"/>
      <c r="XU535" s="131"/>
      <c r="XV535" s="131"/>
      <c r="XW535" s="131"/>
      <c r="XX535" s="131"/>
      <c r="XY535" s="131"/>
      <c r="XZ535" s="131"/>
      <c r="YA535" s="131"/>
      <c r="YB535" s="131"/>
      <c r="YC535" s="131"/>
      <c r="YD535" s="131"/>
      <c r="YE535" s="131"/>
      <c r="YF535" s="131"/>
      <c r="YG535" s="131"/>
      <c r="YH535" s="131"/>
      <c r="YI535" s="131"/>
      <c r="YJ535" s="131"/>
      <c r="YK535" s="131"/>
      <c r="YL535" s="131"/>
      <c r="YM535" s="131"/>
      <c r="YN535" s="131"/>
      <c r="YO535" s="131"/>
      <c r="YP535" s="131"/>
      <c r="YQ535" s="131"/>
      <c r="YR535" s="131"/>
      <c r="YS535" s="131"/>
      <c r="YT535" s="131"/>
      <c r="YU535" s="131"/>
      <c r="YV535" s="131"/>
      <c r="YW535" s="131"/>
      <c r="YX535" s="131"/>
      <c r="YY535" s="131"/>
      <c r="YZ535" s="131"/>
      <c r="ZA535" s="131"/>
      <c r="ZB535" s="131"/>
      <c r="ZC535" s="131"/>
      <c r="ZD535" s="131"/>
      <c r="ZE535" s="131"/>
      <c r="ZF535" s="131"/>
      <c r="ZG535" s="131"/>
      <c r="ZH535" s="131"/>
      <c r="ZI535" s="131"/>
      <c r="ZJ535" s="131"/>
      <c r="ZK535" s="131"/>
      <c r="ZL535" s="131"/>
      <c r="ZM535" s="131"/>
      <c r="ZN535" s="131"/>
      <c r="ZO535" s="131"/>
      <c r="ZP535" s="131"/>
      <c r="ZQ535" s="131"/>
      <c r="ZR535" s="131"/>
      <c r="ZS535" s="131"/>
      <c r="ZT535" s="131"/>
      <c r="ZU535" s="131"/>
      <c r="ZV535" s="131"/>
      <c r="ZW535" s="131"/>
      <c r="ZX535" s="131"/>
      <c r="ZY535" s="131"/>
      <c r="ZZ535" s="131"/>
      <c r="AAA535" s="131"/>
      <c r="AAB535" s="131"/>
      <c r="AAC535" s="131"/>
      <c r="AAD535" s="131"/>
      <c r="AAE535" s="131"/>
      <c r="AAF535" s="131"/>
      <c r="AAG535" s="131"/>
      <c r="AAH535" s="131"/>
      <c r="AAI535" s="131"/>
      <c r="AAJ535" s="131"/>
      <c r="AAK535" s="131"/>
      <c r="AAL535" s="131"/>
      <c r="AAM535" s="131"/>
      <c r="AAN535" s="131"/>
      <c r="AAO535" s="131"/>
      <c r="AAP535" s="131"/>
      <c r="AAQ535" s="131"/>
      <c r="AAR535" s="131"/>
      <c r="AAS535" s="131"/>
      <c r="AAT535" s="131"/>
      <c r="AAU535" s="131"/>
      <c r="AAV535" s="131"/>
      <c r="AAW535" s="131"/>
      <c r="AAX535" s="131"/>
      <c r="AAY535" s="131"/>
      <c r="AAZ535" s="131"/>
      <c r="ABA535" s="131"/>
      <c r="ABB535" s="131"/>
      <c r="ABC535" s="131"/>
      <c r="ABD535" s="131"/>
      <c r="ABE535" s="131"/>
      <c r="ABF535" s="131"/>
      <c r="ABG535" s="131"/>
      <c r="ABH535" s="131"/>
      <c r="ABI535" s="131"/>
      <c r="ABJ535" s="131"/>
      <c r="ABK535" s="131"/>
      <c r="ABL535" s="131"/>
      <c r="ABM535" s="131"/>
      <c r="ABN535" s="131"/>
      <c r="ABO535" s="131"/>
      <c r="ABP535" s="131"/>
      <c r="ABQ535" s="131"/>
      <c r="ABR535" s="131"/>
      <c r="ABS535" s="131"/>
      <c r="ABT535" s="131"/>
      <c r="ABU535" s="131"/>
      <c r="ABV535" s="131"/>
      <c r="ABW535" s="131"/>
      <c r="ABX535" s="131"/>
      <c r="ABY535" s="131"/>
      <c r="ABZ535" s="131"/>
      <c r="ACA535" s="131"/>
      <c r="ACB535" s="131"/>
      <c r="ACC535" s="131"/>
      <c r="ACD535" s="131"/>
      <c r="ACE535" s="131"/>
      <c r="ACF535" s="131"/>
      <c r="ACG535" s="131"/>
      <c r="ACH535" s="131"/>
      <c r="ACI535" s="131"/>
      <c r="ACJ535" s="131"/>
      <c r="ACK535" s="131"/>
      <c r="ACL535" s="131"/>
      <c r="ACM535" s="131"/>
      <c r="ACN535" s="131"/>
      <c r="ACO535" s="131"/>
      <c r="ACP535" s="131"/>
      <c r="ACQ535" s="131"/>
      <c r="ACR535" s="131"/>
      <c r="ACS535" s="131"/>
      <c r="ACT535" s="131"/>
      <c r="ACU535" s="131"/>
      <c r="ACV535" s="131"/>
      <c r="ACW535" s="131"/>
      <c r="ACX535" s="131"/>
      <c r="ACY535" s="131"/>
      <c r="ACZ535" s="131"/>
      <c r="ADA535" s="131"/>
      <c r="ADB535" s="131"/>
      <c r="ADC535" s="131"/>
      <c r="ADD535" s="131"/>
      <c r="ADE535" s="131"/>
      <c r="ADF535" s="131"/>
      <c r="ADG535" s="131"/>
      <c r="ADH535" s="131"/>
      <c r="ADI535" s="131"/>
      <c r="ADJ535" s="131"/>
      <c r="ADK535" s="131"/>
      <c r="ADL535" s="131"/>
      <c r="ADM535" s="131"/>
      <c r="ADN535" s="131"/>
      <c r="ADO535" s="131"/>
      <c r="ADP535" s="131"/>
      <c r="ADQ535" s="131"/>
      <c r="ADR535" s="131"/>
      <c r="ADS535" s="131"/>
      <c r="ADT535" s="131"/>
      <c r="ADU535" s="131"/>
      <c r="ADV535" s="131"/>
      <c r="ADW535" s="131"/>
      <c r="ADX535" s="131"/>
      <c r="ADY535" s="131"/>
      <c r="ADZ535" s="131"/>
      <c r="AEA535" s="131"/>
      <c r="AEB535" s="131"/>
      <c r="AEC535" s="131"/>
      <c r="AED535" s="131"/>
      <c r="AEE535" s="131"/>
      <c r="AEF535" s="131"/>
      <c r="AEG535" s="131"/>
      <c r="AEH535" s="131"/>
      <c r="AEI535" s="131"/>
      <c r="AEJ535" s="131"/>
      <c r="AEK535" s="131"/>
      <c r="AEL535" s="131"/>
      <c r="AEM535" s="131"/>
      <c r="AEN535" s="131"/>
      <c r="AEO535" s="131"/>
      <c r="AEP535" s="131"/>
      <c r="AEQ535" s="131"/>
      <c r="AER535" s="131"/>
      <c r="AES535" s="131"/>
      <c r="AET535" s="131"/>
      <c r="AEU535" s="131"/>
      <c r="AEV535" s="131"/>
      <c r="AEW535" s="131"/>
      <c r="AEX535" s="131"/>
      <c r="AEY535" s="131"/>
      <c r="AEZ535" s="131"/>
      <c r="AFA535" s="131"/>
      <c r="AFB535" s="131"/>
      <c r="AFC535" s="131"/>
      <c r="AFD535" s="131"/>
      <c r="AFE535" s="131"/>
      <c r="AFF535" s="131"/>
      <c r="AFG535" s="131"/>
      <c r="AFH535" s="131"/>
      <c r="AFI535" s="131"/>
      <c r="AFJ535" s="131"/>
      <c r="AFK535" s="131"/>
      <c r="AFL535" s="131"/>
      <c r="AFM535" s="131"/>
      <c r="AFN535" s="131"/>
      <c r="AFO535" s="131"/>
      <c r="AFP535" s="131"/>
      <c r="AFQ535" s="131"/>
      <c r="AFR535" s="131"/>
      <c r="AFS535" s="131"/>
      <c r="AFT535" s="131"/>
      <c r="AFU535" s="131"/>
      <c r="AFV535" s="131"/>
      <c r="AFW535" s="131"/>
      <c r="AFX535" s="131"/>
      <c r="AFY535" s="131"/>
      <c r="AFZ535" s="131"/>
      <c r="AGA535" s="131"/>
      <c r="AGB535" s="131"/>
      <c r="AGC535" s="131"/>
      <c r="AGD535" s="131"/>
      <c r="AGE535" s="131"/>
      <c r="AGF535" s="131"/>
      <c r="AGG535" s="131"/>
      <c r="AGH535" s="131"/>
      <c r="AGI535" s="131"/>
      <c r="AGJ535" s="131"/>
      <c r="AGK535" s="131"/>
      <c r="AGL535" s="131"/>
      <c r="AGM535" s="131"/>
      <c r="AGN535" s="131"/>
      <c r="AGO535" s="131"/>
      <c r="AGP535" s="131"/>
      <c r="AGQ535" s="131"/>
      <c r="AGR535" s="131"/>
      <c r="AGS535" s="131"/>
      <c r="AGT535" s="131"/>
      <c r="AGU535" s="131"/>
      <c r="AGV535" s="131"/>
      <c r="AGW535" s="131"/>
      <c r="AGX535" s="131"/>
      <c r="AGY535" s="131"/>
      <c r="AGZ535" s="131"/>
      <c r="AHA535" s="131"/>
      <c r="AHB535" s="131"/>
      <c r="AHC535" s="131"/>
      <c r="AHD535" s="131"/>
      <c r="AHE535" s="131"/>
      <c r="AHF535" s="131"/>
      <c r="AHG535" s="131"/>
      <c r="AHH535" s="131"/>
      <c r="AHI535" s="131"/>
      <c r="AHJ535" s="131"/>
      <c r="AHK535" s="131"/>
      <c r="AHL535" s="131"/>
      <c r="AHM535" s="131"/>
      <c r="AHN535" s="131"/>
      <c r="AHO535" s="131"/>
      <c r="AHP535" s="131"/>
      <c r="AHQ535" s="131"/>
      <c r="AHR535" s="131"/>
      <c r="AHS535" s="131"/>
      <c r="AHT535" s="131"/>
      <c r="AHU535" s="131"/>
      <c r="AHV535" s="131"/>
      <c r="AHW535" s="131"/>
      <c r="AHX535" s="131"/>
      <c r="AHY535" s="131"/>
      <c r="AHZ535" s="131"/>
      <c r="AIA535" s="131"/>
      <c r="AIB535" s="131"/>
      <c r="AIC535" s="131"/>
      <c r="AID535" s="131"/>
      <c r="AIE535" s="131"/>
      <c r="AIF535" s="131"/>
      <c r="AIG535" s="131"/>
      <c r="AIH535" s="131"/>
      <c r="AII535" s="131"/>
      <c r="AIJ535" s="131"/>
      <c r="AIK535" s="131"/>
      <c r="AIL535" s="131"/>
      <c r="AIM535" s="131"/>
      <c r="AIN535" s="131"/>
      <c r="AIO535" s="131"/>
      <c r="AIP535" s="131"/>
      <c r="AIQ535" s="131"/>
      <c r="AIR535" s="131"/>
      <c r="AIS535" s="131"/>
      <c r="AIT535" s="131"/>
      <c r="AIU535" s="131"/>
      <c r="AIV535" s="131"/>
      <c r="AIW535" s="131"/>
      <c r="AIX535" s="131"/>
      <c r="AIY535" s="131"/>
      <c r="AIZ535" s="131"/>
      <c r="AJA535" s="131"/>
      <c r="AJB535" s="131"/>
      <c r="AJC535" s="131"/>
      <c r="AJD535" s="131"/>
      <c r="AJE535" s="131"/>
      <c r="AJF535" s="131"/>
      <c r="AJG535" s="131"/>
      <c r="AJH535" s="131"/>
      <c r="AJI535" s="131"/>
      <c r="AJJ535" s="131"/>
      <c r="AJK535" s="131"/>
      <c r="AJL535" s="131"/>
      <c r="AJM535" s="131"/>
      <c r="AJN535" s="131"/>
      <c r="AJO535" s="131"/>
      <c r="AJP535" s="131"/>
      <c r="AJQ535" s="131"/>
      <c r="AJR535" s="131"/>
      <c r="AJS535" s="131"/>
      <c r="AJT535" s="131"/>
      <c r="AJU535" s="131"/>
      <c r="AJV535" s="131"/>
      <c r="AJW535" s="131"/>
      <c r="AJX535" s="131"/>
      <c r="AJY535" s="131"/>
      <c r="AJZ535" s="131"/>
      <c r="AKA535" s="131"/>
      <c r="AKB535" s="131"/>
      <c r="AKC535" s="131"/>
      <c r="AKD535" s="131"/>
      <c r="AKE535" s="131"/>
      <c r="AKF535" s="131"/>
      <c r="AKG535" s="131"/>
      <c r="AKH535" s="131"/>
      <c r="AKI535" s="131"/>
      <c r="AKJ535" s="131"/>
      <c r="AKK535" s="131"/>
      <c r="AKL535" s="131"/>
      <c r="AKM535" s="131"/>
      <c r="AKN535" s="131"/>
      <c r="AKO535" s="131"/>
      <c r="AKP535" s="131"/>
      <c r="AKQ535" s="131"/>
      <c r="AKR535" s="131"/>
      <c r="AKS535" s="131"/>
      <c r="AKT535" s="131"/>
      <c r="AKU535" s="131"/>
      <c r="AKV535" s="131"/>
      <c r="AKW535" s="131"/>
      <c r="AKX535" s="131"/>
      <c r="AKY535" s="131"/>
      <c r="AKZ535" s="131"/>
      <c r="ALA535" s="131"/>
      <c r="ALB535" s="131"/>
      <c r="ALC535" s="131"/>
      <c r="ALD535" s="131"/>
      <c r="ALE535" s="131"/>
      <c r="ALF535" s="131"/>
      <c r="ALG535" s="131"/>
      <c r="ALH535" s="131"/>
      <c r="ALI535" s="131"/>
      <c r="ALJ535" s="131"/>
      <c r="ALK535" s="131"/>
      <c r="ALL535" s="131"/>
      <c r="ALM535" s="131"/>
      <c r="ALN535" s="131"/>
      <c r="ALO535" s="131"/>
      <c r="ALP535" s="131"/>
      <c r="ALQ535" s="131"/>
      <c r="ALR535" s="131"/>
      <c r="ALS535" s="131"/>
      <c r="ALT535" s="131"/>
      <c r="ALU535" s="131"/>
      <c r="ALV535" s="131"/>
      <c r="ALW535" s="131"/>
      <c r="ALX535" s="131"/>
      <c r="ALY535" s="131"/>
      <c r="ALZ535" s="131"/>
      <c r="AMA535" s="131"/>
      <c r="AMB535" s="131"/>
      <c r="AMC535" s="131"/>
      <c r="AMD535" s="131"/>
      <c r="AME535" s="131"/>
      <c r="AMF535" s="131"/>
      <c r="AMG535" s="131"/>
      <c r="AMH535" s="131"/>
      <c r="AMI535" s="131"/>
      <c r="AMJ535" s="131"/>
      <c r="AMK535" s="131"/>
      <c r="AML535" s="131"/>
      <c r="AMM535" s="131"/>
      <c r="AMN535" s="131"/>
      <c r="AMO535" s="131"/>
      <c r="AMP535" s="131"/>
      <c r="AMQ535" s="131"/>
      <c r="AMR535" s="131"/>
      <c r="AMS535" s="131"/>
      <c r="AMT535" s="131"/>
      <c r="AMU535" s="131"/>
      <c r="AMV535" s="131"/>
      <c r="AMW535" s="131"/>
      <c r="AMX535" s="131"/>
      <c r="AMY535" s="131"/>
      <c r="AMZ535" s="131"/>
      <c r="ANA535" s="131"/>
      <c r="ANB535" s="131"/>
      <c r="ANC535" s="131"/>
      <c r="AND535" s="131"/>
      <c r="ANE535" s="131"/>
      <c r="ANF535" s="131"/>
      <c r="ANG535" s="131"/>
      <c r="ANH535" s="131"/>
      <c r="ANI535" s="131"/>
      <c r="ANJ535" s="131"/>
      <c r="ANK535" s="131"/>
      <c r="ANL535" s="131"/>
      <c r="ANM535" s="131"/>
      <c r="ANN535" s="131"/>
      <c r="ANO535" s="131"/>
      <c r="ANP535" s="131"/>
      <c r="ANQ535" s="131"/>
      <c r="ANR535" s="131"/>
      <c r="ANS535" s="131"/>
      <c r="ANT535" s="131"/>
      <c r="ANU535" s="131"/>
      <c r="ANV535" s="131"/>
      <c r="ANW535" s="131"/>
      <c r="ANX535" s="131"/>
      <c r="ANY535" s="131"/>
      <c r="ANZ535" s="131"/>
      <c r="AOA535" s="131"/>
      <c r="AOB535" s="131"/>
      <c r="AOC535" s="131"/>
      <c r="AOD535" s="131"/>
      <c r="AOE535" s="131"/>
      <c r="AOF535" s="131"/>
      <c r="AOG535" s="131"/>
      <c r="AOH535" s="131"/>
      <c r="AOI535" s="131"/>
      <c r="AOJ535" s="131"/>
      <c r="AOK535" s="131"/>
      <c r="AOL535" s="131"/>
      <c r="AOM535" s="131"/>
      <c r="AON535" s="131"/>
      <c r="AOO535" s="131"/>
      <c r="AOP535" s="131"/>
      <c r="AOQ535" s="131"/>
      <c r="AOR535" s="131"/>
      <c r="AOS535" s="131"/>
      <c r="AOT535" s="131"/>
      <c r="AOU535" s="131"/>
      <c r="AOV535" s="131"/>
      <c r="AOW535" s="131"/>
      <c r="AOX535" s="131"/>
      <c r="AOY535" s="131"/>
      <c r="AOZ535" s="131"/>
      <c r="APA535" s="131"/>
      <c r="APB535" s="131"/>
      <c r="APC535" s="131"/>
      <c r="APD535" s="131"/>
      <c r="APE535" s="131"/>
      <c r="APF535" s="131"/>
      <c r="APG535" s="131"/>
      <c r="APH535" s="131"/>
      <c r="API535" s="131"/>
      <c r="APJ535" s="131"/>
      <c r="APK535" s="131"/>
      <c r="APL535" s="131"/>
      <c r="APM535" s="131"/>
      <c r="APN535" s="131"/>
      <c r="APO535" s="131"/>
      <c r="APP535" s="131"/>
      <c r="APQ535" s="131"/>
      <c r="APR535" s="131"/>
      <c r="APS535" s="131"/>
      <c r="APT535" s="131"/>
      <c r="APU535" s="131"/>
      <c r="APV535" s="131"/>
      <c r="APW535" s="131"/>
      <c r="APX535" s="131"/>
      <c r="APY535" s="131"/>
      <c r="APZ535" s="131"/>
      <c r="AQA535" s="131"/>
      <c r="AQB535" s="131"/>
      <c r="AQC535" s="131"/>
      <c r="AQD535" s="131"/>
      <c r="AQE535" s="131"/>
      <c r="AQF535" s="131"/>
      <c r="AQG535" s="131"/>
      <c r="AQH535" s="131"/>
      <c r="AQI535" s="131"/>
      <c r="AQJ535" s="131"/>
      <c r="AQK535" s="131"/>
      <c r="AQL535" s="131"/>
      <c r="AQM535" s="131"/>
      <c r="AQN535" s="131"/>
      <c r="AQO535" s="131"/>
      <c r="AQP535" s="131"/>
      <c r="AQQ535" s="131"/>
      <c r="AQR535" s="131"/>
      <c r="AQS535" s="131"/>
      <c r="AQT535" s="131"/>
      <c r="AQU535" s="131"/>
      <c r="AQV535" s="131"/>
      <c r="AQW535" s="131"/>
      <c r="AQX535" s="131"/>
      <c r="AQY535" s="131"/>
      <c r="AQZ535" s="131"/>
      <c r="ARA535" s="131"/>
      <c r="ARB535" s="131"/>
      <c r="ARC535" s="131"/>
      <c r="ARD535" s="131"/>
      <c r="ARE535" s="131"/>
      <c r="ARF535" s="131"/>
      <c r="ARG535" s="131"/>
      <c r="ARH535" s="131"/>
      <c r="ARI535" s="131"/>
      <c r="ARJ535" s="131"/>
      <c r="ARK535" s="131"/>
      <c r="ARL535" s="131"/>
      <c r="ARM535" s="131"/>
      <c r="ARN535" s="131"/>
      <c r="ARO535" s="131"/>
      <c r="ARP535" s="131"/>
      <c r="ARQ535" s="131"/>
      <c r="ARR535" s="131"/>
      <c r="ARS535" s="131"/>
      <c r="ART535" s="131"/>
      <c r="ARU535" s="131"/>
      <c r="ARV535" s="131"/>
      <c r="ARW535" s="131"/>
      <c r="ARX535" s="131"/>
      <c r="ARY535" s="131"/>
      <c r="ARZ535" s="131"/>
      <c r="ASA535" s="131"/>
      <c r="ASB535" s="131"/>
      <c r="ASC535" s="131"/>
      <c r="ASD535" s="131"/>
      <c r="ASE535" s="131"/>
      <c r="ASF535" s="131"/>
      <c r="ASG535" s="131"/>
      <c r="ASH535" s="131"/>
      <c r="ASI535" s="131"/>
      <c r="ASJ535" s="131"/>
      <c r="ASK535" s="131"/>
      <c r="ASL535" s="131"/>
      <c r="ASM535" s="131"/>
      <c r="ASN535" s="131"/>
      <c r="ASO535" s="131"/>
      <c r="ASP535" s="131"/>
      <c r="ASQ535" s="131"/>
      <c r="ASR535" s="131"/>
      <c r="ASS535" s="131"/>
      <c r="AST535" s="131"/>
      <c r="ASU535" s="131"/>
      <c r="ASV535" s="131"/>
      <c r="ASW535" s="131"/>
      <c r="ASX535" s="131"/>
      <c r="ASY535" s="131"/>
      <c r="ASZ535" s="131"/>
      <c r="ATA535" s="131"/>
      <c r="ATB535" s="131"/>
      <c r="ATC535" s="131"/>
    </row>
    <row r="536" spans="1:1199" ht="50.1" customHeight="1" outlineLevel="2" x14ac:dyDescent="0.3">
      <c r="A536" s="106" t="s">
        <v>498</v>
      </c>
      <c r="B536" s="102" t="s">
        <v>499</v>
      </c>
      <c r="C536" s="79" t="s">
        <v>37</v>
      </c>
      <c r="D536" s="81">
        <f t="shared" ref="D536" si="125">E536+F536</f>
        <v>1164.32978</v>
      </c>
      <c r="E536" s="82">
        <f t="shared" ref="E536:E577" si="126">G536+J536+O536+S536+V536+X536+Z536+AB536+AJ536+AL536+AN536+AP536+AX536+AZ536+BD536+BV536+BX536+BZ536+BR536</f>
        <v>190.79160999999999</v>
      </c>
      <c r="F536" s="83">
        <f t="shared" si="120"/>
        <v>973.53817000000004</v>
      </c>
      <c r="G536" s="84"/>
      <c r="H536" s="85"/>
      <c r="I536" s="85"/>
      <c r="J536" s="84"/>
      <c r="K536" s="85"/>
      <c r="L536" s="85">
        <f>689.27833</f>
        <v>689.27832999999998</v>
      </c>
      <c r="M536" s="85"/>
      <c r="N536" s="85"/>
      <c r="O536" s="82"/>
      <c r="P536" s="83"/>
      <c r="Q536" s="83"/>
      <c r="R536" s="83"/>
      <c r="S536" s="82"/>
      <c r="T536" s="83"/>
      <c r="U536" s="83"/>
      <c r="V536" s="84"/>
      <c r="W536" s="85"/>
      <c r="X536" s="87"/>
      <c r="Y536" s="83"/>
      <c r="Z536" s="84"/>
      <c r="AA536" s="85"/>
      <c r="AB536" s="84"/>
      <c r="AC536" s="85"/>
      <c r="AD536" s="89">
        <f t="shared" si="121"/>
        <v>111.48249000000001</v>
      </c>
      <c r="AE536" s="89">
        <v>70.623000000000005</v>
      </c>
      <c r="AF536" s="186">
        <v>40.859490000000001</v>
      </c>
      <c r="AG536" s="85"/>
      <c r="AH536" s="85"/>
      <c r="AI536" s="85"/>
      <c r="AJ536" s="84"/>
      <c r="AK536" s="85"/>
      <c r="AL536" s="84"/>
      <c r="AM536" s="88"/>
      <c r="AN536" s="84"/>
      <c r="AO536" s="85"/>
      <c r="AP536" s="84"/>
      <c r="AQ536" s="83"/>
      <c r="AR536" s="83"/>
      <c r="AS536" s="83"/>
      <c r="AT536" s="85"/>
      <c r="AU536" s="85"/>
      <c r="AV536" s="85"/>
      <c r="AW536" s="88"/>
      <c r="AX536" s="84"/>
      <c r="AY536" s="85"/>
      <c r="AZ536" s="84">
        <v>190.79160999999999</v>
      </c>
      <c r="BA536" s="85">
        <v>172.77735000000001</v>
      </c>
      <c r="BB536" s="88"/>
      <c r="BC536" s="85"/>
      <c r="BD536" s="84"/>
      <c r="BE536" s="88"/>
      <c r="BF536" s="85"/>
      <c r="BG536" s="85"/>
      <c r="BH536" s="85"/>
      <c r="BI536" s="85"/>
      <c r="BJ536" s="85"/>
      <c r="BK536" s="85"/>
      <c r="BL536" s="85"/>
      <c r="BM536" s="85"/>
      <c r="BN536" s="85"/>
      <c r="BO536" s="85"/>
      <c r="BP536" s="85"/>
      <c r="BQ536" s="85"/>
      <c r="BR536" s="84"/>
      <c r="BS536" s="85"/>
      <c r="BT536" s="85"/>
      <c r="BU536" s="198"/>
      <c r="BV536" s="90"/>
      <c r="BW536" s="198"/>
      <c r="BX536" s="90"/>
      <c r="BY536" s="198"/>
      <c r="BZ536" s="90"/>
      <c r="CA536" s="91"/>
    </row>
    <row r="537" spans="1:1199" ht="50.1" customHeight="1" outlineLevel="2" x14ac:dyDescent="0.3">
      <c r="A537" s="106" t="s">
        <v>498</v>
      </c>
      <c r="B537" s="127" t="s">
        <v>500</v>
      </c>
      <c r="C537" s="112" t="s">
        <v>55</v>
      </c>
      <c r="D537" s="81">
        <f t="shared" ref="D537:D538" si="127">E537+F537</f>
        <v>197.22359999999998</v>
      </c>
      <c r="E537" s="82">
        <f t="shared" si="126"/>
        <v>91.753799999999998</v>
      </c>
      <c r="F537" s="83">
        <f t="shared" si="120"/>
        <v>105.46979999999999</v>
      </c>
      <c r="G537" s="84"/>
      <c r="H537" s="85"/>
      <c r="I537" s="85"/>
      <c r="J537" s="84"/>
      <c r="K537" s="85"/>
      <c r="L537" s="85"/>
      <c r="M537" s="85"/>
      <c r="N537" s="85"/>
      <c r="O537" s="82">
        <v>37.264620000000001</v>
      </c>
      <c r="P537" s="83">
        <v>1.9613</v>
      </c>
      <c r="Q537" s="83"/>
      <c r="R537" s="83"/>
      <c r="S537" s="82"/>
      <c r="T537" s="83"/>
      <c r="U537" s="83"/>
      <c r="V537" s="84"/>
      <c r="W537" s="85"/>
      <c r="X537" s="87"/>
      <c r="Y537" s="83"/>
      <c r="Z537" s="84"/>
      <c r="AA537" s="85"/>
      <c r="AB537" s="84"/>
      <c r="AC537" s="85"/>
      <c r="AD537" s="89">
        <f t="shared" si="121"/>
        <v>0</v>
      </c>
      <c r="AE537" s="89"/>
      <c r="AF537" s="186"/>
      <c r="AG537" s="85"/>
      <c r="AH537" s="85"/>
      <c r="AI537" s="85"/>
      <c r="AJ537" s="84"/>
      <c r="AK537" s="85"/>
      <c r="AL537" s="84"/>
      <c r="AM537" s="88"/>
      <c r="AN537" s="84"/>
      <c r="AO537" s="85"/>
      <c r="AP537" s="84">
        <v>54.489179999999998</v>
      </c>
      <c r="AQ537" s="83">
        <v>103.5085</v>
      </c>
      <c r="AR537" s="83"/>
      <c r="AS537" s="83"/>
      <c r="AT537" s="85"/>
      <c r="AU537" s="85"/>
      <c r="AV537" s="85"/>
      <c r="AW537" s="88"/>
      <c r="AX537" s="84"/>
      <c r="AY537" s="85"/>
      <c r="AZ537" s="84"/>
      <c r="BA537" s="85"/>
      <c r="BB537" s="88"/>
      <c r="BC537" s="85"/>
      <c r="BD537" s="84"/>
      <c r="BE537" s="88"/>
      <c r="BF537" s="85"/>
      <c r="BG537" s="85"/>
      <c r="BH537" s="85"/>
      <c r="BI537" s="85"/>
      <c r="BJ537" s="85"/>
      <c r="BK537" s="85"/>
      <c r="BL537" s="85"/>
      <c r="BM537" s="85"/>
      <c r="BN537" s="85"/>
      <c r="BO537" s="85"/>
      <c r="BP537" s="85"/>
      <c r="BQ537" s="85"/>
      <c r="BR537" s="84"/>
      <c r="BS537" s="85"/>
      <c r="BT537" s="85"/>
      <c r="BU537" s="198"/>
      <c r="BV537" s="90"/>
      <c r="BW537" s="198"/>
      <c r="BX537" s="90"/>
      <c r="BY537" s="198"/>
      <c r="BZ537" s="90"/>
      <c r="CA537" s="91"/>
    </row>
    <row r="538" spans="1:1199" ht="50.1" customHeight="1" outlineLevel="2" x14ac:dyDescent="0.3">
      <c r="A538" s="106" t="s">
        <v>498</v>
      </c>
      <c r="B538" s="102" t="s">
        <v>501</v>
      </c>
      <c r="C538" s="79" t="s">
        <v>55</v>
      </c>
      <c r="D538" s="81">
        <f t="shared" si="127"/>
        <v>288.61489999999998</v>
      </c>
      <c r="E538" s="82">
        <f t="shared" si="126"/>
        <v>29.481680000000001</v>
      </c>
      <c r="F538" s="83">
        <f t="shared" si="120"/>
        <v>259.13321999999999</v>
      </c>
      <c r="G538" s="84"/>
      <c r="H538" s="85"/>
      <c r="I538" s="85"/>
      <c r="J538" s="84"/>
      <c r="K538" s="85"/>
      <c r="L538" s="85"/>
      <c r="M538" s="85"/>
      <c r="N538" s="85"/>
      <c r="O538" s="82">
        <v>29.481680000000001</v>
      </c>
      <c r="P538" s="83">
        <v>1.9</v>
      </c>
      <c r="Q538" s="83"/>
      <c r="R538" s="83"/>
      <c r="S538" s="82"/>
      <c r="T538" s="83"/>
      <c r="U538" s="83"/>
      <c r="V538" s="84"/>
      <c r="W538" s="85"/>
      <c r="X538" s="82"/>
      <c r="Y538" s="83"/>
      <c r="Z538" s="84"/>
      <c r="AA538" s="85"/>
      <c r="AB538" s="84"/>
      <c r="AC538" s="85"/>
      <c r="AD538" s="89">
        <f t="shared" si="121"/>
        <v>0</v>
      </c>
      <c r="AE538" s="89"/>
      <c r="AF538" s="186"/>
      <c r="AG538" s="85"/>
      <c r="AH538" s="85"/>
      <c r="AI538" s="85"/>
      <c r="AJ538" s="84"/>
      <c r="AK538" s="85"/>
      <c r="AL538" s="84"/>
      <c r="AM538" s="88"/>
      <c r="AN538" s="84"/>
      <c r="AO538" s="85">
        <v>232.96</v>
      </c>
      <c r="AP538" s="84"/>
      <c r="AQ538" s="83"/>
      <c r="AR538" s="83"/>
      <c r="AS538" s="83"/>
      <c r="AT538" s="85"/>
      <c r="AU538" s="85"/>
      <c r="AV538" s="85"/>
      <c r="AW538" s="88"/>
      <c r="AX538" s="84"/>
      <c r="AY538" s="85"/>
      <c r="AZ538" s="84"/>
      <c r="BA538" s="85"/>
      <c r="BB538" s="88"/>
      <c r="BC538" s="85"/>
      <c r="BD538" s="84"/>
      <c r="BE538" s="88"/>
      <c r="BF538" s="85"/>
      <c r="BG538" s="85">
        <v>24.273219999999998</v>
      </c>
      <c r="BH538" s="85"/>
      <c r="BI538" s="85"/>
      <c r="BJ538" s="85"/>
      <c r="BK538" s="85"/>
      <c r="BL538" s="85"/>
      <c r="BM538" s="85"/>
      <c r="BN538" s="85"/>
      <c r="BO538" s="85"/>
      <c r="BP538" s="85"/>
      <c r="BQ538" s="85"/>
      <c r="BR538" s="84"/>
      <c r="BS538" s="85"/>
      <c r="BT538" s="85"/>
      <c r="BU538" s="198"/>
      <c r="BV538" s="90"/>
      <c r="BW538" s="198"/>
      <c r="BX538" s="90"/>
      <c r="BY538" s="198"/>
      <c r="BZ538" s="90"/>
      <c r="CA538" s="91"/>
    </row>
    <row r="539" spans="1:1199" s="101" customFormat="1" ht="50.1" customHeight="1" outlineLevel="1" x14ac:dyDescent="0.3">
      <c r="A539" s="228" t="s">
        <v>502</v>
      </c>
      <c r="B539" s="133"/>
      <c r="C539" s="134" t="s">
        <v>94</v>
      </c>
      <c r="D539" s="114">
        <f t="shared" ref="D539:AI539" si="128">SUBTOTAL(9,D536:D538)</f>
        <v>1650.1682800000001</v>
      </c>
      <c r="E539" s="114">
        <f t="shared" si="128"/>
        <v>312.02708999999999</v>
      </c>
      <c r="F539" s="114">
        <f t="shared" si="128"/>
        <v>1338.1411900000001</v>
      </c>
      <c r="G539" s="114">
        <f t="shared" si="128"/>
        <v>0</v>
      </c>
      <c r="H539" s="114">
        <f t="shared" si="128"/>
        <v>0</v>
      </c>
      <c r="I539" s="114">
        <f t="shared" si="128"/>
        <v>0</v>
      </c>
      <c r="J539" s="114">
        <f t="shared" si="128"/>
        <v>0</v>
      </c>
      <c r="K539" s="114">
        <f t="shared" si="128"/>
        <v>0</v>
      </c>
      <c r="L539" s="114">
        <f t="shared" si="128"/>
        <v>689.27832999999998</v>
      </c>
      <c r="M539" s="114">
        <f t="shared" si="128"/>
        <v>0</v>
      </c>
      <c r="N539" s="114">
        <f t="shared" si="128"/>
        <v>0</v>
      </c>
      <c r="O539" s="114">
        <f t="shared" si="128"/>
        <v>66.746300000000005</v>
      </c>
      <c r="P539" s="114">
        <f t="shared" si="128"/>
        <v>3.8613</v>
      </c>
      <c r="Q539" s="114">
        <f t="shared" si="128"/>
        <v>0</v>
      </c>
      <c r="R539" s="114">
        <f t="shared" si="128"/>
        <v>0</v>
      </c>
      <c r="S539" s="114">
        <f t="shared" si="128"/>
        <v>0</v>
      </c>
      <c r="T539" s="114">
        <f t="shared" si="128"/>
        <v>0</v>
      </c>
      <c r="U539" s="114">
        <f t="shared" si="128"/>
        <v>0</v>
      </c>
      <c r="V539" s="114">
        <f t="shared" si="128"/>
        <v>0</v>
      </c>
      <c r="W539" s="114">
        <f t="shared" si="128"/>
        <v>0</v>
      </c>
      <c r="X539" s="114">
        <f t="shared" si="128"/>
        <v>0</v>
      </c>
      <c r="Y539" s="114">
        <f t="shared" si="128"/>
        <v>0</v>
      </c>
      <c r="Z539" s="114">
        <f t="shared" si="128"/>
        <v>0</v>
      </c>
      <c r="AA539" s="114">
        <f t="shared" si="128"/>
        <v>0</v>
      </c>
      <c r="AB539" s="114">
        <f t="shared" si="128"/>
        <v>0</v>
      </c>
      <c r="AC539" s="114">
        <f t="shared" si="128"/>
        <v>0</v>
      </c>
      <c r="AD539" s="114">
        <f t="shared" si="128"/>
        <v>111.48249000000001</v>
      </c>
      <c r="AE539" s="114">
        <f t="shared" si="128"/>
        <v>70.623000000000005</v>
      </c>
      <c r="AF539" s="191">
        <f t="shared" si="128"/>
        <v>40.859490000000001</v>
      </c>
      <c r="AG539" s="114">
        <f t="shared" si="128"/>
        <v>0</v>
      </c>
      <c r="AH539" s="114">
        <f t="shared" si="128"/>
        <v>0</v>
      </c>
      <c r="AI539" s="114">
        <f t="shared" si="128"/>
        <v>0</v>
      </c>
      <c r="AJ539" s="114">
        <f t="shared" ref="AJ539:BO539" si="129">SUBTOTAL(9,AJ536:AJ538)</f>
        <v>0</v>
      </c>
      <c r="AK539" s="114">
        <f t="shared" si="129"/>
        <v>0</v>
      </c>
      <c r="AL539" s="114">
        <f t="shared" si="129"/>
        <v>0</v>
      </c>
      <c r="AM539" s="114">
        <f t="shared" si="129"/>
        <v>0</v>
      </c>
      <c r="AN539" s="114">
        <f t="shared" si="129"/>
        <v>0</v>
      </c>
      <c r="AO539" s="114">
        <f t="shared" si="129"/>
        <v>232.96</v>
      </c>
      <c r="AP539" s="114">
        <f t="shared" si="129"/>
        <v>54.489179999999998</v>
      </c>
      <c r="AQ539" s="114">
        <f t="shared" si="129"/>
        <v>103.5085</v>
      </c>
      <c r="AR539" s="114">
        <f t="shared" si="129"/>
        <v>0</v>
      </c>
      <c r="AS539" s="114">
        <f t="shared" si="129"/>
        <v>0</v>
      </c>
      <c r="AT539" s="114">
        <f t="shared" si="129"/>
        <v>0</v>
      </c>
      <c r="AU539" s="114">
        <f t="shared" si="129"/>
        <v>0</v>
      </c>
      <c r="AV539" s="114">
        <f t="shared" si="129"/>
        <v>0</v>
      </c>
      <c r="AW539" s="114">
        <f t="shared" si="129"/>
        <v>0</v>
      </c>
      <c r="AX539" s="114">
        <f t="shared" si="129"/>
        <v>0</v>
      </c>
      <c r="AY539" s="114">
        <f t="shared" si="129"/>
        <v>0</v>
      </c>
      <c r="AZ539" s="114">
        <f t="shared" si="129"/>
        <v>190.79160999999999</v>
      </c>
      <c r="BA539" s="114">
        <f t="shared" si="129"/>
        <v>172.77735000000001</v>
      </c>
      <c r="BB539" s="114">
        <f t="shared" si="129"/>
        <v>0</v>
      </c>
      <c r="BC539" s="114">
        <f t="shared" si="129"/>
        <v>0</v>
      </c>
      <c r="BD539" s="114">
        <f t="shared" si="129"/>
        <v>0</v>
      </c>
      <c r="BE539" s="114">
        <f t="shared" si="129"/>
        <v>0</v>
      </c>
      <c r="BF539" s="114">
        <f t="shared" si="129"/>
        <v>0</v>
      </c>
      <c r="BG539" s="114">
        <f t="shared" si="129"/>
        <v>24.273219999999998</v>
      </c>
      <c r="BH539" s="114">
        <f t="shared" si="129"/>
        <v>0</v>
      </c>
      <c r="BI539" s="114">
        <f t="shared" si="129"/>
        <v>0</v>
      </c>
      <c r="BJ539" s="114">
        <f t="shared" si="129"/>
        <v>0</v>
      </c>
      <c r="BK539" s="114">
        <f t="shared" si="129"/>
        <v>0</v>
      </c>
      <c r="BL539" s="114">
        <f t="shared" si="129"/>
        <v>0</v>
      </c>
      <c r="BM539" s="114">
        <f t="shared" si="129"/>
        <v>0</v>
      </c>
      <c r="BN539" s="114">
        <f t="shared" si="129"/>
        <v>0</v>
      </c>
      <c r="BO539" s="114">
        <f t="shared" si="129"/>
        <v>0</v>
      </c>
      <c r="BP539" s="114">
        <f t="shared" ref="BP539:CU539" si="130">SUBTOTAL(9,BP536:BP538)</f>
        <v>0</v>
      </c>
      <c r="BQ539" s="114">
        <f t="shared" si="130"/>
        <v>0</v>
      </c>
      <c r="BR539" s="114">
        <f t="shared" si="130"/>
        <v>0</v>
      </c>
      <c r="BS539" s="114">
        <f t="shared" si="130"/>
        <v>0</v>
      </c>
      <c r="BT539" s="114">
        <f t="shared" si="130"/>
        <v>0</v>
      </c>
      <c r="BU539" s="114">
        <f t="shared" si="130"/>
        <v>0</v>
      </c>
      <c r="BV539" s="114">
        <f t="shared" si="130"/>
        <v>0</v>
      </c>
      <c r="BW539" s="114">
        <f t="shared" si="130"/>
        <v>0</v>
      </c>
      <c r="BX539" s="114">
        <f t="shared" si="130"/>
        <v>0</v>
      </c>
      <c r="BY539" s="114">
        <f t="shared" si="130"/>
        <v>0</v>
      </c>
      <c r="BZ539" s="114">
        <f t="shared" si="130"/>
        <v>0</v>
      </c>
      <c r="CA539" s="114">
        <f t="shared" si="130"/>
        <v>0</v>
      </c>
      <c r="CB539" s="176"/>
      <c r="CC539" s="176"/>
      <c r="CD539" s="176"/>
      <c r="CE539" s="176"/>
      <c r="CF539" s="176"/>
      <c r="CG539" s="176"/>
      <c r="CH539" s="176"/>
      <c r="CI539" s="176"/>
      <c r="CJ539" s="176"/>
      <c r="CK539" s="176"/>
      <c r="CL539" s="176"/>
      <c r="CM539" s="176"/>
      <c r="CN539" s="176"/>
      <c r="CO539" s="176"/>
      <c r="CP539" s="176"/>
      <c r="CQ539" s="176"/>
      <c r="CR539" s="176"/>
      <c r="CS539" s="176"/>
      <c r="CT539" s="176"/>
      <c r="CU539" s="176"/>
      <c r="CV539" s="176"/>
      <c r="CW539" s="176"/>
      <c r="CX539" s="176"/>
      <c r="CY539" s="176"/>
      <c r="CZ539" s="176"/>
      <c r="DA539" s="176"/>
      <c r="DB539" s="176"/>
      <c r="DC539" s="176"/>
      <c r="DD539" s="176"/>
      <c r="DE539" s="176"/>
      <c r="DF539" s="176"/>
      <c r="DG539" s="176"/>
      <c r="DH539" s="176"/>
      <c r="DI539" s="176"/>
      <c r="DJ539" s="176"/>
      <c r="DK539" s="176"/>
      <c r="DL539" s="176"/>
      <c r="DM539" s="176"/>
      <c r="DN539" s="176"/>
      <c r="DO539" s="176"/>
      <c r="DP539" s="176"/>
      <c r="DQ539" s="176"/>
      <c r="DR539" s="176"/>
      <c r="DS539" s="176"/>
      <c r="DT539" s="176"/>
      <c r="DU539" s="176"/>
      <c r="DV539" s="176"/>
      <c r="DW539" s="176"/>
      <c r="DX539" s="176"/>
      <c r="DY539" s="176"/>
      <c r="DZ539" s="176"/>
      <c r="EA539" s="176"/>
      <c r="EB539" s="176"/>
      <c r="EC539" s="176"/>
      <c r="ED539" s="176"/>
      <c r="EE539" s="176"/>
      <c r="EF539" s="176"/>
      <c r="EG539" s="176"/>
      <c r="EH539" s="176"/>
      <c r="EI539" s="176"/>
      <c r="EJ539" s="176"/>
      <c r="EK539" s="176"/>
      <c r="EL539" s="176"/>
      <c r="EM539" s="176"/>
      <c r="EN539" s="176"/>
      <c r="EO539" s="176"/>
      <c r="EP539" s="176"/>
      <c r="EQ539" s="176"/>
      <c r="ER539" s="176"/>
      <c r="ES539" s="176"/>
      <c r="ET539" s="176"/>
      <c r="EU539" s="176"/>
      <c r="EV539" s="176"/>
      <c r="EW539" s="176"/>
      <c r="EX539" s="176"/>
      <c r="EY539" s="176"/>
      <c r="EZ539" s="176"/>
      <c r="FA539" s="176"/>
      <c r="FB539" s="176"/>
      <c r="FC539" s="176"/>
      <c r="FD539" s="176"/>
      <c r="FE539" s="176"/>
      <c r="FF539" s="176"/>
      <c r="FG539" s="176"/>
      <c r="FH539" s="176"/>
      <c r="FI539" s="176"/>
      <c r="FJ539" s="176"/>
      <c r="FK539" s="176"/>
      <c r="FL539" s="176"/>
      <c r="FM539" s="176"/>
      <c r="FN539" s="176"/>
      <c r="FO539" s="176"/>
      <c r="FP539" s="176"/>
      <c r="FQ539" s="176"/>
      <c r="FR539" s="176"/>
      <c r="FS539" s="176"/>
      <c r="FT539" s="176"/>
      <c r="FU539" s="176"/>
      <c r="FV539" s="176"/>
      <c r="FW539" s="176"/>
      <c r="FX539" s="176"/>
      <c r="FY539" s="176"/>
      <c r="FZ539" s="176"/>
      <c r="GA539" s="176"/>
      <c r="GB539" s="176"/>
      <c r="GC539" s="176"/>
      <c r="GD539" s="176"/>
      <c r="GE539" s="176"/>
      <c r="GF539" s="176"/>
      <c r="GG539" s="176"/>
      <c r="GH539" s="176"/>
      <c r="GI539" s="176"/>
      <c r="GJ539" s="176"/>
      <c r="GK539" s="176"/>
      <c r="GL539" s="176"/>
      <c r="GM539" s="176"/>
      <c r="GN539" s="176"/>
      <c r="GO539" s="176"/>
      <c r="GP539" s="176"/>
      <c r="GQ539" s="176"/>
      <c r="GR539" s="176"/>
      <c r="GS539" s="176"/>
      <c r="GT539" s="176"/>
      <c r="GU539" s="176"/>
      <c r="GV539" s="176"/>
      <c r="GW539" s="176"/>
      <c r="GX539" s="176"/>
      <c r="GY539" s="176"/>
      <c r="GZ539" s="176"/>
      <c r="HA539" s="176"/>
      <c r="HB539" s="176"/>
      <c r="HC539" s="176"/>
      <c r="HD539" s="176"/>
      <c r="HE539" s="176"/>
      <c r="HF539" s="176"/>
      <c r="HG539" s="176"/>
      <c r="HH539" s="176"/>
      <c r="HI539" s="176"/>
      <c r="HJ539" s="176"/>
      <c r="HK539" s="176"/>
      <c r="HL539" s="176"/>
      <c r="HM539" s="176"/>
      <c r="HN539" s="176"/>
      <c r="HO539" s="176"/>
      <c r="HP539" s="176"/>
      <c r="HQ539" s="176"/>
      <c r="HR539" s="176"/>
      <c r="HS539" s="176"/>
      <c r="HT539" s="176"/>
      <c r="HU539" s="176"/>
      <c r="HV539" s="176"/>
      <c r="HW539" s="176"/>
      <c r="HX539" s="176"/>
      <c r="HY539" s="176"/>
      <c r="HZ539" s="176"/>
      <c r="IA539" s="176"/>
      <c r="IB539" s="176"/>
      <c r="IC539" s="176"/>
      <c r="ID539" s="176"/>
      <c r="IE539" s="176"/>
      <c r="IF539" s="176"/>
      <c r="IG539" s="176"/>
      <c r="IH539" s="176"/>
      <c r="II539" s="176"/>
      <c r="IJ539" s="176"/>
      <c r="IK539" s="176"/>
      <c r="IL539" s="176"/>
      <c r="IM539" s="176"/>
      <c r="IN539" s="176"/>
      <c r="IO539" s="176"/>
      <c r="IP539" s="176"/>
      <c r="IQ539" s="176"/>
      <c r="IR539" s="176"/>
      <c r="IS539" s="176"/>
      <c r="IT539" s="176"/>
      <c r="IU539" s="176"/>
      <c r="IV539" s="176"/>
      <c r="IW539" s="176"/>
      <c r="IX539" s="176"/>
      <c r="IY539" s="176"/>
      <c r="IZ539" s="176"/>
      <c r="JA539" s="176"/>
      <c r="JB539" s="176"/>
      <c r="JC539" s="176"/>
      <c r="JD539" s="176"/>
      <c r="JE539" s="176"/>
      <c r="JF539" s="176"/>
      <c r="JG539" s="176"/>
      <c r="JH539" s="176"/>
      <c r="JI539" s="176"/>
      <c r="JJ539" s="176"/>
      <c r="JK539" s="176"/>
      <c r="JL539" s="176"/>
      <c r="JM539" s="176"/>
      <c r="JN539" s="176"/>
      <c r="JO539" s="176"/>
      <c r="JP539" s="176"/>
      <c r="JQ539" s="176"/>
      <c r="JR539" s="176"/>
      <c r="JS539" s="176"/>
      <c r="JT539" s="176"/>
      <c r="JU539" s="176"/>
      <c r="JV539" s="176"/>
      <c r="JW539" s="131"/>
      <c r="JX539" s="131"/>
      <c r="JY539" s="131"/>
      <c r="JZ539" s="131"/>
      <c r="KA539" s="131"/>
      <c r="KB539" s="131"/>
      <c r="KC539" s="131"/>
      <c r="KD539" s="131"/>
      <c r="KE539" s="131"/>
      <c r="KF539" s="131"/>
      <c r="KG539" s="131"/>
      <c r="KH539" s="131"/>
      <c r="KI539" s="131"/>
      <c r="KJ539" s="131"/>
      <c r="KK539" s="131"/>
      <c r="KL539" s="131"/>
      <c r="KM539" s="131"/>
      <c r="KN539" s="131"/>
      <c r="KO539" s="131"/>
      <c r="KP539" s="131"/>
      <c r="KQ539" s="131"/>
      <c r="KR539" s="131"/>
      <c r="KS539" s="131"/>
      <c r="KT539" s="131"/>
      <c r="KU539" s="131"/>
      <c r="KV539" s="131"/>
      <c r="KW539" s="131"/>
      <c r="KX539" s="131"/>
      <c r="KY539" s="131"/>
      <c r="KZ539" s="131"/>
      <c r="LA539" s="131"/>
      <c r="LB539" s="131"/>
      <c r="LC539" s="131"/>
      <c r="LD539" s="131"/>
      <c r="LE539" s="131"/>
      <c r="LF539" s="131"/>
      <c r="LG539" s="131"/>
      <c r="LH539" s="131"/>
      <c r="LI539" s="131"/>
      <c r="LJ539" s="131"/>
      <c r="LK539" s="131"/>
      <c r="LL539" s="131"/>
      <c r="LM539" s="131"/>
      <c r="LN539" s="131"/>
      <c r="LO539" s="131"/>
      <c r="LP539" s="131"/>
      <c r="LQ539" s="131"/>
      <c r="LR539" s="131"/>
      <c r="LS539" s="131"/>
      <c r="LT539" s="131"/>
      <c r="LU539" s="131"/>
      <c r="LV539" s="131"/>
      <c r="LW539" s="131"/>
      <c r="LX539" s="131"/>
      <c r="LY539" s="131"/>
      <c r="LZ539" s="131"/>
      <c r="MA539" s="131"/>
      <c r="MB539" s="131"/>
      <c r="MC539" s="131"/>
      <c r="MD539" s="131"/>
      <c r="ME539" s="131"/>
      <c r="MF539" s="131"/>
      <c r="MG539" s="131"/>
      <c r="MH539" s="131"/>
      <c r="MI539" s="131"/>
      <c r="MJ539" s="131"/>
      <c r="MK539" s="131"/>
      <c r="ML539" s="131"/>
      <c r="MM539" s="131"/>
      <c r="MN539" s="131"/>
      <c r="MO539" s="131"/>
      <c r="MP539" s="131"/>
      <c r="MQ539" s="131"/>
      <c r="MR539" s="131"/>
      <c r="MS539" s="131"/>
      <c r="MT539" s="131"/>
      <c r="MU539" s="131"/>
      <c r="MV539" s="131"/>
      <c r="MW539" s="131"/>
      <c r="MX539" s="131"/>
      <c r="MY539" s="131"/>
      <c r="MZ539" s="131"/>
      <c r="NA539" s="131"/>
      <c r="NB539" s="131"/>
      <c r="NC539" s="131"/>
      <c r="ND539" s="131"/>
      <c r="NE539" s="131"/>
      <c r="NF539" s="131"/>
      <c r="NG539" s="131"/>
      <c r="NH539" s="131"/>
      <c r="NI539" s="131"/>
      <c r="NJ539" s="131"/>
      <c r="NK539" s="131"/>
      <c r="NL539" s="131"/>
      <c r="NM539" s="131"/>
      <c r="NN539" s="131"/>
      <c r="NO539" s="131"/>
      <c r="NP539" s="131"/>
      <c r="NQ539" s="131"/>
      <c r="NR539" s="131"/>
      <c r="NS539" s="131"/>
      <c r="NT539" s="131"/>
      <c r="NU539" s="131"/>
      <c r="NV539" s="131"/>
      <c r="NW539" s="131"/>
      <c r="NX539" s="131"/>
      <c r="NY539" s="131"/>
      <c r="NZ539" s="131"/>
      <c r="OA539" s="131"/>
      <c r="OB539" s="131"/>
      <c r="OC539" s="131"/>
      <c r="OD539" s="131"/>
      <c r="OE539" s="131"/>
      <c r="OF539" s="131"/>
      <c r="OG539" s="131"/>
      <c r="OH539" s="131"/>
      <c r="OI539" s="131"/>
      <c r="OJ539" s="131"/>
      <c r="OK539" s="131"/>
      <c r="OL539" s="131"/>
      <c r="OM539" s="131"/>
      <c r="ON539" s="131"/>
      <c r="OO539" s="131"/>
      <c r="OP539" s="131"/>
      <c r="OQ539" s="131"/>
      <c r="OR539" s="131"/>
      <c r="OS539" s="131"/>
      <c r="OT539" s="131"/>
      <c r="OU539" s="131"/>
      <c r="OV539" s="131"/>
      <c r="OW539" s="131"/>
      <c r="OX539" s="131"/>
      <c r="OY539" s="131"/>
      <c r="OZ539" s="131"/>
      <c r="PA539" s="131"/>
      <c r="PB539" s="131"/>
      <c r="PC539" s="131"/>
      <c r="PD539" s="131"/>
      <c r="PE539" s="131"/>
      <c r="PF539" s="131"/>
      <c r="PG539" s="131"/>
      <c r="PH539" s="131"/>
      <c r="PI539" s="131"/>
      <c r="PJ539" s="131"/>
      <c r="PK539" s="131"/>
      <c r="PL539" s="131"/>
      <c r="PM539" s="131"/>
      <c r="PN539" s="131"/>
      <c r="PO539" s="131"/>
      <c r="PP539" s="131"/>
      <c r="PQ539" s="131"/>
      <c r="PR539" s="131"/>
      <c r="PS539" s="131"/>
      <c r="PT539" s="131"/>
      <c r="PU539" s="131"/>
      <c r="PV539" s="131"/>
      <c r="PW539" s="131"/>
      <c r="PX539" s="131"/>
      <c r="PY539" s="131"/>
      <c r="PZ539" s="131"/>
      <c r="QA539" s="131"/>
      <c r="QB539" s="131"/>
      <c r="QC539" s="131"/>
      <c r="QD539" s="131"/>
      <c r="QE539" s="131"/>
      <c r="QF539" s="131"/>
      <c r="QG539" s="131"/>
      <c r="QH539" s="131"/>
      <c r="QI539" s="131"/>
      <c r="QJ539" s="131"/>
      <c r="QK539" s="131"/>
      <c r="QL539" s="131"/>
      <c r="QM539" s="131"/>
      <c r="QN539" s="131"/>
      <c r="QO539" s="131"/>
      <c r="QP539" s="131"/>
      <c r="QQ539" s="131"/>
      <c r="QR539" s="131"/>
      <c r="QS539" s="131"/>
      <c r="QT539" s="131"/>
      <c r="QU539" s="131"/>
      <c r="QV539" s="131"/>
      <c r="QW539" s="131"/>
      <c r="QX539" s="131"/>
      <c r="QY539" s="131"/>
      <c r="QZ539" s="131"/>
      <c r="RA539" s="131"/>
      <c r="RB539" s="131"/>
      <c r="RC539" s="131"/>
      <c r="RD539" s="131"/>
      <c r="RE539" s="131"/>
      <c r="RF539" s="131"/>
      <c r="RG539" s="131"/>
      <c r="RH539" s="131"/>
      <c r="RI539" s="131"/>
      <c r="RJ539" s="131"/>
      <c r="RK539" s="131"/>
      <c r="RL539" s="131"/>
      <c r="RM539" s="131"/>
      <c r="RN539" s="131"/>
      <c r="RO539" s="131"/>
      <c r="RP539" s="131"/>
      <c r="RQ539" s="131"/>
      <c r="RR539" s="131"/>
      <c r="RS539" s="131"/>
      <c r="RT539" s="131"/>
      <c r="RU539" s="131"/>
      <c r="RV539" s="131"/>
      <c r="RW539" s="131"/>
      <c r="RX539" s="131"/>
      <c r="RY539" s="131"/>
      <c r="RZ539" s="131"/>
      <c r="SA539" s="131"/>
      <c r="SB539" s="131"/>
      <c r="SC539" s="131"/>
      <c r="SD539" s="131"/>
      <c r="SE539" s="131"/>
      <c r="SF539" s="131"/>
      <c r="SG539" s="131"/>
      <c r="SH539" s="131"/>
      <c r="SI539" s="131"/>
      <c r="SJ539" s="131"/>
      <c r="SK539" s="131"/>
      <c r="SL539" s="131"/>
      <c r="SM539" s="131"/>
      <c r="SN539" s="131"/>
      <c r="SO539" s="131"/>
      <c r="SP539" s="131"/>
      <c r="SQ539" s="131"/>
      <c r="SR539" s="131"/>
      <c r="SS539" s="131"/>
      <c r="ST539" s="131"/>
      <c r="SU539" s="131"/>
      <c r="SV539" s="131"/>
      <c r="SW539" s="131"/>
      <c r="SX539" s="131"/>
      <c r="SY539" s="131"/>
      <c r="SZ539" s="131"/>
      <c r="TA539" s="131"/>
      <c r="TB539" s="131"/>
      <c r="TC539" s="131"/>
      <c r="TD539" s="131"/>
      <c r="TE539" s="131"/>
      <c r="TF539" s="131"/>
      <c r="TG539" s="131"/>
      <c r="TH539" s="131"/>
      <c r="TI539" s="131"/>
      <c r="TJ539" s="131"/>
      <c r="TK539" s="131"/>
      <c r="TL539" s="131"/>
      <c r="TM539" s="131"/>
      <c r="TN539" s="131"/>
      <c r="TO539" s="131"/>
      <c r="TP539" s="131"/>
      <c r="TQ539" s="131"/>
      <c r="TR539" s="131"/>
      <c r="TS539" s="131"/>
      <c r="TT539" s="131"/>
      <c r="TU539" s="131"/>
      <c r="TV539" s="131"/>
      <c r="TW539" s="131"/>
      <c r="TX539" s="131"/>
      <c r="TY539" s="131"/>
      <c r="TZ539" s="131"/>
      <c r="UA539" s="131"/>
      <c r="UB539" s="131"/>
      <c r="UC539" s="131"/>
      <c r="UD539" s="131"/>
      <c r="UE539" s="131"/>
      <c r="UF539" s="131"/>
      <c r="UG539" s="131"/>
      <c r="UH539" s="131"/>
      <c r="UI539" s="131"/>
      <c r="UJ539" s="131"/>
      <c r="UK539" s="131"/>
      <c r="UL539" s="131"/>
      <c r="UM539" s="131"/>
      <c r="UN539" s="131"/>
      <c r="UO539" s="131"/>
      <c r="UP539" s="131"/>
      <c r="UQ539" s="131"/>
      <c r="UR539" s="131"/>
      <c r="US539" s="131"/>
      <c r="UT539" s="131"/>
      <c r="UU539" s="131"/>
      <c r="UV539" s="131"/>
      <c r="UW539" s="131"/>
      <c r="UX539" s="131"/>
      <c r="UY539" s="131"/>
      <c r="UZ539" s="131"/>
      <c r="VA539" s="131"/>
      <c r="VB539" s="131"/>
      <c r="VC539" s="131"/>
      <c r="VD539" s="131"/>
      <c r="VE539" s="131"/>
      <c r="VF539" s="131"/>
      <c r="VG539" s="131"/>
      <c r="VH539" s="131"/>
      <c r="VI539" s="131"/>
      <c r="VJ539" s="131"/>
      <c r="VK539" s="131"/>
      <c r="VL539" s="131"/>
      <c r="VM539" s="131"/>
      <c r="VN539" s="131"/>
      <c r="VO539" s="131"/>
      <c r="VP539" s="131"/>
      <c r="VQ539" s="131"/>
      <c r="VR539" s="131"/>
      <c r="VS539" s="131"/>
      <c r="VT539" s="131"/>
      <c r="VU539" s="131"/>
      <c r="VV539" s="131"/>
      <c r="VW539" s="131"/>
      <c r="VX539" s="131"/>
      <c r="VY539" s="131"/>
      <c r="VZ539" s="131"/>
      <c r="WA539" s="131"/>
      <c r="WB539" s="131"/>
      <c r="WC539" s="131"/>
      <c r="WD539" s="131"/>
      <c r="WE539" s="131"/>
      <c r="WF539" s="131"/>
      <c r="WG539" s="131"/>
      <c r="WH539" s="131"/>
      <c r="WI539" s="131"/>
      <c r="WJ539" s="131"/>
      <c r="WK539" s="131"/>
      <c r="WL539" s="131"/>
      <c r="WM539" s="131"/>
      <c r="WN539" s="131"/>
      <c r="WO539" s="131"/>
      <c r="WP539" s="131"/>
      <c r="WQ539" s="131"/>
      <c r="WR539" s="131"/>
      <c r="WS539" s="131"/>
      <c r="WT539" s="131"/>
      <c r="WU539" s="131"/>
      <c r="WV539" s="131"/>
      <c r="WW539" s="131"/>
      <c r="WX539" s="131"/>
      <c r="WY539" s="131"/>
      <c r="WZ539" s="131"/>
      <c r="XA539" s="131"/>
      <c r="XB539" s="131"/>
      <c r="XC539" s="131"/>
      <c r="XD539" s="131"/>
      <c r="XE539" s="131"/>
      <c r="XF539" s="131"/>
      <c r="XG539" s="131"/>
      <c r="XH539" s="131"/>
      <c r="XI539" s="131"/>
      <c r="XJ539" s="131"/>
      <c r="XK539" s="131"/>
      <c r="XL539" s="131"/>
      <c r="XM539" s="131"/>
      <c r="XN539" s="131"/>
      <c r="XO539" s="131"/>
      <c r="XP539" s="131"/>
      <c r="XQ539" s="131"/>
      <c r="XR539" s="131"/>
      <c r="XS539" s="131"/>
      <c r="XT539" s="131"/>
      <c r="XU539" s="131"/>
      <c r="XV539" s="131"/>
      <c r="XW539" s="131"/>
      <c r="XX539" s="131"/>
      <c r="XY539" s="131"/>
      <c r="XZ539" s="131"/>
      <c r="YA539" s="131"/>
      <c r="YB539" s="131"/>
      <c r="YC539" s="131"/>
      <c r="YD539" s="131"/>
      <c r="YE539" s="131"/>
      <c r="YF539" s="131"/>
      <c r="YG539" s="131"/>
      <c r="YH539" s="131"/>
      <c r="YI539" s="131"/>
      <c r="YJ539" s="131"/>
      <c r="YK539" s="131"/>
      <c r="YL539" s="131"/>
      <c r="YM539" s="131"/>
      <c r="YN539" s="131"/>
      <c r="YO539" s="131"/>
      <c r="YP539" s="131"/>
      <c r="YQ539" s="131"/>
      <c r="YR539" s="131"/>
      <c r="YS539" s="131"/>
      <c r="YT539" s="131"/>
      <c r="YU539" s="131"/>
      <c r="YV539" s="131"/>
      <c r="YW539" s="131"/>
      <c r="YX539" s="131"/>
      <c r="YY539" s="131"/>
      <c r="YZ539" s="131"/>
      <c r="ZA539" s="131"/>
      <c r="ZB539" s="131"/>
      <c r="ZC539" s="131"/>
      <c r="ZD539" s="131"/>
      <c r="ZE539" s="131"/>
      <c r="ZF539" s="131"/>
      <c r="ZG539" s="131"/>
      <c r="ZH539" s="131"/>
      <c r="ZI539" s="131"/>
      <c r="ZJ539" s="131"/>
      <c r="ZK539" s="131"/>
      <c r="ZL539" s="131"/>
      <c r="ZM539" s="131"/>
      <c r="ZN539" s="131"/>
      <c r="ZO539" s="131"/>
      <c r="ZP539" s="131"/>
      <c r="ZQ539" s="131"/>
      <c r="ZR539" s="131"/>
      <c r="ZS539" s="131"/>
      <c r="ZT539" s="131"/>
      <c r="ZU539" s="131"/>
      <c r="ZV539" s="131"/>
      <c r="ZW539" s="131"/>
      <c r="ZX539" s="131"/>
      <c r="ZY539" s="131"/>
      <c r="ZZ539" s="131"/>
      <c r="AAA539" s="131"/>
      <c r="AAB539" s="131"/>
      <c r="AAC539" s="131"/>
      <c r="AAD539" s="131"/>
      <c r="AAE539" s="131"/>
      <c r="AAF539" s="131"/>
      <c r="AAG539" s="131"/>
      <c r="AAH539" s="131"/>
      <c r="AAI539" s="131"/>
      <c r="AAJ539" s="131"/>
      <c r="AAK539" s="131"/>
      <c r="AAL539" s="131"/>
      <c r="AAM539" s="131"/>
      <c r="AAN539" s="131"/>
      <c r="AAO539" s="131"/>
      <c r="AAP539" s="131"/>
      <c r="AAQ539" s="131"/>
      <c r="AAR539" s="131"/>
      <c r="AAS539" s="131"/>
      <c r="AAT539" s="131"/>
      <c r="AAU539" s="131"/>
      <c r="AAV539" s="131"/>
      <c r="AAW539" s="131"/>
      <c r="AAX539" s="131"/>
      <c r="AAY539" s="131"/>
      <c r="AAZ539" s="131"/>
      <c r="ABA539" s="131"/>
      <c r="ABB539" s="131"/>
      <c r="ABC539" s="131"/>
      <c r="ABD539" s="131"/>
      <c r="ABE539" s="131"/>
      <c r="ABF539" s="131"/>
      <c r="ABG539" s="131"/>
      <c r="ABH539" s="131"/>
      <c r="ABI539" s="131"/>
      <c r="ABJ539" s="131"/>
      <c r="ABK539" s="131"/>
      <c r="ABL539" s="131"/>
      <c r="ABM539" s="131"/>
      <c r="ABN539" s="131"/>
      <c r="ABO539" s="131"/>
      <c r="ABP539" s="131"/>
      <c r="ABQ539" s="131"/>
      <c r="ABR539" s="131"/>
      <c r="ABS539" s="131"/>
      <c r="ABT539" s="131"/>
      <c r="ABU539" s="131"/>
      <c r="ABV539" s="131"/>
      <c r="ABW539" s="131"/>
      <c r="ABX539" s="131"/>
      <c r="ABY539" s="131"/>
      <c r="ABZ539" s="131"/>
      <c r="ACA539" s="131"/>
      <c r="ACB539" s="131"/>
      <c r="ACC539" s="131"/>
      <c r="ACD539" s="131"/>
      <c r="ACE539" s="131"/>
      <c r="ACF539" s="131"/>
      <c r="ACG539" s="131"/>
      <c r="ACH539" s="131"/>
      <c r="ACI539" s="131"/>
      <c r="ACJ539" s="131"/>
      <c r="ACK539" s="131"/>
      <c r="ACL539" s="131"/>
      <c r="ACM539" s="131"/>
      <c r="ACN539" s="131"/>
      <c r="ACO539" s="131"/>
      <c r="ACP539" s="131"/>
      <c r="ACQ539" s="131"/>
      <c r="ACR539" s="131"/>
      <c r="ACS539" s="131"/>
      <c r="ACT539" s="131"/>
      <c r="ACU539" s="131"/>
      <c r="ACV539" s="131"/>
      <c r="ACW539" s="131"/>
      <c r="ACX539" s="131"/>
      <c r="ACY539" s="131"/>
      <c r="ACZ539" s="131"/>
      <c r="ADA539" s="131"/>
      <c r="ADB539" s="131"/>
      <c r="ADC539" s="131"/>
      <c r="ADD539" s="131"/>
      <c r="ADE539" s="131"/>
      <c r="ADF539" s="131"/>
      <c r="ADG539" s="131"/>
      <c r="ADH539" s="131"/>
      <c r="ADI539" s="131"/>
      <c r="ADJ539" s="131"/>
      <c r="ADK539" s="131"/>
      <c r="ADL539" s="131"/>
      <c r="ADM539" s="131"/>
      <c r="ADN539" s="131"/>
      <c r="ADO539" s="131"/>
      <c r="ADP539" s="131"/>
      <c r="ADQ539" s="131"/>
      <c r="ADR539" s="131"/>
      <c r="ADS539" s="131"/>
      <c r="ADT539" s="131"/>
      <c r="ADU539" s="131"/>
      <c r="ADV539" s="131"/>
      <c r="ADW539" s="131"/>
      <c r="ADX539" s="131"/>
      <c r="ADY539" s="131"/>
      <c r="ADZ539" s="131"/>
      <c r="AEA539" s="131"/>
      <c r="AEB539" s="131"/>
      <c r="AEC539" s="131"/>
      <c r="AED539" s="131"/>
      <c r="AEE539" s="131"/>
      <c r="AEF539" s="131"/>
      <c r="AEG539" s="131"/>
      <c r="AEH539" s="131"/>
      <c r="AEI539" s="131"/>
      <c r="AEJ539" s="131"/>
      <c r="AEK539" s="131"/>
      <c r="AEL539" s="131"/>
      <c r="AEM539" s="131"/>
      <c r="AEN539" s="131"/>
      <c r="AEO539" s="131"/>
      <c r="AEP539" s="131"/>
      <c r="AEQ539" s="131"/>
      <c r="AER539" s="131"/>
      <c r="AES539" s="131"/>
      <c r="AET539" s="131"/>
      <c r="AEU539" s="131"/>
      <c r="AEV539" s="131"/>
      <c r="AEW539" s="131"/>
      <c r="AEX539" s="131"/>
      <c r="AEY539" s="131"/>
      <c r="AEZ539" s="131"/>
      <c r="AFA539" s="131"/>
      <c r="AFB539" s="131"/>
      <c r="AFC539" s="131"/>
      <c r="AFD539" s="131"/>
      <c r="AFE539" s="131"/>
      <c r="AFF539" s="131"/>
      <c r="AFG539" s="131"/>
      <c r="AFH539" s="131"/>
      <c r="AFI539" s="131"/>
      <c r="AFJ539" s="131"/>
      <c r="AFK539" s="131"/>
      <c r="AFL539" s="131"/>
      <c r="AFM539" s="131"/>
      <c r="AFN539" s="131"/>
      <c r="AFO539" s="131"/>
      <c r="AFP539" s="131"/>
      <c r="AFQ539" s="131"/>
      <c r="AFR539" s="131"/>
      <c r="AFS539" s="131"/>
      <c r="AFT539" s="131"/>
      <c r="AFU539" s="131"/>
      <c r="AFV539" s="131"/>
      <c r="AFW539" s="131"/>
      <c r="AFX539" s="131"/>
      <c r="AFY539" s="131"/>
      <c r="AFZ539" s="131"/>
      <c r="AGA539" s="131"/>
      <c r="AGB539" s="131"/>
      <c r="AGC539" s="131"/>
      <c r="AGD539" s="131"/>
      <c r="AGE539" s="131"/>
      <c r="AGF539" s="131"/>
      <c r="AGG539" s="131"/>
      <c r="AGH539" s="131"/>
      <c r="AGI539" s="131"/>
      <c r="AGJ539" s="131"/>
      <c r="AGK539" s="131"/>
      <c r="AGL539" s="131"/>
      <c r="AGM539" s="131"/>
      <c r="AGN539" s="131"/>
      <c r="AGO539" s="131"/>
      <c r="AGP539" s="131"/>
      <c r="AGQ539" s="131"/>
      <c r="AGR539" s="131"/>
      <c r="AGS539" s="131"/>
      <c r="AGT539" s="131"/>
      <c r="AGU539" s="131"/>
      <c r="AGV539" s="131"/>
      <c r="AGW539" s="131"/>
      <c r="AGX539" s="131"/>
      <c r="AGY539" s="131"/>
      <c r="AGZ539" s="131"/>
      <c r="AHA539" s="131"/>
      <c r="AHB539" s="131"/>
      <c r="AHC539" s="131"/>
      <c r="AHD539" s="131"/>
      <c r="AHE539" s="131"/>
      <c r="AHF539" s="131"/>
      <c r="AHG539" s="131"/>
      <c r="AHH539" s="131"/>
      <c r="AHI539" s="131"/>
      <c r="AHJ539" s="131"/>
      <c r="AHK539" s="131"/>
      <c r="AHL539" s="131"/>
      <c r="AHM539" s="131"/>
      <c r="AHN539" s="131"/>
      <c r="AHO539" s="131"/>
      <c r="AHP539" s="131"/>
      <c r="AHQ539" s="131"/>
      <c r="AHR539" s="131"/>
      <c r="AHS539" s="131"/>
      <c r="AHT539" s="131"/>
      <c r="AHU539" s="131"/>
      <c r="AHV539" s="131"/>
      <c r="AHW539" s="131"/>
      <c r="AHX539" s="131"/>
      <c r="AHY539" s="131"/>
      <c r="AHZ539" s="131"/>
      <c r="AIA539" s="131"/>
      <c r="AIB539" s="131"/>
      <c r="AIC539" s="131"/>
      <c r="AID539" s="131"/>
      <c r="AIE539" s="131"/>
      <c r="AIF539" s="131"/>
      <c r="AIG539" s="131"/>
      <c r="AIH539" s="131"/>
      <c r="AII539" s="131"/>
      <c r="AIJ539" s="131"/>
      <c r="AIK539" s="131"/>
      <c r="AIL539" s="131"/>
      <c r="AIM539" s="131"/>
      <c r="AIN539" s="131"/>
      <c r="AIO539" s="131"/>
      <c r="AIP539" s="131"/>
      <c r="AIQ539" s="131"/>
      <c r="AIR539" s="131"/>
      <c r="AIS539" s="131"/>
      <c r="AIT539" s="131"/>
      <c r="AIU539" s="131"/>
      <c r="AIV539" s="131"/>
      <c r="AIW539" s="131"/>
      <c r="AIX539" s="131"/>
      <c r="AIY539" s="131"/>
      <c r="AIZ539" s="131"/>
      <c r="AJA539" s="131"/>
      <c r="AJB539" s="131"/>
      <c r="AJC539" s="131"/>
      <c r="AJD539" s="131"/>
      <c r="AJE539" s="131"/>
      <c r="AJF539" s="131"/>
      <c r="AJG539" s="131"/>
      <c r="AJH539" s="131"/>
      <c r="AJI539" s="131"/>
      <c r="AJJ539" s="131"/>
      <c r="AJK539" s="131"/>
      <c r="AJL539" s="131"/>
      <c r="AJM539" s="131"/>
      <c r="AJN539" s="131"/>
      <c r="AJO539" s="131"/>
      <c r="AJP539" s="131"/>
      <c r="AJQ539" s="131"/>
      <c r="AJR539" s="131"/>
      <c r="AJS539" s="131"/>
      <c r="AJT539" s="131"/>
      <c r="AJU539" s="131"/>
      <c r="AJV539" s="131"/>
      <c r="AJW539" s="131"/>
      <c r="AJX539" s="131"/>
      <c r="AJY539" s="131"/>
      <c r="AJZ539" s="131"/>
      <c r="AKA539" s="131"/>
      <c r="AKB539" s="131"/>
      <c r="AKC539" s="131"/>
      <c r="AKD539" s="131"/>
      <c r="AKE539" s="131"/>
      <c r="AKF539" s="131"/>
      <c r="AKG539" s="131"/>
      <c r="AKH539" s="131"/>
      <c r="AKI539" s="131"/>
      <c r="AKJ539" s="131"/>
      <c r="AKK539" s="131"/>
      <c r="AKL539" s="131"/>
      <c r="AKM539" s="131"/>
      <c r="AKN539" s="131"/>
      <c r="AKO539" s="131"/>
      <c r="AKP539" s="131"/>
      <c r="AKQ539" s="131"/>
      <c r="AKR539" s="131"/>
      <c r="AKS539" s="131"/>
      <c r="AKT539" s="131"/>
      <c r="AKU539" s="131"/>
      <c r="AKV539" s="131"/>
      <c r="AKW539" s="131"/>
      <c r="AKX539" s="131"/>
      <c r="AKY539" s="131"/>
      <c r="AKZ539" s="131"/>
      <c r="ALA539" s="131"/>
      <c r="ALB539" s="131"/>
      <c r="ALC539" s="131"/>
      <c r="ALD539" s="131"/>
      <c r="ALE539" s="131"/>
      <c r="ALF539" s="131"/>
      <c r="ALG539" s="131"/>
      <c r="ALH539" s="131"/>
      <c r="ALI539" s="131"/>
      <c r="ALJ539" s="131"/>
      <c r="ALK539" s="131"/>
      <c r="ALL539" s="131"/>
      <c r="ALM539" s="131"/>
      <c r="ALN539" s="131"/>
      <c r="ALO539" s="131"/>
      <c r="ALP539" s="131"/>
      <c r="ALQ539" s="131"/>
      <c r="ALR539" s="131"/>
      <c r="ALS539" s="131"/>
      <c r="ALT539" s="131"/>
      <c r="ALU539" s="131"/>
      <c r="ALV539" s="131"/>
      <c r="ALW539" s="131"/>
      <c r="ALX539" s="131"/>
      <c r="ALY539" s="131"/>
      <c r="ALZ539" s="131"/>
      <c r="AMA539" s="131"/>
      <c r="AMB539" s="131"/>
      <c r="AMC539" s="131"/>
      <c r="AMD539" s="131"/>
      <c r="AME539" s="131"/>
      <c r="AMF539" s="131"/>
      <c r="AMG539" s="131"/>
      <c r="AMH539" s="131"/>
      <c r="AMI539" s="131"/>
      <c r="AMJ539" s="131"/>
      <c r="AMK539" s="131"/>
      <c r="AML539" s="131"/>
      <c r="AMM539" s="131"/>
      <c r="AMN539" s="131"/>
      <c r="AMO539" s="131"/>
      <c r="AMP539" s="131"/>
      <c r="AMQ539" s="131"/>
      <c r="AMR539" s="131"/>
      <c r="AMS539" s="131"/>
      <c r="AMT539" s="131"/>
      <c r="AMU539" s="131"/>
      <c r="AMV539" s="131"/>
      <c r="AMW539" s="131"/>
      <c r="AMX539" s="131"/>
      <c r="AMY539" s="131"/>
      <c r="AMZ539" s="131"/>
      <c r="ANA539" s="131"/>
      <c r="ANB539" s="131"/>
      <c r="ANC539" s="131"/>
      <c r="AND539" s="131"/>
      <c r="ANE539" s="131"/>
      <c r="ANF539" s="131"/>
      <c r="ANG539" s="131"/>
      <c r="ANH539" s="131"/>
      <c r="ANI539" s="131"/>
      <c r="ANJ539" s="131"/>
      <c r="ANK539" s="131"/>
      <c r="ANL539" s="131"/>
      <c r="ANM539" s="131"/>
      <c r="ANN539" s="131"/>
      <c r="ANO539" s="131"/>
      <c r="ANP539" s="131"/>
      <c r="ANQ539" s="131"/>
      <c r="ANR539" s="131"/>
      <c r="ANS539" s="131"/>
      <c r="ANT539" s="131"/>
      <c r="ANU539" s="131"/>
      <c r="ANV539" s="131"/>
      <c r="ANW539" s="131"/>
      <c r="ANX539" s="131"/>
      <c r="ANY539" s="131"/>
      <c r="ANZ539" s="131"/>
      <c r="AOA539" s="131"/>
      <c r="AOB539" s="131"/>
      <c r="AOC539" s="131"/>
      <c r="AOD539" s="131"/>
      <c r="AOE539" s="131"/>
      <c r="AOF539" s="131"/>
      <c r="AOG539" s="131"/>
      <c r="AOH539" s="131"/>
      <c r="AOI539" s="131"/>
      <c r="AOJ539" s="131"/>
      <c r="AOK539" s="131"/>
      <c r="AOL539" s="131"/>
      <c r="AOM539" s="131"/>
      <c r="AON539" s="131"/>
      <c r="AOO539" s="131"/>
      <c r="AOP539" s="131"/>
      <c r="AOQ539" s="131"/>
      <c r="AOR539" s="131"/>
      <c r="AOS539" s="131"/>
      <c r="AOT539" s="131"/>
      <c r="AOU539" s="131"/>
      <c r="AOV539" s="131"/>
      <c r="AOW539" s="131"/>
      <c r="AOX539" s="131"/>
      <c r="AOY539" s="131"/>
      <c r="AOZ539" s="131"/>
      <c r="APA539" s="131"/>
      <c r="APB539" s="131"/>
      <c r="APC539" s="131"/>
      <c r="APD539" s="131"/>
      <c r="APE539" s="131"/>
      <c r="APF539" s="131"/>
      <c r="APG539" s="131"/>
      <c r="APH539" s="131"/>
      <c r="API539" s="131"/>
      <c r="APJ539" s="131"/>
      <c r="APK539" s="131"/>
      <c r="APL539" s="131"/>
      <c r="APM539" s="131"/>
      <c r="APN539" s="131"/>
      <c r="APO539" s="131"/>
      <c r="APP539" s="131"/>
      <c r="APQ539" s="131"/>
      <c r="APR539" s="131"/>
      <c r="APS539" s="131"/>
      <c r="APT539" s="131"/>
      <c r="APU539" s="131"/>
      <c r="APV539" s="131"/>
      <c r="APW539" s="131"/>
      <c r="APX539" s="131"/>
      <c r="APY539" s="131"/>
      <c r="APZ539" s="131"/>
      <c r="AQA539" s="131"/>
      <c r="AQB539" s="131"/>
      <c r="AQC539" s="131"/>
      <c r="AQD539" s="131"/>
      <c r="AQE539" s="131"/>
      <c r="AQF539" s="131"/>
      <c r="AQG539" s="131"/>
      <c r="AQH539" s="131"/>
      <c r="AQI539" s="131"/>
      <c r="AQJ539" s="131"/>
      <c r="AQK539" s="131"/>
      <c r="AQL539" s="131"/>
      <c r="AQM539" s="131"/>
      <c r="AQN539" s="131"/>
      <c r="AQO539" s="131"/>
      <c r="AQP539" s="131"/>
      <c r="AQQ539" s="131"/>
      <c r="AQR539" s="131"/>
      <c r="AQS539" s="131"/>
      <c r="AQT539" s="131"/>
      <c r="AQU539" s="131"/>
      <c r="AQV539" s="131"/>
      <c r="AQW539" s="131"/>
      <c r="AQX539" s="131"/>
      <c r="AQY539" s="131"/>
      <c r="AQZ539" s="131"/>
      <c r="ARA539" s="131"/>
      <c r="ARB539" s="131"/>
      <c r="ARC539" s="131"/>
      <c r="ARD539" s="131"/>
      <c r="ARE539" s="131"/>
      <c r="ARF539" s="131"/>
      <c r="ARG539" s="131"/>
      <c r="ARH539" s="131"/>
      <c r="ARI539" s="131"/>
      <c r="ARJ539" s="131"/>
      <c r="ARK539" s="131"/>
      <c r="ARL539" s="131"/>
      <c r="ARM539" s="131"/>
      <c r="ARN539" s="131"/>
      <c r="ARO539" s="131"/>
      <c r="ARP539" s="131"/>
      <c r="ARQ539" s="131"/>
      <c r="ARR539" s="131"/>
      <c r="ARS539" s="131"/>
      <c r="ART539" s="131"/>
      <c r="ARU539" s="131"/>
      <c r="ARV539" s="131"/>
      <c r="ARW539" s="131"/>
      <c r="ARX539" s="131"/>
      <c r="ARY539" s="131"/>
      <c r="ARZ539" s="131"/>
      <c r="ASA539" s="131"/>
      <c r="ASB539" s="131"/>
      <c r="ASC539" s="131"/>
      <c r="ASD539" s="131"/>
      <c r="ASE539" s="131"/>
      <c r="ASF539" s="131"/>
      <c r="ASG539" s="131"/>
      <c r="ASH539" s="131"/>
      <c r="ASI539" s="131"/>
      <c r="ASJ539" s="131"/>
      <c r="ASK539" s="131"/>
      <c r="ASL539" s="131"/>
      <c r="ASM539" s="131"/>
      <c r="ASN539" s="131"/>
      <c r="ASO539" s="131"/>
      <c r="ASP539" s="131"/>
      <c r="ASQ539" s="131"/>
      <c r="ASR539" s="131"/>
      <c r="ASS539" s="131"/>
      <c r="AST539" s="131"/>
      <c r="ASU539" s="131"/>
      <c r="ASV539" s="131"/>
      <c r="ASW539" s="131"/>
      <c r="ASX539" s="131"/>
      <c r="ASY539" s="131"/>
      <c r="ASZ539" s="131"/>
      <c r="ATA539" s="131"/>
      <c r="ATB539" s="131"/>
      <c r="ATC539" s="131"/>
    </row>
    <row r="540" spans="1:1199" ht="50.1" customHeight="1" outlineLevel="2" x14ac:dyDescent="0.3">
      <c r="A540" s="106" t="s">
        <v>503</v>
      </c>
      <c r="B540" s="102" t="s">
        <v>504</v>
      </c>
      <c r="C540" s="79" t="s">
        <v>37</v>
      </c>
      <c r="D540" s="81">
        <f t="shared" ref="D540" si="131">E540+F540</f>
        <v>107666.89071000001</v>
      </c>
      <c r="E540" s="82">
        <f t="shared" si="126"/>
        <v>36549.282340000005</v>
      </c>
      <c r="F540" s="83">
        <f t="shared" si="120"/>
        <v>71117.608370000002</v>
      </c>
      <c r="G540" s="82">
        <v>48.691809999999997</v>
      </c>
      <c r="H540" s="85">
        <v>10.906790000000001</v>
      </c>
      <c r="I540" s="85"/>
      <c r="J540" s="84">
        <f>1.64353+37.54298+64.91552</f>
        <v>104.10203</v>
      </c>
      <c r="K540" s="85">
        <f>0.41088+13.65199+23.60563</f>
        <v>37.668500000000002</v>
      </c>
      <c r="L540" s="85">
        <v>10169.081840000001</v>
      </c>
      <c r="M540" s="85"/>
      <c r="N540" s="85"/>
      <c r="O540" s="84"/>
      <c r="P540" s="85"/>
      <c r="Q540" s="85"/>
      <c r="R540" s="85"/>
      <c r="S540" s="84">
        <v>1325.0477699999999</v>
      </c>
      <c r="T540" s="85">
        <v>1316.8820700000001</v>
      </c>
      <c r="U540" s="85">
        <v>141.04109</v>
      </c>
      <c r="V540" s="84">
        <v>726.64790000000005</v>
      </c>
      <c r="W540" s="85">
        <v>2166.0383999999999</v>
      </c>
      <c r="X540" s="87"/>
      <c r="Y540" s="83">
        <v>1109.1600000000001</v>
      </c>
      <c r="Z540" s="84"/>
      <c r="AA540" s="85">
        <v>808.50735999999995</v>
      </c>
      <c r="AB540" s="84"/>
      <c r="AC540" s="85"/>
      <c r="AD540" s="89">
        <f>AE540+AF540</f>
        <v>3768.08581</v>
      </c>
      <c r="AE540" s="89">
        <f>157.707+896.9121</f>
        <v>1054.6190999999999</v>
      </c>
      <c r="AF540" s="186">
        <f>1552.39443+173.24815+402.75783+585.0663</f>
        <v>2713.4667100000001</v>
      </c>
      <c r="AG540" s="85"/>
      <c r="AH540" s="85"/>
      <c r="AI540" s="85"/>
      <c r="AJ540" s="84">
        <f>14235.06192+466.9</f>
        <v>14701.96192</v>
      </c>
      <c r="AK540" s="85">
        <f>121.8+3896.4</f>
        <v>4018.2000000000003</v>
      </c>
      <c r="AL540" s="84"/>
      <c r="AM540" s="88"/>
      <c r="AN540" s="84"/>
      <c r="AO540" s="85"/>
      <c r="AP540" s="82">
        <v>5881.5657899999997</v>
      </c>
      <c r="AQ540" s="83">
        <v>14687.333640000001</v>
      </c>
      <c r="AR540" s="83"/>
      <c r="AS540" s="83"/>
      <c r="AT540" s="85"/>
      <c r="AU540" s="85"/>
      <c r="AV540" s="85">
        <f>1958.57478+2417.42374+9033.68295+7698.57202</f>
        <v>21108.253489999999</v>
      </c>
      <c r="AW540" s="88"/>
      <c r="AX540" s="84"/>
      <c r="AY540" s="85"/>
      <c r="AZ540" s="84">
        <v>4889.1687400000001</v>
      </c>
      <c r="BA540" s="85">
        <v>4427.53712</v>
      </c>
      <c r="BB540" s="88">
        <v>676.60558000000003</v>
      </c>
      <c r="BC540" s="85"/>
      <c r="BD540" s="84"/>
      <c r="BE540" s="88"/>
      <c r="BF540" s="85"/>
      <c r="BG540" s="85">
        <v>6672.3066799999997</v>
      </c>
      <c r="BH540" s="85"/>
      <c r="BI540" s="85"/>
      <c r="BJ540" s="85"/>
      <c r="BK540" s="85"/>
      <c r="BL540" s="85"/>
      <c r="BM540" s="85"/>
      <c r="BN540" s="85"/>
      <c r="BO540" s="85"/>
      <c r="BP540" s="85"/>
      <c r="BQ540" s="85"/>
      <c r="BR540" s="84">
        <v>8872.0963800000009</v>
      </c>
      <c r="BS540" s="85"/>
      <c r="BT540" s="85"/>
      <c r="BU540" s="198"/>
      <c r="BV540" s="90"/>
      <c r="BW540" s="198"/>
      <c r="BX540" s="90"/>
      <c r="BY540" s="198"/>
      <c r="BZ540" s="90"/>
      <c r="CA540" s="91"/>
    </row>
    <row r="541" spans="1:1199" ht="50.1" customHeight="1" outlineLevel="2" x14ac:dyDescent="0.3">
      <c r="A541" s="106" t="s">
        <v>503</v>
      </c>
      <c r="B541" s="102" t="s">
        <v>505</v>
      </c>
      <c r="C541" s="79" t="s">
        <v>37</v>
      </c>
      <c r="D541" s="81">
        <f t="shared" ref="D541:D590" si="132">E541+F541</f>
        <v>114866.32798999999</v>
      </c>
      <c r="E541" s="82">
        <f t="shared" si="126"/>
        <v>47941.19038</v>
      </c>
      <c r="F541" s="83">
        <f t="shared" si="120"/>
        <v>66925.137609999991</v>
      </c>
      <c r="G541" s="82">
        <v>5862.7394000000004</v>
      </c>
      <c r="H541" s="83">
        <v>3480.9555700000001</v>
      </c>
      <c r="I541" s="83"/>
      <c r="J541" s="84">
        <f>33.69377+85.74215+183.70539+521.22744</f>
        <v>824.36874999999998</v>
      </c>
      <c r="K541" s="85">
        <f>8.42344+15.64413+66.80196+189.53724</f>
        <v>280.40676999999999</v>
      </c>
      <c r="L541" s="85">
        <v>4017.2090600000001</v>
      </c>
      <c r="M541" s="85"/>
      <c r="N541" s="85"/>
      <c r="O541" s="84"/>
      <c r="P541" s="85"/>
      <c r="Q541" s="85"/>
      <c r="R541" s="85"/>
      <c r="S541" s="84">
        <v>1633.7799600000001</v>
      </c>
      <c r="T541" s="85">
        <v>1599.3494900000001</v>
      </c>
      <c r="U541" s="85">
        <v>993.39040999999997</v>
      </c>
      <c r="V541" s="84">
        <v>80.608800000000002</v>
      </c>
      <c r="W541" s="85">
        <v>493.12799999999999</v>
      </c>
      <c r="X541" s="87"/>
      <c r="Y541" s="83">
        <v>2045.16</v>
      </c>
      <c r="Z541" s="84"/>
      <c r="AA541" s="85">
        <v>818.88369</v>
      </c>
      <c r="AB541" s="84"/>
      <c r="AC541" s="85"/>
      <c r="AD541" s="89">
        <f t="shared" ref="AD541:AD592" si="133">AE541+AF541</f>
        <v>2368.3955100000003</v>
      </c>
      <c r="AE541" s="89">
        <f>341.6985+223.5064</f>
        <v>565.20490000000007</v>
      </c>
      <c r="AF541" s="186">
        <f>1029.305+304.00147+469.88414</f>
        <v>1803.1906100000001</v>
      </c>
      <c r="AG541" s="85"/>
      <c r="AH541" s="85"/>
      <c r="AI541" s="85"/>
      <c r="AJ541" s="84">
        <f>299+354.2+912.98172</f>
        <v>1566.18172</v>
      </c>
      <c r="AK541" s="85">
        <f>176.4+92.4+110.5</f>
        <v>379.3</v>
      </c>
      <c r="AL541" s="84"/>
      <c r="AM541" s="88"/>
      <c r="AN541" s="84"/>
      <c r="AO541" s="85"/>
      <c r="AP541" s="84">
        <v>3869.8725899999999</v>
      </c>
      <c r="AQ541" s="83">
        <v>3564.68741</v>
      </c>
      <c r="AR541" s="83"/>
      <c r="AS541" s="83">
        <v>4546.4601000000002</v>
      </c>
      <c r="AT541" s="85"/>
      <c r="AU541" s="85"/>
      <c r="AV541" s="85">
        <f>17517.86064+6980.8929+516.57627</f>
        <v>25015.329809999999</v>
      </c>
      <c r="AW541" s="88"/>
      <c r="AX541" s="84"/>
      <c r="AY541" s="85"/>
      <c r="AZ541" s="84">
        <v>4559.3223799999996</v>
      </c>
      <c r="BA541" s="85">
        <v>4128.8356199999998</v>
      </c>
      <c r="BB541" s="88">
        <v>728.23812999999996</v>
      </c>
      <c r="BC541" s="85"/>
      <c r="BD541" s="84"/>
      <c r="BE541" s="88"/>
      <c r="BF541" s="85"/>
      <c r="BG541" s="85">
        <v>8335.7014600000002</v>
      </c>
      <c r="BH541" s="85"/>
      <c r="BI541" s="85"/>
      <c r="BJ541" s="85"/>
      <c r="BK541" s="85">
        <v>2615.5576099999998</v>
      </c>
      <c r="BL541" s="85"/>
      <c r="BM541" s="85"/>
      <c r="BN541" s="85"/>
      <c r="BO541" s="85"/>
      <c r="BP541" s="85"/>
      <c r="BQ541" s="85"/>
      <c r="BR541" s="84">
        <v>29544.316780000001</v>
      </c>
      <c r="BS541" s="85">
        <v>325.7</v>
      </c>
      <c r="BT541" s="85"/>
      <c r="BU541" s="97">
        <v>1188.4489699999999</v>
      </c>
      <c r="BV541" s="90"/>
      <c r="BW541" s="198"/>
      <c r="BX541" s="90"/>
      <c r="BY541" s="198"/>
      <c r="BZ541" s="90"/>
      <c r="CA541" s="91"/>
    </row>
    <row r="542" spans="1:1199" ht="50.1" customHeight="1" outlineLevel="2" x14ac:dyDescent="0.3">
      <c r="A542" s="96" t="s">
        <v>503</v>
      </c>
      <c r="B542" s="80" t="s">
        <v>506</v>
      </c>
      <c r="C542" s="79" t="s">
        <v>37</v>
      </c>
      <c r="D542" s="81">
        <f t="shared" si="132"/>
        <v>862.17683</v>
      </c>
      <c r="E542" s="82">
        <f t="shared" si="126"/>
        <v>762.22775000000001</v>
      </c>
      <c r="F542" s="83">
        <f t="shared" si="120"/>
        <v>99.949080000000009</v>
      </c>
      <c r="G542" s="84"/>
      <c r="H542" s="85"/>
      <c r="I542" s="85"/>
      <c r="J542" s="84"/>
      <c r="K542" s="85"/>
      <c r="L542" s="85"/>
      <c r="M542" s="85"/>
      <c r="N542" s="85"/>
      <c r="O542" s="82"/>
      <c r="P542" s="83"/>
      <c r="Q542" s="83"/>
      <c r="R542" s="83"/>
      <c r="S542" s="82"/>
      <c r="T542" s="83"/>
      <c r="U542" s="83"/>
      <c r="V542" s="84"/>
      <c r="W542" s="85"/>
      <c r="X542" s="87"/>
      <c r="Y542" s="83">
        <v>17.472000000000001</v>
      </c>
      <c r="Z542" s="84"/>
      <c r="AA542" s="85"/>
      <c r="AB542" s="84"/>
      <c r="AC542" s="85"/>
      <c r="AD542" s="89">
        <f t="shared" si="133"/>
        <v>11.92652</v>
      </c>
      <c r="AE542" s="89">
        <v>7.0622999999999996</v>
      </c>
      <c r="AF542" s="186">
        <v>4.8642200000000004</v>
      </c>
      <c r="AG542" s="85"/>
      <c r="AH542" s="85"/>
      <c r="AI542" s="85"/>
      <c r="AJ542" s="84"/>
      <c r="AK542" s="85"/>
      <c r="AL542" s="84"/>
      <c r="AM542" s="88"/>
      <c r="AN542" s="84"/>
      <c r="AO542" s="85"/>
      <c r="AP542" s="84"/>
      <c r="AQ542" s="83"/>
      <c r="AR542" s="83"/>
      <c r="AS542" s="83"/>
      <c r="AT542" s="85"/>
      <c r="AU542" s="85"/>
      <c r="AV542" s="85"/>
      <c r="AW542" s="88"/>
      <c r="AX542" s="84"/>
      <c r="AY542" s="85"/>
      <c r="AZ542" s="84">
        <v>32.344459999999998</v>
      </c>
      <c r="BA542" s="85">
        <v>29.290559999999999</v>
      </c>
      <c r="BB542" s="88"/>
      <c r="BC542" s="85"/>
      <c r="BD542" s="84"/>
      <c r="BE542" s="88"/>
      <c r="BF542" s="85"/>
      <c r="BG542" s="85">
        <v>41.26</v>
      </c>
      <c r="BH542" s="85"/>
      <c r="BI542" s="85"/>
      <c r="BJ542" s="85"/>
      <c r="BK542" s="85"/>
      <c r="BL542" s="85"/>
      <c r="BM542" s="85"/>
      <c r="BN542" s="85"/>
      <c r="BO542" s="85"/>
      <c r="BP542" s="85"/>
      <c r="BQ542" s="85"/>
      <c r="BR542" s="84">
        <v>729.88328999999999</v>
      </c>
      <c r="BS542" s="85"/>
      <c r="BT542" s="85"/>
      <c r="BU542" s="198"/>
      <c r="BV542" s="90"/>
      <c r="BW542" s="198"/>
      <c r="BX542" s="90"/>
      <c r="BY542" s="198"/>
      <c r="BZ542" s="90"/>
      <c r="CA542" s="91"/>
    </row>
    <row r="543" spans="1:1199" ht="50.1" customHeight="1" outlineLevel="2" x14ac:dyDescent="0.3">
      <c r="A543" s="106" t="s">
        <v>503</v>
      </c>
      <c r="B543" s="96" t="s">
        <v>507</v>
      </c>
      <c r="C543" s="79" t="s">
        <v>37</v>
      </c>
      <c r="D543" s="81">
        <f t="shared" si="132"/>
        <v>701.09780000000001</v>
      </c>
      <c r="E543" s="82">
        <f t="shared" si="126"/>
        <v>155.94774000000001</v>
      </c>
      <c r="F543" s="83">
        <f t="shared" si="120"/>
        <v>545.15005999999994</v>
      </c>
      <c r="G543" s="84"/>
      <c r="H543" s="85"/>
      <c r="I543" s="85"/>
      <c r="J543" s="84"/>
      <c r="K543" s="85"/>
      <c r="L543" s="85"/>
      <c r="M543" s="85"/>
      <c r="N543" s="85"/>
      <c r="O543" s="82"/>
      <c r="P543" s="83"/>
      <c r="Q543" s="83"/>
      <c r="R543" s="83"/>
      <c r="S543" s="82"/>
      <c r="T543" s="83"/>
      <c r="U543" s="83"/>
      <c r="V543" s="84"/>
      <c r="W543" s="85"/>
      <c r="X543" s="87"/>
      <c r="Y543" s="83">
        <v>86.736000000000004</v>
      </c>
      <c r="Z543" s="84"/>
      <c r="AA543" s="85"/>
      <c r="AB543" s="84"/>
      <c r="AC543" s="85"/>
      <c r="AD543" s="89">
        <f t="shared" si="133"/>
        <v>94.439359999999994</v>
      </c>
      <c r="AE543" s="89">
        <v>56.498399999999997</v>
      </c>
      <c r="AF543" s="186">
        <v>37.940959999999997</v>
      </c>
      <c r="AG543" s="85"/>
      <c r="AH543" s="85"/>
      <c r="AI543" s="85"/>
      <c r="AJ543" s="84"/>
      <c r="AK543" s="85"/>
      <c r="AL543" s="84"/>
      <c r="AM543" s="88"/>
      <c r="AN543" s="84"/>
      <c r="AO543" s="85"/>
      <c r="AP543" s="84"/>
      <c r="AQ543" s="83"/>
      <c r="AR543" s="83"/>
      <c r="AS543" s="83"/>
      <c r="AT543" s="85"/>
      <c r="AU543" s="85"/>
      <c r="AV543" s="88">
        <v>222.75116</v>
      </c>
      <c r="AW543" s="88"/>
      <c r="AX543" s="84"/>
      <c r="AY543" s="85"/>
      <c r="AZ543" s="84">
        <v>155.94774000000001</v>
      </c>
      <c r="BA543" s="85">
        <v>141.22354000000001</v>
      </c>
      <c r="BB543" s="88"/>
      <c r="BC543" s="85"/>
      <c r="BD543" s="84"/>
      <c r="BE543" s="88"/>
      <c r="BF543" s="85"/>
      <c r="BG543" s="85"/>
      <c r="BH543" s="85"/>
      <c r="BI543" s="85"/>
      <c r="BJ543" s="85"/>
      <c r="BK543" s="85"/>
      <c r="BL543" s="85"/>
      <c r="BM543" s="85"/>
      <c r="BN543" s="85"/>
      <c r="BO543" s="85"/>
      <c r="BP543" s="85"/>
      <c r="BQ543" s="85"/>
      <c r="BR543" s="84"/>
      <c r="BS543" s="85"/>
      <c r="BT543" s="85"/>
      <c r="BU543" s="198"/>
      <c r="BV543" s="90"/>
      <c r="BW543" s="198"/>
      <c r="BX543" s="90"/>
      <c r="BY543" s="198"/>
      <c r="BZ543" s="90"/>
      <c r="CA543" s="91"/>
    </row>
    <row r="544" spans="1:1199" ht="50.1" customHeight="1" outlineLevel="2" x14ac:dyDescent="0.3">
      <c r="A544" s="106" t="s">
        <v>503</v>
      </c>
      <c r="B544" s="96" t="s">
        <v>508</v>
      </c>
      <c r="C544" s="79" t="s">
        <v>37</v>
      </c>
      <c r="D544" s="81">
        <f t="shared" si="132"/>
        <v>310.95586000000003</v>
      </c>
      <c r="E544" s="82">
        <f t="shared" si="126"/>
        <v>99.201650000000001</v>
      </c>
      <c r="F544" s="83">
        <f t="shared" si="120"/>
        <v>211.75421</v>
      </c>
      <c r="G544" s="84"/>
      <c r="H544" s="85"/>
      <c r="I544" s="85"/>
      <c r="J544" s="84"/>
      <c r="K544" s="85"/>
      <c r="L544" s="85"/>
      <c r="M544" s="85"/>
      <c r="N544" s="85"/>
      <c r="O544" s="82"/>
      <c r="P544" s="83"/>
      <c r="Q544" s="83"/>
      <c r="R544" s="83"/>
      <c r="S544" s="82"/>
      <c r="T544" s="83"/>
      <c r="U544" s="83"/>
      <c r="V544" s="84"/>
      <c r="W544" s="85"/>
      <c r="X544" s="87"/>
      <c r="Y544" s="83">
        <v>55.223999999999997</v>
      </c>
      <c r="Z544" s="84"/>
      <c r="AA544" s="85"/>
      <c r="AB544" s="84"/>
      <c r="AC544" s="85"/>
      <c r="AD544" s="89">
        <f t="shared" si="133"/>
        <v>66.694919999999996</v>
      </c>
      <c r="AE544" s="89">
        <v>42.373800000000003</v>
      </c>
      <c r="AF544" s="186">
        <v>24.321120000000001</v>
      </c>
      <c r="AG544" s="85"/>
      <c r="AH544" s="85"/>
      <c r="AI544" s="85"/>
      <c r="AJ544" s="84"/>
      <c r="AK544" s="85"/>
      <c r="AL544" s="84"/>
      <c r="AM544" s="88"/>
      <c r="AN544" s="84"/>
      <c r="AO544" s="85"/>
      <c r="AP544" s="84"/>
      <c r="AQ544" s="83"/>
      <c r="AR544" s="83"/>
      <c r="AS544" s="83"/>
      <c r="AT544" s="85"/>
      <c r="AU544" s="85"/>
      <c r="AV544" s="85"/>
      <c r="AW544" s="88"/>
      <c r="AX544" s="84"/>
      <c r="AY544" s="85"/>
      <c r="AZ544" s="84">
        <v>99.201650000000001</v>
      </c>
      <c r="BA544" s="85">
        <v>89.835290000000001</v>
      </c>
      <c r="BB544" s="88"/>
      <c r="BC544" s="85"/>
      <c r="BD544" s="84"/>
      <c r="BE544" s="88"/>
      <c r="BF544" s="85"/>
      <c r="BG544" s="85"/>
      <c r="BH544" s="85"/>
      <c r="BI544" s="85"/>
      <c r="BJ544" s="85"/>
      <c r="BK544" s="85"/>
      <c r="BL544" s="85"/>
      <c r="BM544" s="85"/>
      <c r="BN544" s="85"/>
      <c r="BO544" s="85"/>
      <c r="BP544" s="85"/>
      <c r="BQ544" s="85"/>
      <c r="BR544" s="84"/>
      <c r="BS544" s="85"/>
      <c r="BT544" s="85"/>
      <c r="BU544" s="198"/>
      <c r="BV544" s="90"/>
      <c r="BW544" s="198"/>
      <c r="BX544" s="90"/>
      <c r="BY544" s="198"/>
      <c r="BZ544" s="90"/>
      <c r="CA544" s="91"/>
    </row>
    <row r="545" spans="1:79" ht="50.1" customHeight="1" outlineLevel="2" x14ac:dyDescent="0.3">
      <c r="A545" s="106" t="s">
        <v>503</v>
      </c>
      <c r="B545" s="96" t="s">
        <v>330</v>
      </c>
      <c r="C545" s="79" t="s">
        <v>37</v>
      </c>
      <c r="D545" s="81">
        <f t="shared" si="132"/>
        <v>323.38929000000002</v>
      </c>
      <c r="E545" s="82">
        <f t="shared" si="126"/>
        <v>61.11495</v>
      </c>
      <c r="F545" s="83">
        <f t="shared" si="120"/>
        <v>262.27434</v>
      </c>
      <c r="G545" s="84"/>
      <c r="H545" s="85"/>
      <c r="I545" s="85"/>
      <c r="J545" s="84"/>
      <c r="K545" s="85"/>
      <c r="L545" s="85"/>
      <c r="M545" s="85"/>
      <c r="N545" s="85"/>
      <c r="O545" s="82"/>
      <c r="P545" s="83"/>
      <c r="Q545" s="83"/>
      <c r="R545" s="83"/>
      <c r="S545" s="82"/>
      <c r="T545" s="83"/>
      <c r="U545" s="83"/>
      <c r="V545" s="84"/>
      <c r="W545" s="85"/>
      <c r="X545" s="87"/>
      <c r="Y545" s="83">
        <v>21.216000000000001</v>
      </c>
      <c r="Z545" s="84"/>
      <c r="AA545" s="85"/>
      <c r="AB545" s="84"/>
      <c r="AC545" s="85"/>
      <c r="AD545" s="89">
        <f t="shared" si="133"/>
        <v>26.77158</v>
      </c>
      <c r="AE545" s="89">
        <v>14.124599999999999</v>
      </c>
      <c r="AF545" s="186">
        <v>12.646979999999999</v>
      </c>
      <c r="AG545" s="85"/>
      <c r="AH545" s="85"/>
      <c r="AI545" s="85"/>
      <c r="AJ545" s="84"/>
      <c r="AK545" s="85"/>
      <c r="AL545" s="84"/>
      <c r="AM545" s="88"/>
      <c r="AN545" s="84"/>
      <c r="AO545" s="85"/>
      <c r="AP545" s="84"/>
      <c r="AQ545" s="83"/>
      <c r="AR545" s="83"/>
      <c r="AS545" s="83"/>
      <c r="AT545" s="85"/>
      <c r="AU545" s="85"/>
      <c r="AV545" s="85">
        <v>110.9171</v>
      </c>
      <c r="AW545" s="88"/>
      <c r="AX545" s="84"/>
      <c r="AY545" s="85"/>
      <c r="AZ545" s="84">
        <v>61.11495</v>
      </c>
      <c r="BA545" s="85">
        <v>55.3446</v>
      </c>
      <c r="BB545" s="88"/>
      <c r="BC545" s="85"/>
      <c r="BD545" s="84"/>
      <c r="BE545" s="88"/>
      <c r="BF545" s="85"/>
      <c r="BG545" s="85">
        <v>48.025060000000003</v>
      </c>
      <c r="BH545" s="85"/>
      <c r="BI545" s="85"/>
      <c r="BJ545" s="85"/>
      <c r="BK545" s="85"/>
      <c r="BL545" s="85"/>
      <c r="BM545" s="85"/>
      <c r="BN545" s="85"/>
      <c r="BO545" s="85"/>
      <c r="BP545" s="85"/>
      <c r="BQ545" s="85"/>
      <c r="BR545" s="84"/>
      <c r="BS545" s="85"/>
      <c r="BT545" s="85"/>
      <c r="BU545" s="198"/>
      <c r="BV545" s="90"/>
      <c r="BW545" s="198"/>
      <c r="BX545" s="90"/>
      <c r="BY545" s="198"/>
      <c r="BZ545" s="90"/>
      <c r="CA545" s="91"/>
    </row>
    <row r="546" spans="1:79" ht="50.1" customHeight="1" outlineLevel="2" x14ac:dyDescent="0.3">
      <c r="A546" s="106" t="s">
        <v>503</v>
      </c>
      <c r="B546" s="96" t="s">
        <v>509</v>
      </c>
      <c r="C546" s="79" t="s">
        <v>89</v>
      </c>
      <c r="D546" s="81">
        <f t="shared" si="132"/>
        <v>1624.3815400000001</v>
      </c>
      <c r="E546" s="82">
        <f t="shared" si="126"/>
        <v>0</v>
      </c>
      <c r="F546" s="83">
        <f t="shared" si="120"/>
        <v>1624.3815400000001</v>
      </c>
      <c r="G546" s="84"/>
      <c r="H546" s="85"/>
      <c r="I546" s="85"/>
      <c r="J546" s="84"/>
      <c r="K546" s="85"/>
      <c r="L546" s="85"/>
      <c r="M546" s="85"/>
      <c r="N546" s="85"/>
      <c r="O546" s="82"/>
      <c r="P546" s="83"/>
      <c r="Q546" s="83"/>
      <c r="R546" s="83"/>
      <c r="S546" s="82"/>
      <c r="T546" s="83"/>
      <c r="U546" s="83"/>
      <c r="V546" s="84"/>
      <c r="W546" s="85"/>
      <c r="X546" s="87"/>
      <c r="Y546" s="83"/>
      <c r="Z546" s="84"/>
      <c r="AA546" s="85"/>
      <c r="AB546" s="84"/>
      <c r="AC546" s="85"/>
      <c r="AD546" s="89">
        <f t="shared" si="133"/>
        <v>0</v>
      </c>
      <c r="AE546" s="89"/>
      <c r="AF546" s="186"/>
      <c r="AG546" s="85"/>
      <c r="AH546" s="85"/>
      <c r="AI546" s="85"/>
      <c r="AJ546" s="84"/>
      <c r="AK546" s="85"/>
      <c r="AL546" s="84"/>
      <c r="AM546" s="88"/>
      <c r="AN546" s="84"/>
      <c r="AO546" s="85"/>
      <c r="AP546" s="84"/>
      <c r="AQ546" s="83"/>
      <c r="AR546" s="83"/>
      <c r="AS546" s="83"/>
      <c r="AT546" s="85"/>
      <c r="AU546" s="85"/>
      <c r="AV546" s="85"/>
      <c r="AW546" s="88"/>
      <c r="AX546" s="84"/>
      <c r="AY546" s="85"/>
      <c r="AZ546" s="84"/>
      <c r="BA546" s="85"/>
      <c r="BB546" s="88"/>
      <c r="BC546" s="85"/>
      <c r="BD546" s="84"/>
      <c r="BE546" s="88"/>
      <c r="BF546" s="85"/>
      <c r="BG546" s="85"/>
      <c r="BH546" s="85"/>
      <c r="BI546" s="85"/>
      <c r="BJ546" s="85"/>
      <c r="BK546" s="85"/>
      <c r="BL546" s="85"/>
      <c r="BM546" s="85"/>
      <c r="BN546" s="85"/>
      <c r="BO546" s="85"/>
      <c r="BP546" s="85">
        <v>1624.3815400000001</v>
      </c>
      <c r="BQ546" s="85"/>
      <c r="BR546" s="84"/>
      <c r="BS546" s="85"/>
      <c r="BT546" s="85"/>
      <c r="BU546" s="198"/>
      <c r="BV546" s="90"/>
      <c r="BW546" s="198"/>
      <c r="BX546" s="90"/>
      <c r="BY546" s="198"/>
      <c r="BZ546" s="90"/>
      <c r="CA546" s="91"/>
    </row>
    <row r="547" spans="1:79" ht="50.1" customHeight="1" outlineLevel="2" x14ac:dyDescent="0.3">
      <c r="A547" s="106" t="s">
        <v>503</v>
      </c>
      <c r="B547" s="96" t="s">
        <v>510</v>
      </c>
      <c r="C547" s="79" t="s">
        <v>37</v>
      </c>
      <c r="D547" s="81">
        <f t="shared" si="132"/>
        <v>1275.5458699999999</v>
      </c>
      <c r="E547" s="82">
        <f t="shared" si="126"/>
        <v>541.19343000000003</v>
      </c>
      <c r="F547" s="83">
        <f t="shared" si="120"/>
        <v>734.35243999999989</v>
      </c>
      <c r="G547" s="84"/>
      <c r="H547" s="85"/>
      <c r="I547" s="85"/>
      <c r="J547" s="84">
        <v>151.74834000000001</v>
      </c>
      <c r="K547" s="85">
        <v>75.874179999999996</v>
      </c>
      <c r="L547" s="85"/>
      <c r="M547" s="85"/>
      <c r="N547" s="85"/>
      <c r="O547" s="82"/>
      <c r="P547" s="83"/>
      <c r="Q547" s="83"/>
      <c r="R547" s="83"/>
      <c r="S547" s="82">
        <v>5.6591899999999997</v>
      </c>
      <c r="T547" s="83">
        <v>14.29922</v>
      </c>
      <c r="U547" s="83"/>
      <c r="V547" s="84">
        <v>25.514500000000002</v>
      </c>
      <c r="W547" s="85">
        <v>44.55</v>
      </c>
      <c r="X547" s="87"/>
      <c r="Y547" s="83">
        <v>137.904</v>
      </c>
      <c r="Z547" s="84"/>
      <c r="AA547" s="85"/>
      <c r="AB547" s="84"/>
      <c r="AC547" s="85"/>
      <c r="AD547" s="89">
        <f t="shared" si="133"/>
        <v>137.28122999999999</v>
      </c>
      <c r="AE547" s="89">
        <v>84.747600000000006</v>
      </c>
      <c r="AF547" s="186">
        <v>52.533630000000002</v>
      </c>
      <c r="AG547" s="85"/>
      <c r="AH547" s="85"/>
      <c r="AI547" s="85"/>
      <c r="AJ547" s="84"/>
      <c r="AK547" s="85"/>
      <c r="AL547" s="84"/>
      <c r="AM547" s="88"/>
      <c r="AN547" s="84"/>
      <c r="AO547" s="85"/>
      <c r="AP547" s="84"/>
      <c r="AQ547" s="83"/>
      <c r="AR547" s="83"/>
      <c r="AS547" s="83"/>
      <c r="AT547" s="85"/>
      <c r="AU547" s="85"/>
      <c r="AV547" s="85"/>
      <c r="AW547" s="88"/>
      <c r="AX547" s="84"/>
      <c r="AY547" s="85"/>
      <c r="AZ547" s="84">
        <v>358.27140000000003</v>
      </c>
      <c r="BA547" s="85">
        <v>324.44380999999998</v>
      </c>
      <c r="BB547" s="88"/>
      <c r="BC547" s="85"/>
      <c r="BD547" s="84"/>
      <c r="BE547" s="88"/>
      <c r="BF547" s="85"/>
      <c r="BG547" s="85"/>
      <c r="BH547" s="85"/>
      <c r="BI547" s="85"/>
      <c r="BJ547" s="85"/>
      <c r="BK547" s="85"/>
      <c r="BL547" s="85"/>
      <c r="BM547" s="85"/>
      <c r="BN547" s="85"/>
      <c r="BO547" s="85"/>
      <c r="BP547" s="85"/>
      <c r="BQ547" s="85"/>
      <c r="BR547" s="84"/>
      <c r="BS547" s="85"/>
      <c r="BT547" s="85"/>
      <c r="BU547" s="198"/>
      <c r="BV547" s="90"/>
      <c r="BW547" s="198"/>
      <c r="BX547" s="90"/>
      <c r="BY547" s="198"/>
      <c r="BZ547" s="90"/>
      <c r="CA547" s="91"/>
    </row>
    <row r="548" spans="1:79" ht="50.1" customHeight="1" outlineLevel="2" x14ac:dyDescent="0.3">
      <c r="A548" s="106" t="s">
        <v>503</v>
      </c>
      <c r="B548" s="102" t="s">
        <v>511</v>
      </c>
      <c r="C548" s="79" t="s">
        <v>37</v>
      </c>
      <c r="D548" s="81">
        <f t="shared" si="132"/>
        <v>3934.0928699999999</v>
      </c>
      <c r="E548" s="82">
        <f t="shared" si="126"/>
        <v>862.80145000000005</v>
      </c>
      <c r="F548" s="83">
        <f t="shared" si="120"/>
        <v>3071.29142</v>
      </c>
      <c r="G548" s="82"/>
      <c r="H548" s="83"/>
      <c r="I548" s="83"/>
      <c r="J548" s="84">
        <f>0.92264+37.73113+45.35168</f>
        <v>84.005449999999996</v>
      </c>
      <c r="K548" s="85">
        <f>14.51842+17.88182</f>
        <v>32.400240000000004</v>
      </c>
      <c r="L548" s="85">
        <v>153.85404</v>
      </c>
      <c r="M548" s="85"/>
      <c r="N548" s="85"/>
      <c r="O548" s="82"/>
      <c r="P548" s="83"/>
      <c r="Q548" s="83"/>
      <c r="R548" s="83"/>
      <c r="S548" s="82"/>
      <c r="T548" s="83"/>
      <c r="U548" s="83"/>
      <c r="V548" s="84"/>
      <c r="W548" s="85"/>
      <c r="X548" s="87"/>
      <c r="Y548" s="83">
        <v>380.64</v>
      </c>
      <c r="Z548" s="84"/>
      <c r="AA548" s="85"/>
      <c r="AB548" s="84"/>
      <c r="AC548" s="85"/>
      <c r="AD548" s="89">
        <f t="shared" si="133"/>
        <v>0</v>
      </c>
      <c r="AE548" s="89"/>
      <c r="AF548" s="186"/>
      <c r="AG548" s="85"/>
      <c r="AH548" s="85"/>
      <c r="AI548" s="85"/>
      <c r="AJ548" s="84"/>
      <c r="AK548" s="85"/>
      <c r="AL548" s="84"/>
      <c r="AM548" s="88"/>
      <c r="AN548" s="84"/>
      <c r="AO548" s="85"/>
      <c r="AP548" s="84"/>
      <c r="AQ548" s="83"/>
      <c r="AR548" s="83"/>
      <c r="AS548" s="83"/>
      <c r="AT548" s="85"/>
      <c r="AU548" s="85"/>
      <c r="AV548" s="85">
        <v>1598.20552</v>
      </c>
      <c r="AW548" s="88"/>
      <c r="AX548" s="84"/>
      <c r="AY548" s="85"/>
      <c r="AZ548" s="84">
        <v>778.79600000000005</v>
      </c>
      <c r="BA548" s="85">
        <v>705.26417000000004</v>
      </c>
      <c r="BB548" s="88"/>
      <c r="BC548" s="85"/>
      <c r="BD548" s="84"/>
      <c r="BE548" s="88"/>
      <c r="BF548" s="85"/>
      <c r="BG548" s="85">
        <v>200.92744999999999</v>
      </c>
      <c r="BH548" s="85"/>
      <c r="BI548" s="85"/>
      <c r="BJ548" s="85"/>
      <c r="BK548" s="85"/>
      <c r="BL548" s="85"/>
      <c r="BM548" s="85"/>
      <c r="BN548" s="85"/>
      <c r="BO548" s="85"/>
      <c r="BP548" s="85"/>
      <c r="BQ548" s="85"/>
      <c r="BR548" s="84"/>
      <c r="BS548" s="85"/>
      <c r="BT548" s="85"/>
      <c r="BU548" s="198"/>
      <c r="BV548" s="90"/>
      <c r="BW548" s="198"/>
      <c r="BX548" s="90"/>
      <c r="BY548" s="198"/>
      <c r="BZ548" s="90"/>
      <c r="CA548" s="91"/>
    </row>
    <row r="549" spans="1:79" ht="50.1" customHeight="1" outlineLevel="2" x14ac:dyDescent="0.3">
      <c r="A549" s="103" t="s">
        <v>503</v>
      </c>
      <c r="B549" s="102" t="s">
        <v>512</v>
      </c>
      <c r="C549" s="79" t="s">
        <v>37</v>
      </c>
      <c r="D549" s="81">
        <f t="shared" si="132"/>
        <v>4193.0021999999999</v>
      </c>
      <c r="E549" s="82">
        <f t="shared" si="126"/>
        <v>1945.09113</v>
      </c>
      <c r="F549" s="83">
        <f t="shared" si="120"/>
        <v>2247.9110700000001</v>
      </c>
      <c r="G549" s="84"/>
      <c r="H549" s="85"/>
      <c r="I549" s="85"/>
      <c r="J549" s="84"/>
      <c r="K549" s="85"/>
      <c r="L549" s="85"/>
      <c r="M549" s="85"/>
      <c r="N549" s="85"/>
      <c r="O549" s="82"/>
      <c r="P549" s="83"/>
      <c r="Q549" s="83"/>
      <c r="R549" s="83"/>
      <c r="S549" s="82"/>
      <c r="T549" s="83"/>
      <c r="U549" s="83"/>
      <c r="V549" s="84"/>
      <c r="W549" s="85"/>
      <c r="X549" s="87"/>
      <c r="Y549" s="83">
        <v>99.84</v>
      </c>
      <c r="Z549" s="84"/>
      <c r="AA549" s="85"/>
      <c r="AB549" s="84"/>
      <c r="AC549" s="85"/>
      <c r="AD549" s="89">
        <f t="shared" si="133"/>
        <v>0</v>
      </c>
      <c r="AE549" s="89"/>
      <c r="AF549" s="186"/>
      <c r="AG549" s="85"/>
      <c r="AH549" s="85"/>
      <c r="AI549" s="85"/>
      <c r="AJ549" s="84">
        <v>913.26</v>
      </c>
      <c r="AK549" s="85">
        <f>648+36+353.52</f>
        <v>1037.52</v>
      </c>
      <c r="AL549" s="84"/>
      <c r="AM549" s="88"/>
      <c r="AN549" s="84"/>
      <c r="AO549" s="85"/>
      <c r="AP549" s="84"/>
      <c r="AQ549" s="83"/>
      <c r="AR549" s="83"/>
      <c r="AS549" s="83"/>
      <c r="AT549" s="85"/>
      <c r="AU549" s="85"/>
      <c r="AV549" s="85"/>
      <c r="AW549" s="88"/>
      <c r="AX549" s="84"/>
      <c r="AY549" s="85"/>
      <c r="AZ549" s="84">
        <v>108.30835</v>
      </c>
      <c r="BA549" s="85">
        <v>98.082120000000003</v>
      </c>
      <c r="BB549" s="88"/>
      <c r="BC549" s="85"/>
      <c r="BD549" s="84"/>
      <c r="BE549" s="88"/>
      <c r="BF549" s="85"/>
      <c r="BG549" s="85"/>
      <c r="BH549" s="85"/>
      <c r="BI549" s="85"/>
      <c r="BJ549" s="85"/>
      <c r="BK549" s="85">
        <v>1012.4689499999999</v>
      </c>
      <c r="BL549" s="85"/>
      <c r="BM549" s="85"/>
      <c r="BN549" s="85"/>
      <c r="BO549" s="85"/>
      <c r="BP549" s="85"/>
      <c r="BQ549" s="85"/>
      <c r="BR549" s="84">
        <v>923.52278000000001</v>
      </c>
      <c r="BS549" s="85"/>
      <c r="BT549" s="85"/>
      <c r="BU549" s="198"/>
      <c r="BV549" s="90"/>
      <c r="BW549" s="198"/>
      <c r="BX549" s="90"/>
      <c r="BY549" s="198"/>
      <c r="BZ549" s="90"/>
      <c r="CA549" s="91"/>
    </row>
    <row r="550" spans="1:79" ht="50.1" customHeight="1" outlineLevel="2" x14ac:dyDescent="0.3">
      <c r="A550" s="106" t="s">
        <v>503</v>
      </c>
      <c r="B550" s="102" t="s">
        <v>513</v>
      </c>
      <c r="C550" s="79" t="s">
        <v>37</v>
      </c>
      <c r="D550" s="81">
        <f t="shared" si="132"/>
        <v>4399.8529600000002</v>
      </c>
      <c r="E550" s="82">
        <f t="shared" si="126"/>
        <v>3003.4583699999998</v>
      </c>
      <c r="F550" s="83">
        <f t="shared" si="120"/>
        <v>1396.3945899999999</v>
      </c>
      <c r="G550" s="82"/>
      <c r="H550" s="83"/>
      <c r="I550" s="83"/>
      <c r="J550" s="84"/>
      <c r="K550" s="85"/>
      <c r="L550" s="85"/>
      <c r="M550" s="85"/>
      <c r="N550" s="85"/>
      <c r="O550" s="82"/>
      <c r="P550" s="83"/>
      <c r="Q550" s="83"/>
      <c r="R550" s="83"/>
      <c r="S550" s="82"/>
      <c r="T550" s="83"/>
      <c r="U550" s="83"/>
      <c r="V550" s="84"/>
      <c r="W550" s="85"/>
      <c r="X550" s="87"/>
      <c r="Y550" s="83">
        <v>93.6</v>
      </c>
      <c r="Z550" s="84"/>
      <c r="AA550" s="85"/>
      <c r="AB550" s="84"/>
      <c r="AC550" s="85"/>
      <c r="AD550" s="89">
        <f t="shared" si="133"/>
        <v>88.602279999999993</v>
      </c>
      <c r="AE550" s="89">
        <v>56.498399999999997</v>
      </c>
      <c r="AF550" s="186">
        <v>32.103879999999997</v>
      </c>
      <c r="AG550" s="85"/>
      <c r="AH550" s="85"/>
      <c r="AI550" s="85"/>
      <c r="AJ550" s="84"/>
      <c r="AK550" s="85"/>
      <c r="AL550" s="84"/>
      <c r="AM550" s="88"/>
      <c r="AN550" s="84"/>
      <c r="AO550" s="85"/>
      <c r="AP550" s="84"/>
      <c r="AQ550" s="83"/>
      <c r="AR550" s="83"/>
      <c r="AS550" s="83"/>
      <c r="AT550" s="85"/>
      <c r="AU550" s="85"/>
      <c r="AV550" s="85">
        <v>886.38580999999999</v>
      </c>
      <c r="AW550" s="88"/>
      <c r="AX550" s="84"/>
      <c r="AY550" s="85"/>
      <c r="AZ550" s="84">
        <v>174.80198999999999</v>
      </c>
      <c r="BA550" s="85">
        <v>158.29755</v>
      </c>
      <c r="BB550" s="88"/>
      <c r="BC550" s="85"/>
      <c r="BD550" s="84"/>
      <c r="BE550" s="88"/>
      <c r="BF550" s="85"/>
      <c r="BG550" s="85">
        <v>169.50895</v>
      </c>
      <c r="BH550" s="85"/>
      <c r="BI550" s="85"/>
      <c r="BJ550" s="85"/>
      <c r="BK550" s="85"/>
      <c r="BL550" s="85"/>
      <c r="BM550" s="85"/>
      <c r="BN550" s="85"/>
      <c r="BO550" s="85"/>
      <c r="BP550" s="85"/>
      <c r="BQ550" s="85"/>
      <c r="BR550" s="84">
        <v>2828.6563799999999</v>
      </c>
      <c r="BS550" s="85"/>
      <c r="BT550" s="85"/>
      <c r="BU550" s="198"/>
      <c r="BV550" s="90"/>
      <c r="BW550" s="198"/>
      <c r="BX550" s="90"/>
      <c r="BY550" s="198"/>
      <c r="BZ550" s="90"/>
      <c r="CA550" s="91"/>
    </row>
    <row r="551" spans="1:79" ht="50.1" customHeight="1" outlineLevel="2" x14ac:dyDescent="0.3">
      <c r="A551" s="106" t="s">
        <v>503</v>
      </c>
      <c r="B551" s="102" t="s">
        <v>514</v>
      </c>
      <c r="C551" s="79" t="s">
        <v>55</v>
      </c>
      <c r="D551" s="81">
        <f t="shared" si="132"/>
        <v>321.50162999999998</v>
      </c>
      <c r="E551" s="82">
        <f t="shared" si="126"/>
        <v>23.297219999999999</v>
      </c>
      <c r="F551" s="83">
        <f t="shared" si="120"/>
        <v>298.20441</v>
      </c>
      <c r="G551" s="84"/>
      <c r="H551" s="85"/>
      <c r="I551" s="85"/>
      <c r="J551" s="84"/>
      <c r="K551" s="85"/>
      <c r="L551" s="85"/>
      <c r="M551" s="85"/>
      <c r="N551" s="85"/>
      <c r="O551" s="82">
        <v>0.67196</v>
      </c>
      <c r="P551" s="83">
        <v>3.5369999999999999E-2</v>
      </c>
      <c r="Q551" s="83"/>
      <c r="R551" s="83"/>
      <c r="S551" s="82"/>
      <c r="T551" s="83"/>
      <c r="U551" s="83"/>
      <c r="V551" s="84"/>
      <c r="W551" s="85"/>
      <c r="X551" s="87"/>
      <c r="Y551" s="83">
        <v>3.12</v>
      </c>
      <c r="Z551" s="84"/>
      <c r="AA551" s="85"/>
      <c r="AB551" s="84"/>
      <c r="AC551" s="85"/>
      <c r="AD551" s="89">
        <f t="shared" si="133"/>
        <v>0</v>
      </c>
      <c r="AE551" s="89"/>
      <c r="AF551" s="186"/>
      <c r="AG551" s="85"/>
      <c r="AH551" s="85"/>
      <c r="AI551" s="85"/>
      <c r="AJ551" s="84"/>
      <c r="AK551" s="85"/>
      <c r="AL551" s="84"/>
      <c r="AM551" s="88"/>
      <c r="AN551" s="84"/>
      <c r="AO551" s="85">
        <v>274.56</v>
      </c>
      <c r="AP551" s="84"/>
      <c r="AQ551" s="83"/>
      <c r="AR551" s="83"/>
      <c r="AS551" s="83"/>
      <c r="AT551" s="85"/>
      <c r="AU551" s="85"/>
      <c r="AV551" s="85"/>
      <c r="AW551" s="88"/>
      <c r="AX551" s="84"/>
      <c r="AY551" s="85"/>
      <c r="AZ551" s="84">
        <v>22.625260000000001</v>
      </c>
      <c r="BA551" s="85">
        <v>20.489039999999999</v>
      </c>
      <c r="BB551" s="88"/>
      <c r="BC551" s="85"/>
      <c r="BD551" s="84"/>
      <c r="BE551" s="88"/>
      <c r="BF551" s="85"/>
      <c r="BG551" s="85"/>
      <c r="BH551" s="85"/>
      <c r="BI551" s="85"/>
      <c r="BJ551" s="85"/>
      <c r="BK551" s="85"/>
      <c r="BL551" s="85"/>
      <c r="BM551" s="85"/>
      <c r="BN551" s="85"/>
      <c r="BO551" s="85"/>
      <c r="BP551" s="85"/>
      <c r="BQ551" s="85"/>
      <c r="BR551" s="84"/>
      <c r="BS551" s="85"/>
      <c r="BT551" s="85"/>
      <c r="BU551" s="198"/>
      <c r="BV551" s="90"/>
      <c r="BW551" s="198"/>
      <c r="BX551" s="90"/>
      <c r="BY551" s="198"/>
      <c r="BZ551" s="90"/>
      <c r="CA551" s="91"/>
    </row>
    <row r="552" spans="1:79" ht="50.1" customHeight="1" outlineLevel="2" x14ac:dyDescent="0.3">
      <c r="A552" s="106" t="s">
        <v>503</v>
      </c>
      <c r="B552" s="102" t="s">
        <v>515</v>
      </c>
      <c r="C552" s="79" t="s">
        <v>55</v>
      </c>
      <c r="D552" s="81">
        <f t="shared" si="132"/>
        <v>144.89449999999999</v>
      </c>
      <c r="E552" s="82">
        <f t="shared" si="126"/>
        <v>45.202689999999997</v>
      </c>
      <c r="F552" s="83">
        <f t="shared" si="120"/>
        <v>99.691810000000004</v>
      </c>
      <c r="G552" s="84"/>
      <c r="H552" s="85"/>
      <c r="I552" s="85"/>
      <c r="J552" s="84"/>
      <c r="K552" s="85"/>
      <c r="L552" s="85"/>
      <c r="M552" s="85"/>
      <c r="N552" s="85"/>
      <c r="O552" s="82"/>
      <c r="P552" s="83"/>
      <c r="Q552" s="83"/>
      <c r="R552" s="83"/>
      <c r="S552" s="82"/>
      <c r="T552" s="83"/>
      <c r="U552" s="83"/>
      <c r="V552" s="84"/>
      <c r="W552" s="85"/>
      <c r="X552" s="87"/>
      <c r="Y552" s="83">
        <v>25.896000000000001</v>
      </c>
      <c r="Z552" s="84"/>
      <c r="AA552" s="85"/>
      <c r="AB552" s="84"/>
      <c r="AC552" s="85"/>
      <c r="AD552" s="89">
        <f t="shared" si="133"/>
        <v>32.861040000000003</v>
      </c>
      <c r="AE552" s="89">
        <v>21.186900000000001</v>
      </c>
      <c r="AF552" s="186">
        <v>11.67414</v>
      </c>
      <c r="AG552" s="85"/>
      <c r="AH552" s="85"/>
      <c r="AI552" s="85"/>
      <c r="AJ552" s="84"/>
      <c r="AK552" s="85"/>
      <c r="AL552" s="84"/>
      <c r="AM552" s="88"/>
      <c r="AN552" s="84"/>
      <c r="AO552" s="85"/>
      <c r="AP552" s="84"/>
      <c r="AQ552" s="83"/>
      <c r="AR552" s="83"/>
      <c r="AS552" s="83"/>
      <c r="AT552" s="85"/>
      <c r="AU552" s="85"/>
      <c r="AV552" s="85"/>
      <c r="AW552" s="88"/>
      <c r="AX552" s="84"/>
      <c r="AY552" s="85"/>
      <c r="AZ552" s="84">
        <v>45.202689999999997</v>
      </c>
      <c r="BA552" s="85">
        <v>40.93477</v>
      </c>
      <c r="BB552" s="88"/>
      <c r="BC552" s="85"/>
      <c r="BD552" s="84"/>
      <c r="BE552" s="88"/>
      <c r="BF552" s="85"/>
      <c r="BG552" s="85"/>
      <c r="BH552" s="85"/>
      <c r="BI552" s="85"/>
      <c r="BJ552" s="85"/>
      <c r="BK552" s="85"/>
      <c r="BL552" s="85"/>
      <c r="BM552" s="85"/>
      <c r="BN552" s="85"/>
      <c r="BO552" s="85"/>
      <c r="BP552" s="85"/>
      <c r="BQ552" s="85"/>
      <c r="BR552" s="84"/>
      <c r="BS552" s="85"/>
      <c r="BT552" s="85"/>
      <c r="BU552" s="198"/>
      <c r="BV552" s="90"/>
      <c r="BW552" s="198"/>
      <c r="BX552" s="90"/>
      <c r="BY552" s="198"/>
      <c r="BZ552" s="90"/>
      <c r="CA552" s="91"/>
    </row>
    <row r="553" spans="1:79" ht="50.1" customHeight="1" outlineLevel="2" x14ac:dyDescent="0.3">
      <c r="A553" s="106" t="s">
        <v>503</v>
      </c>
      <c r="B553" s="102" t="s">
        <v>516</v>
      </c>
      <c r="C553" s="79" t="s">
        <v>55</v>
      </c>
      <c r="D553" s="81">
        <f t="shared" si="132"/>
        <v>417.24797999999998</v>
      </c>
      <c r="E553" s="82">
        <f t="shared" si="126"/>
        <v>165.68832</v>
      </c>
      <c r="F553" s="83">
        <f t="shared" si="120"/>
        <v>251.55966000000001</v>
      </c>
      <c r="G553" s="84"/>
      <c r="H553" s="85"/>
      <c r="I553" s="85"/>
      <c r="J553" s="84"/>
      <c r="K553" s="85"/>
      <c r="L553" s="85"/>
      <c r="M553" s="85"/>
      <c r="N553" s="85"/>
      <c r="O553" s="82"/>
      <c r="P553" s="83"/>
      <c r="Q553" s="83"/>
      <c r="R553" s="83"/>
      <c r="S553" s="82"/>
      <c r="T553" s="83"/>
      <c r="U553" s="83"/>
      <c r="V553" s="84"/>
      <c r="W553" s="85"/>
      <c r="X553" s="87"/>
      <c r="Y553" s="83">
        <v>65.52</v>
      </c>
      <c r="Z553" s="84"/>
      <c r="AA553" s="85"/>
      <c r="AB553" s="84"/>
      <c r="AC553" s="85"/>
      <c r="AD553" s="89">
        <f t="shared" si="133"/>
        <v>35.995260000000002</v>
      </c>
      <c r="AE553" s="89"/>
      <c r="AF553" s="186">
        <v>35.995260000000002</v>
      </c>
      <c r="AG553" s="85"/>
      <c r="AH553" s="85"/>
      <c r="AI553" s="85"/>
      <c r="AJ553" s="84"/>
      <c r="AK553" s="85"/>
      <c r="AL553" s="84"/>
      <c r="AM553" s="88"/>
      <c r="AN553" s="84"/>
      <c r="AO553" s="85"/>
      <c r="AP553" s="84"/>
      <c r="AQ553" s="83"/>
      <c r="AR553" s="83"/>
      <c r="AS553" s="83"/>
      <c r="AT553" s="85"/>
      <c r="AU553" s="85"/>
      <c r="AV553" s="85"/>
      <c r="AW553" s="88"/>
      <c r="AX553" s="84"/>
      <c r="AY553" s="85"/>
      <c r="AZ553" s="84">
        <v>165.68832</v>
      </c>
      <c r="BA553" s="85">
        <v>150.0444</v>
      </c>
      <c r="BB553" s="88"/>
      <c r="BC553" s="85"/>
      <c r="BD553" s="84"/>
      <c r="BE553" s="88"/>
      <c r="BF553" s="85"/>
      <c r="BG553" s="85"/>
      <c r="BH553" s="85"/>
      <c r="BI553" s="85"/>
      <c r="BJ553" s="85"/>
      <c r="BK553" s="85"/>
      <c r="BL553" s="85"/>
      <c r="BM553" s="85"/>
      <c r="BN553" s="85"/>
      <c r="BO553" s="85"/>
      <c r="BP553" s="85"/>
      <c r="BQ553" s="85"/>
      <c r="BR553" s="84"/>
      <c r="BS553" s="85"/>
      <c r="BT553" s="85"/>
      <c r="BU553" s="198"/>
      <c r="BV553" s="90"/>
      <c r="BW553" s="198"/>
      <c r="BX553" s="90"/>
      <c r="BY553" s="198"/>
      <c r="BZ553" s="90"/>
      <c r="CA553" s="91"/>
    </row>
    <row r="554" spans="1:79" ht="50.1" customHeight="1" outlineLevel="2" x14ac:dyDescent="0.3">
      <c r="A554" s="106" t="s">
        <v>503</v>
      </c>
      <c r="B554" s="102" t="s">
        <v>1180</v>
      </c>
      <c r="C554" s="79" t="s">
        <v>55</v>
      </c>
      <c r="D554" s="81">
        <f t="shared" si="132"/>
        <v>2988</v>
      </c>
      <c r="E554" s="82">
        <f t="shared" si="126"/>
        <v>2838.6</v>
      </c>
      <c r="F554" s="83">
        <f t="shared" si="120"/>
        <v>149.4</v>
      </c>
      <c r="G554" s="84"/>
      <c r="H554" s="85"/>
      <c r="I554" s="85"/>
      <c r="J554" s="84"/>
      <c r="K554" s="85"/>
      <c r="L554" s="85"/>
      <c r="M554" s="85"/>
      <c r="N554" s="85"/>
      <c r="O554" s="82"/>
      <c r="P554" s="83"/>
      <c r="Q554" s="83"/>
      <c r="R554" s="83"/>
      <c r="S554" s="82"/>
      <c r="T554" s="83"/>
      <c r="U554" s="83"/>
      <c r="V554" s="84"/>
      <c r="W554" s="85"/>
      <c r="X554" s="87"/>
      <c r="Y554" s="83"/>
      <c r="Z554" s="84"/>
      <c r="AA554" s="85"/>
      <c r="AB554" s="84"/>
      <c r="AC554" s="85"/>
      <c r="AD554" s="89"/>
      <c r="AE554" s="89"/>
      <c r="AF554" s="186"/>
      <c r="AG554" s="85"/>
      <c r="AH554" s="85"/>
      <c r="AI554" s="85"/>
      <c r="AJ554" s="84"/>
      <c r="AK554" s="85"/>
      <c r="AL554" s="84"/>
      <c r="AM554" s="88"/>
      <c r="AN554" s="84"/>
      <c r="AO554" s="85"/>
      <c r="AP554" s="84"/>
      <c r="AQ554" s="83"/>
      <c r="AR554" s="83"/>
      <c r="AS554" s="83"/>
      <c r="AT554" s="85"/>
      <c r="AU554" s="85"/>
      <c r="AV554" s="85"/>
      <c r="AW554" s="88"/>
      <c r="AX554" s="84"/>
      <c r="AY554" s="85"/>
      <c r="AZ554" s="84"/>
      <c r="BA554" s="85"/>
      <c r="BB554" s="88"/>
      <c r="BC554" s="85"/>
      <c r="BD554" s="84"/>
      <c r="BE554" s="88"/>
      <c r="BF554" s="85"/>
      <c r="BG554" s="85"/>
      <c r="BH554" s="85"/>
      <c r="BI554" s="85"/>
      <c r="BJ554" s="85"/>
      <c r="BK554" s="85"/>
      <c r="BL554" s="85"/>
      <c r="BM554" s="85"/>
      <c r="BN554" s="85"/>
      <c r="BO554" s="85"/>
      <c r="BP554" s="85"/>
      <c r="BQ554" s="85"/>
      <c r="BR554" s="84"/>
      <c r="BS554" s="85"/>
      <c r="BT554" s="85"/>
      <c r="BU554" s="198"/>
      <c r="BV554" s="90">
        <v>2838.6</v>
      </c>
      <c r="BW554" s="198">
        <v>149.4</v>
      </c>
      <c r="BX554" s="90"/>
      <c r="BY554" s="198"/>
      <c r="BZ554" s="90"/>
      <c r="CA554" s="91"/>
    </row>
    <row r="555" spans="1:79" ht="50.1" customHeight="1" outlineLevel="2" x14ac:dyDescent="0.3">
      <c r="A555" s="106" t="s">
        <v>503</v>
      </c>
      <c r="B555" s="102" t="s">
        <v>1185</v>
      </c>
      <c r="C555" s="79" t="s">
        <v>55</v>
      </c>
      <c r="D555" s="81">
        <f t="shared" si="132"/>
        <v>2751.511</v>
      </c>
      <c r="E555" s="82">
        <f t="shared" si="126"/>
        <v>2613.9354499999999</v>
      </c>
      <c r="F555" s="83">
        <f t="shared" si="120"/>
        <v>137.57554999999999</v>
      </c>
      <c r="G555" s="84"/>
      <c r="H555" s="85"/>
      <c r="I555" s="85"/>
      <c r="J555" s="84"/>
      <c r="K555" s="85"/>
      <c r="L555" s="85"/>
      <c r="M555" s="85"/>
      <c r="N555" s="85"/>
      <c r="O555" s="82"/>
      <c r="P555" s="83"/>
      <c r="Q555" s="83"/>
      <c r="R555" s="83"/>
      <c r="S555" s="82"/>
      <c r="T555" s="83"/>
      <c r="U555" s="83"/>
      <c r="V555" s="84"/>
      <c r="W555" s="85"/>
      <c r="X555" s="87"/>
      <c r="Y555" s="83"/>
      <c r="Z555" s="84"/>
      <c r="AA555" s="85"/>
      <c r="AB555" s="84"/>
      <c r="AC555" s="85"/>
      <c r="AD555" s="89"/>
      <c r="AE555" s="89"/>
      <c r="AF555" s="186"/>
      <c r="AG555" s="85"/>
      <c r="AH555" s="85"/>
      <c r="AI555" s="85"/>
      <c r="AJ555" s="84"/>
      <c r="AK555" s="85"/>
      <c r="AL555" s="84"/>
      <c r="AM555" s="88"/>
      <c r="AN555" s="84"/>
      <c r="AO555" s="85"/>
      <c r="AP555" s="84"/>
      <c r="AQ555" s="83"/>
      <c r="AR555" s="83"/>
      <c r="AS555" s="83"/>
      <c r="AT555" s="85"/>
      <c r="AU555" s="85"/>
      <c r="AV555" s="85"/>
      <c r="AW555" s="88"/>
      <c r="AX555" s="84"/>
      <c r="AY555" s="85"/>
      <c r="AZ555" s="84"/>
      <c r="BA555" s="85"/>
      <c r="BB555" s="88"/>
      <c r="BC555" s="85"/>
      <c r="BD555" s="84"/>
      <c r="BE555" s="88"/>
      <c r="BF555" s="85"/>
      <c r="BG555" s="85"/>
      <c r="BH555" s="85"/>
      <c r="BI555" s="85"/>
      <c r="BJ555" s="85"/>
      <c r="BK555" s="85"/>
      <c r="BL555" s="85"/>
      <c r="BM555" s="85"/>
      <c r="BN555" s="85"/>
      <c r="BO555" s="85"/>
      <c r="BP555" s="85"/>
      <c r="BQ555" s="85"/>
      <c r="BR555" s="84"/>
      <c r="BS555" s="85"/>
      <c r="BT555" s="85"/>
      <c r="BU555" s="198"/>
      <c r="BV555" s="90">
        <v>2613.9354499999999</v>
      </c>
      <c r="BW555" s="198">
        <v>137.57554999999999</v>
      </c>
      <c r="BX555" s="90"/>
      <c r="BY555" s="198"/>
      <c r="BZ555" s="90"/>
      <c r="CA555" s="91"/>
    </row>
    <row r="556" spans="1:79" ht="50.1" customHeight="1" outlineLevel="2" x14ac:dyDescent="0.3">
      <c r="A556" s="106" t="s">
        <v>503</v>
      </c>
      <c r="B556" s="102" t="s">
        <v>517</v>
      </c>
      <c r="C556" s="79" t="s">
        <v>55</v>
      </c>
      <c r="D556" s="81">
        <f t="shared" si="132"/>
        <v>63.611249999999998</v>
      </c>
      <c r="E556" s="82">
        <f t="shared" si="126"/>
        <v>21.39227</v>
      </c>
      <c r="F556" s="83">
        <f t="shared" si="120"/>
        <v>42.218980000000002</v>
      </c>
      <c r="G556" s="84"/>
      <c r="H556" s="85"/>
      <c r="I556" s="85"/>
      <c r="J556" s="84"/>
      <c r="K556" s="85"/>
      <c r="L556" s="85"/>
      <c r="M556" s="85"/>
      <c r="N556" s="85"/>
      <c r="O556" s="82"/>
      <c r="P556" s="83"/>
      <c r="Q556" s="83"/>
      <c r="R556" s="83"/>
      <c r="S556" s="82"/>
      <c r="T556" s="83"/>
      <c r="U556" s="83"/>
      <c r="V556" s="84"/>
      <c r="W556" s="85"/>
      <c r="X556" s="87"/>
      <c r="Y556" s="83">
        <v>10.92</v>
      </c>
      <c r="Z556" s="84"/>
      <c r="AA556" s="85"/>
      <c r="AB556" s="84"/>
      <c r="AC556" s="85"/>
      <c r="AD556" s="89">
        <f t="shared" si="133"/>
        <v>11.92652</v>
      </c>
      <c r="AE556" s="89">
        <v>7.0622999999999996</v>
      </c>
      <c r="AF556" s="186">
        <v>4.8642200000000004</v>
      </c>
      <c r="AG556" s="85"/>
      <c r="AH556" s="85"/>
      <c r="AI556" s="85"/>
      <c r="AJ556" s="84"/>
      <c r="AK556" s="85"/>
      <c r="AL556" s="84"/>
      <c r="AM556" s="88"/>
      <c r="AN556" s="84"/>
      <c r="AO556" s="85"/>
      <c r="AP556" s="84"/>
      <c r="AQ556" s="83"/>
      <c r="AR556" s="83"/>
      <c r="AS556" s="83"/>
      <c r="AT556" s="85"/>
      <c r="AU556" s="85"/>
      <c r="AV556" s="85"/>
      <c r="AW556" s="88"/>
      <c r="AX556" s="84"/>
      <c r="AY556" s="85"/>
      <c r="AZ556" s="84">
        <v>21.39227</v>
      </c>
      <c r="BA556" s="85">
        <v>19.37246</v>
      </c>
      <c r="BB556" s="88"/>
      <c r="BC556" s="85"/>
      <c r="BD556" s="84"/>
      <c r="BE556" s="88"/>
      <c r="BF556" s="85"/>
      <c r="BG556" s="85"/>
      <c r="BH556" s="85"/>
      <c r="BI556" s="85"/>
      <c r="BJ556" s="85"/>
      <c r="BK556" s="85"/>
      <c r="BL556" s="85"/>
      <c r="BM556" s="85"/>
      <c r="BN556" s="85"/>
      <c r="BO556" s="85"/>
      <c r="BP556" s="85"/>
      <c r="BQ556" s="85"/>
      <c r="BR556" s="84"/>
      <c r="BS556" s="85"/>
      <c r="BT556" s="85"/>
      <c r="BU556" s="198"/>
      <c r="BV556" s="90"/>
      <c r="BW556" s="198"/>
      <c r="BX556" s="90"/>
      <c r="BY556" s="198"/>
      <c r="BZ556" s="90"/>
      <c r="CA556" s="91"/>
    </row>
    <row r="557" spans="1:79" ht="50.1" customHeight="1" outlineLevel="2" x14ac:dyDescent="0.3">
      <c r="A557" s="106" t="s">
        <v>503</v>
      </c>
      <c r="B557" s="102" t="s">
        <v>1157</v>
      </c>
      <c r="C557" s="79" t="s">
        <v>55</v>
      </c>
      <c r="D557" s="81">
        <f t="shared" si="132"/>
        <v>114.94284999999999</v>
      </c>
      <c r="E557" s="82">
        <f t="shared" si="126"/>
        <v>96.222849999999994</v>
      </c>
      <c r="F557" s="83">
        <f t="shared" si="120"/>
        <v>18.72</v>
      </c>
      <c r="G557" s="84"/>
      <c r="H557" s="85"/>
      <c r="I557" s="85"/>
      <c r="J557" s="84"/>
      <c r="K557" s="85"/>
      <c r="L557" s="85"/>
      <c r="M557" s="85"/>
      <c r="N557" s="85"/>
      <c r="O557" s="82"/>
      <c r="P557" s="83"/>
      <c r="Q557" s="83"/>
      <c r="R557" s="83"/>
      <c r="S557" s="82"/>
      <c r="T557" s="83"/>
      <c r="U557" s="83"/>
      <c r="V557" s="84"/>
      <c r="W557" s="85"/>
      <c r="X557" s="87"/>
      <c r="Y557" s="83">
        <v>18.72</v>
      </c>
      <c r="Z557" s="84"/>
      <c r="AA557" s="85"/>
      <c r="AB557" s="84"/>
      <c r="AC557" s="85"/>
      <c r="AD557" s="89"/>
      <c r="AE557" s="89"/>
      <c r="AF557" s="186"/>
      <c r="AG557" s="85"/>
      <c r="AH557" s="85"/>
      <c r="AI557" s="85"/>
      <c r="AJ557" s="84"/>
      <c r="AK557" s="85"/>
      <c r="AL557" s="84"/>
      <c r="AM557" s="88"/>
      <c r="AN557" s="84"/>
      <c r="AO557" s="85"/>
      <c r="AP557" s="84"/>
      <c r="AQ557" s="83"/>
      <c r="AR557" s="83"/>
      <c r="AS557" s="83"/>
      <c r="AT557" s="85"/>
      <c r="AU557" s="85"/>
      <c r="AV557" s="85"/>
      <c r="AW557" s="88"/>
      <c r="AX557" s="84"/>
      <c r="AY557" s="85"/>
      <c r="AZ557" s="84"/>
      <c r="BA557" s="85"/>
      <c r="BB557" s="88"/>
      <c r="BC557" s="85"/>
      <c r="BD557" s="84"/>
      <c r="BE557" s="88"/>
      <c r="BF557" s="85"/>
      <c r="BG557" s="85"/>
      <c r="BH557" s="85"/>
      <c r="BI557" s="85"/>
      <c r="BJ557" s="85"/>
      <c r="BK557" s="85"/>
      <c r="BL557" s="85"/>
      <c r="BM557" s="85"/>
      <c r="BN557" s="85"/>
      <c r="BO557" s="85"/>
      <c r="BP557" s="85"/>
      <c r="BQ557" s="85"/>
      <c r="BR557" s="84">
        <v>96.222849999999994</v>
      </c>
      <c r="BS557" s="85"/>
      <c r="BT557" s="85"/>
      <c r="BU557" s="198"/>
      <c r="BV557" s="90"/>
      <c r="BW557" s="198"/>
      <c r="BX557" s="90"/>
      <c r="BY557" s="198"/>
      <c r="BZ557" s="90"/>
      <c r="CA557" s="91"/>
    </row>
    <row r="558" spans="1:79" ht="50.1" customHeight="1" outlineLevel="2" x14ac:dyDescent="0.3">
      <c r="A558" s="106" t="s">
        <v>503</v>
      </c>
      <c r="B558" s="102" t="s">
        <v>518</v>
      </c>
      <c r="C558" s="79" t="s">
        <v>55</v>
      </c>
      <c r="D558" s="81">
        <f t="shared" si="132"/>
        <v>3313.6657500000001</v>
      </c>
      <c r="E558" s="82">
        <f t="shared" si="126"/>
        <v>824.96560999999997</v>
      </c>
      <c r="F558" s="83">
        <f t="shared" ref="F558:F609" si="134">H558+I558+K558+L558+M558+N558+P558+Q558+R558+T558+U558+W558+Y558+AA558+AC558+AD558+AG558+AH558+AI558+AK558+AM558+AO558+AQ558+AR558+AS558+AT558+AU558+AV558+AW558+AY558+BA558+BB558+BC558+BE558+BF558+BG558+BH558+BI558+BJ558+BK558+BL558+BO558+BP558+BQ558+BS558+BT558+BU558+BW558+BY558+CA558+BM558+BN558</f>
        <v>2488.7001399999999</v>
      </c>
      <c r="G558" s="84"/>
      <c r="H558" s="85"/>
      <c r="I558" s="85"/>
      <c r="J558" s="84"/>
      <c r="K558" s="85"/>
      <c r="L558" s="85"/>
      <c r="M558" s="85"/>
      <c r="N558" s="85"/>
      <c r="O558" s="82"/>
      <c r="P558" s="83"/>
      <c r="Q558" s="83"/>
      <c r="R558" s="83"/>
      <c r="S558" s="82"/>
      <c r="T558" s="83"/>
      <c r="U558" s="83"/>
      <c r="V558" s="84"/>
      <c r="W558" s="85"/>
      <c r="X558" s="87"/>
      <c r="Y558" s="83">
        <v>46.8</v>
      </c>
      <c r="Z558" s="84"/>
      <c r="AA558" s="85"/>
      <c r="AB558" s="84"/>
      <c r="AC558" s="85"/>
      <c r="AD558" s="89">
        <f t="shared" si="133"/>
        <v>0</v>
      </c>
      <c r="AE558" s="89"/>
      <c r="AF558" s="186"/>
      <c r="AG558" s="85"/>
      <c r="AH558" s="85"/>
      <c r="AI558" s="85"/>
      <c r="AJ558" s="84"/>
      <c r="AK558" s="85"/>
      <c r="AL558" s="84"/>
      <c r="AM558" s="88"/>
      <c r="AN558" s="84"/>
      <c r="AO558" s="85">
        <v>424.32</v>
      </c>
      <c r="AP558" s="84"/>
      <c r="AQ558" s="83"/>
      <c r="AR558" s="83"/>
      <c r="AS558" s="83"/>
      <c r="AT558" s="85"/>
      <c r="AU558" s="85"/>
      <c r="AV558" s="85"/>
      <c r="AW558" s="88"/>
      <c r="AX558" s="84"/>
      <c r="AY558" s="85"/>
      <c r="AZ558" s="84">
        <v>19.691330000000001</v>
      </c>
      <c r="BA558" s="85">
        <v>17.832139999999999</v>
      </c>
      <c r="BB558" s="88"/>
      <c r="BC558" s="85"/>
      <c r="BD558" s="84"/>
      <c r="BE558" s="88"/>
      <c r="BF558" s="85"/>
      <c r="BG558" s="85"/>
      <c r="BH558" s="85"/>
      <c r="BI558" s="85"/>
      <c r="BJ558" s="85"/>
      <c r="BK558" s="85"/>
      <c r="BL558" s="85"/>
      <c r="BM558" s="85"/>
      <c r="BN558" s="85"/>
      <c r="BO558" s="85"/>
      <c r="BP558" s="85"/>
      <c r="BQ558" s="85">
        <v>1999.748</v>
      </c>
      <c r="BR558" s="84">
        <v>805.27427999999998</v>
      </c>
      <c r="BS558" s="85"/>
      <c r="BT558" s="85"/>
      <c r="BU558" s="198"/>
      <c r="BV558" s="90"/>
      <c r="BW558" s="198"/>
      <c r="BX558" s="90"/>
      <c r="BY558" s="198"/>
      <c r="BZ558" s="90"/>
      <c r="CA558" s="91"/>
    </row>
    <row r="559" spans="1:79" ht="50.1" customHeight="1" outlineLevel="2" x14ac:dyDescent="0.3">
      <c r="A559" s="106" t="s">
        <v>503</v>
      </c>
      <c r="B559" s="102" t="s">
        <v>519</v>
      </c>
      <c r="C559" s="79" t="s">
        <v>55</v>
      </c>
      <c r="D559" s="81">
        <f t="shared" si="132"/>
        <v>398.57306</v>
      </c>
      <c r="E559" s="82">
        <f t="shared" si="126"/>
        <v>147.76295999999999</v>
      </c>
      <c r="F559" s="83">
        <f t="shared" si="134"/>
        <v>250.81010000000001</v>
      </c>
      <c r="G559" s="84"/>
      <c r="H559" s="85"/>
      <c r="I559" s="85"/>
      <c r="J559" s="84"/>
      <c r="K559" s="85"/>
      <c r="L559" s="85"/>
      <c r="M559" s="85"/>
      <c r="N559" s="85"/>
      <c r="O559" s="82"/>
      <c r="P559" s="83"/>
      <c r="Q559" s="83"/>
      <c r="R559" s="83"/>
      <c r="S559" s="82"/>
      <c r="T559" s="83"/>
      <c r="U559" s="83"/>
      <c r="V559" s="84"/>
      <c r="W559" s="85"/>
      <c r="X559" s="87"/>
      <c r="Y559" s="83">
        <v>70.823999999999998</v>
      </c>
      <c r="Z559" s="84"/>
      <c r="AA559" s="85"/>
      <c r="AB559" s="84"/>
      <c r="AC559" s="85"/>
      <c r="AD559" s="89">
        <f t="shared" si="133"/>
        <v>46.17474</v>
      </c>
      <c r="AE559" s="89">
        <v>15.043699999999999</v>
      </c>
      <c r="AF559" s="186">
        <v>31.131039999999999</v>
      </c>
      <c r="AG559" s="85"/>
      <c r="AH559" s="85"/>
      <c r="AI559" s="85"/>
      <c r="AJ559" s="84"/>
      <c r="AK559" s="85"/>
      <c r="AL559" s="84"/>
      <c r="AM559" s="88"/>
      <c r="AN559" s="84"/>
      <c r="AO559" s="85"/>
      <c r="AP559" s="84"/>
      <c r="AQ559" s="83"/>
      <c r="AR559" s="83"/>
      <c r="AS559" s="83"/>
      <c r="AT559" s="85"/>
      <c r="AU559" s="85"/>
      <c r="AV559" s="85"/>
      <c r="AW559" s="88"/>
      <c r="AX559" s="84"/>
      <c r="AY559" s="85"/>
      <c r="AZ559" s="84">
        <v>147.76295999999999</v>
      </c>
      <c r="BA559" s="85">
        <v>133.81136000000001</v>
      </c>
      <c r="BB559" s="88"/>
      <c r="BC559" s="85"/>
      <c r="BD559" s="84"/>
      <c r="BE559" s="88"/>
      <c r="BF559" s="85"/>
      <c r="BG559" s="85"/>
      <c r="BH559" s="85"/>
      <c r="BI559" s="85"/>
      <c r="BJ559" s="85"/>
      <c r="BK559" s="85"/>
      <c r="BL559" s="85"/>
      <c r="BM559" s="85"/>
      <c r="BN559" s="85"/>
      <c r="BO559" s="85"/>
      <c r="BP559" s="85"/>
      <c r="BQ559" s="85"/>
      <c r="BR559" s="84"/>
      <c r="BS559" s="85"/>
      <c r="BT559" s="85"/>
      <c r="BU559" s="198"/>
      <c r="BV559" s="90"/>
      <c r="BW559" s="198"/>
      <c r="BX559" s="90"/>
      <c r="BY559" s="198"/>
      <c r="BZ559" s="90"/>
      <c r="CA559" s="91"/>
    </row>
    <row r="560" spans="1:79" ht="50.1" customHeight="1" outlineLevel="2" x14ac:dyDescent="0.3">
      <c r="A560" s="106" t="s">
        <v>503</v>
      </c>
      <c r="B560" s="102" t="s">
        <v>520</v>
      </c>
      <c r="C560" s="79" t="s">
        <v>55</v>
      </c>
      <c r="D560" s="81">
        <f t="shared" si="132"/>
        <v>505.65557999999999</v>
      </c>
      <c r="E560" s="82">
        <f t="shared" si="126"/>
        <v>432.76515999999998</v>
      </c>
      <c r="F560" s="83">
        <f t="shared" si="134"/>
        <v>72.890420000000006</v>
      </c>
      <c r="G560" s="84"/>
      <c r="H560" s="85"/>
      <c r="I560" s="85"/>
      <c r="J560" s="84"/>
      <c r="K560" s="85"/>
      <c r="L560" s="85"/>
      <c r="M560" s="85"/>
      <c r="N560" s="85"/>
      <c r="O560" s="82"/>
      <c r="P560" s="83"/>
      <c r="Q560" s="83"/>
      <c r="R560" s="83"/>
      <c r="S560" s="82"/>
      <c r="T560" s="83"/>
      <c r="U560" s="83"/>
      <c r="V560" s="84"/>
      <c r="W560" s="85"/>
      <c r="X560" s="87"/>
      <c r="Y560" s="83">
        <v>19.344000000000001</v>
      </c>
      <c r="Z560" s="84"/>
      <c r="AA560" s="85"/>
      <c r="AB560" s="84"/>
      <c r="AC560" s="85"/>
      <c r="AD560" s="89">
        <f t="shared" si="133"/>
        <v>7.7827599999999997</v>
      </c>
      <c r="AE560" s="89"/>
      <c r="AF560" s="188">
        <v>7.7827599999999997</v>
      </c>
      <c r="AG560" s="85"/>
      <c r="AH560" s="85"/>
      <c r="AI560" s="85"/>
      <c r="AJ560" s="84"/>
      <c r="AK560" s="85"/>
      <c r="AL560" s="84"/>
      <c r="AM560" s="88"/>
      <c r="AN560" s="84"/>
      <c r="AO560" s="85"/>
      <c r="AP560" s="84"/>
      <c r="AQ560" s="83"/>
      <c r="AR560" s="83"/>
      <c r="AS560" s="83"/>
      <c r="AT560" s="85"/>
      <c r="AU560" s="85"/>
      <c r="AV560" s="85"/>
      <c r="AW560" s="88"/>
      <c r="AX560" s="84"/>
      <c r="AY560" s="85"/>
      <c r="AZ560" s="84">
        <v>50.534990000000001</v>
      </c>
      <c r="BA560" s="85">
        <v>45.763660000000002</v>
      </c>
      <c r="BB560" s="88"/>
      <c r="BC560" s="85"/>
      <c r="BD560" s="84"/>
      <c r="BE560" s="88"/>
      <c r="BF560" s="85"/>
      <c r="BG560" s="85"/>
      <c r="BH560" s="85"/>
      <c r="BI560" s="85"/>
      <c r="BJ560" s="85"/>
      <c r="BK560" s="85"/>
      <c r="BL560" s="85"/>
      <c r="BM560" s="85"/>
      <c r="BN560" s="85"/>
      <c r="BO560" s="85"/>
      <c r="BP560" s="85"/>
      <c r="BQ560" s="85"/>
      <c r="BR560" s="84">
        <v>382.23016999999999</v>
      </c>
      <c r="BS560" s="85"/>
      <c r="BT560" s="85"/>
      <c r="BU560" s="198"/>
      <c r="BV560" s="90"/>
      <c r="BW560" s="198"/>
      <c r="BX560" s="90"/>
      <c r="BY560" s="198"/>
      <c r="BZ560" s="90"/>
      <c r="CA560" s="91"/>
    </row>
    <row r="561" spans="1:79" ht="50.1" customHeight="1" outlineLevel="2" x14ac:dyDescent="0.3">
      <c r="A561" s="106" t="s">
        <v>503</v>
      </c>
      <c r="B561" s="102" t="s">
        <v>521</v>
      </c>
      <c r="C561" s="79" t="s">
        <v>55</v>
      </c>
      <c r="D561" s="81">
        <f t="shared" si="132"/>
        <v>196.50566000000001</v>
      </c>
      <c r="E561" s="82">
        <f t="shared" si="126"/>
        <v>182.77766</v>
      </c>
      <c r="F561" s="83">
        <f t="shared" si="134"/>
        <v>13.728</v>
      </c>
      <c r="G561" s="84"/>
      <c r="H561" s="85"/>
      <c r="I561" s="85"/>
      <c r="J561" s="84"/>
      <c r="K561" s="85"/>
      <c r="L561" s="85"/>
      <c r="M561" s="85"/>
      <c r="N561" s="85"/>
      <c r="O561" s="82"/>
      <c r="P561" s="83"/>
      <c r="Q561" s="83"/>
      <c r="R561" s="83"/>
      <c r="S561" s="82"/>
      <c r="T561" s="83"/>
      <c r="U561" s="83"/>
      <c r="V561" s="84"/>
      <c r="W561" s="85"/>
      <c r="X561" s="87"/>
      <c r="Y561" s="83">
        <v>13.728</v>
      </c>
      <c r="Z561" s="84"/>
      <c r="AA561" s="85"/>
      <c r="AB561" s="84"/>
      <c r="AC561" s="85"/>
      <c r="AD561" s="89">
        <f t="shared" si="133"/>
        <v>0</v>
      </c>
      <c r="AE561" s="83"/>
      <c r="AF561" s="123"/>
      <c r="AG561" s="85"/>
      <c r="AH561" s="85"/>
      <c r="AI561" s="85"/>
      <c r="AJ561" s="84"/>
      <c r="AK561" s="85"/>
      <c r="AL561" s="84"/>
      <c r="AM561" s="85"/>
      <c r="AN561" s="84"/>
      <c r="AO561" s="85"/>
      <c r="AP561" s="84"/>
      <c r="AQ561" s="83"/>
      <c r="AR561" s="83"/>
      <c r="AS561" s="83"/>
      <c r="AT561" s="85"/>
      <c r="AU561" s="85"/>
      <c r="AV561" s="85"/>
      <c r="AW561" s="85"/>
      <c r="AX561" s="84"/>
      <c r="AY561" s="85"/>
      <c r="AZ561" s="84"/>
      <c r="BA561" s="85"/>
      <c r="BB561" s="85"/>
      <c r="BC561" s="85"/>
      <c r="BD561" s="85"/>
      <c r="BE561" s="85"/>
      <c r="BF561" s="85"/>
      <c r="BG561" s="85"/>
      <c r="BH561" s="85"/>
      <c r="BI561" s="85"/>
      <c r="BJ561" s="85"/>
      <c r="BK561" s="85"/>
      <c r="BL561" s="85"/>
      <c r="BM561" s="85"/>
      <c r="BN561" s="85"/>
      <c r="BO561" s="85"/>
      <c r="BP561" s="85"/>
      <c r="BQ561" s="85"/>
      <c r="BR561" s="84">
        <v>182.77766</v>
      </c>
      <c r="BS561" s="85"/>
      <c r="BT561" s="85"/>
      <c r="BU561" s="198"/>
      <c r="BV561" s="90"/>
      <c r="BW561" s="198"/>
      <c r="BX561" s="90"/>
      <c r="BY561" s="198"/>
      <c r="BZ561" s="90"/>
      <c r="CA561" s="91"/>
    </row>
    <row r="562" spans="1:79" ht="50.1" customHeight="1" outlineLevel="2" x14ac:dyDescent="0.3">
      <c r="A562" s="106" t="s">
        <v>503</v>
      </c>
      <c r="B562" s="102" t="s">
        <v>522</v>
      </c>
      <c r="C562" s="121" t="s">
        <v>55</v>
      </c>
      <c r="D562" s="81">
        <f t="shared" si="132"/>
        <v>323.88722000000001</v>
      </c>
      <c r="E562" s="82">
        <f t="shared" si="126"/>
        <v>27.024139999999999</v>
      </c>
      <c r="F562" s="83">
        <f t="shared" si="134"/>
        <v>296.86308000000002</v>
      </c>
      <c r="G562" s="84"/>
      <c r="H562" s="85"/>
      <c r="I562" s="85"/>
      <c r="J562" s="84"/>
      <c r="K562" s="85"/>
      <c r="L562" s="85"/>
      <c r="M562" s="85"/>
      <c r="N562" s="85"/>
      <c r="O562" s="82"/>
      <c r="P562" s="83"/>
      <c r="Q562" s="83"/>
      <c r="R562" s="83"/>
      <c r="S562" s="82"/>
      <c r="T562" s="83"/>
      <c r="U562" s="83"/>
      <c r="V562" s="84"/>
      <c r="W562" s="85"/>
      <c r="X562" s="87"/>
      <c r="Y562" s="83">
        <v>17.16</v>
      </c>
      <c r="Z562" s="84"/>
      <c r="AA562" s="85"/>
      <c r="AB562" s="84"/>
      <c r="AC562" s="85"/>
      <c r="AD562" s="89">
        <f t="shared" si="133"/>
        <v>0</v>
      </c>
      <c r="AE562" s="89"/>
      <c r="AF562" s="186"/>
      <c r="AG562" s="85"/>
      <c r="AH562" s="85"/>
      <c r="AI562" s="85"/>
      <c r="AJ562" s="84"/>
      <c r="AK562" s="85"/>
      <c r="AL562" s="84"/>
      <c r="AM562" s="88"/>
      <c r="AN562" s="84"/>
      <c r="AO562" s="85"/>
      <c r="AP562" s="84"/>
      <c r="AQ562" s="83"/>
      <c r="AR562" s="83"/>
      <c r="AS562" s="83"/>
      <c r="AT562" s="85"/>
      <c r="AU562" s="85"/>
      <c r="AV562" s="85">
        <v>255.23049</v>
      </c>
      <c r="AW562" s="88"/>
      <c r="AX562" s="84"/>
      <c r="AY562" s="85"/>
      <c r="AZ562" s="84">
        <v>27.024139999999999</v>
      </c>
      <c r="BA562" s="85">
        <v>24.47259</v>
      </c>
      <c r="BB562" s="88"/>
      <c r="BC562" s="85"/>
      <c r="BD562" s="84"/>
      <c r="BE562" s="88"/>
      <c r="BF562" s="85"/>
      <c r="BG562" s="85"/>
      <c r="BH562" s="85"/>
      <c r="BI562" s="85"/>
      <c r="BJ562" s="85"/>
      <c r="BK562" s="85"/>
      <c r="BL562" s="85"/>
      <c r="BM562" s="85"/>
      <c r="BN562" s="85"/>
      <c r="BO562" s="85"/>
      <c r="BP562" s="85"/>
      <c r="BQ562" s="85"/>
      <c r="BR562" s="84"/>
      <c r="BS562" s="85"/>
      <c r="BT562" s="85"/>
      <c r="BU562" s="198"/>
      <c r="BV562" s="90"/>
      <c r="BW562" s="198"/>
      <c r="BX562" s="90"/>
      <c r="BY562" s="198"/>
      <c r="BZ562" s="90"/>
      <c r="CA562" s="91"/>
    </row>
    <row r="563" spans="1:79" ht="50.1" customHeight="1" outlineLevel="2" x14ac:dyDescent="0.3">
      <c r="A563" s="106" t="s">
        <v>503</v>
      </c>
      <c r="B563" s="102" t="s">
        <v>523</v>
      </c>
      <c r="C563" s="79" t="s">
        <v>55</v>
      </c>
      <c r="D563" s="81">
        <f t="shared" si="132"/>
        <v>144.72829999999999</v>
      </c>
      <c r="E563" s="82">
        <f t="shared" si="126"/>
        <v>50.1965</v>
      </c>
      <c r="F563" s="83">
        <f t="shared" si="134"/>
        <v>94.531800000000004</v>
      </c>
      <c r="G563" s="84"/>
      <c r="H563" s="85"/>
      <c r="I563" s="85"/>
      <c r="J563" s="84"/>
      <c r="K563" s="85"/>
      <c r="L563" s="85"/>
      <c r="M563" s="85"/>
      <c r="N563" s="85"/>
      <c r="O563" s="82"/>
      <c r="P563" s="83"/>
      <c r="Q563" s="83"/>
      <c r="R563" s="83"/>
      <c r="S563" s="82"/>
      <c r="T563" s="83"/>
      <c r="U563" s="83"/>
      <c r="V563" s="84">
        <v>4.6390000000000002</v>
      </c>
      <c r="W563" s="85">
        <v>8.1</v>
      </c>
      <c r="X563" s="87"/>
      <c r="Y563" s="83">
        <v>4.992</v>
      </c>
      <c r="Z563" s="84"/>
      <c r="AA563" s="85"/>
      <c r="AB563" s="84"/>
      <c r="AC563" s="85"/>
      <c r="AD563" s="89">
        <f t="shared" si="133"/>
        <v>0</v>
      </c>
      <c r="AE563" s="83"/>
      <c r="AF563" s="123"/>
      <c r="AG563" s="85"/>
      <c r="AH563" s="85"/>
      <c r="AI563" s="85"/>
      <c r="AJ563" s="84"/>
      <c r="AK563" s="85"/>
      <c r="AL563" s="84"/>
      <c r="AM563" s="85"/>
      <c r="AN563" s="84"/>
      <c r="AO563" s="85"/>
      <c r="AP563" s="84"/>
      <c r="AQ563" s="83"/>
      <c r="AR563" s="83"/>
      <c r="AS563" s="83"/>
      <c r="AT563" s="85"/>
      <c r="AU563" s="85"/>
      <c r="AV563" s="85"/>
      <c r="AW563" s="85"/>
      <c r="AX563" s="84"/>
      <c r="AY563" s="85"/>
      <c r="AZ563" s="84"/>
      <c r="BA563" s="85"/>
      <c r="BB563" s="85"/>
      <c r="BC563" s="85"/>
      <c r="BD563" s="84"/>
      <c r="BE563" s="85"/>
      <c r="BF563" s="85"/>
      <c r="BG563" s="85"/>
      <c r="BH563" s="85"/>
      <c r="BI563" s="85"/>
      <c r="BJ563" s="85"/>
      <c r="BK563" s="85"/>
      <c r="BL563" s="85"/>
      <c r="BM563" s="85"/>
      <c r="BN563" s="85"/>
      <c r="BO563" s="85"/>
      <c r="BP563" s="85"/>
      <c r="BQ563" s="85"/>
      <c r="BR563" s="84">
        <v>45.557499999999997</v>
      </c>
      <c r="BS563" s="85"/>
      <c r="BT563" s="85"/>
      <c r="BU563" s="198">
        <v>81.439800000000005</v>
      </c>
      <c r="BV563" s="90"/>
      <c r="BW563" s="198"/>
      <c r="BX563" s="90"/>
      <c r="BY563" s="198"/>
      <c r="BZ563" s="90"/>
      <c r="CA563" s="91"/>
    </row>
    <row r="564" spans="1:79" ht="50.1" customHeight="1" outlineLevel="2" x14ac:dyDescent="0.3">
      <c r="A564" s="106" t="s">
        <v>503</v>
      </c>
      <c r="B564" s="102" t="s">
        <v>524</v>
      </c>
      <c r="C564" s="79" t="s">
        <v>55</v>
      </c>
      <c r="D564" s="81">
        <f t="shared" si="132"/>
        <v>649.17149000000006</v>
      </c>
      <c r="E564" s="82">
        <f t="shared" si="126"/>
        <v>54.1417</v>
      </c>
      <c r="F564" s="83">
        <f t="shared" si="134"/>
        <v>595.02979000000005</v>
      </c>
      <c r="G564" s="84"/>
      <c r="H564" s="85"/>
      <c r="I564" s="85"/>
      <c r="J564" s="84"/>
      <c r="K564" s="85"/>
      <c r="L564" s="85"/>
      <c r="M564" s="85"/>
      <c r="N564" s="85"/>
      <c r="O564" s="82"/>
      <c r="P564" s="83"/>
      <c r="Q564" s="83"/>
      <c r="R564" s="83"/>
      <c r="S564" s="82"/>
      <c r="T564" s="83"/>
      <c r="U564" s="83"/>
      <c r="V564" s="84"/>
      <c r="W564" s="85"/>
      <c r="X564" s="87"/>
      <c r="Y564" s="83"/>
      <c r="Z564" s="84"/>
      <c r="AA564" s="85"/>
      <c r="AB564" s="84"/>
      <c r="AC564" s="85"/>
      <c r="AD564" s="89">
        <f t="shared" si="133"/>
        <v>0</v>
      </c>
      <c r="AE564" s="89"/>
      <c r="AF564" s="186"/>
      <c r="AG564" s="85"/>
      <c r="AH564" s="85"/>
      <c r="AI564" s="85"/>
      <c r="AJ564" s="84"/>
      <c r="AK564" s="85"/>
      <c r="AL564" s="84"/>
      <c r="AM564" s="88"/>
      <c r="AN564" s="84"/>
      <c r="AO564" s="85"/>
      <c r="AP564" s="84"/>
      <c r="AQ564" s="83"/>
      <c r="AR564" s="83"/>
      <c r="AS564" s="83"/>
      <c r="AT564" s="85"/>
      <c r="AU564" s="85"/>
      <c r="AV564" s="85"/>
      <c r="AW564" s="88"/>
      <c r="AX564" s="84"/>
      <c r="AY564" s="85"/>
      <c r="AZ564" s="84">
        <v>54.1417</v>
      </c>
      <c r="BA564" s="85">
        <v>49.029789999999998</v>
      </c>
      <c r="BB564" s="88"/>
      <c r="BC564" s="85"/>
      <c r="BD564" s="84"/>
      <c r="BE564" s="88"/>
      <c r="BF564" s="85"/>
      <c r="BG564" s="85"/>
      <c r="BH564" s="85"/>
      <c r="BI564" s="85"/>
      <c r="BJ564" s="85"/>
      <c r="BK564" s="85"/>
      <c r="BL564" s="85"/>
      <c r="BM564" s="85"/>
      <c r="BN564" s="85"/>
      <c r="BO564" s="85"/>
      <c r="BP564" s="85"/>
      <c r="BQ564" s="85"/>
      <c r="BR564" s="84"/>
      <c r="BS564" s="85"/>
      <c r="BT564" s="85"/>
      <c r="BU564" s="198">
        <v>546</v>
      </c>
      <c r="BV564" s="90"/>
      <c r="BW564" s="198"/>
      <c r="BX564" s="90"/>
      <c r="BY564" s="198"/>
      <c r="BZ564" s="90"/>
      <c r="CA564" s="91"/>
    </row>
    <row r="565" spans="1:79" ht="50.1" customHeight="1" outlineLevel="2" x14ac:dyDescent="0.3">
      <c r="A565" s="106" t="s">
        <v>503</v>
      </c>
      <c r="B565" s="102" t="s">
        <v>525</v>
      </c>
      <c r="C565" s="79" t="s">
        <v>55</v>
      </c>
      <c r="D565" s="81">
        <f t="shared" si="132"/>
        <v>748.30336</v>
      </c>
      <c r="E565" s="82">
        <f t="shared" si="126"/>
        <v>563.28625999999997</v>
      </c>
      <c r="F565" s="83">
        <f t="shared" si="134"/>
        <v>185.0171</v>
      </c>
      <c r="G565" s="84"/>
      <c r="H565" s="85"/>
      <c r="I565" s="85"/>
      <c r="J565" s="84"/>
      <c r="K565" s="85"/>
      <c r="L565" s="85"/>
      <c r="M565" s="85"/>
      <c r="N565" s="85"/>
      <c r="O565" s="82"/>
      <c r="P565" s="83"/>
      <c r="Q565" s="83"/>
      <c r="R565" s="83"/>
      <c r="S565" s="82"/>
      <c r="T565" s="83"/>
      <c r="U565" s="83"/>
      <c r="V565" s="84"/>
      <c r="W565" s="85"/>
      <c r="X565" s="87"/>
      <c r="Y565" s="83">
        <v>31.2</v>
      </c>
      <c r="Z565" s="84"/>
      <c r="AA565" s="85"/>
      <c r="AB565" s="84"/>
      <c r="AC565" s="85"/>
      <c r="AD565" s="89">
        <f t="shared" si="133"/>
        <v>64.74924</v>
      </c>
      <c r="AE565" s="89">
        <v>42.373800000000003</v>
      </c>
      <c r="AF565" s="186">
        <v>22.375440000000001</v>
      </c>
      <c r="AG565" s="85"/>
      <c r="AH565" s="85"/>
      <c r="AI565" s="85"/>
      <c r="AJ565" s="84"/>
      <c r="AK565" s="85"/>
      <c r="AL565" s="84"/>
      <c r="AM565" s="88"/>
      <c r="AN565" s="84"/>
      <c r="AO565" s="85"/>
      <c r="AP565" s="84"/>
      <c r="AQ565" s="83"/>
      <c r="AR565" s="83"/>
      <c r="AS565" s="83"/>
      <c r="AT565" s="85"/>
      <c r="AU565" s="85"/>
      <c r="AV565" s="85"/>
      <c r="AW565" s="88"/>
      <c r="AX565" s="84"/>
      <c r="AY565" s="85"/>
      <c r="AZ565" s="84">
        <v>98.35427</v>
      </c>
      <c r="BA565" s="85">
        <v>89.067859999999996</v>
      </c>
      <c r="BB565" s="88"/>
      <c r="BC565" s="85"/>
      <c r="BD565" s="84"/>
      <c r="BE565" s="88"/>
      <c r="BF565" s="85"/>
      <c r="BG565" s="85"/>
      <c r="BH565" s="85"/>
      <c r="BI565" s="85"/>
      <c r="BJ565" s="85"/>
      <c r="BK565" s="85"/>
      <c r="BL565" s="85"/>
      <c r="BM565" s="85"/>
      <c r="BN565" s="85"/>
      <c r="BO565" s="85"/>
      <c r="BP565" s="85"/>
      <c r="BQ565" s="85"/>
      <c r="BR565" s="84">
        <v>464.93198999999998</v>
      </c>
      <c r="BS565" s="85"/>
      <c r="BT565" s="85"/>
      <c r="BU565" s="198"/>
      <c r="BV565" s="90"/>
      <c r="BW565" s="198"/>
      <c r="BX565" s="90"/>
      <c r="BY565" s="198"/>
      <c r="BZ565" s="90"/>
      <c r="CA565" s="91"/>
    </row>
    <row r="566" spans="1:79" ht="50.1" customHeight="1" outlineLevel="2" x14ac:dyDescent="0.3">
      <c r="A566" s="106" t="s">
        <v>503</v>
      </c>
      <c r="B566" s="102" t="s">
        <v>1158</v>
      </c>
      <c r="C566" s="79" t="s">
        <v>55</v>
      </c>
      <c r="D566" s="81">
        <f t="shared" si="132"/>
        <v>353.78590999999994</v>
      </c>
      <c r="E566" s="82">
        <f t="shared" si="126"/>
        <v>333.50590999999997</v>
      </c>
      <c r="F566" s="83">
        <f t="shared" si="134"/>
        <v>20.28</v>
      </c>
      <c r="G566" s="84"/>
      <c r="H566" s="85"/>
      <c r="I566" s="85"/>
      <c r="J566" s="84"/>
      <c r="K566" s="85"/>
      <c r="L566" s="85"/>
      <c r="M566" s="85"/>
      <c r="N566" s="85"/>
      <c r="O566" s="82"/>
      <c r="P566" s="83"/>
      <c r="Q566" s="83"/>
      <c r="R566" s="83"/>
      <c r="S566" s="82"/>
      <c r="T566" s="83"/>
      <c r="U566" s="83"/>
      <c r="V566" s="84"/>
      <c r="W566" s="85"/>
      <c r="X566" s="87"/>
      <c r="Y566" s="83">
        <v>20.28</v>
      </c>
      <c r="Z566" s="84"/>
      <c r="AA566" s="85"/>
      <c r="AB566" s="84"/>
      <c r="AC566" s="85"/>
      <c r="AD566" s="89"/>
      <c r="AE566" s="89"/>
      <c r="AF566" s="186"/>
      <c r="AG566" s="85"/>
      <c r="AH566" s="85"/>
      <c r="AI566" s="85"/>
      <c r="AJ566" s="84"/>
      <c r="AK566" s="85"/>
      <c r="AL566" s="84"/>
      <c r="AM566" s="88"/>
      <c r="AN566" s="84"/>
      <c r="AO566" s="85"/>
      <c r="AP566" s="84"/>
      <c r="AQ566" s="83"/>
      <c r="AR566" s="83"/>
      <c r="AS566" s="83"/>
      <c r="AT566" s="85"/>
      <c r="AU566" s="85"/>
      <c r="AV566" s="85"/>
      <c r="AW566" s="88"/>
      <c r="AX566" s="84"/>
      <c r="AY566" s="85"/>
      <c r="AZ566" s="84"/>
      <c r="BA566" s="85"/>
      <c r="BB566" s="88"/>
      <c r="BC566" s="85"/>
      <c r="BD566" s="84"/>
      <c r="BE566" s="88"/>
      <c r="BF566" s="85"/>
      <c r="BG566" s="85"/>
      <c r="BH566" s="85"/>
      <c r="BI566" s="85"/>
      <c r="BJ566" s="85"/>
      <c r="BK566" s="85"/>
      <c r="BL566" s="85"/>
      <c r="BM566" s="85"/>
      <c r="BN566" s="85"/>
      <c r="BO566" s="85"/>
      <c r="BP566" s="85"/>
      <c r="BQ566" s="85"/>
      <c r="BR566" s="84">
        <v>333.50590999999997</v>
      </c>
      <c r="BS566" s="85"/>
      <c r="BT566" s="85"/>
      <c r="BU566" s="198"/>
      <c r="BV566" s="90"/>
      <c r="BW566" s="198"/>
      <c r="BX566" s="90"/>
      <c r="BY566" s="198"/>
      <c r="BZ566" s="90"/>
      <c r="CA566" s="91"/>
    </row>
    <row r="567" spans="1:79" ht="50.1" customHeight="1" outlineLevel="2" x14ac:dyDescent="0.3">
      <c r="A567" s="106" t="s">
        <v>503</v>
      </c>
      <c r="B567" s="102" t="s">
        <v>526</v>
      </c>
      <c r="C567" s="79" t="s">
        <v>55</v>
      </c>
      <c r="D567" s="81">
        <f t="shared" si="132"/>
        <v>546.55864999999994</v>
      </c>
      <c r="E567" s="82">
        <f t="shared" si="126"/>
        <v>473.85579999999999</v>
      </c>
      <c r="F567" s="83">
        <f t="shared" si="134"/>
        <v>72.702849999999998</v>
      </c>
      <c r="G567" s="84"/>
      <c r="H567" s="85"/>
      <c r="I567" s="85"/>
      <c r="J567" s="84"/>
      <c r="K567" s="85"/>
      <c r="L567" s="85"/>
      <c r="M567" s="85"/>
      <c r="N567" s="85"/>
      <c r="O567" s="82"/>
      <c r="P567" s="83"/>
      <c r="Q567" s="83"/>
      <c r="R567" s="83"/>
      <c r="S567" s="82"/>
      <c r="T567" s="83"/>
      <c r="U567" s="83"/>
      <c r="V567" s="84"/>
      <c r="W567" s="85"/>
      <c r="X567" s="87"/>
      <c r="Y567" s="83">
        <v>25.271999999999998</v>
      </c>
      <c r="Z567" s="84"/>
      <c r="AA567" s="85"/>
      <c r="AB567" s="84"/>
      <c r="AC567" s="85"/>
      <c r="AD567" s="89">
        <f t="shared" si="133"/>
        <v>22.880199999999999</v>
      </c>
      <c r="AE567" s="89">
        <v>14.124599999999999</v>
      </c>
      <c r="AF567" s="186">
        <v>8.7555999999999994</v>
      </c>
      <c r="AG567" s="85"/>
      <c r="AH567" s="85"/>
      <c r="AI567" s="85"/>
      <c r="AJ567" s="84"/>
      <c r="AK567" s="85"/>
      <c r="AL567" s="84"/>
      <c r="AM567" s="88"/>
      <c r="AN567" s="84"/>
      <c r="AO567" s="85"/>
      <c r="AP567" s="84"/>
      <c r="AQ567" s="83"/>
      <c r="AR567" s="83"/>
      <c r="AS567" s="83"/>
      <c r="AT567" s="85"/>
      <c r="AU567" s="85"/>
      <c r="AV567" s="85"/>
      <c r="AW567" s="88"/>
      <c r="AX567" s="84"/>
      <c r="AY567" s="85"/>
      <c r="AZ567" s="84">
        <v>27.11035</v>
      </c>
      <c r="BA567" s="85">
        <v>24.550650000000001</v>
      </c>
      <c r="BB567" s="88"/>
      <c r="BC567" s="85"/>
      <c r="BD567" s="84"/>
      <c r="BE567" s="88"/>
      <c r="BF567" s="85"/>
      <c r="BG567" s="85"/>
      <c r="BH567" s="85"/>
      <c r="BI567" s="85"/>
      <c r="BJ567" s="85"/>
      <c r="BK567" s="85"/>
      <c r="BL567" s="85"/>
      <c r="BM567" s="85"/>
      <c r="BN567" s="85"/>
      <c r="BO567" s="85"/>
      <c r="BP567" s="85"/>
      <c r="BQ567" s="85"/>
      <c r="BR567" s="84">
        <v>446.74545000000001</v>
      </c>
      <c r="BS567" s="85"/>
      <c r="BT567" s="85"/>
      <c r="BU567" s="198"/>
      <c r="BV567" s="90"/>
      <c r="BW567" s="198"/>
      <c r="BX567" s="90"/>
      <c r="BY567" s="198"/>
      <c r="BZ567" s="90"/>
      <c r="CA567" s="91"/>
    </row>
    <row r="568" spans="1:79" ht="50.1" customHeight="1" outlineLevel="2" x14ac:dyDescent="0.3">
      <c r="A568" s="106" t="s">
        <v>503</v>
      </c>
      <c r="B568" s="102" t="s">
        <v>527</v>
      </c>
      <c r="C568" s="79" t="s">
        <v>55</v>
      </c>
      <c r="D568" s="81">
        <f t="shared" si="132"/>
        <v>811.99366000000009</v>
      </c>
      <c r="E568" s="82">
        <f t="shared" si="126"/>
        <v>688.23301000000004</v>
      </c>
      <c r="F568" s="83">
        <f t="shared" si="134"/>
        <v>123.76065</v>
      </c>
      <c r="G568" s="84"/>
      <c r="H568" s="85"/>
      <c r="I568" s="85"/>
      <c r="J568" s="84"/>
      <c r="K568" s="85"/>
      <c r="L568" s="85"/>
      <c r="M568" s="85"/>
      <c r="N568" s="85"/>
      <c r="O568" s="82"/>
      <c r="P568" s="83"/>
      <c r="Q568" s="83"/>
      <c r="R568" s="83"/>
      <c r="S568" s="82"/>
      <c r="T568" s="83"/>
      <c r="U568" s="83"/>
      <c r="V568" s="84"/>
      <c r="W568" s="85"/>
      <c r="X568" s="87"/>
      <c r="Y568" s="83">
        <v>31.2</v>
      </c>
      <c r="Z568" s="84"/>
      <c r="AA568" s="85"/>
      <c r="AB568" s="84"/>
      <c r="AC568" s="85"/>
      <c r="AD568" s="89">
        <f t="shared" si="133"/>
        <v>34.806730000000002</v>
      </c>
      <c r="AE568" s="89">
        <v>21.186900000000001</v>
      </c>
      <c r="AF568" s="186">
        <v>13.61983</v>
      </c>
      <c r="AG568" s="85"/>
      <c r="AH568" s="85"/>
      <c r="AI568" s="85"/>
      <c r="AJ568" s="84"/>
      <c r="AK568" s="85"/>
      <c r="AL568" s="84"/>
      <c r="AM568" s="88"/>
      <c r="AN568" s="84"/>
      <c r="AO568" s="85"/>
      <c r="AP568" s="84"/>
      <c r="AQ568" s="83"/>
      <c r="AR568" s="83"/>
      <c r="AS568" s="83"/>
      <c r="AT568" s="85"/>
      <c r="AU568" s="85"/>
      <c r="AV568" s="85"/>
      <c r="AW568" s="88"/>
      <c r="AX568" s="84"/>
      <c r="AY568" s="85"/>
      <c r="AZ568" s="84">
        <v>63.77552</v>
      </c>
      <c r="BA568" s="85">
        <v>57.753920000000001</v>
      </c>
      <c r="BB568" s="88"/>
      <c r="BC568" s="85"/>
      <c r="BD568" s="84"/>
      <c r="BE568" s="88"/>
      <c r="BF568" s="85"/>
      <c r="BG568" s="85"/>
      <c r="BH568" s="85"/>
      <c r="BI568" s="85"/>
      <c r="BJ568" s="85"/>
      <c r="BK568" s="85"/>
      <c r="BL568" s="85"/>
      <c r="BM568" s="85"/>
      <c r="BN568" s="85"/>
      <c r="BO568" s="85"/>
      <c r="BP568" s="85"/>
      <c r="BQ568" s="85"/>
      <c r="BR568" s="84">
        <v>624.45749000000001</v>
      </c>
      <c r="BS568" s="85"/>
      <c r="BT568" s="85"/>
      <c r="BU568" s="198"/>
      <c r="BV568" s="90"/>
      <c r="BW568" s="198"/>
      <c r="BX568" s="90"/>
      <c r="BY568" s="198"/>
      <c r="BZ568" s="90"/>
      <c r="CA568" s="91"/>
    </row>
    <row r="569" spans="1:79" ht="50.1" customHeight="1" outlineLevel="2" x14ac:dyDescent="0.3">
      <c r="A569" s="106" t="s">
        <v>503</v>
      </c>
      <c r="B569" s="102" t="s">
        <v>528</v>
      </c>
      <c r="C569" s="79" t="s">
        <v>55</v>
      </c>
      <c r="D569" s="81">
        <f t="shared" si="132"/>
        <v>787.84520999999995</v>
      </c>
      <c r="E569" s="82">
        <f t="shared" si="126"/>
        <v>619.27512000000002</v>
      </c>
      <c r="F569" s="83">
        <f t="shared" si="134"/>
        <v>168.57008999999999</v>
      </c>
      <c r="G569" s="84"/>
      <c r="H569" s="85"/>
      <c r="I569" s="85"/>
      <c r="J569" s="84"/>
      <c r="K569" s="85"/>
      <c r="L569" s="85"/>
      <c r="M569" s="85"/>
      <c r="N569" s="85"/>
      <c r="O569" s="82"/>
      <c r="P569" s="83"/>
      <c r="Q569" s="83"/>
      <c r="R569" s="83"/>
      <c r="S569" s="82"/>
      <c r="T569" s="83"/>
      <c r="U569" s="83"/>
      <c r="V569" s="84"/>
      <c r="W569" s="85"/>
      <c r="X569" s="87"/>
      <c r="Y569" s="83">
        <v>46.8</v>
      </c>
      <c r="Z569" s="84"/>
      <c r="AA569" s="85"/>
      <c r="AB569" s="84"/>
      <c r="AC569" s="85"/>
      <c r="AD569" s="89">
        <f t="shared" si="133"/>
        <v>22.375440000000001</v>
      </c>
      <c r="AE569" s="89"/>
      <c r="AF569" s="186">
        <v>22.375440000000001</v>
      </c>
      <c r="AG569" s="85"/>
      <c r="AH569" s="85"/>
      <c r="AI569" s="85"/>
      <c r="AJ569" s="84"/>
      <c r="AK569" s="85"/>
      <c r="AL569" s="84"/>
      <c r="AM569" s="88"/>
      <c r="AN569" s="84"/>
      <c r="AO569" s="85"/>
      <c r="AP569" s="84"/>
      <c r="AQ569" s="83"/>
      <c r="AR569" s="83"/>
      <c r="AS569" s="83"/>
      <c r="AT569" s="85"/>
      <c r="AU569" s="85"/>
      <c r="AV569" s="85"/>
      <c r="AW569" s="88"/>
      <c r="AX569" s="84"/>
      <c r="AY569" s="85"/>
      <c r="AZ569" s="84">
        <v>61.18891</v>
      </c>
      <c r="BA569" s="85">
        <v>55.4116</v>
      </c>
      <c r="BB569" s="88"/>
      <c r="BC569" s="85"/>
      <c r="BD569" s="84"/>
      <c r="BE569" s="88"/>
      <c r="BF569" s="85"/>
      <c r="BG569" s="85">
        <v>43.983049999999999</v>
      </c>
      <c r="BH569" s="85"/>
      <c r="BI569" s="85"/>
      <c r="BJ569" s="85"/>
      <c r="BK569" s="85"/>
      <c r="BL569" s="85"/>
      <c r="BM569" s="85"/>
      <c r="BN569" s="85"/>
      <c r="BO569" s="85"/>
      <c r="BP569" s="85"/>
      <c r="BQ569" s="85"/>
      <c r="BR569" s="84">
        <v>558.08621000000005</v>
      </c>
      <c r="BS569" s="85"/>
      <c r="BT569" s="85"/>
      <c r="BU569" s="198"/>
      <c r="BV569" s="90"/>
      <c r="BW569" s="198"/>
      <c r="BX569" s="90"/>
      <c r="BY569" s="198"/>
      <c r="BZ569" s="90"/>
      <c r="CA569" s="91"/>
    </row>
    <row r="570" spans="1:79" ht="50.1" customHeight="1" outlineLevel="2" x14ac:dyDescent="0.3">
      <c r="A570" s="106" t="s">
        <v>503</v>
      </c>
      <c r="B570" s="102" t="s">
        <v>529</v>
      </c>
      <c r="C570" s="79" t="s">
        <v>55</v>
      </c>
      <c r="D570" s="81">
        <f t="shared" si="132"/>
        <v>137.04738</v>
      </c>
      <c r="E570" s="82">
        <f t="shared" si="126"/>
        <v>45.717950000000002</v>
      </c>
      <c r="F570" s="83">
        <f t="shared" si="134"/>
        <v>91.329430000000002</v>
      </c>
      <c r="G570" s="84"/>
      <c r="H570" s="85"/>
      <c r="I570" s="85"/>
      <c r="J570" s="84"/>
      <c r="K570" s="85"/>
      <c r="L570" s="85"/>
      <c r="M570" s="85"/>
      <c r="N570" s="85"/>
      <c r="O570" s="82"/>
      <c r="P570" s="83"/>
      <c r="Q570" s="83"/>
      <c r="R570" s="83"/>
      <c r="S570" s="82"/>
      <c r="T570" s="83"/>
      <c r="U570" s="83"/>
      <c r="V570" s="84"/>
      <c r="W570" s="85"/>
      <c r="X570" s="87"/>
      <c r="Y570" s="83"/>
      <c r="Z570" s="84"/>
      <c r="AA570" s="85"/>
      <c r="AB570" s="84"/>
      <c r="AC570" s="85"/>
      <c r="AD570" s="89">
        <f t="shared" si="133"/>
        <v>0</v>
      </c>
      <c r="AE570" s="89"/>
      <c r="AF570" s="186"/>
      <c r="AG570" s="85"/>
      <c r="AH570" s="85"/>
      <c r="AI570" s="85"/>
      <c r="AJ570" s="84"/>
      <c r="AK570" s="85"/>
      <c r="AL570" s="84"/>
      <c r="AM570" s="88"/>
      <c r="AN570" s="84"/>
      <c r="AO570" s="85"/>
      <c r="AP570" s="84">
        <v>35.724240000000002</v>
      </c>
      <c r="AQ570" s="83">
        <v>82.27928</v>
      </c>
      <c r="AR570" s="83"/>
      <c r="AS570" s="83"/>
      <c r="AT570" s="85"/>
      <c r="AU570" s="85"/>
      <c r="AV570" s="85"/>
      <c r="AW570" s="88"/>
      <c r="AX570" s="84"/>
      <c r="AY570" s="85"/>
      <c r="AZ570" s="84">
        <v>9.9937100000000001</v>
      </c>
      <c r="BA570" s="85">
        <v>9.0501500000000004</v>
      </c>
      <c r="BB570" s="88"/>
      <c r="BC570" s="85"/>
      <c r="BD570" s="84"/>
      <c r="BE570" s="88"/>
      <c r="BF570" s="85"/>
      <c r="BG570" s="85"/>
      <c r="BH570" s="85"/>
      <c r="BI570" s="85"/>
      <c r="BJ570" s="85"/>
      <c r="BK570" s="85"/>
      <c r="BL570" s="85"/>
      <c r="BM570" s="85"/>
      <c r="BN570" s="85"/>
      <c r="BO570" s="85"/>
      <c r="BP570" s="85"/>
      <c r="BQ570" s="85"/>
      <c r="BR570" s="84"/>
      <c r="BS570" s="85"/>
      <c r="BT570" s="85"/>
      <c r="BU570" s="198"/>
      <c r="BV570" s="90"/>
      <c r="BW570" s="198"/>
      <c r="BX570" s="90"/>
      <c r="BY570" s="198"/>
      <c r="BZ570" s="90"/>
      <c r="CA570" s="91"/>
    </row>
    <row r="571" spans="1:79" ht="50.1" customHeight="1" outlineLevel="2" x14ac:dyDescent="0.3">
      <c r="A571" s="106" t="s">
        <v>503</v>
      </c>
      <c r="B571" s="102" t="s">
        <v>530</v>
      </c>
      <c r="C571" s="79" t="s">
        <v>55</v>
      </c>
      <c r="D571" s="81">
        <f t="shared" si="132"/>
        <v>326.05159000000003</v>
      </c>
      <c r="E571" s="82">
        <f t="shared" si="126"/>
        <v>26.64978</v>
      </c>
      <c r="F571" s="83">
        <f t="shared" si="134"/>
        <v>299.40181000000001</v>
      </c>
      <c r="G571" s="84"/>
      <c r="H571" s="85"/>
      <c r="I571" s="85"/>
      <c r="J571" s="84"/>
      <c r="K571" s="85"/>
      <c r="L571" s="85"/>
      <c r="M571" s="85"/>
      <c r="N571" s="85"/>
      <c r="O571" s="82"/>
      <c r="P571" s="83"/>
      <c r="Q571" s="83"/>
      <c r="R571" s="83"/>
      <c r="S571" s="82"/>
      <c r="T571" s="83"/>
      <c r="U571" s="83"/>
      <c r="V571" s="84">
        <v>2.3195000000000001</v>
      </c>
      <c r="W571" s="85">
        <v>4.05</v>
      </c>
      <c r="X571" s="87"/>
      <c r="Y571" s="83">
        <v>8.7360000000000007</v>
      </c>
      <c r="Z571" s="84"/>
      <c r="AA571" s="85"/>
      <c r="AB571" s="84"/>
      <c r="AC571" s="85"/>
      <c r="AD571" s="89">
        <f t="shared" si="133"/>
        <v>0</v>
      </c>
      <c r="AE571" s="89"/>
      <c r="AF571" s="186"/>
      <c r="AG571" s="85"/>
      <c r="AH571" s="85"/>
      <c r="AI571" s="85"/>
      <c r="AJ571" s="84"/>
      <c r="AK571" s="85"/>
      <c r="AL571" s="84"/>
      <c r="AM571" s="88"/>
      <c r="AN571" s="84"/>
      <c r="AO571" s="85"/>
      <c r="AP571" s="84"/>
      <c r="AQ571" s="83"/>
      <c r="AR571" s="83"/>
      <c r="AS571" s="83"/>
      <c r="AT571" s="85"/>
      <c r="AU571" s="85"/>
      <c r="AV571" s="85"/>
      <c r="AW571" s="88"/>
      <c r="AX571" s="84"/>
      <c r="AY571" s="85"/>
      <c r="AZ571" s="84">
        <v>24.330279999999998</v>
      </c>
      <c r="BA571" s="85">
        <v>22.033080000000002</v>
      </c>
      <c r="BB571" s="88"/>
      <c r="BC571" s="85"/>
      <c r="BD571" s="84"/>
      <c r="BE571" s="88"/>
      <c r="BF571" s="85"/>
      <c r="BG571" s="85"/>
      <c r="BH571" s="85"/>
      <c r="BI571" s="85"/>
      <c r="BJ571" s="85"/>
      <c r="BK571" s="85">
        <v>264.58273000000003</v>
      </c>
      <c r="BL571" s="85"/>
      <c r="BM571" s="85"/>
      <c r="BN571" s="85"/>
      <c r="BO571" s="85"/>
      <c r="BP571" s="85"/>
      <c r="BQ571" s="85"/>
      <c r="BR571" s="84"/>
      <c r="BS571" s="85"/>
      <c r="BT571" s="85"/>
      <c r="BU571" s="198"/>
      <c r="BV571" s="90"/>
      <c r="BW571" s="198"/>
      <c r="BX571" s="90"/>
      <c r="BY571" s="198"/>
      <c r="BZ571" s="90"/>
      <c r="CA571" s="91"/>
    </row>
    <row r="572" spans="1:79" ht="50.1" customHeight="1" outlineLevel="2" x14ac:dyDescent="0.3">
      <c r="A572" s="106" t="s">
        <v>503</v>
      </c>
      <c r="B572" s="102" t="s">
        <v>531</v>
      </c>
      <c r="C572" s="79" t="s">
        <v>55</v>
      </c>
      <c r="D572" s="81">
        <f t="shared" si="132"/>
        <v>2843.3518600000002</v>
      </c>
      <c r="E572" s="82">
        <f t="shared" si="126"/>
        <v>2631.5405300000002</v>
      </c>
      <c r="F572" s="83">
        <f t="shared" si="134"/>
        <v>211.81133</v>
      </c>
      <c r="G572" s="84"/>
      <c r="H572" s="85"/>
      <c r="I572" s="85"/>
      <c r="J572" s="84"/>
      <c r="K572" s="85"/>
      <c r="L572" s="85"/>
      <c r="M572" s="85"/>
      <c r="N572" s="85"/>
      <c r="O572" s="82"/>
      <c r="P572" s="83"/>
      <c r="Q572" s="83"/>
      <c r="R572" s="83"/>
      <c r="S572" s="82"/>
      <c r="T572" s="83"/>
      <c r="U572" s="83"/>
      <c r="V572" s="84"/>
      <c r="W572" s="85"/>
      <c r="X572" s="87"/>
      <c r="Y572" s="83">
        <v>97.343999999999994</v>
      </c>
      <c r="Z572" s="84"/>
      <c r="AA572" s="85"/>
      <c r="AB572" s="84"/>
      <c r="AC572" s="85"/>
      <c r="AD572" s="89">
        <f t="shared" si="133"/>
        <v>64.296179999999993</v>
      </c>
      <c r="AE572" s="89">
        <v>21.491</v>
      </c>
      <c r="AF572" s="186">
        <v>42.80518</v>
      </c>
      <c r="AG572" s="85"/>
      <c r="AH572" s="85"/>
      <c r="AI572" s="85"/>
      <c r="AJ572" s="84"/>
      <c r="AK572" s="85"/>
      <c r="AL572" s="84"/>
      <c r="AM572" s="88"/>
      <c r="AN572" s="84"/>
      <c r="AO572" s="85"/>
      <c r="AP572" s="84"/>
      <c r="AQ572" s="83"/>
      <c r="AR572" s="83"/>
      <c r="AS572" s="83"/>
      <c r="AT572" s="85"/>
      <c r="AU572" s="85"/>
      <c r="AV572" s="85"/>
      <c r="AW572" s="88"/>
      <c r="AX572" s="84"/>
      <c r="AY572" s="85"/>
      <c r="AZ572" s="84">
        <v>55.402140000000003</v>
      </c>
      <c r="BA572" s="85">
        <v>50.171149999999997</v>
      </c>
      <c r="BB572" s="88"/>
      <c r="BC572" s="85"/>
      <c r="BD572" s="84"/>
      <c r="BE572" s="88"/>
      <c r="BF572" s="85"/>
      <c r="BG572" s="85"/>
      <c r="BH572" s="85"/>
      <c r="BI572" s="85"/>
      <c r="BJ572" s="85"/>
      <c r="BK572" s="85"/>
      <c r="BL572" s="85"/>
      <c r="BM572" s="85"/>
      <c r="BN572" s="85"/>
      <c r="BO572" s="85"/>
      <c r="BP572" s="85"/>
      <c r="BQ572" s="85"/>
      <c r="BR572" s="84">
        <v>2576.1383900000001</v>
      </c>
      <c r="BS572" s="85"/>
      <c r="BT572" s="85"/>
      <c r="BU572" s="198"/>
      <c r="BV572" s="90"/>
      <c r="BW572" s="198"/>
      <c r="BX572" s="90"/>
      <c r="BY572" s="198"/>
      <c r="BZ572" s="90"/>
      <c r="CA572" s="91"/>
    </row>
    <row r="573" spans="1:79" ht="50.1" customHeight="1" outlineLevel="2" x14ac:dyDescent="0.3">
      <c r="A573" s="106" t="s">
        <v>503</v>
      </c>
      <c r="B573" s="102" t="s">
        <v>532</v>
      </c>
      <c r="C573" s="79" t="s">
        <v>55</v>
      </c>
      <c r="D573" s="81">
        <f t="shared" si="132"/>
        <v>1108.2010500000001</v>
      </c>
      <c r="E573" s="82">
        <f t="shared" si="126"/>
        <v>1042.2267000000002</v>
      </c>
      <c r="F573" s="83">
        <f t="shared" si="134"/>
        <v>65.974350000000001</v>
      </c>
      <c r="G573" s="84"/>
      <c r="H573" s="85"/>
      <c r="I573" s="85"/>
      <c r="J573" s="84"/>
      <c r="K573" s="85"/>
      <c r="L573" s="85"/>
      <c r="M573" s="85"/>
      <c r="N573" s="85"/>
      <c r="O573" s="82"/>
      <c r="P573" s="83"/>
      <c r="Q573" s="83"/>
      <c r="R573" s="83"/>
      <c r="S573" s="82"/>
      <c r="T573" s="83"/>
      <c r="U573" s="83"/>
      <c r="V573" s="84"/>
      <c r="W573" s="85"/>
      <c r="X573" s="87"/>
      <c r="Y573" s="83">
        <v>29.952000000000002</v>
      </c>
      <c r="Z573" s="84"/>
      <c r="AA573" s="85"/>
      <c r="AB573" s="84"/>
      <c r="AC573" s="85"/>
      <c r="AD573" s="89">
        <f t="shared" si="133"/>
        <v>0</v>
      </c>
      <c r="AE573" s="89"/>
      <c r="AF573" s="186"/>
      <c r="AG573" s="85"/>
      <c r="AH573" s="85"/>
      <c r="AI573" s="85"/>
      <c r="AJ573" s="84"/>
      <c r="AK573" s="85"/>
      <c r="AL573" s="84"/>
      <c r="AM573" s="88"/>
      <c r="AN573" s="84"/>
      <c r="AO573" s="85"/>
      <c r="AP573" s="84"/>
      <c r="AQ573" s="83"/>
      <c r="AR573" s="83"/>
      <c r="AS573" s="83"/>
      <c r="AT573" s="85"/>
      <c r="AU573" s="85"/>
      <c r="AV573" s="85"/>
      <c r="AW573" s="88"/>
      <c r="AX573" s="84"/>
      <c r="AY573" s="85"/>
      <c r="AZ573" s="84">
        <v>39.778100000000002</v>
      </c>
      <c r="BA573" s="85">
        <v>36.022350000000003</v>
      </c>
      <c r="BB573" s="88"/>
      <c r="BC573" s="85"/>
      <c r="BD573" s="84"/>
      <c r="BE573" s="88"/>
      <c r="BF573" s="85"/>
      <c r="BG573" s="85"/>
      <c r="BH573" s="85"/>
      <c r="BI573" s="85"/>
      <c r="BJ573" s="85"/>
      <c r="BK573" s="85"/>
      <c r="BL573" s="85"/>
      <c r="BM573" s="85"/>
      <c r="BN573" s="85"/>
      <c r="BO573" s="85"/>
      <c r="BP573" s="85"/>
      <c r="BQ573" s="85"/>
      <c r="BR573" s="84">
        <v>1002.4486000000001</v>
      </c>
      <c r="BS573" s="85"/>
      <c r="BT573" s="85"/>
      <c r="BU573" s="198"/>
      <c r="BV573" s="90"/>
      <c r="BW573" s="198"/>
      <c r="BX573" s="90"/>
      <c r="BY573" s="198"/>
      <c r="BZ573" s="90"/>
      <c r="CA573" s="91"/>
    </row>
    <row r="574" spans="1:79" ht="50.1" customHeight="1" outlineLevel="2" x14ac:dyDescent="0.3">
      <c r="A574" s="106" t="s">
        <v>503</v>
      </c>
      <c r="B574" s="102" t="s">
        <v>983</v>
      </c>
      <c r="C574" s="79" t="s">
        <v>55</v>
      </c>
      <c r="D574" s="81">
        <f t="shared" si="132"/>
        <v>69.360289999999992</v>
      </c>
      <c r="E574" s="82">
        <f t="shared" si="126"/>
        <v>36.398490000000002</v>
      </c>
      <c r="F574" s="83">
        <f t="shared" si="134"/>
        <v>32.961799999999997</v>
      </c>
      <c r="G574" s="84"/>
      <c r="H574" s="85"/>
      <c r="I574" s="85"/>
      <c r="J574" s="84"/>
      <c r="K574" s="85"/>
      <c r="L574" s="85"/>
      <c r="M574" s="85"/>
      <c r="N574" s="85"/>
      <c r="O574" s="82"/>
      <c r="P574" s="83"/>
      <c r="Q574" s="83"/>
      <c r="R574" s="83"/>
      <c r="S574" s="82"/>
      <c r="T574" s="83"/>
      <c r="U574" s="83"/>
      <c r="V574" s="84"/>
      <c r="W574" s="85"/>
      <c r="X574" s="87"/>
      <c r="Y574" s="83"/>
      <c r="Z574" s="84"/>
      <c r="AA574" s="85"/>
      <c r="AB574" s="84"/>
      <c r="AC574" s="85"/>
      <c r="AD574" s="89">
        <f t="shared" si="133"/>
        <v>0</v>
      </c>
      <c r="AE574" s="89"/>
      <c r="AF574" s="186"/>
      <c r="AG574" s="85"/>
      <c r="AH574" s="85"/>
      <c r="AI574" s="85"/>
      <c r="AJ574" s="84"/>
      <c r="AK574" s="85"/>
      <c r="AL574" s="84"/>
      <c r="AM574" s="88"/>
      <c r="AN574" s="84"/>
      <c r="AO574" s="85"/>
      <c r="AP574" s="84"/>
      <c r="AQ574" s="83"/>
      <c r="AR574" s="83"/>
      <c r="AS574" s="83"/>
      <c r="AT574" s="85"/>
      <c r="AU574" s="85"/>
      <c r="AV574" s="85"/>
      <c r="AW574" s="88"/>
      <c r="AX574" s="84"/>
      <c r="AY574" s="85"/>
      <c r="AZ574" s="84">
        <v>36.398490000000002</v>
      </c>
      <c r="BA574" s="85">
        <v>32.961799999999997</v>
      </c>
      <c r="BB574" s="88"/>
      <c r="BC574" s="85"/>
      <c r="BD574" s="84"/>
      <c r="BE574" s="88"/>
      <c r="BF574" s="85"/>
      <c r="BG574" s="85"/>
      <c r="BH574" s="85"/>
      <c r="BI574" s="85"/>
      <c r="BJ574" s="85"/>
      <c r="BK574" s="85"/>
      <c r="BL574" s="85"/>
      <c r="BM574" s="85"/>
      <c r="BN574" s="85"/>
      <c r="BO574" s="85"/>
      <c r="BP574" s="85"/>
      <c r="BQ574" s="85"/>
      <c r="BR574" s="84"/>
      <c r="BS574" s="85"/>
      <c r="BT574" s="85"/>
      <c r="BU574" s="198"/>
      <c r="BV574" s="90"/>
      <c r="BW574" s="198"/>
      <c r="BX574" s="90"/>
      <c r="BY574" s="198"/>
      <c r="BZ574" s="90"/>
      <c r="CA574" s="91"/>
    </row>
    <row r="575" spans="1:79" ht="50.1" customHeight="1" outlineLevel="2" x14ac:dyDescent="0.3">
      <c r="A575" s="106" t="s">
        <v>503</v>
      </c>
      <c r="B575" s="102" t="s">
        <v>533</v>
      </c>
      <c r="C575" s="79" t="s">
        <v>53</v>
      </c>
      <c r="D575" s="81">
        <f t="shared" si="132"/>
        <v>233.08077</v>
      </c>
      <c r="E575" s="82">
        <f t="shared" si="126"/>
        <v>182.85590999999999</v>
      </c>
      <c r="F575" s="83">
        <f t="shared" si="134"/>
        <v>50.22486</v>
      </c>
      <c r="G575" s="84"/>
      <c r="H575" s="85"/>
      <c r="I575" s="85"/>
      <c r="J575" s="84"/>
      <c r="K575" s="85"/>
      <c r="L575" s="85"/>
      <c r="M575" s="85"/>
      <c r="N575" s="85"/>
      <c r="O575" s="82"/>
      <c r="P575" s="83"/>
      <c r="Q575" s="83"/>
      <c r="R575" s="83"/>
      <c r="S575" s="82"/>
      <c r="T575" s="83"/>
      <c r="U575" s="83"/>
      <c r="V575" s="84"/>
      <c r="W575" s="85"/>
      <c r="X575" s="87"/>
      <c r="Y575" s="83">
        <v>12.792</v>
      </c>
      <c r="Z575" s="84"/>
      <c r="AA575" s="85"/>
      <c r="AB575" s="84"/>
      <c r="AC575" s="85"/>
      <c r="AD575" s="89">
        <f t="shared" si="133"/>
        <v>12.899369999999999</v>
      </c>
      <c r="AE575" s="89">
        <v>7.0622999999999996</v>
      </c>
      <c r="AF575" s="186">
        <v>5.8370699999999998</v>
      </c>
      <c r="AG575" s="85"/>
      <c r="AH575" s="85"/>
      <c r="AI575" s="85"/>
      <c r="AJ575" s="84"/>
      <c r="AK575" s="85"/>
      <c r="AL575" s="84"/>
      <c r="AM575" s="88"/>
      <c r="AN575" s="84"/>
      <c r="AO575" s="85"/>
      <c r="AP575" s="84"/>
      <c r="AQ575" s="83"/>
      <c r="AR575" s="83"/>
      <c r="AS575" s="83"/>
      <c r="AT575" s="85"/>
      <c r="AU575" s="85"/>
      <c r="AV575" s="85"/>
      <c r="AW575" s="88"/>
      <c r="AX575" s="84"/>
      <c r="AY575" s="85"/>
      <c r="AZ575" s="84">
        <v>27.091419999999999</v>
      </c>
      <c r="BA575" s="85">
        <v>24.53349</v>
      </c>
      <c r="BB575" s="88"/>
      <c r="BC575" s="85"/>
      <c r="BD575" s="84"/>
      <c r="BE575" s="88"/>
      <c r="BF575" s="85"/>
      <c r="BG575" s="85"/>
      <c r="BH575" s="85"/>
      <c r="BI575" s="85"/>
      <c r="BJ575" s="85"/>
      <c r="BK575" s="85"/>
      <c r="BL575" s="85"/>
      <c r="BM575" s="85"/>
      <c r="BN575" s="85"/>
      <c r="BO575" s="85"/>
      <c r="BP575" s="85"/>
      <c r="BQ575" s="85"/>
      <c r="BR575" s="84">
        <v>155.76449</v>
      </c>
      <c r="BS575" s="85"/>
      <c r="BT575" s="85"/>
      <c r="BU575" s="198"/>
      <c r="BV575" s="90"/>
      <c r="BW575" s="198"/>
      <c r="BX575" s="90"/>
      <c r="BY575" s="198"/>
      <c r="BZ575" s="90"/>
      <c r="CA575" s="91"/>
    </row>
    <row r="576" spans="1:79" ht="50.1" customHeight="1" outlineLevel="2" x14ac:dyDescent="0.3">
      <c r="A576" s="106" t="s">
        <v>503</v>
      </c>
      <c r="B576" s="102" t="s">
        <v>534</v>
      </c>
      <c r="C576" s="79" t="s">
        <v>53</v>
      </c>
      <c r="D576" s="81">
        <f t="shared" si="132"/>
        <v>279.57225</v>
      </c>
      <c r="E576" s="82">
        <f t="shared" si="126"/>
        <v>236.58307000000002</v>
      </c>
      <c r="F576" s="83">
        <f t="shared" si="134"/>
        <v>42.989179999999998</v>
      </c>
      <c r="G576" s="84"/>
      <c r="H576" s="85"/>
      <c r="I576" s="85"/>
      <c r="J576" s="84"/>
      <c r="K576" s="85"/>
      <c r="L576" s="85"/>
      <c r="M576" s="85"/>
      <c r="N576" s="85"/>
      <c r="O576" s="82"/>
      <c r="P576" s="83"/>
      <c r="Q576" s="83"/>
      <c r="R576" s="83"/>
      <c r="S576" s="82"/>
      <c r="T576" s="83"/>
      <c r="U576" s="83"/>
      <c r="V576" s="84"/>
      <c r="W576" s="85"/>
      <c r="X576" s="87"/>
      <c r="Y576" s="83">
        <v>13.416</v>
      </c>
      <c r="Z576" s="84"/>
      <c r="AA576" s="85"/>
      <c r="AB576" s="84"/>
      <c r="AC576" s="85"/>
      <c r="AD576" s="89">
        <f t="shared" si="133"/>
        <v>7.9861699999999995</v>
      </c>
      <c r="AE576" s="89">
        <v>2.1490999999999998</v>
      </c>
      <c r="AF576" s="186">
        <v>5.8370699999999998</v>
      </c>
      <c r="AG576" s="85"/>
      <c r="AH576" s="85"/>
      <c r="AI576" s="85"/>
      <c r="AJ576" s="84"/>
      <c r="AK576" s="85"/>
      <c r="AL576" s="84"/>
      <c r="AM576" s="88"/>
      <c r="AN576" s="84"/>
      <c r="AO576" s="85"/>
      <c r="AP576" s="84"/>
      <c r="AQ576" s="83"/>
      <c r="AR576" s="83"/>
      <c r="AS576" s="83"/>
      <c r="AT576" s="85"/>
      <c r="AU576" s="85"/>
      <c r="AV576" s="85"/>
      <c r="AW576" s="88"/>
      <c r="AX576" s="84"/>
      <c r="AY576" s="85"/>
      <c r="AZ576" s="84">
        <v>23.837710000000001</v>
      </c>
      <c r="BA576" s="85">
        <v>21.587009999999999</v>
      </c>
      <c r="BB576" s="88"/>
      <c r="BC576" s="85"/>
      <c r="BD576" s="84"/>
      <c r="BE576" s="88"/>
      <c r="BF576" s="85"/>
      <c r="BG576" s="85"/>
      <c r="BH576" s="85"/>
      <c r="BI576" s="85"/>
      <c r="BJ576" s="85"/>
      <c r="BK576" s="85"/>
      <c r="BL576" s="85"/>
      <c r="BM576" s="85"/>
      <c r="BN576" s="85"/>
      <c r="BO576" s="85"/>
      <c r="BP576" s="85"/>
      <c r="BQ576" s="85"/>
      <c r="BR576" s="84">
        <v>212.74536000000001</v>
      </c>
      <c r="BS576" s="85"/>
      <c r="BT576" s="85"/>
      <c r="BU576" s="198"/>
      <c r="BV576" s="90"/>
      <c r="BW576" s="198"/>
      <c r="BX576" s="90"/>
      <c r="BY576" s="198"/>
      <c r="BZ576" s="90"/>
      <c r="CA576" s="91"/>
    </row>
    <row r="577" spans="1:79" ht="50.1" customHeight="1" outlineLevel="2" x14ac:dyDescent="0.3">
      <c r="A577" s="106" t="s">
        <v>503</v>
      </c>
      <c r="B577" s="102" t="s">
        <v>535</v>
      </c>
      <c r="C577" s="79" t="s">
        <v>53</v>
      </c>
      <c r="D577" s="81">
        <f t="shared" si="132"/>
        <v>24.993600000000001</v>
      </c>
      <c r="E577" s="82">
        <f t="shared" si="126"/>
        <v>10.33259</v>
      </c>
      <c r="F577" s="83">
        <f t="shared" si="134"/>
        <v>14.661010000000001</v>
      </c>
      <c r="G577" s="84"/>
      <c r="H577" s="85"/>
      <c r="I577" s="85"/>
      <c r="J577" s="84"/>
      <c r="K577" s="85"/>
      <c r="L577" s="85"/>
      <c r="M577" s="85"/>
      <c r="N577" s="85"/>
      <c r="O577" s="82"/>
      <c r="P577" s="83"/>
      <c r="Q577" s="83"/>
      <c r="R577" s="83"/>
      <c r="S577" s="82"/>
      <c r="T577" s="83"/>
      <c r="U577" s="83"/>
      <c r="V577" s="84"/>
      <c r="W577" s="85"/>
      <c r="X577" s="87"/>
      <c r="Y577" s="83">
        <v>5.3040000000000003</v>
      </c>
      <c r="Z577" s="84"/>
      <c r="AA577" s="85"/>
      <c r="AB577" s="84"/>
      <c r="AC577" s="85"/>
      <c r="AD577" s="89">
        <f t="shared" si="133"/>
        <v>0</v>
      </c>
      <c r="AE577" s="89"/>
      <c r="AF577" s="186"/>
      <c r="AG577" s="85"/>
      <c r="AH577" s="85"/>
      <c r="AI577" s="85"/>
      <c r="AJ577" s="84"/>
      <c r="AK577" s="85"/>
      <c r="AL577" s="84"/>
      <c r="AM577" s="88"/>
      <c r="AN577" s="84"/>
      <c r="AO577" s="85"/>
      <c r="AP577" s="84"/>
      <c r="AQ577" s="83"/>
      <c r="AR577" s="83"/>
      <c r="AS577" s="83"/>
      <c r="AT577" s="85"/>
      <c r="AU577" s="85"/>
      <c r="AV577" s="85"/>
      <c r="AW577" s="88"/>
      <c r="AX577" s="84"/>
      <c r="AY577" s="85"/>
      <c r="AZ577" s="84">
        <v>10.33259</v>
      </c>
      <c r="BA577" s="85">
        <v>9.3570100000000007</v>
      </c>
      <c r="BB577" s="88"/>
      <c r="BC577" s="85"/>
      <c r="BD577" s="84"/>
      <c r="BE577" s="88"/>
      <c r="BF577" s="85"/>
      <c r="BG577" s="85"/>
      <c r="BH577" s="85"/>
      <c r="BI577" s="85"/>
      <c r="BJ577" s="85"/>
      <c r="BK577" s="85"/>
      <c r="BL577" s="85"/>
      <c r="BM577" s="85"/>
      <c r="BN577" s="85"/>
      <c r="BO577" s="85"/>
      <c r="BP577" s="85"/>
      <c r="BQ577" s="85"/>
      <c r="BR577" s="84"/>
      <c r="BS577" s="85"/>
      <c r="BT577" s="85"/>
      <c r="BU577" s="198"/>
      <c r="BV577" s="90"/>
      <c r="BW577" s="198"/>
      <c r="BX577" s="90"/>
      <c r="BY577" s="198"/>
      <c r="BZ577" s="90"/>
      <c r="CA577" s="91"/>
    </row>
    <row r="578" spans="1:79" ht="50.1" customHeight="1" outlineLevel="2" x14ac:dyDescent="0.3">
      <c r="A578" s="103" t="s">
        <v>503</v>
      </c>
      <c r="B578" s="102" t="s">
        <v>536</v>
      </c>
      <c r="C578" s="79" t="s">
        <v>89</v>
      </c>
      <c r="D578" s="81">
        <f t="shared" si="132"/>
        <v>697.62139999999999</v>
      </c>
      <c r="E578" s="82">
        <f t="shared" ref="E578:E636" si="135">G578+J578+O578+S578+V578+X578+Z578+AB578+AJ578+AL578+AN578+AP578+AX578+AZ578+BD578+BV578+BX578+BZ578+BR578</f>
        <v>0</v>
      </c>
      <c r="F578" s="83">
        <f t="shared" si="134"/>
        <v>697.62139999999999</v>
      </c>
      <c r="G578" s="84"/>
      <c r="H578" s="85"/>
      <c r="I578" s="85"/>
      <c r="J578" s="84"/>
      <c r="K578" s="85"/>
      <c r="L578" s="85"/>
      <c r="M578" s="85"/>
      <c r="N578" s="85"/>
      <c r="O578" s="82"/>
      <c r="P578" s="83"/>
      <c r="Q578" s="83"/>
      <c r="R578" s="83"/>
      <c r="S578" s="82"/>
      <c r="T578" s="83"/>
      <c r="U578" s="83"/>
      <c r="V578" s="84"/>
      <c r="W578" s="85"/>
      <c r="X578" s="82"/>
      <c r="Y578" s="83"/>
      <c r="Z578" s="84"/>
      <c r="AA578" s="85"/>
      <c r="AB578" s="84"/>
      <c r="AC578" s="85"/>
      <c r="AD578" s="89">
        <f t="shared" si="133"/>
        <v>0</v>
      </c>
      <c r="AE578" s="89"/>
      <c r="AF578" s="186"/>
      <c r="AG578" s="85"/>
      <c r="AH578" s="85"/>
      <c r="AI578" s="85"/>
      <c r="AJ578" s="84"/>
      <c r="AK578" s="85"/>
      <c r="AL578" s="84"/>
      <c r="AM578" s="88"/>
      <c r="AN578" s="84"/>
      <c r="AO578" s="85"/>
      <c r="AP578" s="84"/>
      <c r="AQ578" s="83"/>
      <c r="AR578" s="83"/>
      <c r="AS578" s="83"/>
      <c r="AT578" s="85"/>
      <c r="AU578" s="85"/>
      <c r="AV578" s="85"/>
      <c r="AW578" s="88"/>
      <c r="AX578" s="84"/>
      <c r="AY578" s="85"/>
      <c r="AZ578" s="84"/>
      <c r="BA578" s="85"/>
      <c r="BB578" s="88"/>
      <c r="BC578" s="85"/>
      <c r="BD578" s="84"/>
      <c r="BE578" s="88"/>
      <c r="BF578" s="85"/>
      <c r="BG578" s="85"/>
      <c r="BH578" s="85"/>
      <c r="BI578" s="85"/>
      <c r="BJ578" s="85"/>
      <c r="BK578" s="85"/>
      <c r="BL578" s="85"/>
      <c r="BM578" s="85"/>
      <c r="BN578" s="85"/>
      <c r="BO578" s="85"/>
      <c r="BP578" s="85">
        <v>697.62139999999999</v>
      </c>
      <c r="BQ578" s="85"/>
      <c r="BR578" s="84"/>
      <c r="BS578" s="85"/>
      <c r="BT578" s="85"/>
      <c r="BU578" s="198"/>
      <c r="BV578" s="90"/>
      <c r="BW578" s="198"/>
      <c r="BX578" s="90"/>
      <c r="BY578" s="198"/>
      <c r="BZ578" s="90"/>
      <c r="CA578" s="91"/>
    </row>
    <row r="579" spans="1:79" ht="50.1" customHeight="1" outlineLevel="2" x14ac:dyDescent="0.3">
      <c r="A579" s="106" t="s">
        <v>503</v>
      </c>
      <c r="B579" s="96" t="s">
        <v>537</v>
      </c>
      <c r="C579" s="79" t="s">
        <v>89</v>
      </c>
      <c r="D579" s="81">
        <f t="shared" si="132"/>
        <v>555.13589000000002</v>
      </c>
      <c r="E579" s="82">
        <f t="shared" si="135"/>
        <v>0</v>
      </c>
      <c r="F579" s="83">
        <f t="shared" si="134"/>
        <v>555.13589000000002</v>
      </c>
      <c r="G579" s="84"/>
      <c r="H579" s="85"/>
      <c r="I579" s="85"/>
      <c r="J579" s="84"/>
      <c r="K579" s="85"/>
      <c r="L579" s="85"/>
      <c r="M579" s="85"/>
      <c r="N579" s="85"/>
      <c r="O579" s="82"/>
      <c r="P579" s="83"/>
      <c r="Q579" s="83"/>
      <c r="R579" s="83"/>
      <c r="S579" s="82"/>
      <c r="T579" s="83"/>
      <c r="U579" s="83"/>
      <c r="V579" s="84"/>
      <c r="W579" s="85"/>
      <c r="X579" s="82"/>
      <c r="Y579" s="83"/>
      <c r="Z579" s="84"/>
      <c r="AA579" s="85"/>
      <c r="AB579" s="84"/>
      <c r="AC579" s="85"/>
      <c r="AD579" s="89">
        <f t="shared" si="133"/>
        <v>0</v>
      </c>
      <c r="AE579" s="89"/>
      <c r="AF579" s="186"/>
      <c r="AG579" s="85"/>
      <c r="AH579" s="85"/>
      <c r="AI579" s="85"/>
      <c r="AJ579" s="84"/>
      <c r="AK579" s="85"/>
      <c r="AL579" s="84"/>
      <c r="AM579" s="88"/>
      <c r="AN579" s="84"/>
      <c r="AO579" s="85"/>
      <c r="AP579" s="84"/>
      <c r="AQ579" s="83"/>
      <c r="AR579" s="83"/>
      <c r="AS579" s="83"/>
      <c r="AT579" s="85"/>
      <c r="AU579" s="85"/>
      <c r="AV579" s="85"/>
      <c r="AW579" s="88"/>
      <c r="AX579" s="84"/>
      <c r="AY579" s="85"/>
      <c r="AZ579" s="84"/>
      <c r="BA579" s="85"/>
      <c r="BB579" s="88"/>
      <c r="BC579" s="85"/>
      <c r="BD579" s="84"/>
      <c r="BE579" s="88"/>
      <c r="BF579" s="85"/>
      <c r="BG579" s="85"/>
      <c r="BH579" s="85"/>
      <c r="BI579" s="85"/>
      <c r="BJ579" s="85"/>
      <c r="BK579" s="85">
        <v>57.782789999999999</v>
      </c>
      <c r="BL579" s="85"/>
      <c r="BM579" s="85"/>
      <c r="BN579" s="85"/>
      <c r="BO579" s="85"/>
      <c r="BP579" s="85">
        <v>497.35309999999998</v>
      </c>
      <c r="BQ579" s="85"/>
      <c r="BR579" s="84"/>
      <c r="BS579" s="85"/>
      <c r="BT579" s="85"/>
      <c r="BU579" s="198"/>
      <c r="BV579" s="90"/>
      <c r="BW579" s="198"/>
      <c r="BX579" s="90"/>
      <c r="BY579" s="198"/>
      <c r="BZ579" s="90"/>
      <c r="CA579" s="91"/>
    </row>
    <row r="580" spans="1:79" ht="50.1" customHeight="1" outlineLevel="2" x14ac:dyDescent="0.3">
      <c r="A580" s="103" t="s">
        <v>503</v>
      </c>
      <c r="B580" s="102" t="s">
        <v>538</v>
      </c>
      <c r="C580" s="79" t="s">
        <v>89</v>
      </c>
      <c r="D580" s="81">
        <f t="shared" si="132"/>
        <v>150.85925</v>
      </c>
      <c r="E580" s="82">
        <f t="shared" si="135"/>
        <v>0</v>
      </c>
      <c r="F580" s="83">
        <f t="shared" si="134"/>
        <v>150.85925</v>
      </c>
      <c r="G580" s="84"/>
      <c r="H580" s="85"/>
      <c r="I580" s="85"/>
      <c r="J580" s="84"/>
      <c r="K580" s="85"/>
      <c r="L580" s="85"/>
      <c r="M580" s="85"/>
      <c r="N580" s="85"/>
      <c r="O580" s="82"/>
      <c r="P580" s="83"/>
      <c r="Q580" s="83"/>
      <c r="R580" s="83"/>
      <c r="S580" s="82"/>
      <c r="T580" s="83"/>
      <c r="U580" s="83"/>
      <c r="V580" s="84"/>
      <c r="W580" s="85"/>
      <c r="X580" s="82"/>
      <c r="Y580" s="83"/>
      <c r="Z580" s="84"/>
      <c r="AA580" s="85"/>
      <c r="AB580" s="84"/>
      <c r="AC580" s="85"/>
      <c r="AD580" s="89">
        <f t="shared" si="133"/>
        <v>0</v>
      </c>
      <c r="AE580" s="89"/>
      <c r="AF580" s="186"/>
      <c r="AG580" s="85"/>
      <c r="AH580" s="85"/>
      <c r="AI580" s="85"/>
      <c r="AJ580" s="84"/>
      <c r="AK580" s="85"/>
      <c r="AL580" s="84"/>
      <c r="AM580" s="88"/>
      <c r="AN580" s="84"/>
      <c r="AO580" s="85"/>
      <c r="AP580" s="84"/>
      <c r="AQ580" s="83"/>
      <c r="AR580" s="83"/>
      <c r="AS580" s="83"/>
      <c r="AT580" s="85"/>
      <c r="AU580" s="85"/>
      <c r="AV580" s="85"/>
      <c r="AW580" s="88"/>
      <c r="AX580" s="84"/>
      <c r="AY580" s="85"/>
      <c r="AZ580" s="84"/>
      <c r="BA580" s="85"/>
      <c r="BB580" s="88"/>
      <c r="BC580" s="85"/>
      <c r="BD580" s="84"/>
      <c r="BE580" s="88"/>
      <c r="BF580" s="85"/>
      <c r="BG580" s="85"/>
      <c r="BH580" s="85"/>
      <c r="BI580" s="85"/>
      <c r="BJ580" s="85"/>
      <c r="BK580" s="85"/>
      <c r="BL580" s="85"/>
      <c r="BM580" s="85"/>
      <c r="BN580" s="85"/>
      <c r="BO580" s="85"/>
      <c r="BP580" s="85">
        <v>150.85925</v>
      </c>
      <c r="BQ580" s="85"/>
      <c r="BR580" s="84"/>
      <c r="BS580" s="85"/>
      <c r="BT580" s="85"/>
      <c r="BU580" s="198"/>
      <c r="BV580" s="90"/>
      <c r="BW580" s="198"/>
      <c r="BX580" s="90"/>
      <c r="BY580" s="198"/>
      <c r="BZ580" s="90"/>
      <c r="CA580" s="91"/>
    </row>
    <row r="581" spans="1:79" ht="50.1" customHeight="1" outlineLevel="2" x14ac:dyDescent="0.3">
      <c r="A581" s="103" t="s">
        <v>503</v>
      </c>
      <c r="B581" s="102" t="s">
        <v>539</v>
      </c>
      <c r="C581" s="79" t="s">
        <v>89</v>
      </c>
      <c r="D581" s="81">
        <f t="shared" si="132"/>
        <v>1595.3387699999998</v>
      </c>
      <c r="E581" s="82">
        <f t="shared" si="135"/>
        <v>814.00393999999994</v>
      </c>
      <c r="F581" s="83">
        <f t="shared" si="134"/>
        <v>781.33483000000001</v>
      </c>
      <c r="G581" s="84"/>
      <c r="H581" s="85"/>
      <c r="I581" s="85"/>
      <c r="J581" s="84"/>
      <c r="K581" s="85"/>
      <c r="L581" s="85"/>
      <c r="M581" s="85"/>
      <c r="N581" s="85"/>
      <c r="O581" s="82">
        <f>235.39604+578.6079</f>
        <v>814.00393999999994</v>
      </c>
      <c r="P581" s="83">
        <f>117.69799+289.30394</f>
        <v>407.00193000000002</v>
      </c>
      <c r="Q581" s="83"/>
      <c r="R581" s="83"/>
      <c r="S581" s="82"/>
      <c r="T581" s="83"/>
      <c r="U581" s="83"/>
      <c r="V581" s="84"/>
      <c r="W581" s="85"/>
      <c r="X581" s="82"/>
      <c r="Y581" s="83"/>
      <c r="Z581" s="84"/>
      <c r="AA581" s="85"/>
      <c r="AB581" s="84"/>
      <c r="AC581" s="85"/>
      <c r="AD581" s="89">
        <f t="shared" si="133"/>
        <v>0</v>
      </c>
      <c r="AE581" s="89"/>
      <c r="AF581" s="186"/>
      <c r="AG581" s="85"/>
      <c r="AH581" s="85"/>
      <c r="AI581" s="85"/>
      <c r="AJ581" s="84"/>
      <c r="AK581" s="85"/>
      <c r="AL581" s="84"/>
      <c r="AM581" s="88"/>
      <c r="AN581" s="84"/>
      <c r="AO581" s="85"/>
      <c r="AP581" s="84"/>
      <c r="AQ581" s="83"/>
      <c r="AR581" s="83"/>
      <c r="AS581" s="83"/>
      <c r="AT581" s="85"/>
      <c r="AU581" s="85"/>
      <c r="AV581" s="85"/>
      <c r="AW581" s="88"/>
      <c r="AX581" s="84"/>
      <c r="AY581" s="85"/>
      <c r="AZ581" s="84"/>
      <c r="BA581" s="85"/>
      <c r="BB581" s="88"/>
      <c r="BC581" s="85"/>
      <c r="BD581" s="84"/>
      <c r="BE581" s="88"/>
      <c r="BF581" s="85"/>
      <c r="BG581" s="85"/>
      <c r="BH581" s="85"/>
      <c r="BI581" s="85"/>
      <c r="BJ581" s="85"/>
      <c r="BK581" s="85"/>
      <c r="BL581" s="85"/>
      <c r="BM581" s="85"/>
      <c r="BN581" s="85"/>
      <c r="BO581" s="85"/>
      <c r="BP581" s="85">
        <v>374.3329</v>
      </c>
      <c r="BQ581" s="85"/>
      <c r="BR581" s="84"/>
      <c r="BS581" s="85"/>
      <c r="BT581" s="85"/>
      <c r="BU581" s="198"/>
      <c r="BV581" s="90"/>
      <c r="BW581" s="198"/>
      <c r="BX581" s="90"/>
      <c r="BY581" s="198"/>
      <c r="BZ581" s="90"/>
      <c r="CA581" s="91"/>
    </row>
    <row r="582" spans="1:79" ht="50.1" customHeight="1" outlineLevel="2" x14ac:dyDescent="0.3">
      <c r="A582" s="103" t="s">
        <v>503</v>
      </c>
      <c r="B582" s="102" t="s">
        <v>540</v>
      </c>
      <c r="C582" s="79" t="s">
        <v>89</v>
      </c>
      <c r="D582" s="81">
        <f t="shared" si="132"/>
        <v>1088.4873499999999</v>
      </c>
      <c r="E582" s="82">
        <f t="shared" si="135"/>
        <v>463.34317999999996</v>
      </c>
      <c r="F582" s="83">
        <f t="shared" si="134"/>
        <v>625.14417000000003</v>
      </c>
      <c r="G582" s="84"/>
      <c r="H582" s="85"/>
      <c r="I582" s="85"/>
      <c r="J582" s="84"/>
      <c r="K582" s="85"/>
      <c r="L582" s="85">
        <v>597.05196000000001</v>
      </c>
      <c r="M582" s="85"/>
      <c r="N582" s="85"/>
      <c r="O582" s="82">
        <f>148.72734+314.61584</f>
        <v>463.34317999999996</v>
      </c>
      <c r="P582" s="83">
        <f>9.897+18.19521</f>
        <v>28.092210000000001</v>
      </c>
      <c r="Q582" s="83"/>
      <c r="R582" s="83"/>
      <c r="S582" s="82"/>
      <c r="T582" s="83"/>
      <c r="U582" s="83"/>
      <c r="V582" s="84"/>
      <c r="W582" s="85"/>
      <c r="X582" s="82"/>
      <c r="Y582" s="83"/>
      <c r="Z582" s="84"/>
      <c r="AA582" s="85"/>
      <c r="AB582" s="84"/>
      <c r="AC582" s="85"/>
      <c r="AD582" s="89">
        <f t="shared" si="133"/>
        <v>0</v>
      </c>
      <c r="AE582" s="89"/>
      <c r="AF582" s="186"/>
      <c r="AG582" s="85"/>
      <c r="AH582" s="85"/>
      <c r="AI582" s="85"/>
      <c r="AJ582" s="84"/>
      <c r="AK582" s="85"/>
      <c r="AL582" s="84"/>
      <c r="AM582" s="88"/>
      <c r="AN582" s="84"/>
      <c r="AO582" s="85"/>
      <c r="AP582" s="84"/>
      <c r="AQ582" s="83"/>
      <c r="AR582" s="83"/>
      <c r="AS582" s="83"/>
      <c r="AT582" s="85"/>
      <c r="AU582" s="85"/>
      <c r="AV582" s="85"/>
      <c r="AW582" s="88"/>
      <c r="AX582" s="84"/>
      <c r="AY582" s="85"/>
      <c r="AZ582" s="84"/>
      <c r="BA582" s="85"/>
      <c r="BB582" s="88"/>
      <c r="BC582" s="85"/>
      <c r="BD582" s="84"/>
      <c r="BE582" s="88"/>
      <c r="BF582" s="85"/>
      <c r="BG582" s="85"/>
      <c r="BH582" s="85"/>
      <c r="BI582" s="85"/>
      <c r="BJ582" s="85"/>
      <c r="BK582" s="85"/>
      <c r="BL582" s="85"/>
      <c r="BM582" s="85"/>
      <c r="BN582" s="85"/>
      <c r="BO582" s="85"/>
      <c r="BP582" s="85"/>
      <c r="BQ582" s="85"/>
      <c r="BR582" s="84"/>
      <c r="BS582" s="85"/>
      <c r="BT582" s="85"/>
      <c r="BU582" s="198"/>
      <c r="BV582" s="90"/>
      <c r="BW582" s="198"/>
      <c r="BX582" s="90"/>
      <c r="BY582" s="198"/>
      <c r="BZ582" s="90"/>
      <c r="CA582" s="91"/>
    </row>
    <row r="583" spans="1:79" ht="50.1" customHeight="1" outlineLevel="2" x14ac:dyDescent="0.3">
      <c r="A583" s="103" t="s">
        <v>503</v>
      </c>
      <c r="B583" s="102" t="s">
        <v>541</v>
      </c>
      <c r="C583" s="79" t="s">
        <v>89</v>
      </c>
      <c r="D583" s="81">
        <f t="shared" si="132"/>
        <v>7614.5462000000007</v>
      </c>
      <c r="E583" s="82">
        <f t="shared" si="135"/>
        <v>0</v>
      </c>
      <c r="F583" s="83">
        <f t="shared" si="134"/>
        <v>7614.5462000000007</v>
      </c>
      <c r="G583" s="84"/>
      <c r="H583" s="85"/>
      <c r="I583" s="85"/>
      <c r="J583" s="84"/>
      <c r="K583" s="85"/>
      <c r="L583" s="85"/>
      <c r="M583" s="85"/>
      <c r="N583" s="85"/>
      <c r="O583" s="82"/>
      <c r="P583" s="83"/>
      <c r="Q583" s="83"/>
      <c r="R583" s="83"/>
      <c r="S583" s="82"/>
      <c r="T583" s="83"/>
      <c r="U583" s="83"/>
      <c r="V583" s="84"/>
      <c r="W583" s="85"/>
      <c r="X583" s="82"/>
      <c r="Y583" s="83"/>
      <c r="Z583" s="84"/>
      <c r="AA583" s="85"/>
      <c r="AB583" s="84"/>
      <c r="AC583" s="85"/>
      <c r="AD583" s="89">
        <f t="shared" si="133"/>
        <v>0</v>
      </c>
      <c r="AE583" s="89"/>
      <c r="AF583" s="186"/>
      <c r="AG583" s="85"/>
      <c r="AH583" s="85"/>
      <c r="AI583" s="85"/>
      <c r="AJ583" s="84"/>
      <c r="AK583" s="85"/>
      <c r="AL583" s="84"/>
      <c r="AM583" s="88"/>
      <c r="AN583" s="84"/>
      <c r="AO583" s="85"/>
      <c r="AP583" s="84"/>
      <c r="AQ583" s="83"/>
      <c r="AR583" s="83"/>
      <c r="AS583" s="83"/>
      <c r="AT583" s="85"/>
      <c r="AU583" s="85"/>
      <c r="AV583" s="85">
        <v>93.699150000000003</v>
      </c>
      <c r="AW583" s="88"/>
      <c r="AX583" s="84"/>
      <c r="AY583" s="85"/>
      <c r="AZ583" s="84"/>
      <c r="BA583" s="85"/>
      <c r="BB583" s="88"/>
      <c r="BC583" s="85"/>
      <c r="BD583" s="84"/>
      <c r="BE583" s="88"/>
      <c r="BF583" s="85"/>
      <c r="BG583" s="85"/>
      <c r="BH583" s="85"/>
      <c r="BI583" s="85"/>
      <c r="BJ583" s="85"/>
      <c r="BK583" s="85"/>
      <c r="BL583" s="85"/>
      <c r="BM583" s="85"/>
      <c r="BN583" s="85"/>
      <c r="BO583" s="85"/>
      <c r="BP583" s="85">
        <v>7520.8470500000003</v>
      </c>
      <c r="BQ583" s="85"/>
      <c r="BR583" s="84"/>
      <c r="BS583" s="85"/>
      <c r="BT583" s="85"/>
      <c r="BU583" s="198"/>
      <c r="BV583" s="90"/>
      <c r="BW583" s="198"/>
      <c r="BX583" s="90"/>
      <c r="BY583" s="198"/>
      <c r="BZ583" s="90"/>
      <c r="CA583" s="91"/>
    </row>
    <row r="584" spans="1:79" ht="50.1" customHeight="1" outlineLevel="2" x14ac:dyDescent="0.3">
      <c r="A584" s="103" t="s">
        <v>503</v>
      </c>
      <c r="B584" s="111" t="s">
        <v>542</v>
      </c>
      <c r="C584" s="79"/>
      <c r="D584" s="81">
        <f t="shared" si="132"/>
        <v>300</v>
      </c>
      <c r="E584" s="82">
        <f t="shared" si="135"/>
        <v>0</v>
      </c>
      <c r="F584" s="83">
        <f t="shared" si="134"/>
        <v>300</v>
      </c>
      <c r="G584" s="84"/>
      <c r="H584" s="85"/>
      <c r="I584" s="85"/>
      <c r="J584" s="84"/>
      <c r="K584" s="85"/>
      <c r="L584" s="85"/>
      <c r="M584" s="85"/>
      <c r="N584" s="85"/>
      <c r="O584" s="82"/>
      <c r="P584" s="83"/>
      <c r="Q584" s="83"/>
      <c r="R584" s="83"/>
      <c r="S584" s="82"/>
      <c r="T584" s="83"/>
      <c r="U584" s="83"/>
      <c r="V584" s="84"/>
      <c r="W584" s="85"/>
      <c r="X584" s="82"/>
      <c r="Y584" s="83"/>
      <c r="Z584" s="84"/>
      <c r="AA584" s="85"/>
      <c r="AB584" s="84"/>
      <c r="AC584" s="85"/>
      <c r="AD584" s="89">
        <f t="shared" si="133"/>
        <v>0</v>
      </c>
      <c r="AE584" s="89"/>
      <c r="AF584" s="186"/>
      <c r="AG584" s="85"/>
      <c r="AH584" s="85"/>
      <c r="AI584" s="85"/>
      <c r="AJ584" s="84"/>
      <c r="AK584" s="85"/>
      <c r="AL584" s="84"/>
      <c r="AM584" s="88"/>
      <c r="AN584" s="84"/>
      <c r="AO584" s="85"/>
      <c r="AP584" s="84"/>
      <c r="AQ584" s="83"/>
      <c r="AR584" s="83"/>
      <c r="AS584" s="83"/>
      <c r="AT584" s="85"/>
      <c r="AU584" s="85"/>
      <c r="AV584" s="85"/>
      <c r="AW584" s="88"/>
      <c r="AX584" s="84"/>
      <c r="AY584" s="85"/>
      <c r="AZ584" s="84"/>
      <c r="BA584" s="85"/>
      <c r="BB584" s="88"/>
      <c r="BC584" s="85"/>
      <c r="BD584" s="84"/>
      <c r="BE584" s="88"/>
      <c r="BF584" s="85"/>
      <c r="BG584" s="85"/>
      <c r="BH584" s="85">
        <v>300</v>
      </c>
      <c r="BI584" s="85"/>
      <c r="BJ584" s="85"/>
      <c r="BK584" s="85"/>
      <c r="BL584" s="85"/>
      <c r="BM584" s="85"/>
      <c r="BN584" s="85"/>
      <c r="BO584" s="85"/>
      <c r="BP584" s="85"/>
      <c r="BQ584" s="85"/>
      <c r="BR584" s="84"/>
      <c r="BS584" s="85"/>
      <c r="BT584" s="85"/>
      <c r="BU584" s="198"/>
      <c r="BV584" s="90"/>
      <c r="BW584" s="198"/>
      <c r="BX584" s="90"/>
      <c r="BY584" s="198"/>
      <c r="BZ584" s="90"/>
      <c r="CA584" s="91"/>
    </row>
    <row r="585" spans="1:79" ht="50.1" customHeight="1" outlineLevel="2" x14ac:dyDescent="0.3">
      <c r="A585" s="103" t="s">
        <v>503</v>
      </c>
      <c r="B585" s="111" t="s">
        <v>543</v>
      </c>
      <c r="C585" s="79"/>
      <c r="D585" s="81">
        <f t="shared" si="132"/>
        <v>300</v>
      </c>
      <c r="E585" s="82">
        <f t="shared" si="135"/>
        <v>0</v>
      </c>
      <c r="F585" s="83">
        <f t="shared" si="134"/>
        <v>300</v>
      </c>
      <c r="G585" s="84"/>
      <c r="H585" s="85"/>
      <c r="I585" s="85"/>
      <c r="J585" s="84"/>
      <c r="K585" s="85"/>
      <c r="L585" s="85"/>
      <c r="M585" s="85"/>
      <c r="N585" s="85"/>
      <c r="O585" s="82"/>
      <c r="P585" s="83"/>
      <c r="Q585" s="83"/>
      <c r="R585" s="83"/>
      <c r="S585" s="82"/>
      <c r="T585" s="83"/>
      <c r="U585" s="83"/>
      <c r="V585" s="84"/>
      <c r="W585" s="85"/>
      <c r="X585" s="82"/>
      <c r="Y585" s="83"/>
      <c r="Z585" s="84"/>
      <c r="AA585" s="85"/>
      <c r="AB585" s="84"/>
      <c r="AC585" s="85"/>
      <c r="AD585" s="89">
        <f t="shared" si="133"/>
        <v>0</v>
      </c>
      <c r="AE585" s="89"/>
      <c r="AF585" s="186"/>
      <c r="AG585" s="85"/>
      <c r="AH585" s="85"/>
      <c r="AI585" s="85"/>
      <c r="AJ585" s="84"/>
      <c r="AK585" s="85"/>
      <c r="AL585" s="84"/>
      <c r="AM585" s="88"/>
      <c r="AN585" s="84"/>
      <c r="AO585" s="85"/>
      <c r="AP585" s="84"/>
      <c r="AQ585" s="83"/>
      <c r="AR585" s="83"/>
      <c r="AS585" s="83"/>
      <c r="AT585" s="85"/>
      <c r="AU585" s="85"/>
      <c r="AV585" s="85"/>
      <c r="AW585" s="88"/>
      <c r="AX585" s="84"/>
      <c r="AY585" s="85"/>
      <c r="AZ585" s="84"/>
      <c r="BA585" s="85"/>
      <c r="BB585" s="88"/>
      <c r="BC585" s="85"/>
      <c r="BD585" s="84"/>
      <c r="BE585" s="88"/>
      <c r="BF585" s="85"/>
      <c r="BG585" s="85"/>
      <c r="BH585" s="85">
        <v>300</v>
      </c>
      <c r="BI585" s="85"/>
      <c r="BJ585" s="85"/>
      <c r="BK585" s="85"/>
      <c r="BL585" s="85"/>
      <c r="BM585" s="85"/>
      <c r="BN585" s="85"/>
      <c r="BO585" s="85"/>
      <c r="BP585" s="85"/>
      <c r="BQ585" s="85"/>
      <c r="BR585" s="84"/>
      <c r="BS585" s="85"/>
      <c r="BT585" s="85"/>
      <c r="BU585" s="198"/>
      <c r="BV585" s="90"/>
      <c r="BW585" s="198"/>
      <c r="BX585" s="90"/>
      <c r="BY585" s="198"/>
      <c r="BZ585" s="90"/>
      <c r="CA585" s="91"/>
    </row>
    <row r="586" spans="1:79" ht="50.1" customHeight="1" outlineLevel="2" x14ac:dyDescent="0.3">
      <c r="A586" s="103" t="s">
        <v>503</v>
      </c>
      <c r="B586" s="111" t="s">
        <v>544</v>
      </c>
      <c r="C586" s="79"/>
      <c r="D586" s="81">
        <f t="shared" si="132"/>
        <v>300</v>
      </c>
      <c r="E586" s="82">
        <f t="shared" si="135"/>
        <v>0</v>
      </c>
      <c r="F586" s="83">
        <f t="shared" si="134"/>
        <v>300</v>
      </c>
      <c r="G586" s="82"/>
      <c r="H586" s="83"/>
      <c r="I586" s="83"/>
      <c r="J586" s="84"/>
      <c r="K586" s="85"/>
      <c r="L586" s="85"/>
      <c r="M586" s="85"/>
      <c r="N586" s="85"/>
      <c r="O586" s="82"/>
      <c r="P586" s="83"/>
      <c r="Q586" s="83"/>
      <c r="R586" s="83"/>
      <c r="S586" s="82"/>
      <c r="T586" s="83"/>
      <c r="U586" s="83"/>
      <c r="V586" s="84"/>
      <c r="W586" s="85"/>
      <c r="X586" s="82"/>
      <c r="Y586" s="83"/>
      <c r="Z586" s="84"/>
      <c r="AA586" s="85"/>
      <c r="AB586" s="84"/>
      <c r="AC586" s="85"/>
      <c r="AD586" s="89">
        <f t="shared" si="133"/>
        <v>0</v>
      </c>
      <c r="AE586" s="89"/>
      <c r="AF586" s="186"/>
      <c r="AG586" s="85"/>
      <c r="AH586" s="85"/>
      <c r="AI586" s="85"/>
      <c r="AJ586" s="84"/>
      <c r="AK586" s="85"/>
      <c r="AL586" s="84"/>
      <c r="AM586" s="88"/>
      <c r="AN586" s="84"/>
      <c r="AO586" s="85"/>
      <c r="AP586" s="84"/>
      <c r="AQ586" s="83"/>
      <c r="AR586" s="83"/>
      <c r="AS586" s="83"/>
      <c r="AT586" s="85"/>
      <c r="AU586" s="85"/>
      <c r="AV586" s="85"/>
      <c r="AW586" s="88"/>
      <c r="AX586" s="84"/>
      <c r="AY586" s="85"/>
      <c r="AZ586" s="84"/>
      <c r="BA586" s="85"/>
      <c r="BB586" s="88"/>
      <c r="BC586" s="85"/>
      <c r="BD586" s="84"/>
      <c r="BE586" s="88"/>
      <c r="BF586" s="85"/>
      <c r="BG586" s="85"/>
      <c r="BH586" s="85">
        <v>300</v>
      </c>
      <c r="BI586" s="85"/>
      <c r="BJ586" s="85"/>
      <c r="BK586" s="85"/>
      <c r="BL586" s="85"/>
      <c r="BM586" s="85"/>
      <c r="BN586" s="85"/>
      <c r="BO586" s="85"/>
      <c r="BP586" s="85"/>
      <c r="BQ586" s="85"/>
      <c r="BR586" s="84"/>
      <c r="BS586" s="85"/>
      <c r="BT586" s="85"/>
      <c r="BU586" s="198"/>
      <c r="BV586" s="90"/>
      <c r="BW586" s="198"/>
      <c r="BX586" s="90"/>
      <c r="BY586" s="198"/>
      <c r="BZ586" s="90"/>
      <c r="CA586" s="91"/>
    </row>
    <row r="587" spans="1:79" ht="50.1" customHeight="1" outlineLevel="2" x14ac:dyDescent="0.3">
      <c r="A587" s="103" t="s">
        <v>503</v>
      </c>
      <c r="B587" s="111" t="s">
        <v>1022</v>
      </c>
      <c r="C587" s="79"/>
      <c r="D587" s="81">
        <f t="shared" si="132"/>
        <v>300</v>
      </c>
      <c r="E587" s="82">
        <f t="shared" si="135"/>
        <v>0</v>
      </c>
      <c r="F587" s="83">
        <f t="shared" si="134"/>
        <v>300</v>
      </c>
      <c r="G587" s="82"/>
      <c r="H587" s="83"/>
      <c r="I587" s="83"/>
      <c r="J587" s="84"/>
      <c r="K587" s="85"/>
      <c r="L587" s="85"/>
      <c r="M587" s="85"/>
      <c r="N587" s="85"/>
      <c r="O587" s="82"/>
      <c r="P587" s="83"/>
      <c r="Q587" s="83"/>
      <c r="R587" s="83"/>
      <c r="S587" s="82"/>
      <c r="T587" s="83"/>
      <c r="U587" s="83"/>
      <c r="V587" s="84"/>
      <c r="W587" s="85"/>
      <c r="X587" s="82"/>
      <c r="Y587" s="83"/>
      <c r="Z587" s="84"/>
      <c r="AA587" s="85"/>
      <c r="AB587" s="84"/>
      <c r="AC587" s="85"/>
      <c r="AD587" s="89">
        <f t="shared" si="133"/>
        <v>0</v>
      </c>
      <c r="AE587" s="89"/>
      <c r="AF587" s="186"/>
      <c r="AG587" s="85"/>
      <c r="AH587" s="85"/>
      <c r="AI587" s="85"/>
      <c r="AJ587" s="84"/>
      <c r="AK587" s="85"/>
      <c r="AL587" s="84"/>
      <c r="AM587" s="88"/>
      <c r="AN587" s="84"/>
      <c r="AO587" s="85"/>
      <c r="AP587" s="84"/>
      <c r="AQ587" s="83"/>
      <c r="AR587" s="83"/>
      <c r="AS587" s="83"/>
      <c r="AT587" s="85"/>
      <c r="AU587" s="85"/>
      <c r="AV587" s="85"/>
      <c r="AW587" s="88"/>
      <c r="AX587" s="84"/>
      <c r="AY587" s="85"/>
      <c r="AZ587" s="84"/>
      <c r="BA587" s="85"/>
      <c r="BB587" s="88"/>
      <c r="BC587" s="85"/>
      <c r="BD587" s="84"/>
      <c r="BE587" s="88"/>
      <c r="BF587" s="85"/>
      <c r="BG587" s="85"/>
      <c r="BH587" s="85">
        <v>300</v>
      </c>
      <c r="BI587" s="85"/>
      <c r="BJ587" s="85"/>
      <c r="BK587" s="85"/>
      <c r="BL587" s="85"/>
      <c r="BM587" s="85"/>
      <c r="BN587" s="85"/>
      <c r="BO587" s="85"/>
      <c r="BP587" s="85"/>
      <c r="BQ587" s="85"/>
      <c r="BR587" s="84"/>
      <c r="BS587" s="85"/>
      <c r="BT587" s="85"/>
      <c r="BU587" s="198"/>
      <c r="BV587" s="90"/>
      <c r="BW587" s="198"/>
      <c r="BX587" s="90"/>
      <c r="BY587" s="198"/>
      <c r="BZ587" s="90"/>
      <c r="CA587" s="91"/>
    </row>
    <row r="588" spans="1:79" ht="50.1" customHeight="1" outlineLevel="2" x14ac:dyDescent="0.3">
      <c r="A588" s="103" t="s">
        <v>503</v>
      </c>
      <c r="B588" s="111" t="s">
        <v>1023</v>
      </c>
      <c r="C588" s="79"/>
      <c r="D588" s="81">
        <f t="shared" si="132"/>
        <v>300</v>
      </c>
      <c r="E588" s="82">
        <f t="shared" si="135"/>
        <v>0</v>
      </c>
      <c r="F588" s="83">
        <f t="shared" si="134"/>
        <v>300</v>
      </c>
      <c r="G588" s="82"/>
      <c r="H588" s="83"/>
      <c r="I588" s="83"/>
      <c r="J588" s="84"/>
      <c r="K588" s="85"/>
      <c r="L588" s="85"/>
      <c r="M588" s="85"/>
      <c r="N588" s="85"/>
      <c r="O588" s="82"/>
      <c r="P588" s="83"/>
      <c r="Q588" s="83"/>
      <c r="R588" s="83"/>
      <c r="S588" s="82"/>
      <c r="T588" s="83"/>
      <c r="U588" s="83"/>
      <c r="V588" s="84"/>
      <c r="W588" s="85"/>
      <c r="X588" s="82"/>
      <c r="Y588" s="83"/>
      <c r="Z588" s="84"/>
      <c r="AA588" s="85"/>
      <c r="AB588" s="84"/>
      <c r="AC588" s="85"/>
      <c r="AD588" s="89">
        <f t="shared" si="133"/>
        <v>0</v>
      </c>
      <c r="AE588" s="89"/>
      <c r="AF588" s="186"/>
      <c r="AG588" s="85"/>
      <c r="AH588" s="85"/>
      <c r="AI588" s="85"/>
      <c r="AJ588" s="84"/>
      <c r="AK588" s="85"/>
      <c r="AL588" s="84"/>
      <c r="AM588" s="88"/>
      <c r="AN588" s="84"/>
      <c r="AO588" s="85"/>
      <c r="AP588" s="84"/>
      <c r="AQ588" s="83"/>
      <c r="AR588" s="83"/>
      <c r="AS588" s="83"/>
      <c r="AT588" s="85"/>
      <c r="AU588" s="85"/>
      <c r="AV588" s="85"/>
      <c r="AW588" s="88"/>
      <c r="AX588" s="84"/>
      <c r="AY588" s="85"/>
      <c r="AZ588" s="84"/>
      <c r="BA588" s="85"/>
      <c r="BB588" s="88"/>
      <c r="BC588" s="85"/>
      <c r="BD588" s="84"/>
      <c r="BE588" s="88"/>
      <c r="BF588" s="85"/>
      <c r="BG588" s="85"/>
      <c r="BH588" s="85">
        <v>300</v>
      </c>
      <c r="BI588" s="85"/>
      <c r="BJ588" s="85"/>
      <c r="BK588" s="85"/>
      <c r="BL588" s="85"/>
      <c r="BM588" s="85"/>
      <c r="BN588" s="85"/>
      <c r="BO588" s="85"/>
      <c r="BP588" s="85"/>
      <c r="BQ588" s="85"/>
      <c r="BR588" s="84"/>
      <c r="BS588" s="85"/>
      <c r="BT588" s="85"/>
      <c r="BU588" s="198"/>
      <c r="BV588" s="90"/>
      <c r="BW588" s="198"/>
      <c r="BX588" s="90"/>
      <c r="BY588" s="198"/>
      <c r="BZ588" s="90"/>
      <c r="CA588" s="91"/>
    </row>
    <row r="589" spans="1:79" ht="50.1" customHeight="1" outlineLevel="2" x14ac:dyDescent="0.3">
      <c r="A589" s="103" t="s">
        <v>503</v>
      </c>
      <c r="B589" s="111" t="s">
        <v>1073</v>
      </c>
      <c r="C589" s="79"/>
      <c r="D589" s="81">
        <f t="shared" si="132"/>
        <v>300</v>
      </c>
      <c r="E589" s="82">
        <f t="shared" si="135"/>
        <v>0</v>
      </c>
      <c r="F589" s="83">
        <f t="shared" si="134"/>
        <v>300</v>
      </c>
      <c r="G589" s="82"/>
      <c r="H589" s="83"/>
      <c r="I589" s="83"/>
      <c r="J589" s="84"/>
      <c r="K589" s="85"/>
      <c r="L589" s="85"/>
      <c r="M589" s="85"/>
      <c r="N589" s="85"/>
      <c r="O589" s="82"/>
      <c r="P589" s="83"/>
      <c r="Q589" s="83"/>
      <c r="R589" s="83"/>
      <c r="S589" s="82"/>
      <c r="T589" s="83"/>
      <c r="U589" s="83"/>
      <c r="V589" s="84"/>
      <c r="W589" s="85"/>
      <c r="X589" s="82"/>
      <c r="Y589" s="83"/>
      <c r="Z589" s="84"/>
      <c r="AA589" s="85"/>
      <c r="AB589" s="84"/>
      <c r="AC589" s="85"/>
      <c r="AD589" s="89">
        <f t="shared" si="133"/>
        <v>0</v>
      </c>
      <c r="AE589" s="89"/>
      <c r="AF589" s="186"/>
      <c r="AG589" s="85"/>
      <c r="AH589" s="85"/>
      <c r="AI589" s="85"/>
      <c r="AJ589" s="84"/>
      <c r="AK589" s="85"/>
      <c r="AL589" s="84"/>
      <c r="AM589" s="88"/>
      <c r="AN589" s="84"/>
      <c r="AO589" s="85"/>
      <c r="AP589" s="84"/>
      <c r="AQ589" s="83"/>
      <c r="AR589" s="83"/>
      <c r="AS589" s="83"/>
      <c r="AT589" s="85"/>
      <c r="AU589" s="85"/>
      <c r="AV589" s="85"/>
      <c r="AW589" s="88"/>
      <c r="AX589" s="84"/>
      <c r="AY589" s="85"/>
      <c r="AZ589" s="84"/>
      <c r="BA589" s="85"/>
      <c r="BB589" s="88"/>
      <c r="BC589" s="85"/>
      <c r="BD589" s="84"/>
      <c r="BE589" s="88"/>
      <c r="BF589" s="85"/>
      <c r="BG589" s="85"/>
      <c r="BH589" s="85">
        <v>300</v>
      </c>
      <c r="BI589" s="85"/>
      <c r="BJ589" s="85"/>
      <c r="BK589" s="85"/>
      <c r="BL589" s="85"/>
      <c r="BM589" s="85"/>
      <c r="BN589" s="85"/>
      <c r="BO589" s="85"/>
      <c r="BP589" s="85"/>
      <c r="BQ589" s="85"/>
      <c r="BR589" s="84"/>
      <c r="BS589" s="85"/>
      <c r="BT589" s="85"/>
      <c r="BU589" s="198"/>
      <c r="BV589" s="90"/>
      <c r="BW589" s="198"/>
      <c r="BX589" s="90"/>
      <c r="BY589" s="198"/>
      <c r="BZ589" s="90"/>
      <c r="CA589" s="91"/>
    </row>
    <row r="590" spans="1:79" ht="50.1" customHeight="1" outlineLevel="2" x14ac:dyDescent="0.3">
      <c r="A590" s="103" t="s">
        <v>503</v>
      </c>
      <c r="B590" s="111" t="s">
        <v>1105</v>
      </c>
      <c r="C590" s="79"/>
      <c r="D590" s="81">
        <f t="shared" si="132"/>
        <v>300</v>
      </c>
      <c r="E590" s="82">
        <f t="shared" si="135"/>
        <v>0</v>
      </c>
      <c r="F590" s="83">
        <f t="shared" si="134"/>
        <v>300</v>
      </c>
      <c r="G590" s="82"/>
      <c r="H590" s="83"/>
      <c r="I590" s="83"/>
      <c r="J590" s="84"/>
      <c r="K590" s="85"/>
      <c r="L590" s="85"/>
      <c r="M590" s="85"/>
      <c r="N590" s="85"/>
      <c r="O590" s="82"/>
      <c r="P590" s="83"/>
      <c r="Q590" s="83"/>
      <c r="R590" s="83"/>
      <c r="S590" s="82"/>
      <c r="T590" s="83"/>
      <c r="U590" s="83"/>
      <c r="V590" s="84"/>
      <c r="W590" s="85"/>
      <c r="X590" s="82"/>
      <c r="Y590" s="83"/>
      <c r="Z590" s="84"/>
      <c r="AA590" s="85"/>
      <c r="AB590" s="84"/>
      <c r="AC590" s="85"/>
      <c r="AD590" s="89">
        <f t="shared" si="133"/>
        <v>0</v>
      </c>
      <c r="AE590" s="89"/>
      <c r="AF590" s="186"/>
      <c r="AG590" s="85"/>
      <c r="AH590" s="85"/>
      <c r="AI590" s="85"/>
      <c r="AJ590" s="84"/>
      <c r="AK590" s="85"/>
      <c r="AL590" s="84"/>
      <c r="AM590" s="88"/>
      <c r="AN590" s="84"/>
      <c r="AO590" s="85"/>
      <c r="AP590" s="84"/>
      <c r="AQ590" s="83"/>
      <c r="AR590" s="83"/>
      <c r="AS590" s="83"/>
      <c r="AT590" s="85"/>
      <c r="AU590" s="85"/>
      <c r="AV590" s="85"/>
      <c r="AW590" s="88"/>
      <c r="AX590" s="84"/>
      <c r="AY590" s="85"/>
      <c r="AZ590" s="84"/>
      <c r="BA590" s="85"/>
      <c r="BB590" s="88"/>
      <c r="BC590" s="85"/>
      <c r="BD590" s="84"/>
      <c r="BE590" s="88"/>
      <c r="BF590" s="85"/>
      <c r="BG590" s="85"/>
      <c r="BH590" s="85">
        <v>300</v>
      </c>
      <c r="BI590" s="85"/>
      <c r="BJ590" s="85"/>
      <c r="BK590" s="85"/>
      <c r="BL590" s="85"/>
      <c r="BM590" s="85"/>
      <c r="BN590" s="85"/>
      <c r="BO590" s="85"/>
      <c r="BP590" s="85"/>
      <c r="BQ590" s="85"/>
      <c r="BR590" s="84"/>
      <c r="BS590" s="85"/>
      <c r="BT590" s="85"/>
      <c r="BU590" s="198"/>
      <c r="BV590" s="90"/>
      <c r="BW590" s="198"/>
      <c r="BX590" s="90"/>
      <c r="BY590" s="198"/>
      <c r="BZ590" s="90"/>
      <c r="CA590" s="91"/>
    </row>
    <row r="591" spans="1:79" ht="50.1" customHeight="1" outlineLevel="2" x14ac:dyDescent="0.3">
      <c r="A591" s="103" t="s">
        <v>503</v>
      </c>
      <c r="B591" s="111" t="s">
        <v>1106</v>
      </c>
      <c r="C591" s="79"/>
      <c r="D591" s="81">
        <f t="shared" ref="D591:D592" si="136">E591+F591</f>
        <v>300</v>
      </c>
      <c r="E591" s="82">
        <f t="shared" si="135"/>
        <v>0</v>
      </c>
      <c r="F591" s="83">
        <f t="shared" si="134"/>
        <v>300</v>
      </c>
      <c r="G591" s="82"/>
      <c r="H591" s="83"/>
      <c r="I591" s="83"/>
      <c r="J591" s="84"/>
      <c r="K591" s="85"/>
      <c r="L591" s="85"/>
      <c r="M591" s="85"/>
      <c r="N591" s="85"/>
      <c r="O591" s="82"/>
      <c r="P591" s="83"/>
      <c r="Q591" s="83"/>
      <c r="R591" s="83"/>
      <c r="S591" s="82"/>
      <c r="T591" s="83"/>
      <c r="U591" s="83"/>
      <c r="V591" s="84"/>
      <c r="W591" s="85"/>
      <c r="X591" s="82"/>
      <c r="Y591" s="83"/>
      <c r="Z591" s="84"/>
      <c r="AA591" s="85"/>
      <c r="AB591" s="84"/>
      <c r="AC591" s="85"/>
      <c r="AD591" s="89">
        <f t="shared" si="133"/>
        <v>0</v>
      </c>
      <c r="AE591" s="89"/>
      <c r="AF591" s="186"/>
      <c r="AG591" s="85"/>
      <c r="AH591" s="85"/>
      <c r="AI591" s="85"/>
      <c r="AJ591" s="84"/>
      <c r="AK591" s="85"/>
      <c r="AL591" s="84"/>
      <c r="AM591" s="88"/>
      <c r="AN591" s="84"/>
      <c r="AO591" s="85"/>
      <c r="AP591" s="84"/>
      <c r="AQ591" s="83"/>
      <c r="AR591" s="83"/>
      <c r="AS591" s="83"/>
      <c r="AT591" s="85"/>
      <c r="AU591" s="85"/>
      <c r="AV591" s="85"/>
      <c r="AW591" s="88"/>
      <c r="AX591" s="84"/>
      <c r="AY591" s="85"/>
      <c r="AZ591" s="84"/>
      <c r="BA591" s="85"/>
      <c r="BB591" s="88"/>
      <c r="BC591" s="85"/>
      <c r="BD591" s="84"/>
      <c r="BE591" s="88"/>
      <c r="BF591" s="85"/>
      <c r="BG591" s="85"/>
      <c r="BH591" s="85">
        <v>300</v>
      </c>
      <c r="BI591" s="85"/>
      <c r="BJ591" s="85"/>
      <c r="BK591" s="85"/>
      <c r="BL591" s="85"/>
      <c r="BM591" s="85"/>
      <c r="BN591" s="85"/>
      <c r="BO591" s="85"/>
      <c r="BP591" s="85"/>
      <c r="BQ591" s="85"/>
      <c r="BR591" s="84"/>
      <c r="BS591" s="85"/>
      <c r="BT591" s="85"/>
      <c r="BU591" s="198"/>
      <c r="BV591" s="90"/>
      <c r="BW591" s="198"/>
      <c r="BX591" s="90"/>
      <c r="BY591" s="198"/>
      <c r="BZ591" s="90"/>
      <c r="CA591" s="91"/>
    </row>
    <row r="592" spans="1:79" ht="50.1" customHeight="1" outlineLevel="2" x14ac:dyDescent="0.3">
      <c r="A592" s="103" t="s">
        <v>503</v>
      </c>
      <c r="B592" s="111" t="s">
        <v>1133</v>
      </c>
      <c r="C592" s="79"/>
      <c r="D592" s="81">
        <f t="shared" si="136"/>
        <v>300</v>
      </c>
      <c r="E592" s="82">
        <f t="shared" si="135"/>
        <v>0</v>
      </c>
      <c r="F592" s="83">
        <f t="shared" si="134"/>
        <v>300</v>
      </c>
      <c r="G592" s="82"/>
      <c r="H592" s="83"/>
      <c r="I592" s="83"/>
      <c r="J592" s="84"/>
      <c r="K592" s="85"/>
      <c r="L592" s="85"/>
      <c r="M592" s="85"/>
      <c r="N592" s="85"/>
      <c r="O592" s="82"/>
      <c r="P592" s="83"/>
      <c r="Q592" s="83"/>
      <c r="R592" s="83"/>
      <c r="S592" s="82"/>
      <c r="T592" s="83"/>
      <c r="U592" s="83"/>
      <c r="V592" s="84"/>
      <c r="W592" s="85"/>
      <c r="X592" s="82"/>
      <c r="Y592" s="83"/>
      <c r="Z592" s="84"/>
      <c r="AA592" s="85"/>
      <c r="AB592" s="84"/>
      <c r="AC592" s="85"/>
      <c r="AD592" s="89">
        <f t="shared" si="133"/>
        <v>0</v>
      </c>
      <c r="AE592" s="89"/>
      <c r="AF592" s="186"/>
      <c r="AG592" s="85"/>
      <c r="AH592" s="85"/>
      <c r="AI592" s="85"/>
      <c r="AJ592" s="84"/>
      <c r="AK592" s="85"/>
      <c r="AL592" s="84"/>
      <c r="AM592" s="88"/>
      <c r="AN592" s="84"/>
      <c r="AO592" s="85"/>
      <c r="AP592" s="84"/>
      <c r="AQ592" s="83"/>
      <c r="AR592" s="83"/>
      <c r="AS592" s="83"/>
      <c r="AT592" s="85"/>
      <c r="AU592" s="85"/>
      <c r="AV592" s="85"/>
      <c r="AW592" s="88"/>
      <c r="AX592" s="84"/>
      <c r="AY592" s="85"/>
      <c r="AZ592" s="84"/>
      <c r="BA592" s="85"/>
      <c r="BB592" s="88"/>
      <c r="BC592" s="85"/>
      <c r="BD592" s="84"/>
      <c r="BE592" s="88"/>
      <c r="BF592" s="85"/>
      <c r="BG592" s="85"/>
      <c r="BH592" s="85">
        <v>300</v>
      </c>
      <c r="BI592" s="85"/>
      <c r="BJ592" s="85"/>
      <c r="BK592" s="85"/>
      <c r="BL592" s="85"/>
      <c r="BM592" s="85"/>
      <c r="BN592" s="85"/>
      <c r="BO592" s="85"/>
      <c r="BP592" s="85"/>
      <c r="BQ592" s="85"/>
      <c r="BR592" s="84"/>
      <c r="BS592" s="85"/>
      <c r="BT592" s="85"/>
      <c r="BU592" s="198"/>
      <c r="BV592" s="90"/>
      <c r="BW592" s="198"/>
      <c r="BX592" s="90"/>
      <c r="BY592" s="198"/>
      <c r="BZ592" s="90"/>
      <c r="CA592" s="91"/>
    </row>
    <row r="593" spans="1:1199" s="101" customFormat="1" ht="50.1" customHeight="1" outlineLevel="1" x14ac:dyDescent="0.3">
      <c r="A593" s="132" t="s">
        <v>545</v>
      </c>
      <c r="B593" s="133"/>
      <c r="C593" s="134" t="s">
        <v>94</v>
      </c>
      <c r="D593" s="114">
        <f t="shared" ref="D593:AI593" si="137">SUBTOTAL(9,D540:D592)</f>
        <v>275163.74462999986</v>
      </c>
      <c r="E593" s="114">
        <f t="shared" si="137"/>
        <v>107613.28996000002</v>
      </c>
      <c r="F593" s="114">
        <f t="shared" si="137"/>
        <v>167550.45467000012</v>
      </c>
      <c r="G593" s="114">
        <f t="shared" si="137"/>
        <v>5911.4312100000006</v>
      </c>
      <c r="H593" s="114">
        <f t="shared" si="137"/>
        <v>3491.8623600000001</v>
      </c>
      <c r="I593" s="114">
        <f t="shared" si="137"/>
        <v>0</v>
      </c>
      <c r="J593" s="114">
        <f t="shared" si="137"/>
        <v>1164.2245699999999</v>
      </c>
      <c r="K593" s="114">
        <f t="shared" si="137"/>
        <v>426.34968999999995</v>
      </c>
      <c r="L593" s="114">
        <f t="shared" si="137"/>
        <v>14937.196900000001</v>
      </c>
      <c r="M593" s="114">
        <f t="shared" si="137"/>
        <v>0</v>
      </c>
      <c r="N593" s="114">
        <f t="shared" si="137"/>
        <v>0</v>
      </c>
      <c r="O593" s="114">
        <f t="shared" si="137"/>
        <v>1278.01908</v>
      </c>
      <c r="P593" s="114">
        <f t="shared" si="137"/>
        <v>435.12951000000004</v>
      </c>
      <c r="Q593" s="114">
        <f t="shared" si="137"/>
        <v>0</v>
      </c>
      <c r="R593" s="114">
        <f t="shared" si="137"/>
        <v>0</v>
      </c>
      <c r="S593" s="114">
        <f t="shared" si="137"/>
        <v>2964.4869199999998</v>
      </c>
      <c r="T593" s="114">
        <f t="shared" si="137"/>
        <v>2930.53078</v>
      </c>
      <c r="U593" s="114">
        <f t="shared" si="137"/>
        <v>1134.4314999999999</v>
      </c>
      <c r="V593" s="114">
        <f t="shared" si="137"/>
        <v>839.72969999999998</v>
      </c>
      <c r="W593" s="114">
        <f t="shared" si="137"/>
        <v>2715.8664000000003</v>
      </c>
      <c r="X593" s="114">
        <f t="shared" si="137"/>
        <v>0</v>
      </c>
      <c r="Y593" s="114">
        <f t="shared" si="137"/>
        <v>4666.2720000000008</v>
      </c>
      <c r="Z593" s="114">
        <f t="shared" si="137"/>
        <v>0</v>
      </c>
      <c r="AA593" s="114">
        <f t="shared" si="137"/>
        <v>1627.39105</v>
      </c>
      <c r="AB593" s="114">
        <f t="shared" si="137"/>
        <v>0</v>
      </c>
      <c r="AC593" s="114">
        <f t="shared" si="137"/>
        <v>0</v>
      </c>
      <c r="AD593" s="114">
        <f t="shared" si="137"/>
        <v>6926.9308600000004</v>
      </c>
      <c r="AE593" s="114">
        <f t="shared" si="137"/>
        <v>2032.8097000000002</v>
      </c>
      <c r="AF593" s="191">
        <f t="shared" si="137"/>
        <v>4894.1211599999997</v>
      </c>
      <c r="AG593" s="114">
        <f t="shared" si="137"/>
        <v>0</v>
      </c>
      <c r="AH593" s="114">
        <f t="shared" si="137"/>
        <v>0</v>
      </c>
      <c r="AI593" s="114">
        <f t="shared" si="137"/>
        <v>0</v>
      </c>
      <c r="AJ593" s="114">
        <f t="shared" ref="AJ593:BO593" si="138">SUBTOTAL(9,AJ540:AJ592)</f>
        <v>17181.40364</v>
      </c>
      <c r="AK593" s="114">
        <f t="shared" si="138"/>
        <v>5435.02</v>
      </c>
      <c r="AL593" s="114">
        <f t="shared" si="138"/>
        <v>0</v>
      </c>
      <c r="AM593" s="114">
        <f t="shared" si="138"/>
        <v>0</v>
      </c>
      <c r="AN593" s="114">
        <f t="shared" si="138"/>
        <v>0</v>
      </c>
      <c r="AO593" s="114">
        <f t="shared" si="138"/>
        <v>698.88</v>
      </c>
      <c r="AP593" s="114">
        <f t="shared" si="138"/>
        <v>9787.1626199999992</v>
      </c>
      <c r="AQ593" s="114">
        <f t="shared" si="138"/>
        <v>18334.300329999998</v>
      </c>
      <c r="AR593" s="114">
        <f t="shared" si="138"/>
        <v>0</v>
      </c>
      <c r="AS593" s="114">
        <f t="shared" si="138"/>
        <v>4546.4601000000002</v>
      </c>
      <c r="AT593" s="114">
        <f t="shared" si="138"/>
        <v>0</v>
      </c>
      <c r="AU593" s="114">
        <f t="shared" si="138"/>
        <v>0</v>
      </c>
      <c r="AV593" s="114">
        <f t="shared" si="138"/>
        <v>49290.772530000002</v>
      </c>
      <c r="AW593" s="114">
        <f t="shared" si="138"/>
        <v>0</v>
      </c>
      <c r="AX593" s="114">
        <f t="shared" si="138"/>
        <v>0</v>
      </c>
      <c r="AY593" s="114">
        <f t="shared" si="138"/>
        <v>0</v>
      </c>
      <c r="AZ593" s="114">
        <f t="shared" si="138"/>
        <v>12248.934809999999</v>
      </c>
      <c r="BA593" s="114">
        <f t="shared" si="138"/>
        <v>11092.404659999995</v>
      </c>
      <c r="BB593" s="114">
        <f t="shared" si="138"/>
        <v>1404.8437100000001</v>
      </c>
      <c r="BC593" s="114">
        <f t="shared" si="138"/>
        <v>0</v>
      </c>
      <c r="BD593" s="114">
        <f t="shared" si="138"/>
        <v>0</v>
      </c>
      <c r="BE593" s="114">
        <f t="shared" si="138"/>
        <v>0</v>
      </c>
      <c r="BF593" s="114">
        <f t="shared" si="138"/>
        <v>0</v>
      </c>
      <c r="BG593" s="114">
        <f t="shared" si="138"/>
        <v>15511.712649999999</v>
      </c>
      <c r="BH593" s="114">
        <f t="shared" si="138"/>
        <v>2700</v>
      </c>
      <c r="BI593" s="114">
        <f t="shared" si="138"/>
        <v>0</v>
      </c>
      <c r="BJ593" s="114">
        <f t="shared" si="138"/>
        <v>0</v>
      </c>
      <c r="BK593" s="114">
        <f t="shared" si="138"/>
        <v>3950.3920800000001</v>
      </c>
      <c r="BL593" s="114">
        <f t="shared" si="138"/>
        <v>0</v>
      </c>
      <c r="BM593" s="114">
        <f t="shared" si="138"/>
        <v>0</v>
      </c>
      <c r="BN593" s="114">
        <f t="shared" si="138"/>
        <v>0</v>
      </c>
      <c r="BO593" s="114">
        <f t="shared" si="138"/>
        <v>0</v>
      </c>
      <c r="BP593" s="114">
        <f t="shared" ref="BP593:CU593" si="139">SUBTOTAL(9,BP540:BP592)</f>
        <v>10865.39524</v>
      </c>
      <c r="BQ593" s="114">
        <f t="shared" si="139"/>
        <v>1999.748</v>
      </c>
      <c r="BR593" s="114">
        <f t="shared" si="139"/>
        <v>50785.361960000009</v>
      </c>
      <c r="BS593" s="114">
        <f t="shared" si="139"/>
        <v>325.7</v>
      </c>
      <c r="BT593" s="114">
        <f t="shared" si="139"/>
        <v>0</v>
      </c>
      <c r="BU593" s="114">
        <f t="shared" si="139"/>
        <v>1815.88877</v>
      </c>
      <c r="BV593" s="114">
        <f t="shared" si="139"/>
        <v>5452.5354499999994</v>
      </c>
      <c r="BW593" s="114">
        <f t="shared" si="139"/>
        <v>286.97555</v>
      </c>
      <c r="BX593" s="114">
        <f t="shared" si="139"/>
        <v>0</v>
      </c>
      <c r="BY593" s="114">
        <f t="shared" si="139"/>
        <v>0</v>
      </c>
      <c r="BZ593" s="114">
        <f t="shared" si="139"/>
        <v>0</v>
      </c>
      <c r="CA593" s="114">
        <f t="shared" si="139"/>
        <v>0</v>
      </c>
      <c r="CB593" s="176"/>
      <c r="CC593" s="176"/>
      <c r="CD593" s="176"/>
      <c r="CE593" s="176"/>
      <c r="CF593" s="176"/>
      <c r="CG593" s="176"/>
      <c r="CH593" s="176"/>
      <c r="CI593" s="176"/>
      <c r="CJ593" s="176"/>
      <c r="CK593" s="176"/>
      <c r="CL593" s="176"/>
      <c r="CM593" s="176"/>
      <c r="CN593" s="176"/>
      <c r="CO593" s="176"/>
      <c r="CP593" s="176"/>
      <c r="CQ593" s="176"/>
      <c r="CR593" s="176"/>
      <c r="CS593" s="176"/>
      <c r="CT593" s="176"/>
      <c r="CU593" s="176"/>
      <c r="CV593" s="176"/>
      <c r="CW593" s="176"/>
      <c r="CX593" s="176"/>
      <c r="CY593" s="176"/>
      <c r="CZ593" s="176"/>
      <c r="DA593" s="176"/>
      <c r="DB593" s="176"/>
      <c r="DC593" s="176"/>
      <c r="DD593" s="176"/>
      <c r="DE593" s="176"/>
      <c r="DF593" s="176"/>
      <c r="DG593" s="176"/>
      <c r="DH593" s="176"/>
      <c r="DI593" s="176"/>
      <c r="DJ593" s="176"/>
      <c r="DK593" s="176"/>
      <c r="DL593" s="176"/>
      <c r="DM593" s="176"/>
      <c r="DN593" s="176"/>
      <c r="DO593" s="176"/>
      <c r="DP593" s="176"/>
      <c r="DQ593" s="176"/>
      <c r="DR593" s="176"/>
      <c r="DS593" s="176"/>
      <c r="DT593" s="176"/>
      <c r="DU593" s="176"/>
      <c r="DV593" s="176"/>
      <c r="DW593" s="176"/>
      <c r="DX593" s="176"/>
      <c r="DY593" s="176"/>
      <c r="DZ593" s="176"/>
      <c r="EA593" s="176"/>
      <c r="EB593" s="176"/>
      <c r="EC593" s="176"/>
      <c r="ED593" s="176"/>
      <c r="EE593" s="176"/>
      <c r="EF593" s="176"/>
      <c r="EG593" s="176"/>
      <c r="EH593" s="176"/>
      <c r="EI593" s="176"/>
      <c r="EJ593" s="176"/>
      <c r="EK593" s="176"/>
      <c r="EL593" s="176"/>
      <c r="EM593" s="176"/>
      <c r="EN593" s="176"/>
      <c r="EO593" s="176"/>
      <c r="EP593" s="176"/>
      <c r="EQ593" s="176"/>
      <c r="ER593" s="176"/>
      <c r="ES593" s="176"/>
      <c r="ET593" s="176"/>
      <c r="EU593" s="176"/>
      <c r="EV593" s="176"/>
      <c r="EW593" s="176"/>
      <c r="EX593" s="176"/>
      <c r="EY593" s="176"/>
      <c r="EZ593" s="176"/>
      <c r="FA593" s="176"/>
      <c r="FB593" s="176"/>
      <c r="FC593" s="176"/>
      <c r="FD593" s="176"/>
      <c r="FE593" s="176"/>
      <c r="FF593" s="176"/>
      <c r="FG593" s="176"/>
      <c r="FH593" s="176"/>
      <c r="FI593" s="176"/>
      <c r="FJ593" s="176"/>
      <c r="FK593" s="176"/>
      <c r="FL593" s="176"/>
      <c r="FM593" s="176"/>
      <c r="FN593" s="176"/>
      <c r="FO593" s="176"/>
      <c r="FP593" s="176"/>
      <c r="FQ593" s="176"/>
      <c r="FR593" s="176"/>
      <c r="FS593" s="176"/>
      <c r="FT593" s="176"/>
      <c r="FU593" s="176"/>
      <c r="FV593" s="176"/>
      <c r="FW593" s="176"/>
      <c r="FX593" s="176"/>
      <c r="FY593" s="176"/>
      <c r="FZ593" s="176"/>
      <c r="GA593" s="176"/>
      <c r="GB593" s="176"/>
      <c r="GC593" s="176"/>
      <c r="GD593" s="176"/>
      <c r="GE593" s="176"/>
      <c r="GF593" s="176"/>
      <c r="GG593" s="176"/>
      <c r="GH593" s="176"/>
      <c r="GI593" s="176"/>
      <c r="GJ593" s="176"/>
      <c r="GK593" s="176"/>
      <c r="GL593" s="176"/>
      <c r="GM593" s="176"/>
      <c r="GN593" s="176"/>
      <c r="GO593" s="176"/>
      <c r="GP593" s="176"/>
      <c r="GQ593" s="176"/>
      <c r="GR593" s="176"/>
      <c r="GS593" s="176"/>
      <c r="GT593" s="176"/>
      <c r="GU593" s="176"/>
      <c r="GV593" s="176"/>
      <c r="GW593" s="176"/>
      <c r="GX593" s="176"/>
      <c r="GY593" s="176"/>
      <c r="GZ593" s="176"/>
      <c r="HA593" s="176"/>
      <c r="HB593" s="176"/>
      <c r="HC593" s="176"/>
      <c r="HD593" s="176"/>
      <c r="HE593" s="176"/>
      <c r="HF593" s="176"/>
      <c r="HG593" s="176"/>
      <c r="HH593" s="176"/>
      <c r="HI593" s="176"/>
      <c r="HJ593" s="176"/>
      <c r="HK593" s="176"/>
      <c r="HL593" s="176"/>
      <c r="HM593" s="176"/>
      <c r="HN593" s="176"/>
      <c r="HO593" s="176"/>
      <c r="HP593" s="176"/>
      <c r="HQ593" s="176"/>
      <c r="HR593" s="176"/>
      <c r="HS593" s="176"/>
      <c r="HT593" s="176"/>
      <c r="HU593" s="176"/>
      <c r="HV593" s="176"/>
      <c r="HW593" s="176"/>
      <c r="HX593" s="176"/>
      <c r="HY593" s="176"/>
      <c r="HZ593" s="176"/>
      <c r="IA593" s="176"/>
      <c r="IB593" s="176"/>
      <c r="IC593" s="176"/>
      <c r="ID593" s="176"/>
      <c r="IE593" s="176"/>
      <c r="IF593" s="176"/>
      <c r="IG593" s="176"/>
      <c r="IH593" s="176"/>
      <c r="II593" s="176"/>
      <c r="IJ593" s="176"/>
      <c r="IK593" s="176"/>
      <c r="IL593" s="176"/>
      <c r="IM593" s="176"/>
      <c r="IN593" s="176"/>
      <c r="IO593" s="176"/>
      <c r="IP593" s="176"/>
      <c r="IQ593" s="176"/>
      <c r="IR593" s="176"/>
      <c r="IS593" s="176"/>
      <c r="IT593" s="176"/>
      <c r="IU593" s="176"/>
      <c r="IV593" s="176"/>
      <c r="IW593" s="176"/>
      <c r="IX593" s="176"/>
      <c r="IY593" s="176"/>
      <c r="IZ593" s="176"/>
      <c r="JA593" s="176"/>
      <c r="JB593" s="176"/>
      <c r="JC593" s="176"/>
      <c r="JD593" s="176"/>
      <c r="JE593" s="176"/>
      <c r="JF593" s="176"/>
      <c r="JG593" s="176"/>
      <c r="JH593" s="176"/>
      <c r="JI593" s="176"/>
      <c r="JJ593" s="176"/>
      <c r="JK593" s="176"/>
      <c r="JL593" s="176"/>
      <c r="JM593" s="176"/>
      <c r="JN593" s="176"/>
      <c r="JO593" s="176"/>
      <c r="JP593" s="176"/>
      <c r="JQ593" s="176"/>
      <c r="JR593" s="176"/>
      <c r="JS593" s="176"/>
      <c r="JT593" s="176"/>
      <c r="JU593" s="176"/>
      <c r="JV593" s="176"/>
      <c r="JW593" s="131"/>
      <c r="JX593" s="131"/>
      <c r="JY593" s="131"/>
      <c r="JZ593" s="131"/>
      <c r="KA593" s="131"/>
      <c r="KB593" s="131"/>
      <c r="KC593" s="131"/>
      <c r="KD593" s="131"/>
      <c r="KE593" s="131"/>
      <c r="KF593" s="131"/>
      <c r="KG593" s="131"/>
      <c r="KH593" s="131"/>
      <c r="KI593" s="131"/>
      <c r="KJ593" s="131"/>
      <c r="KK593" s="131"/>
      <c r="KL593" s="131"/>
      <c r="KM593" s="131"/>
      <c r="KN593" s="131"/>
      <c r="KO593" s="131"/>
      <c r="KP593" s="131"/>
      <c r="KQ593" s="131"/>
      <c r="KR593" s="131"/>
      <c r="KS593" s="131"/>
      <c r="KT593" s="131"/>
      <c r="KU593" s="131"/>
      <c r="KV593" s="131"/>
      <c r="KW593" s="131"/>
      <c r="KX593" s="131"/>
      <c r="KY593" s="131"/>
      <c r="KZ593" s="131"/>
      <c r="LA593" s="131"/>
      <c r="LB593" s="131"/>
      <c r="LC593" s="131"/>
      <c r="LD593" s="131"/>
      <c r="LE593" s="131"/>
      <c r="LF593" s="131"/>
      <c r="LG593" s="131"/>
      <c r="LH593" s="131"/>
      <c r="LI593" s="131"/>
      <c r="LJ593" s="131"/>
      <c r="LK593" s="131"/>
      <c r="LL593" s="131"/>
      <c r="LM593" s="131"/>
      <c r="LN593" s="131"/>
      <c r="LO593" s="131"/>
      <c r="LP593" s="131"/>
      <c r="LQ593" s="131"/>
      <c r="LR593" s="131"/>
      <c r="LS593" s="131"/>
      <c r="LT593" s="131"/>
      <c r="LU593" s="131"/>
      <c r="LV593" s="131"/>
      <c r="LW593" s="131"/>
      <c r="LX593" s="131"/>
      <c r="LY593" s="131"/>
      <c r="LZ593" s="131"/>
      <c r="MA593" s="131"/>
      <c r="MB593" s="131"/>
      <c r="MC593" s="131"/>
      <c r="MD593" s="131"/>
      <c r="ME593" s="131"/>
      <c r="MF593" s="131"/>
      <c r="MG593" s="131"/>
      <c r="MH593" s="131"/>
      <c r="MI593" s="131"/>
      <c r="MJ593" s="131"/>
      <c r="MK593" s="131"/>
      <c r="ML593" s="131"/>
      <c r="MM593" s="131"/>
      <c r="MN593" s="131"/>
      <c r="MO593" s="131"/>
      <c r="MP593" s="131"/>
      <c r="MQ593" s="131"/>
      <c r="MR593" s="131"/>
      <c r="MS593" s="131"/>
      <c r="MT593" s="131"/>
      <c r="MU593" s="131"/>
      <c r="MV593" s="131"/>
      <c r="MW593" s="131"/>
      <c r="MX593" s="131"/>
      <c r="MY593" s="131"/>
      <c r="MZ593" s="131"/>
      <c r="NA593" s="131"/>
      <c r="NB593" s="131"/>
      <c r="NC593" s="131"/>
      <c r="ND593" s="131"/>
      <c r="NE593" s="131"/>
      <c r="NF593" s="131"/>
      <c r="NG593" s="131"/>
      <c r="NH593" s="131"/>
      <c r="NI593" s="131"/>
      <c r="NJ593" s="131"/>
      <c r="NK593" s="131"/>
      <c r="NL593" s="131"/>
      <c r="NM593" s="131"/>
      <c r="NN593" s="131"/>
      <c r="NO593" s="131"/>
      <c r="NP593" s="131"/>
      <c r="NQ593" s="131"/>
      <c r="NR593" s="131"/>
      <c r="NS593" s="131"/>
      <c r="NT593" s="131"/>
      <c r="NU593" s="131"/>
      <c r="NV593" s="131"/>
      <c r="NW593" s="131"/>
      <c r="NX593" s="131"/>
      <c r="NY593" s="131"/>
      <c r="NZ593" s="131"/>
      <c r="OA593" s="131"/>
      <c r="OB593" s="131"/>
      <c r="OC593" s="131"/>
      <c r="OD593" s="131"/>
      <c r="OE593" s="131"/>
      <c r="OF593" s="131"/>
      <c r="OG593" s="131"/>
      <c r="OH593" s="131"/>
      <c r="OI593" s="131"/>
      <c r="OJ593" s="131"/>
      <c r="OK593" s="131"/>
      <c r="OL593" s="131"/>
      <c r="OM593" s="131"/>
      <c r="ON593" s="131"/>
      <c r="OO593" s="131"/>
      <c r="OP593" s="131"/>
      <c r="OQ593" s="131"/>
      <c r="OR593" s="131"/>
      <c r="OS593" s="131"/>
      <c r="OT593" s="131"/>
      <c r="OU593" s="131"/>
      <c r="OV593" s="131"/>
      <c r="OW593" s="131"/>
      <c r="OX593" s="131"/>
      <c r="OY593" s="131"/>
      <c r="OZ593" s="131"/>
      <c r="PA593" s="131"/>
      <c r="PB593" s="131"/>
      <c r="PC593" s="131"/>
      <c r="PD593" s="131"/>
      <c r="PE593" s="131"/>
      <c r="PF593" s="131"/>
      <c r="PG593" s="131"/>
      <c r="PH593" s="131"/>
      <c r="PI593" s="131"/>
      <c r="PJ593" s="131"/>
      <c r="PK593" s="131"/>
      <c r="PL593" s="131"/>
      <c r="PM593" s="131"/>
      <c r="PN593" s="131"/>
      <c r="PO593" s="131"/>
      <c r="PP593" s="131"/>
      <c r="PQ593" s="131"/>
      <c r="PR593" s="131"/>
      <c r="PS593" s="131"/>
      <c r="PT593" s="131"/>
      <c r="PU593" s="131"/>
      <c r="PV593" s="131"/>
      <c r="PW593" s="131"/>
      <c r="PX593" s="131"/>
      <c r="PY593" s="131"/>
      <c r="PZ593" s="131"/>
      <c r="QA593" s="131"/>
      <c r="QB593" s="131"/>
      <c r="QC593" s="131"/>
      <c r="QD593" s="131"/>
      <c r="QE593" s="131"/>
      <c r="QF593" s="131"/>
      <c r="QG593" s="131"/>
      <c r="QH593" s="131"/>
      <c r="QI593" s="131"/>
      <c r="QJ593" s="131"/>
      <c r="QK593" s="131"/>
      <c r="QL593" s="131"/>
      <c r="QM593" s="131"/>
      <c r="QN593" s="131"/>
      <c r="QO593" s="131"/>
      <c r="QP593" s="131"/>
      <c r="QQ593" s="131"/>
      <c r="QR593" s="131"/>
      <c r="QS593" s="131"/>
      <c r="QT593" s="131"/>
      <c r="QU593" s="131"/>
      <c r="QV593" s="131"/>
      <c r="QW593" s="131"/>
      <c r="QX593" s="131"/>
      <c r="QY593" s="131"/>
      <c r="QZ593" s="131"/>
      <c r="RA593" s="131"/>
      <c r="RB593" s="131"/>
      <c r="RC593" s="131"/>
      <c r="RD593" s="131"/>
      <c r="RE593" s="131"/>
      <c r="RF593" s="131"/>
      <c r="RG593" s="131"/>
      <c r="RH593" s="131"/>
      <c r="RI593" s="131"/>
      <c r="RJ593" s="131"/>
      <c r="RK593" s="131"/>
      <c r="RL593" s="131"/>
      <c r="RM593" s="131"/>
      <c r="RN593" s="131"/>
      <c r="RO593" s="131"/>
      <c r="RP593" s="131"/>
      <c r="RQ593" s="131"/>
      <c r="RR593" s="131"/>
      <c r="RS593" s="131"/>
      <c r="RT593" s="131"/>
      <c r="RU593" s="131"/>
      <c r="RV593" s="131"/>
      <c r="RW593" s="131"/>
      <c r="RX593" s="131"/>
      <c r="RY593" s="131"/>
      <c r="RZ593" s="131"/>
      <c r="SA593" s="131"/>
      <c r="SB593" s="131"/>
      <c r="SC593" s="131"/>
      <c r="SD593" s="131"/>
      <c r="SE593" s="131"/>
      <c r="SF593" s="131"/>
      <c r="SG593" s="131"/>
      <c r="SH593" s="131"/>
      <c r="SI593" s="131"/>
      <c r="SJ593" s="131"/>
      <c r="SK593" s="131"/>
      <c r="SL593" s="131"/>
      <c r="SM593" s="131"/>
      <c r="SN593" s="131"/>
      <c r="SO593" s="131"/>
      <c r="SP593" s="131"/>
      <c r="SQ593" s="131"/>
      <c r="SR593" s="131"/>
      <c r="SS593" s="131"/>
      <c r="ST593" s="131"/>
      <c r="SU593" s="131"/>
      <c r="SV593" s="131"/>
      <c r="SW593" s="131"/>
      <c r="SX593" s="131"/>
      <c r="SY593" s="131"/>
      <c r="SZ593" s="131"/>
      <c r="TA593" s="131"/>
      <c r="TB593" s="131"/>
      <c r="TC593" s="131"/>
      <c r="TD593" s="131"/>
      <c r="TE593" s="131"/>
      <c r="TF593" s="131"/>
      <c r="TG593" s="131"/>
      <c r="TH593" s="131"/>
      <c r="TI593" s="131"/>
      <c r="TJ593" s="131"/>
      <c r="TK593" s="131"/>
      <c r="TL593" s="131"/>
      <c r="TM593" s="131"/>
      <c r="TN593" s="131"/>
      <c r="TO593" s="131"/>
      <c r="TP593" s="131"/>
      <c r="TQ593" s="131"/>
      <c r="TR593" s="131"/>
      <c r="TS593" s="131"/>
      <c r="TT593" s="131"/>
      <c r="TU593" s="131"/>
      <c r="TV593" s="131"/>
      <c r="TW593" s="131"/>
      <c r="TX593" s="131"/>
      <c r="TY593" s="131"/>
      <c r="TZ593" s="131"/>
      <c r="UA593" s="131"/>
      <c r="UB593" s="131"/>
      <c r="UC593" s="131"/>
      <c r="UD593" s="131"/>
      <c r="UE593" s="131"/>
      <c r="UF593" s="131"/>
      <c r="UG593" s="131"/>
      <c r="UH593" s="131"/>
      <c r="UI593" s="131"/>
      <c r="UJ593" s="131"/>
      <c r="UK593" s="131"/>
      <c r="UL593" s="131"/>
      <c r="UM593" s="131"/>
      <c r="UN593" s="131"/>
      <c r="UO593" s="131"/>
      <c r="UP593" s="131"/>
      <c r="UQ593" s="131"/>
      <c r="UR593" s="131"/>
      <c r="US593" s="131"/>
      <c r="UT593" s="131"/>
      <c r="UU593" s="131"/>
      <c r="UV593" s="131"/>
      <c r="UW593" s="131"/>
      <c r="UX593" s="131"/>
      <c r="UY593" s="131"/>
      <c r="UZ593" s="131"/>
      <c r="VA593" s="131"/>
      <c r="VB593" s="131"/>
      <c r="VC593" s="131"/>
      <c r="VD593" s="131"/>
      <c r="VE593" s="131"/>
      <c r="VF593" s="131"/>
      <c r="VG593" s="131"/>
      <c r="VH593" s="131"/>
      <c r="VI593" s="131"/>
      <c r="VJ593" s="131"/>
      <c r="VK593" s="131"/>
      <c r="VL593" s="131"/>
      <c r="VM593" s="131"/>
      <c r="VN593" s="131"/>
      <c r="VO593" s="131"/>
      <c r="VP593" s="131"/>
      <c r="VQ593" s="131"/>
      <c r="VR593" s="131"/>
      <c r="VS593" s="131"/>
      <c r="VT593" s="131"/>
      <c r="VU593" s="131"/>
      <c r="VV593" s="131"/>
      <c r="VW593" s="131"/>
      <c r="VX593" s="131"/>
      <c r="VY593" s="131"/>
      <c r="VZ593" s="131"/>
      <c r="WA593" s="131"/>
      <c r="WB593" s="131"/>
      <c r="WC593" s="131"/>
      <c r="WD593" s="131"/>
      <c r="WE593" s="131"/>
      <c r="WF593" s="131"/>
      <c r="WG593" s="131"/>
      <c r="WH593" s="131"/>
      <c r="WI593" s="131"/>
      <c r="WJ593" s="131"/>
      <c r="WK593" s="131"/>
      <c r="WL593" s="131"/>
      <c r="WM593" s="131"/>
      <c r="WN593" s="131"/>
      <c r="WO593" s="131"/>
      <c r="WP593" s="131"/>
      <c r="WQ593" s="131"/>
      <c r="WR593" s="131"/>
      <c r="WS593" s="131"/>
      <c r="WT593" s="131"/>
      <c r="WU593" s="131"/>
      <c r="WV593" s="131"/>
      <c r="WW593" s="131"/>
      <c r="WX593" s="131"/>
      <c r="WY593" s="131"/>
      <c r="WZ593" s="131"/>
      <c r="XA593" s="131"/>
      <c r="XB593" s="131"/>
      <c r="XC593" s="131"/>
      <c r="XD593" s="131"/>
      <c r="XE593" s="131"/>
      <c r="XF593" s="131"/>
      <c r="XG593" s="131"/>
      <c r="XH593" s="131"/>
      <c r="XI593" s="131"/>
      <c r="XJ593" s="131"/>
      <c r="XK593" s="131"/>
      <c r="XL593" s="131"/>
      <c r="XM593" s="131"/>
      <c r="XN593" s="131"/>
      <c r="XO593" s="131"/>
      <c r="XP593" s="131"/>
      <c r="XQ593" s="131"/>
      <c r="XR593" s="131"/>
      <c r="XS593" s="131"/>
      <c r="XT593" s="131"/>
      <c r="XU593" s="131"/>
      <c r="XV593" s="131"/>
      <c r="XW593" s="131"/>
      <c r="XX593" s="131"/>
      <c r="XY593" s="131"/>
      <c r="XZ593" s="131"/>
      <c r="YA593" s="131"/>
      <c r="YB593" s="131"/>
      <c r="YC593" s="131"/>
      <c r="YD593" s="131"/>
      <c r="YE593" s="131"/>
      <c r="YF593" s="131"/>
      <c r="YG593" s="131"/>
      <c r="YH593" s="131"/>
      <c r="YI593" s="131"/>
      <c r="YJ593" s="131"/>
      <c r="YK593" s="131"/>
      <c r="YL593" s="131"/>
      <c r="YM593" s="131"/>
      <c r="YN593" s="131"/>
      <c r="YO593" s="131"/>
      <c r="YP593" s="131"/>
      <c r="YQ593" s="131"/>
      <c r="YR593" s="131"/>
      <c r="YS593" s="131"/>
      <c r="YT593" s="131"/>
      <c r="YU593" s="131"/>
      <c r="YV593" s="131"/>
      <c r="YW593" s="131"/>
      <c r="YX593" s="131"/>
      <c r="YY593" s="131"/>
      <c r="YZ593" s="131"/>
      <c r="ZA593" s="131"/>
      <c r="ZB593" s="131"/>
      <c r="ZC593" s="131"/>
      <c r="ZD593" s="131"/>
      <c r="ZE593" s="131"/>
      <c r="ZF593" s="131"/>
      <c r="ZG593" s="131"/>
      <c r="ZH593" s="131"/>
      <c r="ZI593" s="131"/>
      <c r="ZJ593" s="131"/>
      <c r="ZK593" s="131"/>
      <c r="ZL593" s="131"/>
      <c r="ZM593" s="131"/>
      <c r="ZN593" s="131"/>
      <c r="ZO593" s="131"/>
      <c r="ZP593" s="131"/>
      <c r="ZQ593" s="131"/>
      <c r="ZR593" s="131"/>
      <c r="ZS593" s="131"/>
      <c r="ZT593" s="131"/>
      <c r="ZU593" s="131"/>
      <c r="ZV593" s="131"/>
      <c r="ZW593" s="131"/>
      <c r="ZX593" s="131"/>
      <c r="ZY593" s="131"/>
      <c r="ZZ593" s="131"/>
      <c r="AAA593" s="131"/>
      <c r="AAB593" s="131"/>
      <c r="AAC593" s="131"/>
      <c r="AAD593" s="131"/>
      <c r="AAE593" s="131"/>
      <c r="AAF593" s="131"/>
      <c r="AAG593" s="131"/>
      <c r="AAH593" s="131"/>
      <c r="AAI593" s="131"/>
      <c r="AAJ593" s="131"/>
      <c r="AAK593" s="131"/>
      <c r="AAL593" s="131"/>
      <c r="AAM593" s="131"/>
      <c r="AAN593" s="131"/>
      <c r="AAO593" s="131"/>
      <c r="AAP593" s="131"/>
      <c r="AAQ593" s="131"/>
      <c r="AAR593" s="131"/>
      <c r="AAS593" s="131"/>
      <c r="AAT593" s="131"/>
      <c r="AAU593" s="131"/>
      <c r="AAV593" s="131"/>
      <c r="AAW593" s="131"/>
      <c r="AAX593" s="131"/>
      <c r="AAY593" s="131"/>
      <c r="AAZ593" s="131"/>
      <c r="ABA593" s="131"/>
      <c r="ABB593" s="131"/>
      <c r="ABC593" s="131"/>
      <c r="ABD593" s="131"/>
      <c r="ABE593" s="131"/>
      <c r="ABF593" s="131"/>
      <c r="ABG593" s="131"/>
      <c r="ABH593" s="131"/>
      <c r="ABI593" s="131"/>
      <c r="ABJ593" s="131"/>
      <c r="ABK593" s="131"/>
      <c r="ABL593" s="131"/>
      <c r="ABM593" s="131"/>
      <c r="ABN593" s="131"/>
      <c r="ABO593" s="131"/>
      <c r="ABP593" s="131"/>
      <c r="ABQ593" s="131"/>
      <c r="ABR593" s="131"/>
      <c r="ABS593" s="131"/>
      <c r="ABT593" s="131"/>
      <c r="ABU593" s="131"/>
      <c r="ABV593" s="131"/>
      <c r="ABW593" s="131"/>
      <c r="ABX593" s="131"/>
      <c r="ABY593" s="131"/>
      <c r="ABZ593" s="131"/>
      <c r="ACA593" s="131"/>
      <c r="ACB593" s="131"/>
      <c r="ACC593" s="131"/>
      <c r="ACD593" s="131"/>
      <c r="ACE593" s="131"/>
      <c r="ACF593" s="131"/>
      <c r="ACG593" s="131"/>
      <c r="ACH593" s="131"/>
      <c r="ACI593" s="131"/>
      <c r="ACJ593" s="131"/>
      <c r="ACK593" s="131"/>
      <c r="ACL593" s="131"/>
      <c r="ACM593" s="131"/>
      <c r="ACN593" s="131"/>
      <c r="ACO593" s="131"/>
      <c r="ACP593" s="131"/>
      <c r="ACQ593" s="131"/>
      <c r="ACR593" s="131"/>
      <c r="ACS593" s="131"/>
      <c r="ACT593" s="131"/>
      <c r="ACU593" s="131"/>
      <c r="ACV593" s="131"/>
      <c r="ACW593" s="131"/>
      <c r="ACX593" s="131"/>
      <c r="ACY593" s="131"/>
      <c r="ACZ593" s="131"/>
      <c r="ADA593" s="131"/>
      <c r="ADB593" s="131"/>
      <c r="ADC593" s="131"/>
      <c r="ADD593" s="131"/>
      <c r="ADE593" s="131"/>
      <c r="ADF593" s="131"/>
      <c r="ADG593" s="131"/>
      <c r="ADH593" s="131"/>
      <c r="ADI593" s="131"/>
      <c r="ADJ593" s="131"/>
      <c r="ADK593" s="131"/>
      <c r="ADL593" s="131"/>
      <c r="ADM593" s="131"/>
      <c r="ADN593" s="131"/>
      <c r="ADO593" s="131"/>
      <c r="ADP593" s="131"/>
      <c r="ADQ593" s="131"/>
      <c r="ADR593" s="131"/>
      <c r="ADS593" s="131"/>
      <c r="ADT593" s="131"/>
      <c r="ADU593" s="131"/>
      <c r="ADV593" s="131"/>
      <c r="ADW593" s="131"/>
      <c r="ADX593" s="131"/>
      <c r="ADY593" s="131"/>
      <c r="ADZ593" s="131"/>
      <c r="AEA593" s="131"/>
      <c r="AEB593" s="131"/>
      <c r="AEC593" s="131"/>
      <c r="AED593" s="131"/>
      <c r="AEE593" s="131"/>
      <c r="AEF593" s="131"/>
      <c r="AEG593" s="131"/>
      <c r="AEH593" s="131"/>
      <c r="AEI593" s="131"/>
      <c r="AEJ593" s="131"/>
      <c r="AEK593" s="131"/>
      <c r="AEL593" s="131"/>
      <c r="AEM593" s="131"/>
      <c r="AEN593" s="131"/>
      <c r="AEO593" s="131"/>
      <c r="AEP593" s="131"/>
      <c r="AEQ593" s="131"/>
      <c r="AER593" s="131"/>
      <c r="AES593" s="131"/>
      <c r="AET593" s="131"/>
      <c r="AEU593" s="131"/>
      <c r="AEV593" s="131"/>
      <c r="AEW593" s="131"/>
      <c r="AEX593" s="131"/>
      <c r="AEY593" s="131"/>
      <c r="AEZ593" s="131"/>
      <c r="AFA593" s="131"/>
      <c r="AFB593" s="131"/>
      <c r="AFC593" s="131"/>
      <c r="AFD593" s="131"/>
      <c r="AFE593" s="131"/>
      <c r="AFF593" s="131"/>
      <c r="AFG593" s="131"/>
      <c r="AFH593" s="131"/>
      <c r="AFI593" s="131"/>
      <c r="AFJ593" s="131"/>
      <c r="AFK593" s="131"/>
      <c r="AFL593" s="131"/>
      <c r="AFM593" s="131"/>
      <c r="AFN593" s="131"/>
      <c r="AFO593" s="131"/>
      <c r="AFP593" s="131"/>
      <c r="AFQ593" s="131"/>
      <c r="AFR593" s="131"/>
      <c r="AFS593" s="131"/>
      <c r="AFT593" s="131"/>
      <c r="AFU593" s="131"/>
      <c r="AFV593" s="131"/>
      <c r="AFW593" s="131"/>
      <c r="AFX593" s="131"/>
      <c r="AFY593" s="131"/>
      <c r="AFZ593" s="131"/>
      <c r="AGA593" s="131"/>
      <c r="AGB593" s="131"/>
      <c r="AGC593" s="131"/>
      <c r="AGD593" s="131"/>
      <c r="AGE593" s="131"/>
      <c r="AGF593" s="131"/>
      <c r="AGG593" s="131"/>
      <c r="AGH593" s="131"/>
      <c r="AGI593" s="131"/>
      <c r="AGJ593" s="131"/>
      <c r="AGK593" s="131"/>
      <c r="AGL593" s="131"/>
      <c r="AGM593" s="131"/>
      <c r="AGN593" s="131"/>
      <c r="AGO593" s="131"/>
      <c r="AGP593" s="131"/>
      <c r="AGQ593" s="131"/>
      <c r="AGR593" s="131"/>
      <c r="AGS593" s="131"/>
      <c r="AGT593" s="131"/>
      <c r="AGU593" s="131"/>
      <c r="AGV593" s="131"/>
      <c r="AGW593" s="131"/>
      <c r="AGX593" s="131"/>
      <c r="AGY593" s="131"/>
      <c r="AGZ593" s="131"/>
      <c r="AHA593" s="131"/>
      <c r="AHB593" s="131"/>
      <c r="AHC593" s="131"/>
      <c r="AHD593" s="131"/>
      <c r="AHE593" s="131"/>
      <c r="AHF593" s="131"/>
      <c r="AHG593" s="131"/>
      <c r="AHH593" s="131"/>
      <c r="AHI593" s="131"/>
      <c r="AHJ593" s="131"/>
      <c r="AHK593" s="131"/>
      <c r="AHL593" s="131"/>
      <c r="AHM593" s="131"/>
      <c r="AHN593" s="131"/>
      <c r="AHO593" s="131"/>
      <c r="AHP593" s="131"/>
      <c r="AHQ593" s="131"/>
      <c r="AHR593" s="131"/>
      <c r="AHS593" s="131"/>
      <c r="AHT593" s="131"/>
      <c r="AHU593" s="131"/>
      <c r="AHV593" s="131"/>
      <c r="AHW593" s="131"/>
      <c r="AHX593" s="131"/>
      <c r="AHY593" s="131"/>
      <c r="AHZ593" s="131"/>
      <c r="AIA593" s="131"/>
      <c r="AIB593" s="131"/>
      <c r="AIC593" s="131"/>
      <c r="AID593" s="131"/>
      <c r="AIE593" s="131"/>
      <c r="AIF593" s="131"/>
      <c r="AIG593" s="131"/>
      <c r="AIH593" s="131"/>
      <c r="AII593" s="131"/>
      <c r="AIJ593" s="131"/>
      <c r="AIK593" s="131"/>
      <c r="AIL593" s="131"/>
      <c r="AIM593" s="131"/>
      <c r="AIN593" s="131"/>
      <c r="AIO593" s="131"/>
      <c r="AIP593" s="131"/>
      <c r="AIQ593" s="131"/>
      <c r="AIR593" s="131"/>
      <c r="AIS593" s="131"/>
      <c r="AIT593" s="131"/>
      <c r="AIU593" s="131"/>
      <c r="AIV593" s="131"/>
      <c r="AIW593" s="131"/>
      <c r="AIX593" s="131"/>
      <c r="AIY593" s="131"/>
      <c r="AIZ593" s="131"/>
      <c r="AJA593" s="131"/>
      <c r="AJB593" s="131"/>
      <c r="AJC593" s="131"/>
      <c r="AJD593" s="131"/>
      <c r="AJE593" s="131"/>
      <c r="AJF593" s="131"/>
      <c r="AJG593" s="131"/>
      <c r="AJH593" s="131"/>
      <c r="AJI593" s="131"/>
      <c r="AJJ593" s="131"/>
      <c r="AJK593" s="131"/>
      <c r="AJL593" s="131"/>
      <c r="AJM593" s="131"/>
      <c r="AJN593" s="131"/>
      <c r="AJO593" s="131"/>
      <c r="AJP593" s="131"/>
      <c r="AJQ593" s="131"/>
      <c r="AJR593" s="131"/>
      <c r="AJS593" s="131"/>
      <c r="AJT593" s="131"/>
      <c r="AJU593" s="131"/>
      <c r="AJV593" s="131"/>
      <c r="AJW593" s="131"/>
      <c r="AJX593" s="131"/>
      <c r="AJY593" s="131"/>
      <c r="AJZ593" s="131"/>
      <c r="AKA593" s="131"/>
      <c r="AKB593" s="131"/>
      <c r="AKC593" s="131"/>
      <c r="AKD593" s="131"/>
      <c r="AKE593" s="131"/>
      <c r="AKF593" s="131"/>
      <c r="AKG593" s="131"/>
      <c r="AKH593" s="131"/>
      <c r="AKI593" s="131"/>
      <c r="AKJ593" s="131"/>
      <c r="AKK593" s="131"/>
      <c r="AKL593" s="131"/>
      <c r="AKM593" s="131"/>
      <c r="AKN593" s="131"/>
      <c r="AKO593" s="131"/>
      <c r="AKP593" s="131"/>
      <c r="AKQ593" s="131"/>
      <c r="AKR593" s="131"/>
      <c r="AKS593" s="131"/>
      <c r="AKT593" s="131"/>
      <c r="AKU593" s="131"/>
      <c r="AKV593" s="131"/>
      <c r="AKW593" s="131"/>
      <c r="AKX593" s="131"/>
      <c r="AKY593" s="131"/>
      <c r="AKZ593" s="131"/>
      <c r="ALA593" s="131"/>
      <c r="ALB593" s="131"/>
      <c r="ALC593" s="131"/>
      <c r="ALD593" s="131"/>
      <c r="ALE593" s="131"/>
      <c r="ALF593" s="131"/>
      <c r="ALG593" s="131"/>
      <c r="ALH593" s="131"/>
      <c r="ALI593" s="131"/>
      <c r="ALJ593" s="131"/>
      <c r="ALK593" s="131"/>
      <c r="ALL593" s="131"/>
      <c r="ALM593" s="131"/>
      <c r="ALN593" s="131"/>
      <c r="ALO593" s="131"/>
      <c r="ALP593" s="131"/>
      <c r="ALQ593" s="131"/>
      <c r="ALR593" s="131"/>
      <c r="ALS593" s="131"/>
      <c r="ALT593" s="131"/>
      <c r="ALU593" s="131"/>
      <c r="ALV593" s="131"/>
      <c r="ALW593" s="131"/>
      <c r="ALX593" s="131"/>
      <c r="ALY593" s="131"/>
      <c r="ALZ593" s="131"/>
      <c r="AMA593" s="131"/>
      <c r="AMB593" s="131"/>
      <c r="AMC593" s="131"/>
      <c r="AMD593" s="131"/>
      <c r="AME593" s="131"/>
      <c r="AMF593" s="131"/>
      <c r="AMG593" s="131"/>
      <c r="AMH593" s="131"/>
      <c r="AMI593" s="131"/>
      <c r="AMJ593" s="131"/>
      <c r="AMK593" s="131"/>
      <c r="AML593" s="131"/>
      <c r="AMM593" s="131"/>
      <c r="AMN593" s="131"/>
      <c r="AMO593" s="131"/>
      <c r="AMP593" s="131"/>
      <c r="AMQ593" s="131"/>
      <c r="AMR593" s="131"/>
      <c r="AMS593" s="131"/>
      <c r="AMT593" s="131"/>
      <c r="AMU593" s="131"/>
      <c r="AMV593" s="131"/>
      <c r="AMW593" s="131"/>
      <c r="AMX593" s="131"/>
      <c r="AMY593" s="131"/>
      <c r="AMZ593" s="131"/>
      <c r="ANA593" s="131"/>
      <c r="ANB593" s="131"/>
      <c r="ANC593" s="131"/>
      <c r="AND593" s="131"/>
      <c r="ANE593" s="131"/>
      <c r="ANF593" s="131"/>
      <c r="ANG593" s="131"/>
      <c r="ANH593" s="131"/>
      <c r="ANI593" s="131"/>
      <c r="ANJ593" s="131"/>
      <c r="ANK593" s="131"/>
      <c r="ANL593" s="131"/>
      <c r="ANM593" s="131"/>
      <c r="ANN593" s="131"/>
      <c r="ANO593" s="131"/>
      <c r="ANP593" s="131"/>
      <c r="ANQ593" s="131"/>
      <c r="ANR593" s="131"/>
      <c r="ANS593" s="131"/>
      <c r="ANT593" s="131"/>
      <c r="ANU593" s="131"/>
      <c r="ANV593" s="131"/>
      <c r="ANW593" s="131"/>
      <c r="ANX593" s="131"/>
      <c r="ANY593" s="131"/>
      <c r="ANZ593" s="131"/>
      <c r="AOA593" s="131"/>
      <c r="AOB593" s="131"/>
      <c r="AOC593" s="131"/>
      <c r="AOD593" s="131"/>
      <c r="AOE593" s="131"/>
      <c r="AOF593" s="131"/>
      <c r="AOG593" s="131"/>
      <c r="AOH593" s="131"/>
      <c r="AOI593" s="131"/>
      <c r="AOJ593" s="131"/>
      <c r="AOK593" s="131"/>
      <c r="AOL593" s="131"/>
      <c r="AOM593" s="131"/>
      <c r="AON593" s="131"/>
      <c r="AOO593" s="131"/>
      <c r="AOP593" s="131"/>
      <c r="AOQ593" s="131"/>
      <c r="AOR593" s="131"/>
      <c r="AOS593" s="131"/>
      <c r="AOT593" s="131"/>
      <c r="AOU593" s="131"/>
      <c r="AOV593" s="131"/>
      <c r="AOW593" s="131"/>
      <c r="AOX593" s="131"/>
      <c r="AOY593" s="131"/>
      <c r="AOZ593" s="131"/>
      <c r="APA593" s="131"/>
      <c r="APB593" s="131"/>
      <c r="APC593" s="131"/>
      <c r="APD593" s="131"/>
      <c r="APE593" s="131"/>
      <c r="APF593" s="131"/>
      <c r="APG593" s="131"/>
      <c r="APH593" s="131"/>
      <c r="API593" s="131"/>
      <c r="APJ593" s="131"/>
      <c r="APK593" s="131"/>
      <c r="APL593" s="131"/>
      <c r="APM593" s="131"/>
      <c r="APN593" s="131"/>
      <c r="APO593" s="131"/>
      <c r="APP593" s="131"/>
      <c r="APQ593" s="131"/>
      <c r="APR593" s="131"/>
      <c r="APS593" s="131"/>
      <c r="APT593" s="131"/>
      <c r="APU593" s="131"/>
      <c r="APV593" s="131"/>
      <c r="APW593" s="131"/>
      <c r="APX593" s="131"/>
      <c r="APY593" s="131"/>
      <c r="APZ593" s="131"/>
      <c r="AQA593" s="131"/>
      <c r="AQB593" s="131"/>
      <c r="AQC593" s="131"/>
      <c r="AQD593" s="131"/>
      <c r="AQE593" s="131"/>
      <c r="AQF593" s="131"/>
      <c r="AQG593" s="131"/>
      <c r="AQH593" s="131"/>
      <c r="AQI593" s="131"/>
      <c r="AQJ593" s="131"/>
      <c r="AQK593" s="131"/>
      <c r="AQL593" s="131"/>
      <c r="AQM593" s="131"/>
      <c r="AQN593" s="131"/>
      <c r="AQO593" s="131"/>
      <c r="AQP593" s="131"/>
      <c r="AQQ593" s="131"/>
      <c r="AQR593" s="131"/>
      <c r="AQS593" s="131"/>
      <c r="AQT593" s="131"/>
      <c r="AQU593" s="131"/>
      <c r="AQV593" s="131"/>
      <c r="AQW593" s="131"/>
      <c r="AQX593" s="131"/>
      <c r="AQY593" s="131"/>
      <c r="AQZ593" s="131"/>
      <c r="ARA593" s="131"/>
      <c r="ARB593" s="131"/>
      <c r="ARC593" s="131"/>
      <c r="ARD593" s="131"/>
      <c r="ARE593" s="131"/>
      <c r="ARF593" s="131"/>
      <c r="ARG593" s="131"/>
      <c r="ARH593" s="131"/>
      <c r="ARI593" s="131"/>
      <c r="ARJ593" s="131"/>
      <c r="ARK593" s="131"/>
      <c r="ARL593" s="131"/>
      <c r="ARM593" s="131"/>
      <c r="ARN593" s="131"/>
      <c r="ARO593" s="131"/>
      <c r="ARP593" s="131"/>
      <c r="ARQ593" s="131"/>
      <c r="ARR593" s="131"/>
      <c r="ARS593" s="131"/>
      <c r="ART593" s="131"/>
      <c r="ARU593" s="131"/>
      <c r="ARV593" s="131"/>
      <c r="ARW593" s="131"/>
      <c r="ARX593" s="131"/>
      <c r="ARY593" s="131"/>
      <c r="ARZ593" s="131"/>
      <c r="ASA593" s="131"/>
      <c r="ASB593" s="131"/>
      <c r="ASC593" s="131"/>
      <c r="ASD593" s="131"/>
      <c r="ASE593" s="131"/>
      <c r="ASF593" s="131"/>
      <c r="ASG593" s="131"/>
      <c r="ASH593" s="131"/>
      <c r="ASI593" s="131"/>
      <c r="ASJ593" s="131"/>
      <c r="ASK593" s="131"/>
      <c r="ASL593" s="131"/>
      <c r="ASM593" s="131"/>
      <c r="ASN593" s="131"/>
      <c r="ASO593" s="131"/>
      <c r="ASP593" s="131"/>
      <c r="ASQ593" s="131"/>
      <c r="ASR593" s="131"/>
      <c r="ASS593" s="131"/>
      <c r="AST593" s="131"/>
      <c r="ASU593" s="131"/>
      <c r="ASV593" s="131"/>
      <c r="ASW593" s="131"/>
      <c r="ASX593" s="131"/>
      <c r="ASY593" s="131"/>
      <c r="ASZ593" s="131"/>
      <c r="ATA593" s="131"/>
      <c r="ATB593" s="131"/>
      <c r="ATC593" s="131"/>
    </row>
    <row r="594" spans="1:1199" ht="50.1" customHeight="1" outlineLevel="2" x14ac:dyDescent="0.3">
      <c r="A594" s="103" t="s">
        <v>546</v>
      </c>
      <c r="B594" s="96" t="s">
        <v>547</v>
      </c>
      <c r="C594" s="79" t="s">
        <v>37</v>
      </c>
      <c r="D594" s="81">
        <f t="shared" ref="D594" si="140">E594+F594</f>
        <v>105958.56759999988</v>
      </c>
      <c r="E594" s="82">
        <f t="shared" si="135"/>
        <v>27130.10612</v>
      </c>
      <c r="F594" s="83">
        <f t="shared" si="134"/>
        <v>78828.461479999882</v>
      </c>
      <c r="G594" s="84"/>
      <c r="H594" s="85"/>
      <c r="I594" s="85"/>
      <c r="J594" s="86">
        <f>139.30889+262.96926+24.58758+412.37992</f>
        <v>839.24565000000007</v>
      </c>
      <c r="K594" s="85">
        <f>34.82721+78.89077+4.9516+132.12525</f>
        <v>250.79482999999999</v>
      </c>
      <c r="L594" s="85">
        <v>10167.852370000001</v>
      </c>
      <c r="M594" s="85"/>
      <c r="N594" s="85"/>
      <c r="O594" s="82"/>
      <c r="P594" s="83"/>
      <c r="Q594" s="83">
        <v>5312.41626</v>
      </c>
      <c r="R594" s="83"/>
      <c r="S594" s="82">
        <v>4398.1553999999996</v>
      </c>
      <c r="T594" s="83">
        <v>4084.5945900000002</v>
      </c>
      <c r="U594" s="83"/>
      <c r="V594" s="84">
        <v>530.64610000000005</v>
      </c>
      <c r="W594" s="85">
        <v>1821.6084000000001</v>
      </c>
      <c r="X594" s="87"/>
      <c r="Y594" s="83">
        <v>1239.8879999999999</v>
      </c>
      <c r="Z594" s="84"/>
      <c r="AA594" s="85">
        <v>849.67425000000003</v>
      </c>
      <c r="AB594" s="84"/>
      <c r="AC594" s="85"/>
      <c r="AD594" s="89">
        <f t="shared" ref="AD594:AD631" si="141">AE594+AF594</f>
        <v>4500.7745599999998</v>
      </c>
      <c r="AE594" s="89">
        <f>683.397+882.7875+17.1928</f>
        <v>1583.3773000000001</v>
      </c>
      <c r="AF594" s="186">
        <f>1349.9082+150.36632+285.04358+1132.07916</f>
        <v>2917.3972600000002</v>
      </c>
      <c r="AG594" s="85"/>
      <c r="AH594" s="85"/>
      <c r="AI594" s="85"/>
      <c r="AJ594" s="84">
        <v>10782.4</v>
      </c>
      <c r="AK594" s="85">
        <v>3984.8</v>
      </c>
      <c r="AL594" s="84"/>
      <c r="AM594" s="88"/>
      <c r="AN594" s="84"/>
      <c r="AO594" s="85"/>
      <c r="AP594" s="84">
        <v>6392.54421</v>
      </c>
      <c r="AQ594" s="83">
        <v>14480.385029999999</v>
      </c>
      <c r="AR594" s="83"/>
      <c r="AS594" s="83"/>
      <c r="AT594" s="85"/>
      <c r="AU594" s="85"/>
      <c r="AV594" s="88">
        <f>12950.2219299999+4913.71086</f>
        <v>17863.932789999901</v>
      </c>
      <c r="AW594" s="88"/>
      <c r="AX594" s="84"/>
      <c r="AY594" s="85"/>
      <c r="AZ594" s="84">
        <v>3442.6583999999998</v>
      </c>
      <c r="BA594" s="85">
        <v>3117.6065400000002</v>
      </c>
      <c r="BB594" s="88">
        <v>803.87401</v>
      </c>
      <c r="BC594" s="85"/>
      <c r="BD594" s="84"/>
      <c r="BE594" s="88"/>
      <c r="BF594" s="85"/>
      <c r="BG594" s="85">
        <v>8641.3328199999996</v>
      </c>
      <c r="BH594" s="85"/>
      <c r="BI594" s="85"/>
      <c r="BJ594" s="85"/>
      <c r="BK594" s="85">
        <v>618.15526999999997</v>
      </c>
      <c r="BL594" s="85">
        <v>641.8655</v>
      </c>
      <c r="BM594" s="85">
        <v>127.27341</v>
      </c>
      <c r="BN594" s="85"/>
      <c r="BO594" s="85"/>
      <c r="BP594" s="85"/>
      <c r="BQ594" s="85"/>
      <c r="BR594" s="84">
        <v>744.45636000000002</v>
      </c>
      <c r="BS594" s="85"/>
      <c r="BT594" s="85"/>
      <c r="BU594" s="97">
        <v>321.63285000000002</v>
      </c>
      <c r="BV594" s="90"/>
      <c r="BW594" s="198"/>
      <c r="BX594" s="90"/>
      <c r="BY594" s="198"/>
      <c r="BZ594" s="90"/>
      <c r="CA594" s="91"/>
    </row>
    <row r="595" spans="1:1199" ht="50.1" customHeight="1" outlineLevel="2" x14ac:dyDescent="0.3">
      <c r="A595" s="103" t="s">
        <v>546</v>
      </c>
      <c r="B595" s="96" t="s">
        <v>548</v>
      </c>
      <c r="C595" s="79" t="s">
        <v>37</v>
      </c>
      <c r="D595" s="81">
        <f t="shared" ref="D595:D637" si="142">E595+F595</f>
        <v>52055.046239999996</v>
      </c>
      <c r="E595" s="82">
        <f t="shared" si="135"/>
        <v>18914.46773</v>
      </c>
      <c r="F595" s="83">
        <f t="shared" si="134"/>
        <v>33140.578509999999</v>
      </c>
      <c r="G595" s="84">
        <v>110.34822</v>
      </c>
      <c r="H595" s="85">
        <v>40.126620000000003</v>
      </c>
      <c r="I595" s="85"/>
      <c r="J595" s="86">
        <f>857.56375+254.23182+269.69413</f>
        <v>1381.4897000000001</v>
      </c>
      <c r="K595" s="85">
        <f>311.84136+92.44794+96.45406</f>
        <v>500.74336000000005</v>
      </c>
      <c r="L595" s="85">
        <v>6088.7464200000004</v>
      </c>
      <c r="M595" s="85"/>
      <c r="N595" s="85"/>
      <c r="O595" s="82"/>
      <c r="P595" s="83"/>
      <c r="Q595" s="83">
        <v>261.83035999999998</v>
      </c>
      <c r="R595" s="83"/>
      <c r="S595" s="82">
        <v>1231.0047999999999</v>
      </c>
      <c r="T595" s="83">
        <v>928.73352999999997</v>
      </c>
      <c r="U595" s="129"/>
      <c r="V595" s="84">
        <v>603.33235000000002</v>
      </c>
      <c r="W595" s="85">
        <v>1424.817</v>
      </c>
      <c r="X595" s="87"/>
      <c r="Y595" s="83">
        <v>249.6</v>
      </c>
      <c r="Z595" s="84"/>
      <c r="AA595" s="85">
        <v>608.32324000000006</v>
      </c>
      <c r="AB595" s="84"/>
      <c r="AC595" s="85"/>
      <c r="AD595" s="89">
        <f t="shared" si="141"/>
        <v>1108.3204800000001</v>
      </c>
      <c r="AE595" s="89">
        <f>26.2845+204.8067+21.491</f>
        <v>252.5822</v>
      </c>
      <c r="AF595" s="186">
        <f>523.08943+6.53767+149.81813+176.29305</f>
        <v>855.73828000000003</v>
      </c>
      <c r="AG595" s="85"/>
      <c r="AH595" s="85"/>
      <c r="AI595" s="85"/>
      <c r="AJ595" s="84">
        <v>6624</v>
      </c>
      <c r="AK595" s="85">
        <v>2448</v>
      </c>
      <c r="AL595" s="84"/>
      <c r="AM595" s="88"/>
      <c r="AN595" s="84"/>
      <c r="AO595" s="85"/>
      <c r="AP595" s="84">
        <v>3701.1685499999999</v>
      </c>
      <c r="AQ595" s="83">
        <v>6084.6251700000003</v>
      </c>
      <c r="AR595" s="83"/>
      <c r="AS595" s="83"/>
      <c r="AT595" s="85"/>
      <c r="AU595" s="85"/>
      <c r="AV595" s="85">
        <f>3767.23369+3612.55515</f>
        <v>7379.7888400000002</v>
      </c>
      <c r="AW595" s="88"/>
      <c r="AX595" s="84"/>
      <c r="AY595" s="85"/>
      <c r="AZ595" s="84">
        <v>2130.4569999999999</v>
      </c>
      <c r="BA595" s="85">
        <v>1929.3036199999999</v>
      </c>
      <c r="BB595" s="88"/>
      <c r="BC595" s="85"/>
      <c r="BD595" s="84"/>
      <c r="BE595" s="88"/>
      <c r="BF595" s="85"/>
      <c r="BG595" s="85">
        <v>3588.9131400000001</v>
      </c>
      <c r="BH595" s="85"/>
      <c r="BI595" s="85"/>
      <c r="BJ595" s="85"/>
      <c r="BK595" s="85"/>
      <c r="BL595" s="85"/>
      <c r="BM595" s="85"/>
      <c r="BN595" s="85"/>
      <c r="BO595" s="85"/>
      <c r="BP595" s="85"/>
      <c r="BQ595" s="85"/>
      <c r="BR595" s="84">
        <v>3132.6671099999999</v>
      </c>
      <c r="BS595" s="85"/>
      <c r="BT595" s="85"/>
      <c r="BU595" s="97">
        <v>498.70672999999999</v>
      </c>
      <c r="BV595" s="90"/>
      <c r="BW595" s="198"/>
      <c r="BX595" s="90"/>
      <c r="BY595" s="198"/>
      <c r="BZ595" s="90"/>
      <c r="CA595" s="91"/>
    </row>
    <row r="596" spans="1:1199" ht="50.1" customHeight="1" outlineLevel="2" x14ac:dyDescent="0.3">
      <c r="A596" s="106" t="s">
        <v>546</v>
      </c>
      <c r="B596" s="96" t="s">
        <v>549</v>
      </c>
      <c r="C596" s="79" t="s">
        <v>37</v>
      </c>
      <c r="D596" s="81">
        <f t="shared" si="142"/>
        <v>42199.318359999997</v>
      </c>
      <c r="E596" s="82">
        <f t="shared" si="135"/>
        <v>14867.232620000001</v>
      </c>
      <c r="F596" s="83">
        <f t="shared" si="134"/>
        <v>27332.085739999999</v>
      </c>
      <c r="G596" s="84">
        <v>1035.48496</v>
      </c>
      <c r="H596" s="85">
        <v>201.77311</v>
      </c>
      <c r="I596" s="85"/>
      <c r="J596" s="84">
        <f>94.44735+217.05659</f>
        <v>311.50394</v>
      </c>
      <c r="K596" s="85">
        <f>20.49156+60.20579</f>
        <v>80.69735</v>
      </c>
      <c r="L596" s="85">
        <v>4966.4073099999996</v>
      </c>
      <c r="M596" s="85"/>
      <c r="N596" s="85"/>
      <c r="O596" s="82"/>
      <c r="P596" s="83"/>
      <c r="Q596" s="83"/>
      <c r="R596" s="83"/>
      <c r="S596" s="82">
        <v>917.58658000000003</v>
      </c>
      <c r="T596" s="83">
        <v>864.81258000000003</v>
      </c>
      <c r="U596" s="83"/>
      <c r="V596" s="84">
        <v>1006.0992</v>
      </c>
      <c r="W596" s="85">
        <v>2191.1871000000001</v>
      </c>
      <c r="X596" s="87"/>
      <c r="Y596" s="83">
        <v>302.952</v>
      </c>
      <c r="Z596" s="84"/>
      <c r="AA596" s="85">
        <v>356.61140999999998</v>
      </c>
      <c r="AB596" s="84"/>
      <c r="AC596" s="85"/>
      <c r="AD596" s="89">
        <f t="shared" si="141"/>
        <v>1486.14067</v>
      </c>
      <c r="AE596" s="89">
        <f>183.9915+154.7352</f>
        <v>338.72669999999999</v>
      </c>
      <c r="AF596" s="186">
        <f>674.9541+107.87149+187.75908+176.8293</f>
        <v>1147.4139700000001</v>
      </c>
      <c r="AG596" s="85"/>
      <c r="AH596" s="85"/>
      <c r="AI596" s="85"/>
      <c r="AJ596" s="84"/>
      <c r="AK596" s="85"/>
      <c r="AL596" s="84"/>
      <c r="AM596" s="88"/>
      <c r="AN596" s="84"/>
      <c r="AO596" s="85"/>
      <c r="AP596" s="84">
        <v>2343.2508600000001</v>
      </c>
      <c r="AQ596" s="83">
        <v>5251.2048400000003</v>
      </c>
      <c r="AR596" s="83"/>
      <c r="AS596" s="83"/>
      <c r="AT596" s="85"/>
      <c r="AU596" s="85"/>
      <c r="AV596" s="85">
        <f>4717.0013+2333.34878</f>
        <v>7050.3500800000002</v>
      </c>
      <c r="AW596" s="88"/>
      <c r="AX596" s="84"/>
      <c r="AY596" s="85"/>
      <c r="AZ596" s="84">
        <v>2321.8538899999999</v>
      </c>
      <c r="BA596" s="85">
        <v>2102.6277599999999</v>
      </c>
      <c r="BB596" s="88">
        <v>261.42925000000002</v>
      </c>
      <c r="BC596" s="85"/>
      <c r="BD596" s="84"/>
      <c r="BE596" s="88"/>
      <c r="BF596" s="85"/>
      <c r="BG596" s="85">
        <v>1700.5516</v>
      </c>
      <c r="BH596" s="85"/>
      <c r="BI596" s="85"/>
      <c r="BJ596" s="85"/>
      <c r="BK596" s="85">
        <v>515.34068000000002</v>
      </c>
      <c r="BL596" s="85"/>
      <c r="BM596" s="85"/>
      <c r="BN596" s="85"/>
      <c r="BO596" s="85"/>
      <c r="BP596" s="85"/>
      <c r="BQ596" s="85"/>
      <c r="BR596" s="84">
        <v>6931.4531900000002</v>
      </c>
      <c r="BS596" s="85"/>
      <c r="BT596" s="85"/>
      <c r="BU596" s="198"/>
      <c r="BV596" s="90"/>
      <c r="BW596" s="198"/>
      <c r="BX596" s="90"/>
      <c r="BY596" s="198"/>
      <c r="BZ596" s="90"/>
      <c r="CA596" s="91"/>
    </row>
    <row r="597" spans="1:1199" ht="50.1" customHeight="1" outlineLevel="2" x14ac:dyDescent="0.3">
      <c r="A597" s="106" t="s">
        <v>546</v>
      </c>
      <c r="B597" s="96" t="s">
        <v>550</v>
      </c>
      <c r="C597" s="79" t="s">
        <v>37</v>
      </c>
      <c r="D597" s="81">
        <f t="shared" si="142"/>
        <v>998.10007999999993</v>
      </c>
      <c r="E597" s="82">
        <f t="shared" si="135"/>
        <v>341.22219000000001</v>
      </c>
      <c r="F597" s="83">
        <f t="shared" si="134"/>
        <v>656.87788999999998</v>
      </c>
      <c r="G597" s="84"/>
      <c r="H597" s="85"/>
      <c r="I597" s="85"/>
      <c r="J597" s="84"/>
      <c r="K597" s="85"/>
      <c r="L597" s="85"/>
      <c r="M597" s="85"/>
      <c r="N597" s="85"/>
      <c r="O597" s="82"/>
      <c r="P597" s="83"/>
      <c r="Q597" s="83"/>
      <c r="R597" s="83"/>
      <c r="S597" s="82"/>
      <c r="T597" s="83"/>
      <c r="U597" s="83"/>
      <c r="V597" s="84"/>
      <c r="W597" s="85"/>
      <c r="X597" s="87"/>
      <c r="Y597" s="83">
        <v>62.4</v>
      </c>
      <c r="Z597" s="84"/>
      <c r="AA597" s="85"/>
      <c r="AB597" s="84"/>
      <c r="AC597" s="85"/>
      <c r="AD597" s="89">
        <f t="shared" si="141"/>
        <v>53.795560000000002</v>
      </c>
      <c r="AE597" s="89">
        <v>35.311500000000002</v>
      </c>
      <c r="AF597" s="186">
        <v>18.484059999999999</v>
      </c>
      <c r="AG597" s="85"/>
      <c r="AH597" s="85"/>
      <c r="AI597" s="85"/>
      <c r="AJ597" s="84"/>
      <c r="AK597" s="85"/>
      <c r="AL597" s="84"/>
      <c r="AM597" s="88"/>
      <c r="AN597" s="84"/>
      <c r="AO597" s="85"/>
      <c r="AP597" s="84"/>
      <c r="AQ597" s="83"/>
      <c r="AR597" s="83"/>
      <c r="AS597" s="83"/>
      <c r="AT597" s="85"/>
      <c r="AU597" s="85"/>
      <c r="AV597" s="85">
        <v>461.60345000000001</v>
      </c>
      <c r="AW597" s="88"/>
      <c r="AX597" s="84"/>
      <c r="AY597" s="85"/>
      <c r="AZ597" s="84">
        <v>87.323899999999995</v>
      </c>
      <c r="BA597" s="85">
        <v>79.078879999999998</v>
      </c>
      <c r="BB597" s="88"/>
      <c r="BC597" s="85"/>
      <c r="BD597" s="84"/>
      <c r="BE597" s="88"/>
      <c r="BF597" s="85"/>
      <c r="BG597" s="85"/>
      <c r="BH597" s="85"/>
      <c r="BI597" s="85"/>
      <c r="BJ597" s="85"/>
      <c r="BK597" s="85"/>
      <c r="BL597" s="85"/>
      <c r="BM597" s="85"/>
      <c r="BN597" s="85"/>
      <c r="BO597" s="85"/>
      <c r="BP597" s="85"/>
      <c r="BQ597" s="85"/>
      <c r="BR597" s="84">
        <v>253.89829</v>
      </c>
      <c r="BS597" s="85"/>
      <c r="BT597" s="85"/>
      <c r="BU597" s="198"/>
      <c r="BV597" s="90"/>
      <c r="BW597" s="198"/>
      <c r="BX597" s="90"/>
      <c r="BY597" s="198"/>
      <c r="BZ597" s="90"/>
      <c r="CA597" s="91"/>
    </row>
    <row r="598" spans="1:1199" ht="50.1" customHeight="1" outlineLevel="2" x14ac:dyDescent="0.3">
      <c r="A598" s="106" t="s">
        <v>546</v>
      </c>
      <c r="B598" s="96" t="s">
        <v>551</v>
      </c>
      <c r="C598" s="79" t="s">
        <v>37</v>
      </c>
      <c r="D598" s="81">
        <f t="shared" si="142"/>
        <v>20889.504300000004</v>
      </c>
      <c r="E598" s="82">
        <f t="shared" si="135"/>
        <v>2321.6747</v>
      </c>
      <c r="F598" s="83">
        <f t="shared" si="134"/>
        <v>18567.829600000005</v>
      </c>
      <c r="G598" s="84"/>
      <c r="H598" s="85"/>
      <c r="I598" s="85"/>
      <c r="J598" s="84"/>
      <c r="K598" s="85"/>
      <c r="L598" s="85">
        <v>213.99860000000001</v>
      </c>
      <c r="M598" s="85"/>
      <c r="N598" s="85"/>
      <c r="O598" s="82"/>
      <c r="P598" s="83"/>
      <c r="Q598" s="83"/>
      <c r="R598" s="83"/>
      <c r="S598" s="82"/>
      <c r="T598" s="83"/>
      <c r="U598" s="83"/>
      <c r="V598" s="84">
        <v>121.48690000000001</v>
      </c>
      <c r="W598" s="85">
        <v>361.05</v>
      </c>
      <c r="X598" s="87"/>
      <c r="Y598" s="83">
        <v>421.2</v>
      </c>
      <c r="Z598" s="84"/>
      <c r="AA598" s="85"/>
      <c r="AB598" s="84"/>
      <c r="AC598" s="85"/>
      <c r="AD598" s="89">
        <f t="shared" si="141"/>
        <v>828.69977999999992</v>
      </c>
      <c r="AE598" s="89">
        <f>26.2845+233.0559+21.491</f>
        <v>280.83139999999997</v>
      </c>
      <c r="AF598" s="186">
        <f>253.10778+9.80649+182.89486+102.05925</f>
        <v>547.86838</v>
      </c>
      <c r="AG598" s="85"/>
      <c r="AH598" s="85"/>
      <c r="AI598" s="85"/>
      <c r="AJ598" s="84"/>
      <c r="AK598" s="85"/>
      <c r="AL598" s="84"/>
      <c r="AM598" s="88"/>
      <c r="AN598" s="84"/>
      <c r="AO598" s="85"/>
      <c r="AP598" s="84">
        <v>745.51223000000005</v>
      </c>
      <c r="AQ598" s="83">
        <v>1033.6587300000001</v>
      </c>
      <c r="AR598" s="83"/>
      <c r="AS598" s="83"/>
      <c r="AT598" s="85"/>
      <c r="AU598" s="85">
        <v>14000</v>
      </c>
      <c r="AV598" s="85">
        <v>60.396000000000001</v>
      </c>
      <c r="AW598" s="88"/>
      <c r="AX598" s="84"/>
      <c r="AY598" s="85"/>
      <c r="AZ598" s="84">
        <v>1249.0074</v>
      </c>
      <c r="BA598" s="85">
        <v>1131.07862</v>
      </c>
      <c r="BB598" s="88">
        <v>50.946669999999997</v>
      </c>
      <c r="BC598" s="85"/>
      <c r="BD598" s="84"/>
      <c r="BE598" s="88"/>
      <c r="BF598" s="85"/>
      <c r="BG598" s="85">
        <v>466.80119999999999</v>
      </c>
      <c r="BH598" s="85"/>
      <c r="BI598" s="85"/>
      <c r="BJ598" s="85"/>
      <c r="BK598" s="85"/>
      <c r="BL598" s="85"/>
      <c r="BM598" s="85"/>
      <c r="BN598" s="85"/>
      <c r="BO598" s="85"/>
      <c r="BP598" s="85"/>
      <c r="BQ598" s="85"/>
      <c r="BR598" s="84">
        <v>205.66817</v>
      </c>
      <c r="BS598" s="85"/>
      <c r="BT598" s="85"/>
      <c r="BU598" s="198"/>
      <c r="BV598" s="90"/>
      <c r="BW598" s="198"/>
      <c r="BX598" s="90"/>
      <c r="BY598" s="198"/>
      <c r="BZ598" s="90"/>
      <c r="CA598" s="91"/>
    </row>
    <row r="599" spans="1:1199" ht="50.1" customHeight="1" outlineLevel="2" x14ac:dyDescent="0.3">
      <c r="A599" s="106" t="s">
        <v>546</v>
      </c>
      <c r="B599" s="96" t="s">
        <v>552</v>
      </c>
      <c r="C599" s="79" t="s">
        <v>37</v>
      </c>
      <c r="D599" s="81">
        <f t="shared" si="142"/>
        <v>652.59100000000001</v>
      </c>
      <c r="E599" s="82">
        <f t="shared" si="135"/>
        <v>561.40661999999998</v>
      </c>
      <c r="F599" s="83">
        <f t="shared" si="134"/>
        <v>91.184380000000004</v>
      </c>
      <c r="G599" s="84"/>
      <c r="H599" s="85"/>
      <c r="I599" s="85"/>
      <c r="J599" s="84"/>
      <c r="K599" s="85"/>
      <c r="L599" s="85"/>
      <c r="M599" s="85"/>
      <c r="N599" s="85"/>
      <c r="O599" s="82"/>
      <c r="P599" s="83"/>
      <c r="Q599" s="83"/>
      <c r="R599" s="83"/>
      <c r="S599" s="82"/>
      <c r="T599" s="83"/>
      <c r="U599" s="83"/>
      <c r="V599" s="84">
        <v>4.4840200000000001</v>
      </c>
      <c r="W599" s="85">
        <v>7.52494</v>
      </c>
      <c r="X599" s="87"/>
      <c r="Y599" s="83">
        <v>23.4</v>
      </c>
      <c r="Z599" s="84"/>
      <c r="AA599" s="85"/>
      <c r="AB599" s="84"/>
      <c r="AC599" s="85"/>
      <c r="AD599" s="89">
        <f t="shared" si="141"/>
        <v>22.880199999999999</v>
      </c>
      <c r="AE599" s="89">
        <v>14.124599999999999</v>
      </c>
      <c r="AF599" s="186">
        <v>8.7555999999999994</v>
      </c>
      <c r="AG599" s="85"/>
      <c r="AH599" s="85"/>
      <c r="AI599" s="85"/>
      <c r="AJ599" s="84"/>
      <c r="AK599" s="85"/>
      <c r="AL599" s="84"/>
      <c r="AM599" s="88"/>
      <c r="AN599" s="84"/>
      <c r="AO599" s="85"/>
      <c r="AP599" s="84"/>
      <c r="AQ599" s="83"/>
      <c r="AR599" s="83"/>
      <c r="AS599" s="83"/>
      <c r="AT599" s="85"/>
      <c r="AU599" s="85"/>
      <c r="AV599" s="85"/>
      <c r="AW599" s="88"/>
      <c r="AX599" s="84"/>
      <c r="AY599" s="85"/>
      <c r="AZ599" s="84">
        <v>41.276490000000003</v>
      </c>
      <c r="BA599" s="85">
        <v>37.379240000000003</v>
      </c>
      <c r="BB599" s="88"/>
      <c r="BC599" s="85"/>
      <c r="BD599" s="84"/>
      <c r="BE599" s="88"/>
      <c r="BF599" s="85"/>
      <c r="BG599" s="85"/>
      <c r="BH599" s="85"/>
      <c r="BI599" s="85"/>
      <c r="BJ599" s="85"/>
      <c r="BK599" s="85"/>
      <c r="BL599" s="85"/>
      <c r="BM599" s="85"/>
      <c r="BN599" s="85"/>
      <c r="BO599" s="85"/>
      <c r="BP599" s="85"/>
      <c r="BQ599" s="85"/>
      <c r="BR599" s="84">
        <v>515.64611000000002</v>
      </c>
      <c r="BS599" s="85"/>
      <c r="BT599" s="85"/>
      <c r="BU599" s="198"/>
      <c r="BV599" s="90"/>
      <c r="BW599" s="198"/>
      <c r="BX599" s="90"/>
      <c r="BY599" s="198"/>
      <c r="BZ599" s="90"/>
      <c r="CA599" s="91"/>
    </row>
    <row r="600" spans="1:1199" ht="50.1" customHeight="1" outlineLevel="2" x14ac:dyDescent="0.3">
      <c r="A600" s="103" t="s">
        <v>546</v>
      </c>
      <c r="B600" s="96" t="s">
        <v>553</v>
      </c>
      <c r="C600" s="79" t="s">
        <v>37</v>
      </c>
      <c r="D600" s="81">
        <f t="shared" si="142"/>
        <v>26586.021960000005</v>
      </c>
      <c r="E600" s="82">
        <f t="shared" si="135"/>
        <v>11515.33569</v>
      </c>
      <c r="F600" s="83">
        <f t="shared" si="134"/>
        <v>15070.686270000004</v>
      </c>
      <c r="G600" s="84"/>
      <c r="H600" s="85"/>
      <c r="I600" s="85"/>
      <c r="J600" s="84">
        <f>20.01965+19.57697</f>
        <v>39.596620000000001</v>
      </c>
      <c r="K600" s="85">
        <f>7.74955+7.57816</f>
        <v>15.32771</v>
      </c>
      <c r="L600" s="85">
        <v>994.06338000000005</v>
      </c>
      <c r="M600" s="85"/>
      <c r="N600" s="85"/>
      <c r="O600" s="82"/>
      <c r="P600" s="83"/>
      <c r="Q600" s="83">
        <v>1588.3591100000001</v>
      </c>
      <c r="R600" s="83"/>
      <c r="S600" s="82"/>
      <c r="T600" s="83"/>
      <c r="U600" s="83"/>
      <c r="V600" s="84">
        <v>149.56200000000001</v>
      </c>
      <c r="W600" s="85">
        <v>261</v>
      </c>
      <c r="X600" s="87"/>
      <c r="Y600" s="83">
        <v>191.256</v>
      </c>
      <c r="Z600" s="84"/>
      <c r="AA600" s="85"/>
      <c r="AB600" s="84"/>
      <c r="AC600" s="85"/>
      <c r="AD600" s="89">
        <f t="shared" si="141"/>
        <v>839.2952600000001</v>
      </c>
      <c r="AE600" s="89">
        <v>103.1568</v>
      </c>
      <c r="AF600" s="186">
        <f>421.84631+45.76366+149.81813+118.71036</f>
        <v>736.13846000000012</v>
      </c>
      <c r="AG600" s="85"/>
      <c r="AH600" s="85"/>
      <c r="AI600" s="85"/>
      <c r="AJ600" s="84">
        <v>5390.9396800000004</v>
      </c>
      <c r="AK600" s="85">
        <v>1475.6</v>
      </c>
      <c r="AL600" s="84"/>
      <c r="AM600" s="88"/>
      <c r="AN600" s="84"/>
      <c r="AO600" s="85"/>
      <c r="AP600" s="84">
        <v>2518.3574899999999</v>
      </c>
      <c r="AQ600" s="83">
        <v>6350.5582899999999</v>
      </c>
      <c r="AR600" s="83"/>
      <c r="AS600" s="83"/>
      <c r="AT600" s="85"/>
      <c r="AU600" s="85"/>
      <c r="AV600" s="85"/>
      <c r="AW600" s="88"/>
      <c r="AX600" s="84"/>
      <c r="AY600" s="85"/>
      <c r="AZ600" s="84">
        <v>2062.4915099999998</v>
      </c>
      <c r="BA600" s="85">
        <v>1867.7525700000001</v>
      </c>
      <c r="BB600" s="88">
        <v>93.976140000000001</v>
      </c>
      <c r="BC600" s="85"/>
      <c r="BD600" s="84"/>
      <c r="BE600" s="88"/>
      <c r="BF600" s="85"/>
      <c r="BG600" s="85">
        <v>594.60086000000001</v>
      </c>
      <c r="BH600" s="85"/>
      <c r="BI600" s="85"/>
      <c r="BJ600" s="85"/>
      <c r="BK600" s="85">
        <v>513.82529999999997</v>
      </c>
      <c r="BL600" s="85"/>
      <c r="BM600" s="85"/>
      <c r="BN600" s="85"/>
      <c r="BO600" s="85"/>
      <c r="BP600" s="85"/>
      <c r="BQ600" s="85"/>
      <c r="BR600" s="84">
        <v>1354.3883900000001</v>
      </c>
      <c r="BS600" s="85"/>
      <c r="BT600" s="85">
        <v>285.07164999999998</v>
      </c>
      <c r="BU600" s="198"/>
      <c r="BV600" s="90"/>
      <c r="BW600" s="198"/>
      <c r="BX600" s="90"/>
      <c r="BY600" s="198"/>
      <c r="BZ600" s="90"/>
      <c r="CA600" s="91"/>
    </row>
    <row r="601" spans="1:1199" ht="50.1" customHeight="1" outlineLevel="2" x14ac:dyDescent="0.3">
      <c r="A601" s="103" t="s">
        <v>546</v>
      </c>
      <c r="B601" s="96" t="s">
        <v>554</v>
      </c>
      <c r="C601" s="130" t="s">
        <v>37</v>
      </c>
      <c r="D601" s="81">
        <f t="shared" si="142"/>
        <v>18487.306430000001</v>
      </c>
      <c r="E601" s="82">
        <f t="shared" si="135"/>
        <v>8758.0587500000001</v>
      </c>
      <c r="F601" s="83">
        <f t="shared" si="134"/>
        <v>9729.2476800000004</v>
      </c>
      <c r="G601" s="84"/>
      <c r="H601" s="85"/>
      <c r="I601" s="83">
        <v>277.09620000000001</v>
      </c>
      <c r="J601" s="84">
        <v>261.20972</v>
      </c>
      <c r="K601" s="85">
        <v>84.136679999999998</v>
      </c>
      <c r="L601" s="85">
        <v>432.21325000000002</v>
      </c>
      <c r="M601" s="85"/>
      <c r="N601" s="85"/>
      <c r="O601" s="82"/>
      <c r="P601" s="83"/>
      <c r="Q601" s="83"/>
      <c r="R601" s="83"/>
      <c r="S601" s="82"/>
      <c r="T601" s="83"/>
      <c r="U601" s="83"/>
      <c r="V601" s="84">
        <v>60.327800000000003</v>
      </c>
      <c r="W601" s="85">
        <v>211.8</v>
      </c>
      <c r="X601" s="87"/>
      <c r="Y601" s="83"/>
      <c r="Z601" s="84"/>
      <c r="AA601" s="85"/>
      <c r="AB601" s="84"/>
      <c r="AC601" s="85"/>
      <c r="AD601" s="89">
        <f t="shared" si="141"/>
        <v>3201.82197</v>
      </c>
      <c r="AE601" s="89">
        <f>78.8535+423.738</f>
        <v>502.5915</v>
      </c>
      <c r="AF601" s="186">
        <f>219.36008+271.31314+646.758+903.231+658.56825</f>
        <v>2699.23047</v>
      </c>
      <c r="AG601" s="85"/>
      <c r="AH601" s="85"/>
      <c r="AI601" s="85"/>
      <c r="AJ601" s="84">
        <v>4999.6617999999999</v>
      </c>
      <c r="AK601" s="85">
        <v>1368.5</v>
      </c>
      <c r="AL601" s="84"/>
      <c r="AM601" s="88"/>
      <c r="AN601" s="84"/>
      <c r="AO601" s="85"/>
      <c r="AP601" s="84">
        <v>2011.60402</v>
      </c>
      <c r="AQ601" s="83">
        <v>2354.3742999999999</v>
      </c>
      <c r="AR601" s="83"/>
      <c r="AS601" s="83"/>
      <c r="AT601" s="85"/>
      <c r="AU601" s="85"/>
      <c r="AV601" s="85"/>
      <c r="AW601" s="88"/>
      <c r="AX601" s="84"/>
      <c r="AY601" s="85"/>
      <c r="AZ601" s="84">
        <v>1425.25541</v>
      </c>
      <c r="BA601" s="85">
        <v>1290.68309</v>
      </c>
      <c r="BB601" s="88">
        <v>84.416129999999995</v>
      </c>
      <c r="BC601" s="85"/>
      <c r="BD601" s="84"/>
      <c r="BE601" s="88"/>
      <c r="BF601" s="85"/>
      <c r="BG601" s="85"/>
      <c r="BH601" s="85"/>
      <c r="BI601" s="85"/>
      <c r="BJ601" s="85"/>
      <c r="BK601" s="85">
        <v>341.20605999999998</v>
      </c>
      <c r="BL601" s="85"/>
      <c r="BM601" s="85"/>
      <c r="BN601" s="85"/>
      <c r="BO601" s="85"/>
      <c r="BP601" s="85"/>
      <c r="BQ601" s="85"/>
      <c r="BR601" s="84"/>
      <c r="BS601" s="85"/>
      <c r="BT601" s="85">
        <v>83</v>
      </c>
      <c r="BU601" s="198"/>
      <c r="BV601" s="90"/>
      <c r="BW601" s="198"/>
      <c r="BX601" s="90"/>
      <c r="BY601" s="198"/>
      <c r="BZ601" s="90"/>
      <c r="CA601" s="91"/>
    </row>
    <row r="602" spans="1:1199" ht="50.1" customHeight="1" outlineLevel="2" x14ac:dyDescent="0.3">
      <c r="A602" s="103" t="s">
        <v>546</v>
      </c>
      <c r="B602" s="96" t="s">
        <v>555</v>
      </c>
      <c r="C602" s="79" t="s">
        <v>37</v>
      </c>
      <c r="D602" s="81">
        <f t="shared" si="142"/>
        <v>17703.050459999999</v>
      </c>
      <c r="E602" s="82">
        <f t="shared" si="135"/>
        <v>2146.54855</v>
      </c>
      <c r="F602" s="83">
        <f t="shared" si="134"/>
        <v>15556.501909999999</v>
      </c>
      <c r="G602" s="84"/>
      <c r="H602" s="85"/>
      <c r="I602" s="85"/>
      <c r="J602" s="86">
        <f>0.2308+159.87763+0.17681+0.02195+19.20657</f>
        <v>179.51375999999999</v>
      </c>
      <c r="K602" s="85">
        <f>58.13732+7.20246</f>
        <v>65.339780000000005</v>
      </c>
      <c r="L602" s="85">
        <v>1513.2392500000001</v>
      </c>
      <c r="M602" s="85"/>
      <c r="N602" s="85"/>
      <c r="O602" s="82"/>
      <c r="P602" s="83"/>
      <c r="Q602" s="83">
        <v>256.85883999999999</v>
      </c>
      <c r="R602" s="83"/>
      <c r="S602" s="82"/>
      <c r="T602" s="83"/>
      <c r="U602" s="83"/>
      <c r="V602" s="84">
        <v>96.732619999999997</v>
      </c>
      <c r="W602" s="85">
        <v>254.05799999999999</v>
      </c>
      <c r="X602" s="87"/>
      <c r="Y602" s="83">
        <v>187.2</v>
      </c>
      <c r="Z602" s="84"/>
      <c r="AA602" s="85"/>
      <c r="AB602" s="84"/>
      <c r="AC602" s="85"/>
      <c r="AD602" s="89">
        <f t="shared" si="141"/>
        <v>433.91535999999996</v>
      </c>
      <c r="AE602" s="89">
        <f>26.2845+105.9345+21.491</f>
        <v>153.70999999999998</v>
      </c>
      <c r="AF602" s="186">
        <f>151.86467+39.226+61.28924+27.82545</f>
        <v>280.20535999999998</v>
      </c>
      <c r="AG602" s="85"/>
      <c r="AH602" s="85"/>
      <c r="AI602" s="85"/>
      <c r="AJ602" s="84"/>
      <c r="AK602" s="85"/>
      <c r="AL602" s="84"/>
      <c r="AM602" s="88"/>
      <c r="AN602" s="84"/>
      <c r="AO602" s="85"/>
      <c r="AP602" s="84">
        <v>897.32708000000002</v>
      </c>
      <c r="AQ602" s="83">
        <v>1209.52883</v>
      </c>
      <c r="AR602" s="83"/>
      <c r="AS602" s="83"/>
      <c r="AT602" s="85"/>
      <c r="AU602" s="85">
        <v>9380</v>
      </c>
      <c r="AV602" s="94">
        <v>796.56224999999995</v>
      </c>
      <c r="AW602" s="88"/>
      <c r="AX602" s="84"/>
      <c r="AY602" s="85"/>
      <c r="AZ602" s="84">
        <v>972.97509000000002</v>
      </c>
      <c r="BA602" s="85">
        <v>881.10717999999997</v>
      </c>
      <c r="BB602" s="88">
        <v>50.434550000000002</v>
      </c>
      <c r="BC602" s="85"/>
      <c r="BD602" s="84"/>
      <c r="BE602" s="88"/>
      <c r="BF602" s="85"/>
      <c r="BG602" s="85"/>
      <c r="BH602" s="85"/>
      <c r="BI602" s="85"/>
      <c r="BJ602" s="85"/>
      <c r="BK602" s="85"/>
      <c r="BL602" s="85"/>
      <c r="BM602" s="85"/>
      <c r="BN602" s="85"/>
      <c r="BO602" s="85"/>
      <c r="BP602" s="85"/>
      <c r="BQ602" s="85"/>
      <c r="BR602" s="84"/>
      <c r="BS602" s="85"/>
      <c r="BT602" s="85">
        <v>528.25787000000003</v>
      </c>
      <c r="BU602" s="198"/>
      <c r="BV602" s="90"/>
      <c r="BW602" s="198"/>
      <c r="BX602" s="90"/>
      <c r="BY602" s="198"/>
      <c r="BZ602" s="90"/>
      <c r="CA602" s="91"/>
    </row>
    <row r="603" spans="1:1199" ht="50.1" customHeight="1" outlineLevel="2" x14ac:dyDescent="0.3">
      <c r="A603" s="106" t="s">
        <v>546</v>
      </c>
      <c r="B603" s="96" t="s">
        <v>556</v>
      </c>
      <c r="C603" s="79" t="s">
        <v>55</v>
      </c>
      <c r="D603" s="81">
        <f t="shared" si="142"/>
        <v>1750.7550800000001</v>
      </c>
      <c r="E603" s="82">
        <f t="shared" si="135"/>
        <v>1435.1974500000001</v>
      </c>
      <c r="F603" s="83">
        <f t="shared" si="134"/>
        <v>315.55762999999996</v>
      </c>
      <c r="G603" s="84"/>
      <c r="H603" s="85"/>
      <c r="I603" s="85"/>
      <c r="J603" s="84">
        <v>241.77243000000001</v>
      </c>
      <c r="K603" s="85">
        <v>74.137079999999997</v>
      </c>
      <c r="L603" s="85"/>
      <c r="M603" s="85"/>
      <c r="N603" s="85"/>
      <c r="O603" s="82"/>
      <c r="P603" s="83"/>
      <c r="Q603" s="83"/>
      <c r="R603" s="83"/>
      <c r="S603" s="82"/>
      <c r="T603" s="83"/>
      <c r="U603" s="83"/>
      <c r="V603" s="84"/>
      <c r="W603" s="85"/>
      <c r="X603" s="87"/>
      <c r="Y603" s="83">
        <v>66.3</v>
      </c>
      <c r="Z603" s="84"/>
      <c r="AA603" s="85"/>
      <c r="AB603" s="84"/>
      <c r="AC603" s="85"/>
      <c r="AD603" s="89">
        <f t="shared" si="141"/>
        <v>60.605470000000004</v>
      </c>
      <c r="AE603" s="89">
        <v>35.311500000000002</v>
      </c>
      <c r="AF603" s="186">
        <v>25.293970000000002</v>
      </c>
      <c r="AG603" s="85"/>
      <c r="AH603" s="85"/>
      <c r="AI603" s="85"/>
      <c r="AJ603" s="84"/>
      <c r="AK603" s="85"/>
      <c r="AL603" s="84"/>
      <c r="AM603" s="88"/>
      <c r="AN603" s="84"/>
      <c r="AO603" s="85"/>
      <c r="AP603" s="84"/>
      <c r="AQ603" s="83"/>
      <c r="AR603" s="83"/>
      <c r="AS603" s="83"/>
      <c r="AT603" s="85"/>
      <c r="AU603" s="85"/>
      <c r="AV603" s="85"/>
      <c r="AW603" s="88"/>
      <c r="AX603" s="84"/>
      <c r="AY603" s="85"/>
      <c r="AZ603" s="84">
        <v>126.45474</v>
      </c>
      <c r="BA603" s="85">
        <v>114.51508</v>
      </c>
      <c r="BB603" s="88"/>
      <c r="BC603" s="85"/>
      <c r="BD603" s="84"/>
      <c r="BE603" s="88"/>
      <c r="BF603" s="85"/>
      <c r="BG603" s="85"/>
      <c r="BH603" s="85"/>
      <c r="BI603" s="85"/>
      <c r="BJ603" s="85"/>
      <c r="BK603" s="85"/>
      <c r="BL603" s="85"/>
      <c r="BM603" s="85"/>
      <c r="BN603" s="85"/>
      <c r="BO603" s="85"/>
      <c r="BP603" s="85"/>
      <c r="BQ603" s="85"/>
      <c r="BR603" s="84">
        <v>1066.97028</v>
      </c>
      <c r="BS603" s="85"/>
      <c r="BT603" s="85"/>
      <c r="BU603" s="198"/>
      <c r="BV603" s="90"/>
      <c r="BW603" s="198"/>
      <c r="BX603" s="90"/>
      <c r="BY603" s="198"/>
      <c r="BZ603" s="90"/>
      <c r="CA603" s="91"/>
    </row>
    <row r="604" spans="1:1199" ht="50.1" customHeight="1" outlineLevel="2" x14ac:dyDescent="0.3">
      <c r="A604" s="106" t="s">
        <v>546</v>
      </c>
      <c r="B604" s="96" t="s">
        <v>557</v>
      </c>
      <c r="C604" s="79" t="s">
        <v>55</v>
      </c>
      <c r="D604" s="81">
        <f t="shared" si="142"/>
        <v>2436.27961</v>
      </c>
      <c r="E604" s="82">
        <f t="shared" si="135"/>
        <v>1688.2401500000001</v>
      </c>
      <c r="F604" s="83">
        <f t="shared" si="134"/>
        <v>748.03945999999996</v>
      </c>
      <c r="G604" s="84"/>
      <c r="H604" s="85"/>
      <c r="I604" s="85"/>
      <c r="J604" s="84"/>
      <c r="K604" s="85"/>
      <c r="L604" s="85"/>
      <c r="M604" s="85"/>
      <c r="N604" s="85"/>
      <c r="O604" s="82"/>
      <c r="P604" s="83"/>
      <c r="Q604" s="83"/>
      <c r="R604" s="83"/>
      <c r="S604" s="82"/>
      <c r="T604" s="83"/>
      <c r="U604" s="83"/>
      <c r="V604" s="84"/>
      <c r="W604" s="85"/>
      <c r="X604" s="87"/>
      <c r="Y604" s="83">
        <v>159.744</v>
      </c>
      <c r="Z604" s="84"/>
      <c r="AA604" s="85"/>
      <c r="AB604" s="84"/>
      <c r="AC604" s="85"/>
      <c r="AD604" s="89">
        <f t="shared" si="141"/>
        <v>133.56581</v>
      </c>
      <c r="AE604" s="89">
        <v>77.685299999999998</v>
      </c>
      <c r="AF604" s="186">
        <f>13.07533+42.80518</f>
        <v>55.880510000000001</v>
      </c>
      <c r="AG604" s="85"/>
      <c r="AH604" s="85"/>
      <c r="AI604" s="85"/>
      <c r="AJ604" s="84"/>
      <c r="AK604" s="85"/>
      <c r="AL604" s="84"/>
      <c r="AM604" s="88"/>
      <c r="AN604" s="84"/>
      <c r="AO604" s="85"/>
      <c r="AP604" s="84"/>
      <c r="AQ604" s="83"/>
      <c r="AR604" s="83"/>
      <c r="AS604" s="83"/>
      <c r="AT604" s="85"/>
      <c r="AU604" s="85"/>
      <c r="AV604" s="85"/>
      <c r="AW604" s="88"/>
      <c r="AX604" s="84"/>
      <c r="AY604" s="85"/>
      <c r="AZ604" s="84">
        <v>413.30281000000002</v>
      </c>
      <c r="BA604" s="85">
        <v>374.27904999999998</v>
      </c>
      <c r="BB604" s="88">
        <v>80.450599999999994</v>
      </c>
      <c r="BC604" s="85"/>
      <c r="BD604" s="84"/>
      <c r="BE604" s="88"/>
      <c r="BF604" s="85"/>
      <c r="BG604" s="85"/>
      <c r="BH604" s="85"/>
      <c r="BI604" s="85"/>
      <c r="BJ604" s="85"/>
      <c r="BK604" s="85"/>
      <c r="BL604" s="85"/>
      <c r="BM604" s="85"/>
      <c r="BN604" s="85"/>
      <c r="BO604" s="85"/>
      <c r="BP604" s="85"/>
      <c r="BQ604" s="85"/>
      <c r="BR604" s="84">
        <v>1274.9373399999999</v>
      </c>
      <c r="BS604" s="85"/>
      <c r="BT604" s="85"/>
      <c r="BU604" s="198"/>
      <c r="BV604" s="90"/>
      <c r="BW604" s="198"/>
      <c r="BX604" s="90"/>
      <c r="BY604" s="198"/>
      <c r="BZ604" s="90"/>
      <c r="CA604" s="91"/>
    </row>
    <row r="605" spans="1:1199" ht="50.1" customHeight="1" outlineLevel="2" x14ac:dyDescent="0.3">
      <c r="A605" s="106" t="s">
        <v>546</v>
      </c>
      <c r="B605" s="96" t="s">
        <v>558</v>
      </c>
      <c r="C605" s="79" t="s">
        <v>55</v>
      </c>
      <c r="D605" s="81">
        <f t="shared" si="142"/>
        <v>159.14123999999998</v>
      </c>
      <c r="E605" s="82">
        <f t="shared" si="135"/>
        <v>55.13438</v>
      </c>
      <c r="F605" s="83">
        <f t="shared" si="134"/>
        <v>104.00685999999999</v>
      </c>
      <c r="G605" s="84"/>
      <c r="H605" s="85"/>
      <c r="I605" s="85"/>
      <c r="J605" s="84"/>
      <c r="K605" s="85"/>
      <c r="L605" s="85"/>
      <c r="M605" s="85"/>
      <c r="N605" s="85"/>
      <c r="O605" s="82"/>
      <c r="P605" s="83"/>
      <c r="Q605" s="83"/>
      <c r="R605" s="83"/>
      <c r="S605" s="82"/>
      <c r="T605" s="83"/>
      <c r="U605" s="83"/>
      <c r="V605" s="84">
        <v>9.2780000000000005</v>
      </c>
      <c r="W605" s="85">
        <v>16.2</v>
      </c>
      <c r="X605" s="87"/>
      <c r="Y605" s="83">
        <v>23.4</v>
      </c>
      <c r="Z605" s="84"/>
      <c r="AA605" s="85"/>
      <c r="AB605" s="84"/>
      <c r="AC605" s="85"/>
      <c r="AD605" s="89">
        <f t="shared" si="141"/>
        <v>22.880199999999999</v>
      </c>
      <c r="AE605" s="89">
        <v>14.124599999999999</v>
      </c>
      <c r="AF605" s="186">
        <v>8.7555999999999994</v>
      </c>
      <c r="AG605" s="85"/>
      <c r="AH605" s="85"/>
      <c r="AI605" s="85"/>
      <c r="AJ605" s="84"/>
      <c r="AK605" s="85"/>
      <c r="AL605" s="84"/>
      <c r="AM605" s="88"/>
      <c r="AN605" s="84"/>
      <c r="AO605" s="85"/>
      <c r="AP605" s="84"/>
      <c r="AQ605" s="83"/>
      <c r="AR605" s="83"/>
      <c r="AS605" s="83"/>
      <c r="AT605" s="85"/>
      <c r="AU605" s="85"/>
      <c r="AV605" s="85"/>
      <c r="AW605" s="88"/>
      <c r="AX605" s="84"/>
      <c r="AY605" s="85"/>
      <c r="AZ605" s="84">
        <v>45.856380000000001</v>
      </c>
      <c r="BA605" s="85">
        <v>41.52666</v>
      </c>
      <c r="BB605" s="88"/>
      <c r="BC605" s="85"/>
      <c r="BD605" s="84"/>
      <c r="BE605" s="88"/>
      <c r="BF605" s="85"/>
      <c r="BG605" s="85"/>
      <c r="BH605" s="85"/>
      <c r="BI605" s="85"/>
      <c r="BJ605" s="85"/>
      <c r="BK605" s="85"/>
      <c r="BL605" s="85"/>
      <c r="BM605" s="85"/>
      <c r="BN605" s="85"/>
      <c r="BO605" s="85"/>
      <c r="BP605" s="85"/>
      <c r="BQ605" s="85"/>
      <c r="BR605" s="84"/>
      <c r="BS605" s="85"/>
      <c r="BT605" s="85"/>
      <c r="BU605" s="198"/>
      <c r="BV605" s="90"/>
      <c r="BW605" s="198"/>
      <c r="BX605" s="90"/>
      <c r="BY605" s="198"/>
      <c r="BZ605" s="90"/>
      <c r="CA605" s="91"/>
    </row>
    <row r="606" spans="1:1199" ht="50.1" customHeight="1" outlineLevel="2" x14ac:dyDescent="0.3">
      <c r="A606" s="103" t="s">
        <v>546</v>
      </c>
      <c r="B606" s="96" t="s">
        <v>559</v>
      </c>
      <c r="C606" s="79" t="s">
        <v>53</v>
      </c>
      <c r="D606" s="81">
        <f t="shared" si="142"/>
        <v>96.467849999999999</v>
      </c>
      <c r="E606" s="82">
        <f t="shared" si="135"/>
        <v>39.981439999999999</v>
      </c>
      <c r="F606" s="83">
        <f t="shared" si="134"/>
        <v>56.486409999999999</v>
      </c>
      <c r="G606" s="84"/>
      <c r="H606" s="85"/>
      <c r="I606" s="85"/>
      <c r="J606" s="84"/>
      <c r="K606" s="85"/>
      <c r="L606" s="85"/>
      <c r="M606" s="85"/>
      <c r="N606" s="85"/>
      <c r="O606" s="82"/>
      <c r="P606" s="83"/>
      <c r="Q606" s="83"/>
      <c r="R606" s="83"/>
      <c r="S606" s="82"/>
      <c r="T606" s="83"/>
      <c r="U606" s="83"/>
      <c r="V606" s="84"/>
      <c r="W606" s="85"/>
      <c r="X606" s="87"/>
      <c r="Y606" s="83">
        <v>20.28</v>
      </c>
      <c r="Z606" s="84"/>
      <c r="AA606" s="85"/>
      <c r="AB606" s="84"/>
      <c r="AC606" s="85"/>
      <c r="AD606" s="89">
        <f t="shared" si="141"/>
        <v>0</v>
      </c>
      <c r="AE606" s="89"/>
      <c r="AF606" s="186"/>
      <c r="AG606" s="85"/>
      <c r="AH606" s="85"/>
      <c r="AI606" s="85"/>
      <c r="AJ606" s="84"/>
      <c r="AK606" s="85"/>
      <c r="AL606" s="84"/>
      <c r="AM606" s="88"/>
      <c r="AN606" s="84"/>
      <c r="AO606" s="85"/>
      <c r="AP606" s="84"/>
      <c r="AQ606" s="83"/>
      <c r="AR606" s="83"/>
      <c r="AS606" s="83"/>
      <c r="AT606" s="85"/>
      <c r="AU606" s="85"/>
      <c r="AV606" s="85"/>
      <c r="AW606" s="88"/>
      <c r="AX606" s="84"/>
      <c r="AY606" s="85"/>
      <c r="AZ606" s="84">
        <v>39.981439999999999</v>
      </c>
      <c r="BA606" s="85">
        <v>36.206409999999998</v>
      </c>
      <c r="BB606" s="88"/>
      <c r="BC606" s="85"/>
      <c r="BD606" s="84"/>
      <c r="BE606" s="88"/>
      <c r="BF606" s="85"/>
      <c r="BG606" s="85"/>
      <c r="BH606" s="85"/>
      <c r="BI606" s="85"/>
      <c r="BJ606" s="85"/>
      <c r="BK606" s="85"/>
      <c r="BL606" s="85"/>
      <c r="BM606" s="85"/>
      <c r="BN606" s="85"/>
      <c r="BO606" s="85"/>
      <c r="BP606" s="85"/>
      <c r="BQ606" s="85"/>
      <c r="BR606" s="84"/>
      <c r="BS606" s="85"/>
      <c r="BT606" s="85"/>
      <c r="BU606" s="198"/>
      <c r="BV606" s="90"/>
      <c r="BW606" s="198"/>
      <c r="BX606" s="90"/>
      <c r="BY606" s="198"/>
      <c r="BZ606" s="90"/>
      <c r="CA606" s="91"/>
    </row>
    <row r="607" spans="1:1199" ht="50.1" customHeight="1" outlineLevel="2" x14ac:dyDescent="0.3">
      <c r="A607" s="103" t="s">
        <v>546</v>
      </c>
      <c r="B607" s="96" t="s">
        <v>560</v>
      </c>
      <c r="C607" s="79" t="s">
        <v>55</v>
      </c>
      <c r="D607" s="81">
        <f t="shared" si="142"/>
        <v>577.56943000000001</v>
      </c>
      <c r="E607" s="82">
        <f t="shared" si="135"/>
        <v>231.87116</v>
      </c>
      <c r="F607" s="83">
        <f t="shared" si="134"/>
        <v>345.69826999999998</v>
      </c>
      <c r="G607" s="84"/>
      <c r="H607" s="85"/>
      <c r="I607" s="85"/>
      <c r="J607" s="84"/>
      <c r="K607" s="85"/>
      <c r="L607" s="85"/>
      <c r="M607" s="85"/>
      <c r="N607" s="85"/>
      <c r="O607" s="82"/>
      <c r="P607" s="83"/>
      <c r="Q607" s="83"/>
      <c r="R607" s="83"/>
      <c r="S607" s="82"/>
      <c r="T607" s="83"/>
      <c r="U607" s="83"/>
      <c r="V607" s="84"/>
      <c r="W607" s="85"/>
      <c r="X607" s="87"/>
      <c r="Y607" s="83">
        <v>135.72</v>
      </c>
      <c r="Z607" s="84"/>
      <c r="AA607" s="85"/>
      <c r="AB607" s="84"/>
      <c r="AC607" s="85"/>
      <c r="AD607" s="89">
        <f t="shared" si="141"/>
        <v>0</v>
      </c>
      <c r="AE607" s="89"/>
      <c r="AF607" s="186"/>
      <c r="AG607" s="85"/>
      <c r="AH607" s="85"/>
      <c r="AI607" s="85"/>
      <c r="AJ607" s="84"/>
      <c r="AK607" s="85"/>
      <c r="AL607" s="84"/>
      <c r="AM607" s="88"/>
      <c r="AN607" s="84"/>
      <c r="AO607" s="85"/>
      <c r="AP607" s="84"/>
      <c r="AQ607" s="83"/>
      <c r="AR607" s="83"/>
      <c r="AS607" s="83"/>
      <c r="AT607" s="85"/>
      <c r="AU607" s="85"/>
      <c r="AV607" s="85"/>
      <c r="AW607" s="88"/>
      <c r="AX607" s="84"/>
      <c r="AY607" s="85"/>
      <c r="AZ607" s="84">
        <v>231.87116</v>
      </c>
      <c r="BA607" s="85">
        <v>209.97827000000001</v>
      </c>
      <c r="BB607" s="88"/>
      <c r="BC607" s="85"/>
      <c r="BD607" s="84"/>
      <c r="BE607" s="88"/>
      <c r="BF607" s="85"/>
      <c r="BG607" s="85"/>
      <c r="BH607" s="85"/>
      <c r="BI607" s="85"/>
      <c r="BJ607" s="85"/>
      <c r="BK607" s="85"/>
      <c r="BL607" s="85"/>
      <c r="BM607" s="85"/>
      <c r="BN607" s="85"/>
      <c r="BO607" s="85"/>
      <c r="BP607" s="85"/>
      <c r="BQ607" s="85"/>
      <c r="BR607" s="84"/>
      <c r="BS607" s="85"/>
      <c r="BT607" s="85"/>
      <c r="BU607" s="198"/>
      <c r="BV607" s="90"/>
      <c r="BW607" s="198"/>
      <c r="BX607" s="90"/>
      <c r="BY607" s="198"/>
      <c r="BZ607" s="90"/>
      <c r="CA607" s="91"/>
    </row>
    <row r="608" spans="1:1199" ht="50.1" customHeight="1" outlineLevel="2" x14ac:dyDescent="0.3">
      <c r="A608" s="103" t="s">
        <v>546</v>
      </c>
      <c r="B608" s="96" t="s">
        <v>561</v>
      </c>
      <c r="C608" s="79" t="s">
        <v>55</v>
      </c>
      <c r="D608" s="81">
        <f t="shared" si="142"/>
        <v>792.81252999999992</v>
      </c>
      <c r="E608" s="82">
        <f t="shared" si="135"/>
        <v>661.15170999999998</v>
      </c>
      <c r="F608" s="83">
        <f t="shared" si="134"/>
        <v>131.66082</v>
      </c>
      <c r="G608" s="84"/>
      <c r="H608" s="85"/>
      <c r="I608" s="85"/>
      <c r="J608" s="84"/>
      <c r="K608" s="85"/>
      <c r="L608" s="85"/>
      <c r="M608" s="85"/>
      <c r="N608" s="85"/>
      <c r="O608" s="82"/>
      <c r="P608" s="83"/>
      <c r="Q608" s="83"/>
      <c r="R608" s="83"/>
      <c r="S608" s="82"/>
      <c r="T608" s="83"/>
      <c r="U608" s="83"/>
      <c r="V608" s="84"/>
      <c r="W608" s="85"/>
      <c r="X608" s="87"/>
      <c r="Y608" s="83">
        <v>28.158000000000001</v>
      </c>
      <c r="Z608" s="84"/>
      <c r="AA608" s="85"/>
      <c r="AB608" s="84"/>
      <c r="AC608" s="85"/>
      <c r="AD608" s="89">
        <f t="shared" si="141"/>
        <v>0</v>
      </c>
      <c r="AE608" s="89"/>
      <c r="AF608" s="186"/>
      <c r="AG608" s="85"/>
      <c r="AH608" s="85"/>
      <c r="AI608" s="85"/>
      <c r="AJ608" s="84"/>
      <c r="AK608" s="85"/>
      <c r="AL608" s="84"/>
      <c r="AM608" s="88"/>
      <c r="AN608" s="84"/>
      <c r="AO608" s="85"/>
      <c r="AP608" s="84">
        <v>30.091460000000001</v>
      </c>
      <c r="AQ608" s="83">
        <v>72.678579999999997</v>
      </c>
      <c r="AR608" s="83"/>
      <c r="AS608" s="83"/>
      <c r="AT608" s="85"/>
      <c r="AU608" s="85"/>
      <c r="AV608" s="85"/>
      <c r="AW608" s="88"/>
      <c r="AX608" s="84"/>
      <c r="AY608" s="85"/>
      <c r="AZ608" s="84">
        <v>34.038049999999998</v>
      </c>
      <c r="BA608" s="85">
        <v>30.82424</v>
      </c>
      <c r="BB608" s="88"/>
      <c r="BC608" s="85"/>
      <c r="BD608" s="84"/>
      <c r="BE608" s="88"/>
      <c r="BF608" s="85"/>
      <c r="BG608" s="85"/>
      <c r="BH608" s="85"/>
      <c r="BI608" s="85"/>
      <c r="BJ608" s="85"/>
      <c r="BK608" s="85"/>
      <c r="BL608" s="85"/>
      <c r="BM608" s="85"/>
      <c r="BN608" s="85"/>
      <c r="BO608" s="85"/>
      <c r="BP608" s="85"/>
      <c r="BQ608" s="85"/>
      <c r="BR608" s="84">
        <v>597.0222</v>
      </c>
      <c r="BS608" s="85"/>
      <c r="BT608" s="85"/>
      <c r="BU608" s="198"/>
      <c r="BV608" s="90"/>
      <c r="BW608" s="198"/>
      <c r="BX608" s="90"/>
      <c r="BY608" s="198"/>
      <c r="BZ608" s="90"/>
      <c r="CA608" s="91"/>
    </row>
    <row r="609" spans="1:79" ht="50.1" customHeight="1" outlineLevel="2" x14ac:dyDescent="0.3">
      <c r="A609" s="103" t="s">
        <v>546</v>
      </c>
      <c r="B609" s="96" t="s">
        <v>1189</v>
      </c>
      <c r="C609" s="79" t="s">
        <v>55</v>
      </c>
      <c r="D609" s="81">
        <f t="shared" si="142"/>
        <v>2835</v>
      </c>
      <c r="E609" s="82">
        <f t="shared" si="135"/>
        <v>859.62855000000002</v>
      </c>
      <c r="F609" s="83">
        <f t="shared" si="134"/>
        <v>1975.3714500000001</v>
      </c>
      <c r="G609" s="84"/>
      <c r="H609" s="85"/>
      <c r="I609" s="85"/>
      <c r="J609" s="84"/>
      <c r="K609" s="85"/>
      <c r="L609" s="85"/>
      <c r="M609" s="85"/>
      <c r="N609" s="85"/>
      <c r="O609" s="82"/>
      <c r="P609" s="83"/>
      <c r="Q609" s="83"/>
      <c r="R609" s="83"/>
      <c r="S609" s="82"/>
      <c r="T609" s="83"/>
      <c r="U609" s="83"/>
      <c r="V609" s="84"/>
      <c r="W609" s="85"/>
      <c r="X609" s="87"/>
      <c r="Y609" s="83"/>
      <c r="Z609" s="84"/>
      <c r="AA609" s="85"/>
      <c r="AB609" s="84"/>
      <c r="AC609" s="85"/>
      <c r="AD609" s="89"/>
      <c r="AE609" s="89"/>
      <c r="AF609" s="186"/>
      <c r="AG609" s="85"/>
      <c r="AH609" s="85"/>
      <c r="AI609" s="85"/>
      <c r="AJ609" s="84"/>
      <c r="AK609" s="85"/>
      <c r="AL609" s="84"/>
      <c r="AM609" s="88"/>
      <c r="AN609" s="84"/>
      <c r="AO609" s="85"/>
      <c r="AP609" s="84"/>
      <c r="AQ609" s="83"/>
      <c r="AR609" s="83"/>
      <c r="AS609" s="83"/>
      <c r="AT609" s="85"/>
      <c r="AU609" s="85"/>
      <c r="AV609" s="85"/>
      <c r="AW609" s="88"/>
      <c r="AX609" s="84"/>
      <c r="AY609" s="85"/>
      <c r="AZ609" s="84"/>
      <c r="BA609" s="85"/>
      <c r="BB609" s="88"/>
      <c r="BC609" s="85"/>
      <c r="BD609" s="84"/>
      <c r="BE609" s="88"/>
      <c r="BF609" s="85"/>
      <c r="BG609" s="85"/>
      <c r="BH609" s="85"/>
      <c r="BI609" s="85"/>
      <c r="BJ609" s="85"/>
      <c r="BK609" s="85"/>
      <c r="BL609" s="85"/>
      <c r="BM609" s="85"/>
      <c r="BN609" s="85"/>
      <c r="BO609" s="85"/>
      <c r="BP609" s="85"/>
      <c r="BQ609" s="85"/>
      <c r="BR609" s="84"/>
      <c r="BS609" s="85"/>
      <c r="BT609" s="85"/>
      <c r="BU609" s="198"/>
      <c r="BV609" s="90">
        <v>859.62855000000002</v>
      </c>
      <c r="BW609" s="198">
        <f>45.24361+1930.12784</f>
        <v>1975.3714500000001</v>
      </c>
      <c r="BX609" s="90"/>
      <c r="BY609" s="198"/>
      <c r="BZ609" s="90"/>
      <c r="CA609" s="91"/>
    </row>
    <row r="610" spans="1:79" ht="50.1" customHeight="1" outlineLevel="2" x14ac:dyDescent="0.3">
      <c r="A610" s="103" t="s">
        <v>546</v>
      </c>
      <c r="B610" s="96" t="s">
        <v>1196</v>
      </c>
      <c r="C610" s="79" t="s">
        <v>55</v>
      </c>
      <c r="D610" s="81">
        <f t="shared" si="142"/>
        <v>2842.0729999999999</v>
      </c>
      <c r="E610" s="82">
        <f t="shared" si="135"/>
        <v>0</v>
      </c>
      <c r="F610" s="83">
        <f t="shared" ref="F610:F659" si="143">H610+I610+K610+L610+M610+N610+P610+Q610+R610+T610+U610+W610+Y610+AA610+AC610+AD610+AG610+AH610+AI610+AK610+AM610+AO610+AQ610+AR610+AS610+AT610+AU610+AV610+AW610+AY610+BA610+BB610+BC610+BE610+BF610+BG610+BH610+BI610+BJ610+BK610+BL610+BO610+BP610+BQ610+BS610+BT610+BU610+BW610+BY610+CA610+BM610+BN610</f>
        <v>2842.0729999999999</v>
      </c>
      <c r="G610" s="84"/>
      <c r="H610" s="85"/>
      <c r="I610" s="85"/>
      <c r="J610" s="84"/>
      <c r="K610" s="85"/>
      <c r="L610" s="85"/>
      <c r="M610" s="85"/>
      <c r="N610" s="85"/>
      <c r="O610" s="82"/>
      <c r="P610" s="83"/>
      <c r="Q610" s="83"/>
      <c r="R610" s="83"/>
      <c r="S610" s="82"/>
      <c r="T610" s="83"/>
      <c r="U610" s="83"/>
      <c r="V610" s="84"/>
      <c r="W610" s="85"/>
      <c r="X610" s="87"/>
      <c r="Y610" s="83"/>
      <c r="Z610" s="84"/>
      <c r="AA610" s="85"/>
      <c r="AB610" s="84"/>
      <c r="AC610" s="85"/>
      <c r="AD610" s="89"/>
      <c r="AE610" s="89"/>
      <c r="AF610" s="186"/>
      <c r="AG610" s="85"/>
      <c r="AH610" s="85"/>
      <c r="AI610" s="85"/>
      <c r="AJ610" s="84"/>
      <c r="AK610" s="85"/>
      <c r="AL610" s="84"/>
      <c r="AM610" s="88"/>
      <c r="AN610" s="84"/>
      <c r="AO610" s="85"/>
      <c r="AP610" s="84"/>
      <c r="AQ610" s="83"/>
      <c r="AR610" s="83"/>
      <c r="AS610" s="83"/>
      <c r="AT610" s="85"/>
      <c r="AU610" s="85"/>
      <c r="AV610" s="85"/>
      <c r="AW610" s="88"/>
      <c r="AX610" s="84"/>
      <c r="AY610" s="85"/>
      <c r="AZ610" s="84"/>
      <c r="BA610" s="85"/>
      <c r="BB610" s="88"/>
      <c r="BC610" s="85"/>
      <c r="BD610" s="84"/>
      <c r="BE610" s="88"/>
      <c r="BF610" s="85"/>
      <c r="BG610" s="85"/>
      <c r="BH610" s="85"/>
      <c r="BI610" s="85"/>
      <c r="BJ610" s="85"/>
      <c r="BK610" s="85"/>
      <c r="BL610" s="85"/>
      <c r="BM610" s="85"/>
      <c r="BN610" s="85"/>
      <c r="BO610" s="85"/>
      <c r="BP610" s="85"/>
      <c r="BQ610" s="85"/>
      <c r="BR610" s="84"/>
      <c r="BS610" s="85"/>
      <c r="BT610" s="85"/>
      <c r="BU610" s="198"/>
      <c r="BV610" s="90"/>
      <c r="BW610" s="198">
        <v>2842.0729999999999</v>
      </c>
      <c r="BX610" s="90"/>
      <c r="BY610" s="198"/>
      <c r="BZ610" s="90"/>
      <c r="CA610" s="91"/>
    </row>
    <row r="611" spans="1:79" ht="50.1" customHeight="1" outlineLevel="2" x14ac:dyDescent="0.3">
      <c r="A611" s="103" t="s">
        <v>546</v>
      </c>
      <c r="B611" s="96" t="s">
        <v>1198</v>
      </c>
      <c r="C611" s="79" t="s">
        <v>55</v>
      </c>
      <c r="D611" s="81">
        <f t="shared" si="142"/>
        <v>3312.2685999999999</v>
      </c>
      <c r="E611" s="82">
        <f t="shared" si="135"/>
        <v>0</v>
      </c>
      <c r="F611" s="83">
        <f t="shared" si="143"/>
        <v>3312.2685999999999</v>
      </c>
      <c r="G611" s="84"/>
      <c r="H611" s="85"/>
      <c r="I611" s="85"/>
      <c r="J611" s="84"/>
      <c r="K611" s="85"/>
      <c r="L611" s="85"/>
      <c r="M611" s="85"/>
      <c r="N611" s="85"/>
      <c r="O611" s="82"/>
      <c r="P611" s="83"/>
      <c r="Q611" s="83"/>
      <c r="R611" s="83"/>
      <c r="S611" s="82"/>
      <c r="T611" s="83"/>
      <c r="U611" s="83"/>
      <c r="V611" s="84"/>
      <c r="W611" s="85"/>
      <c r="X611" s="87"/>
      <c r="Y611" s="83"/>
      <c r="Z611" s="84"/>
      <c r="AA611" s="85"/>
      <c r="AB611" s="84"/>
      <c r="AC611" s="85"/>
      <c r="AD611" s="89"/>
      <c r="AE611" s="89"/>
      <c r="AF611" s="186"/>
      <c r="AG611" s="85"/>
      <c r="AH611" s="85"/>
      <c r="AI611" s="85"/>
      <c r="AJ611" s="84"/>
      <c r="AK611" s="85"/>
      <c r="AL611" s="84"/>
      <c r="AM611" s="88"/>
      <c r="AN611" s="84"/>
      <c r="AO611" s="85"/>
      <c r="AP611" s="84"/>
      <c r="AQ611" s="83"/>
      <c r="AR611" s="83"/>
      <c r="AS611" s="83"/>
      <c r="AT611" s="85"/>
      <c r="AU611" s="85"/>
      <c r="AV611" s="85">
        <v>312.26859999999999</v>
      </c>
      <c r="AW611" s="88"/>
      <c r="AX611" s="84"/>
      <c r="AY611" s="85"/>
      <c r="AZ611" s="84"/>
      <c r="BA611" s="85"/>
      <c r="BB611" s="88"/>
      <c r="BC611" s="85"/>
      <c r="BD611" s="84"/>
      <c r="BE611" s="88"/>
      <c r="BF611" s="85"/>
      <c r="BG611" s="85"/>
      <c r="BH611" s="85"/>
      <c r="BI611" s="85"/>
      <c r="BJ611" s="85"/>
      <c r="BK611" s="85"/>
      <c r="BL611" s="85"/>
      <c r="BM611" s="85"/>
      <c r="BN611" s="85"/>
      <c r="BO611" s="85"/>
      <c r="BP611" s="85"/>
      <c r="BQ611" s="85"/>
      <c r="BR611" s="84"/>
      <c r="BS611" s="85"/>
      <c r="BT611" s="85"/>
      <c r="BU611" s="198"/>
      <c r="BV611" s="90"/>
      <c r="BW611" s="198">
        <v>3000</v>
      </c>
      <c r="BX611" s="90"/>
      <c r="BY611" s="198"/>
      <c r="BZ611" s="90"/>
      <c r="CA611" s="91"/>
    </row>
    <row r="612" spans="1:79" ht="50.1" customHeight="1" outlineLevel="2" x14ac:dyDescent="0.3">
      <c r="A612" s="103" t="s">
        <v>546</v>
      </c>
      <c r="B612" s="96" t="s">
        <v>1247</v>
      </c>
      <c r="C612" s="79" t="s">
        <v>55</v>
      </c>
      <c r="D612" s="81">
        <f t="shared" ref="D612" si="144">E612+F612</f>
        <v>231.42116999999999</v>
      </c>
      <c r="E612" s="82">
        <f t="shared" ref="E612" si="145">G612+J612+O612+S612+V612+X612+Z612+AB612+AJ612+AL612+AN612+AP612+AX612+AZ612+BD612+BV612+BX612+BZ612+BR612</f>
        <v>231.42116999999999</v>
      </c>
      <c r="F612" s="83">
        <f t="shared" si="143"/>
        <v>0</v>
      </c>
      <c r="G612" s="84"/>
      <c r="H612" s="85"/>
      <c r="I612" s="85"/>
      <c r="J612" s="84"/>
      <c r="K612" s="85"/>
      <c r="L612" s="85"/>
      <c r="M612" s="85"/>
      <c r="N612" s="85"/>
      <c r="O612" s="82"/>
      <c r="P612" s="83"/>
      <c r="Q612" s="83"/>
      <c r="R612" s="83"/>
      <c r="S612" s="82"/>
      <c r="T612" s="83"/>
      <c r="U612" s="83"/>
      <c r="V612" s="84"/>
      <c r="W612" s="85"/>
      <c r="X612" s="87"/>
      <c r="Y612" s="83"/>
      <c r="Z612" s="84"/>
      <c r="AA612" s="85"/>
      <c r="AB612" s="84"/>
      <c r="AC612" s="85"/>
      <c r="AD612" s="89"/>
      <c r="AE612" s="89"/>
      <c r="AF612" s="186"/>
      <c r="AG612" s="85"/>
      <c r="AH612" s="85"/>
      <c r="AI612" s="85"/>
      <c r="AJ612" s="84"/>
      <c r="AK612" s="85"/>
      <c r="AL612" s="84"/>
      <c r="AM612" s="88"/>
      <c r="AN612" s="84"/>
      <c r="AO612" s="85"/>
      <c r="AP612" s="84"/>
      <c r="AQ612" s="83"/>
      <c r="AR612" s="83"/>
      <c r="AS612" s="83"/>
      <c r="AT612" s="85"/>
      <c r="AU612" s="85"/>
      <c r="AV612" s="85"/>
      <c r="AW612" s="88"/>
      <c r="AX612" s="84"/>
      <c r="AY612" s="85"/>
      <c r="AZ612" s="84"/>
      <c r="BA612" s="85"/>
      <c r="BB612" s="88"/>
      <c r="BC612" s="85"/>
      <c r="BD612" s="84"/>
      <c r="BE612" s="88"/>
      <c r="BF612" s="85"/>
      <c r="BG612" s="85"/>
      <c r="BH612" s="85"/>
      <c r="BI612" s="85"/>
      <c r="BJ612" s="85"/>
      <c r="BK612" s="85"/>
      <c r="BL612" s="85"/>
      <c r="BM612" s="85"/>
      <c r="BN612" s="85"/>
      <c r="BO612" s="85"/>
      <c r="BP612" s="85"/>
      <c r="BQ612" s="85"/>
      <c r="BR612" s="84">
        <v>231.42116999999999</v>
      </c>
      <c r="BS612" s="85"/>
      <c r="BT612" s="85"/>
      <c r="BU612" s="198"/>
      <c r="BV612" s="90"/>
      <c r="BW612" s="198"/>
      <c r="BX612" s="90"/>
      <c r="BY612" s="198"/>
      <c r="BZ612" s="90"/>
      <c r="CA612" s="91"/>
    </row>
    <row r="613" spans="1:79" ht="50.1" customHeight="1" outlineLevel="2" x14ac:dyDescent="0.3">
      <c r="A613" s="103" t="s">
        <v>546</v>
      </c>
      <c r="B613" s="96" t="s">
        <v>562</v>
      </c>
      <c r="C613" s="79" t="s">
        <v>89</v>
      </c>
      <c r="D613" s="81">
        <f t="shared" si="142"/>
        <v>139.99279999999999</v>
      </c>
      <c r="E613" s="82">
        <f t="shared" si="135"/>
        <v>0</v>
      </c>
      <c r="F613" s="83">
        <f t="shared" si="143"/>
        <v>139.99279999999999</v>
      </c>
      <c r="G613" s="84"/>
      <c r="H613" s="85"/>
      <c r="I613" s="85"/>
      <c r="J613" s="84"/>
      <c r="K613" s="85"/>
      <c r="L613" s="85"/>
      <c r="M613" s="85"/>
      <c r="N613" s="85"/>
      <c r="O613" s="82"/>
      <c r="P613" s="83"/>
      <c r="Q613" s="83"/>
      <c r="R613" s="83"/>
      <c r="S613" s="82"/>
      <c r="T613" s="83"/>
      <c r="U613" s="83"/>
      <c r="V613" s="84"/>
      <c r="W613" s="85"/>
      <c r="X613" s="82"/>
      <c r="Y613" s="83"/>
      <c r="Z613" s="84"/>
      <c r="AA613" s="85"/>
      <c r="AB613" s="84"/>
      <c r="AC613" s="85"/>
      <c r="AD613" s="89">
        <f t="shared" si="141"/>
        <v>0</v>
      </c>
      <c r="AE613" s="89"/>
      <c r="AF613" s="186"/>
      <c r="AG613" s="85"/>
      <c r="AH613" s="85"/>
      <c r="AI613" s="85"/>
      <c r="AJ613" s="84"/>
      <c r="AK613" s="85"/>
      <c r="AL613" s="84"/>
      <c r="AM613" s="88"/>
      <c r="AN613" s="84"/>
      <c r="AO613" s="85"/>
      <c r="AP613" s="84"/>
      <c r="AQ613" s="83"/>
      <c r="AR613" s="83"/>
      <c r="AS613" s="83"/>
      <c r="AT613" s="85"/>
      <c r="AU613" s="85"/>
      <c r="AV613" s="85"/>
      <c r="AW613" s="88"/>
      <c r="AX613" s="84"/>
      <c r="AY613" s="85"/>
      <c r="AZ613" s="84"/>
      <c r="BA613" s="85"/>
      <c r="BB613" s="88"/>
      <c r="BC613" s="85"/>
      <c r="BD613" s="84"/>
      <c r="BE613" s="88"/>
      <c r="BF613" s="85"/>
      <c r="BG613" s="85"/>
      <c r="BH613" s="85"/>
      <c r="BI613" s="85"/>
      <c r="BJ613" s="85"/>
      <c r="BK613" s="85"/>
      <c r="BL613" s="85"/>
      <c r="BM613" s="85"/>
      <c r="BN613" s="85"/>
      <c r="BO613" s="85"/>
      <c r="BP613" s="85">
        <v>139.99279999999999</v>
      </c>
      <c r="BQ613" s="85"/>
      <c r="BR613" s="84"/>
      <c r="BS613" s="85"/>
      <c r="BT613" s="85"/>
      <c r="BU613" s="198"/>
      <c r="BV613" s="90"/>
      <c r="BW613" s="198"/>
      <c r="BX613" s="90"/>
      <c r="BY613" s="198"/>
      <c r="BZ613" s="90"/>
      <c r="CA613" s="91"/>
    </row>
    <row r="614" spans="1:79" ht="50.1" customHeight="1" outlineLevel="2" x14ac:dyDescent="0.3">
      <c r="A614" s="103" t="s">
        <v>546</v>
      </c>
      <c r="B614" s="96" t="s">
        <v>563</v>
      </c>
      <c r="C614" s="79" t="s">
        <v>89</v>
      </c>
      <c r="D614" s="81">
        <f t="shared" si="142"/>
        <v>284.16444000000001</v>
      </c>
      <c r="E614" s="82">
        <f t="shared" si="135"/>
        <v>0</v>
      </c>
      <c r="F614" s="83">
        <f t="shared" si="143"/>
        <v>284.16444000000001</v>
      </c>
      <c r="G614" s="84"/>
      <c r="H614" s="85"/>
      <c r="I614" s="85"/>
      <c r="J614" s="84"/>
      <c r="K614" s="85"/>
      <c r="L614" s="85"/>
      <c r="M614" s="85"/>
      <c r="N614" s="85"/>
      <c r="O614" s="82"/>
      <c r="P614" s="83"/>
      <c r="Q614" s="83"/>
      <c r="R614" s="83"/>
      <c r="S614" s="82"/>
      <c r="T614" s="83"/>
      <c r="U614" s="83"/>
      <c r="V614" s="84"/>
      <c r="W614" s="85"/>
      <c r="X614" s="82"/>
      <c r="Y614" s="83"/>
      <c r="Z614" s="84"/>
      <c r="AA614" s="85"/>
      <c r="AB614" s="84"/>
      <c r="AC614" s="85"/>
      <c r="AD614" s="89">
        <f t="shared" si="141"/>
        <v>0</v>
      </c>
      <c r="AE614" s="89"/>
      <c r="AF614" s="186"/>
      <c r="AG614" s="85"/>
      <c r="AH614" s="85"/>
      <c r="AI614" s="85"/>
      <c r="AJ614" s="84"/>
      <c r="AK614" s="85"/>
      <c r="AL614" s="84"/>
      <c r="AM614" s="88"/>
      <c r="AN614" s="84"/>
      <c r="AO614" s="85"/>
      <c r="AP614" s="84"/>
      <c r="AQ614" s="83"/>
      <c r="AR614" s="83"/>
      <c r="AS614" s="83"/>
      <c r="AT614" s="85"/>
      <c r="AU614" s="85"/>
      <c r="AV614" s="85"/>
      <c r="AW614" s="88"/>
      <c r="AX614" s="84"/>
      <c r="AY614" s="85"/>
      <c r="AZ614" s="84"/>
      <c r="BA614" s="85"/>
      <c r="BB614" s="88"/>
      <c r="BC614" s="85"/>
      <c r="BD614" s="84"/>
      <c r="BE614" s="88"/>
      <c r="BF614" s="85"/>
      <c r="BG614" s="85"/>
      <c r="BH614" s="85"/>
      <c r="BI614" s="85"/>
      <c r="BJ614" s="85"/>
      <c r="BK614" s="85"/>
      <c r="BL614" s="85"/>
      <c r="BM614" s="85"/>
      <c r="BN614" s="85"/>
      <c r="BO614" s="85"/>
      <c r="BP614" s="85">
        <v>284.16444000000001</v>
      </c>
      <c r="BQ614" s="85"/>
      <c r="BR614" s="84"/>
      <c r="BS614" s="85"/>
      <c r="BT614" s="85"/>
      <c r="BU614" s="198"/>
      <c r="BV614" s="90"/>
      <c r="BW614" s="198"/>
      <c r="BX614" s="90"/>
      <c r="BY614" s="198"/>
      <c r="BZ614" s="90"/>
      <c r="CA614" s="91"/>
    </row>
    <row r="615" spans="1:79" ht="50.1" customHeight="1" outlineLevel="2" x14ac:dyDescent="0.3">
      <c r="A615" s="103" t="s">
        <v>546</v>
      </c>
      <c r="B615" s="96" t="s">
        <v>564</v>
      </c>
      <c r="C615" s="79" t="s">
        <v>89</v>
      </c>
      <c r="D615" s="81">
        <f t="shared" si="142"/>
        <v>5212.2293399999999</v>
      </c>
      <c r="E615" s="82">
        <f t="shared" si="135"/>
        <v>0</v>
      </c>
      <c r="F615" s="83">
        <f t="shared" si="143"/>
        <v>5212.2293399999999</v>
      </c>
      <c r="G615" s="84"/>
      <c r="H615" s="85"/>
      <c r="I615" s="85"/>
      <c r="J615" s="84"/>
      <c r="K615" s="85"/>
      <c r="L615" s="85"/>
      <c r="M615" s="85"/>
      <c r="N615" s="85"/>
      <c r="O615" s="82"/>
      <c r="P615" s="83"/>
      <c r="Q615" s="83"/>
      <c r="R615" s="83"/>
      <c r="S615" s="82"/>
      <c r="T615" s="83"/>
      <c r="U615" s="83"/>
      <c r="V615" s="84"/>
      <c r="W615" s="85"/>
      <c r="X615" s="82"/>
      <c r="Y615" s="83"/>
      <c r="Z615" s="84"/>
      <c r="AA615" s="85"/>
      <c r="AB615" s="84"/>
      <c r="AC615" s="85"/>
      <c r="AD615" s="89">
        <f t="shared" si="141"/>
        <v>0</v>
      </c>
      <c r="AE615" s="89"/>
      <c r="AF615" s="186"/>
      <c r="AG615" s="85"/>
      <c r="AH615" s="85"/>
      <c r="AI615" s="85"/>
      <c r="AJ615" s="84"/>
      <c r="AK615" s="85"/>
      <c r="AL615" s="84"/>
      <c r="AM615" s="88"/>
      <c r="AN615" s="84"/>
      <c r="AO615" s="85"/>
      <c r="AP615" s="84"/>
      <c r="AQ615" s="83"/>
      <c r="AR615" s="83"/>
      <c r="AS615" s="83"/>
      <c r="AT615" s="85"/>
      <c r="AU615" s="85"/>
      <c r="AV615" s="85"/>
      <c r="AW615" s="88"/>
      <c r="AX615" s="84"/>
      <c r="AY615" s="85"/>
      <c r="AZ615" s="84"/>
      <c r="BA615" s="85"/>
      <c r="BB615" s="88"/>
      <c r="BC615" s="85"/>
      <c r="BD615" s="84"/>
      <c r="BE615" s="88"/>
      <c r="BF615" s="85"/>
      <c r="BG615" s="85"/>
      <c r="BH615" s="85"/>
      <c r="BI615" s="85"/>
      <c r="BJ615" s="85"/>
      <c r="BK615" s="85"/>
      <c r="BL615" s="85"/>
      <c r="BM615" s="85"/>
      <c r="BN615" s="85"/>
      <c r="BO615" s="85"/>
      <c r="BP615" s="85">
        <v>5212.2293399999999</v>
      </c>
      <c r="BQ615" s="85"/>
      <c r="BR615" s="84"/>
      <c r="BS615" s="85"/>
      <c r="BT615" s="85"/>
      <c r="BU615" s="198"/>
      <c r="BV615" s="90"/>
      <c r="BW615" s="198"/>
      <c r="BX615" s="90"/>
      <c r="BY615" s="198"/>
      <c r="BZ615" s="90"/>
      <c r="CA615" s="91"/>
    </row>
    <row r="616" spans="1:79" ht="50.1" customHeight="1" outlineLevel="2" x14ac:dyDescent="0.3">
      <c r="A616" s="103" t="s">
        <v>546</v>
      </c>
      <c r="B616" s="111" t="s">
        <v>991</v>
      </c>
      <c r="C616" s="79"/>
      <c r="D616" s="81">
        <f t="shared" si="142"/>
        <v>300</v>
      </c>
      <c r="E616" s="82">
        <f t="shared" si="135"/>
        <v>0</v>
      </c>
      <c r="F616" s="83">
        <f t="shared" si="143"/>
        <v>300</v>
      </c>
      <c r="G616" s="84"/>
      <c r="H616" s="85"/>
      <c r="I616" s="85"/>
      <c r="J616" s="84"/>
      <c r="K616" s="85"/>
      <c r="L616" s="85"/>
      <c r="M616" s="85"/>
      <c r="N616" s="85"/>
      <c r="O616" s="82"/>
      <c r="P616" s="83"/>
      <c r="Q616" s="83"/>
      <c r="R616" s="83"/>
      <c r="S616" s="82"/>
      <c r="T616" s="83"/>
      <c r="U616" s="83"/>
      <c r="V616" s="84"/>
      <c r="W616" s="85"/>
      <c r="X616" s="82"/>
      <c r="Y616" s="83"/>
      <c r="Z616" s="84"/>
      <c r="AA616" s="85"/>
      <c r="AB616" s="84"/>
      <c r="AC616" s="85"/>
      <c r="AD616" s="89">
        <f t="shared" si="141"/>
        <v>0</v>
      </c>
      <c r="AE616" s="89"/>
      <c r="AF616" s="186"/>
      <c r="AG616" s="85"/>
      <c r="AH616" s="85"/>
      <c r="AI616" s="85"/>
      <c r="AJ616" s="84"/>
      <c r="AK616" s="85"/>
      <c r="AL616" s="84"/>
      <c r="AM616" s="88"/>
      <c r="AN616" s="84"/>
      <c r="AO616" s="85"/>
      <c r="AP616" s="84"/>
      <c r="AQ616" s="83"/>
      <c r="AR616" s="83"/>
      <c r="AS616" s="83"/>
      <c r="AT616" s="85"/>
      <c r="AU616" s="85"/>
      <c r="AV616" s="85"/>
      <c r="AW616" s="88"/>
      <c r="AX616" s="84"/>
      <c r="AY616" s="85"/>
      <c r="AZ616" s="84"/>
      <c r="BA616" s="85"/>
      <c r="BB616" s="88"/>
      <c r="BC616" s="85"/>
      <c r="BD616" s="84"/>
      <c r="BE616" s="88"/>
      <c r="BF616" s="85"/>
      <c r="BG616" s="85"/>
      <c r="BH616" s="85">
        <v>300</v>
      </c>
      <c r="BI616" s="85"/>
      <c r="BJ616" s="85"/>
      <c r="BK616" s="85"/>
      <c r="BL616" s="85"/>
      <c r="BM616" s="85"/>
      <c r="BN616" s="85"/>
      <c r="BO616" s="85"/>
      <c r="BP616" s="85"/>
      <c r="BQ616" s="85"/>
      <c r="BR616" s="84"/>
      <c r="BS616" s="85"/>
      <c r="BT616" s="85"/>
      <c r="BU616" s="198"/>
      <c r="BV616" s="90"/>
      <c r="BW616" s="198"/>
      <c r="BX616" s="90"/>
      <c r="BY616" s="198"/>
      <c r="BZ616" s="90"/>
      <c r="CA616" s="91"/>
    </row>
    <row r="617" spans="1:79" ht="50.1" customHeight="1" outlineLevel="2" x14ac:dyDescent="0.3">
      <c r="A617" s="103" t="s">
        <v>546</v>
      </c>
      <c r="B617" s="111" t="s">
        <v>992</v>
      </c>
      <c r="C617" s="79"/>
      <c r="D617" s="81">
        <f t="shared" si="142"/>
        <v>300</v>
      </c>
      <c r="E617" s="82">
        <f t="shared" si="135"/>
        <v>0</v>
      </c>
      <c r="F617" s="83">
        <f t="shared" si="143"/>
        <v>300</v>
      </c>
      <c r="G617" s="84"/>
      <c r="H617" s="85"/>
      <c r="I617" s="85"/>
      <c r="J617" s="84"/>
      <c r="K617" s="85"/>
      <c r="L617" s="85"/>
      <c r="M617" s="85"/>
      <c r="N617" s="85"/>
      <c r="O617" s="82"/>
      <c r="P617" s="83"/>
      <c r="Q617" s="83"/>
      <c r="R617" s="83"/>
      <c r="S617" s="82"/>
      <c r="T617" s="83"/>
      <c r="U617" s="83"/>
      <c r="V617" s="84"/>
      <c r="W617" s="85"/>
      <c r="X617" s="82"/>
      <c r="Y617" s="83"/>
      <c r="Z617" s="84"/>
      <c r="AA617" s="85"/>
      <c r="AB617" s="84"/>
      <c r="AC617" s="85"/>
      <c r="AD617" s="89">
        <f t="shared" si="141"/>
        <v>0</v>
      </c>
      <c r="AE617" s="89"/>
      <c r="AF617" s="186"/>
      <c r="AG617" s="85"/>
      <c r="AH617" s="85"/>
      <c r="AI617" s="85"/>
      <c r="AJ617" s="84"/>
      <c r="AK617" s="85"/>
      <c r="AL617" s="84"/>
      <c r="AM617" s="88"/>
      <c r="AN617" s="84"/>
      <c r="AO617" s="85"/>
      <c r="AP617" s="84"/>
      <c r="AQ617" s="83"/>
      <c r="AR617" s="83"/>
      <c r="AS617" s="83"/>
      <c r="AT617" s="85"/>
      <c r="AU617" s="85"/>
      <c r="AV617" s="85"/>
      <c r="AW617" s="88"/>
      <c r="AX617" s="84"/>
      <c r="AY617" s="85"/>
      <c r="AZ617" s="84"/>
      <c r="BA617" s="85"/>
      <c r="BB617" s="88"/>
      <c r="BC617" s="85"/>
      <c r="BD617" s="84"/>
      <c r="BE617" s="88"/>
      <c r="BF617" s="85"/>
      <c r="BG617" s="85"/>
      <c r="BH617" s="85">
        <v>300</v>
      </c>
      <c r="BI617" s="85"/>
      <c r="BJ617" s="85"/>
      <c r="BK617" s="85"/>
      <c r="BL617" s="85"/>
      <c r="BM617" s="85"/>
      <c r="BN617" s="85"/>
      <c r="BO617" s="85"/>
      <c r="BP617" s="85"/>
      <c r="BQ617" s="85"/>
      <c r="BR617" s="84"/>
      <c r="BS617" s="85"/>
      <c r="BT617" s="85"/>
      <c r="BU617" s="198"/>
      <c r="BV617" s="90"/>
      <c r="BW617" s="198"/>
      <c r="BX617" s="90"/>
      <c r="BY617" s="198"/>
      <c r="BZ617" s="90"/>
      <c r="CA617" s="91"/>
    </row>
    <row r="618" spans="1:79" ht="50.1" customHeight="1" outlineLevel="2" x14ac:dyDescent="0.3">
      <c r="A618" s="103" t="s">
        <v>546</v>
      </c>
      <c r="B618" s="111" t="s">
        <v>993</v>
      </c>
      <c r="C618" s="79"/>
      <c r="D618" s="81">
        <f t="shared" si="142"/>
        <v>300</v>
      </c>
      <c r="E618" s="82">
        <f t="shared" si="135"/>
        <v>0</v>
      </c>
      <c r="F618" s="83">
        <f t="shared" si="143"/>
        <v>300</v>
      </c>
      <c r="G618" s="84"/>
      <c r="H618" s="85"/>
      <c r="I618" s="85"/>
      <c r="J618" s="84"/>
      <c r="K618" s="85"/>
      <c r="L618" s="85"/>
      <c r="M618" s="85"/>
      <c r="N618" s="85"/>
      <c r="O618" s="82"/>
      <c r="P618" s="83"/>
      <c r="Q618" s="83"/>
      <c r="R618" s="83"/>
      <c r="S618" s="82"/>
      <c r="T618" s="83"/>
      <c r="U618" s="83"/>
      <c r="V618" s="84"/>
      <c r="W618" s="85"/>
      <c r="X618" s="82"/>
      <c r="Y618" s="83"/>
      <c r="Z618" s="84"/>
      <c r="AA618" s="85"/>
      <c r="AB618" s="84"/>
      <c r="AC618" s="85"/>
      <c r="AD618" s="89">
        <f t="shared" si="141"/>
        <v>0</v>
      </c>
      <c r="AE618" s="89"/>
      <c r="AF618" s="186"/>
      <c r="AG618" s="85"/>
      <c r="AH618" s="85"/>
      <c r="AI618" s="85"/>
      <c r="AJ618" s="84"/>
      <c r="AK618" s="85"/>
      <c r="AL618" s="84"/>
      <c r="AM618" s="88"/>
      <c r="AN618" s="84"/>
      <c r="AO618" s="85"/>
      <c r="AP618" s="84"/>
      <c r="AQ618" s="83"/>
      <c r="AR618" s="83"/>
      <c r="AS618" s="83"/>
      <c r="AT618" s="85"/>
      <c r="AU618" s="85"/>
      <c r="AV618" s="85"/>
      <c r="AW618" s="88"/>
      <c r="AX618" s="84"/>
      <c r="AY618" s="85"/>
      <c r="AZ618" s="84"/>
      <c r="BA618" s="85"/>
      <c r="BB618" s="88"/>
      <c r="BC618" s="85"/>
      <c r="BD618" s="84"/>
      <c r="BE618" s="88"/>
      <c r="BF618" s="85"/>
      <c r="BG618" s="85"/>
      <c r="BH618" s="85">
        <v>300</v>
      </c>
      <c r="BI618" s="85"/>
      <c r="BJ618" s="85"/>
      <c r="BK618" s="85"/>
      <c r="BL618" s="85"/>
      <c r="BM618" s="85"/>
      <c r="BN618" s="85"/>
      <c r="BO618" s="85"/>
      <c r="BP618" s="85"/>
      <c r="BQ618" s="85"/>
      <c r="BR618" s="84"/>
      <c r="BS618" s="85"/>
      <c r="BT618" s="85"/>
      <c r="BU618" s="198"/>
      <c r="BV618" s="90"/>
      <c r="BW618" s="198"/>
      <c r="BX618" s="90"/>
      <c r="BY618" s="198"/>
      <c r="BZ618" s="90"/>
      <c r="CA618" s="91"/>
    </row>
    <row r="619" spans="1:79" ht="50.1" customHeight="1" outlineLevel="2" x14ac:dyDescent="0.3">
      <c r="A619" s="103" t="s">
        <v>546</v>
      </c>
      <c r="B619" s="111" t="s">
        <v>994</v>
      </c>
      <c r="C619" s="79"/>
      <c r="D619" s="81">
        <f t="shared" si="142"/>
        <v>324</v>
      </c>
      <c r="E619" s="82">
        <f t="shared" si="135"/>
        <v>0</v>
      </c>
      <c r="F619" s="83">
        <f t="shared" si="143"/>
        <v>324</v>
      </c>
      <c r="G619" s="84"/>
      <c r="H619" s="85"/>
      <c r="I619" s="85"/>
      <c r="J619" s="84"/>
      <c r="K619" s="85"/>
      <c r="L619" s="85"/>
      <c r="M619" s="85"/>
      <c r="N619" s="85"/>
      <c r="O619" s="82"/>
      <c r="P619" s="83"/>
      <c r="Q619" s="83"/>
      <c r="R619" s="83"/>
      <c r="S619" s="82"/>
      <c r="T619" s="83"/>
      <c r="U619" s="83"/>
      <c r="V619" s="84"/>
      <c r="W619" s="85"/>
      <c r="X619" s="87"/>
      <c r="Y619" s="83"/>
      <c r="Z619" s="84"/>
      <c r="AA619" s="85"/>
      <c r="AB619" s="84"/>
      <c r="AC619" s="85"/>
      <c r="AD619" s="89">
        <f t="shared" si="141"/>
        <v>0</v>
      </c>
      <c r="AE619" s="89"/>
      <c r="AF619" s="186"/>
      <c r="AG619" s="85"/>
      <c r="AH619" s="85"/>
      <c r="AI619" s="85"/>
      <c r="AJ619" s="84"/>
      <c r="AK619" s="85"/>
      <c r="AL619" s="84"/>
      <c r="AM619" s="88"/>
      <c r="AN619" s="84"/>
      <c r="AO619" s="85"/>
      <c r="AP619" s="84"/>
      <c r="AQ619" s="83"/>
      <c r="AR619" s="83"/>
      <c r="AS619" s="83"/>
      <c r="AT619" s="85"/>
      <c r="AU619" s="85"/>
      <c r="AV619" s="85"/>
      <c r="AW619" s="88"/>
      <c r="AX619" s="84"/>
      <c r="AY619" s="85"/>
      <c r="AZ619" s="84"/>
      <c r="BA619" s="85"/>
      <c r="BB619" s="88"/>
      <c r="BC619" s="85"/>
      <c r="BD619" s="84"/>
      <c r="BE619" s="88"/>
      <c r="BF619" s="85"/>
      <c r="BG619" s="85"/>
      <c r="BH619" s="85">
        <v>300</v>
      </c>
      <c r="BI619" s="85">
        <v>24</v>
      </c>
      <c r="BJ619" s="85"/>
      <c r="BK619" s="85"/>
      <c r="BL619" s="85"/>
      <c r="BM619" s="85"/>
      <c r="BN619" s="85"/>
      <c r="BO619" s="85"/>
      <c r="BP619" s="85"/>
      <c r="BQ619" s="85"/>
      <c r="BR619" s="84"/>
      <c r="BS619" s="85"/>
      <c r="BT619" s="85"/>
      <c r="BU619" s="198"/>
      <c r="BV619" s="90"/>
      <c r="BW619" s="198"/>
      <c r="BX619" s="90"/>
      <c r="BY619" s="198"/>
      <c r="BZ619" s="90"/>
      <c r="CA619" s="91"/>
    </row>
    <row r="620" spans="1:79" ht="50.1" customHeight="1" outlineLevel="2" x14ac:dyDescent="0.3">
      <c r="A620" s="103" t="s">
        <v>546</v>
      </c>
      <c r="B620" s="111" t="s">
        <v>995</v>
      </c>
      <c r="C620" s="79"/>
      <c r="D620" s="81">
        <f t="shared" si="142"/>
        <v>322.85642999999999</v>
      </c>
      <c r="E620" s="82">
        <f t="shared" si="135"/>
        <v>0</v>
      </c>
      <c r="F620" s="83">
        <f t="shared" si="143"/>
        <v>322.85642999999999</v>
      </c>
      <c r="G620" s="84"/>
      <c r="H620" s="85"/>
      <c r="I620" s="85"/>
      <c r="J620" s="84"/>
      <c r="K620" s="85"/>
      <c r="L620" s="85"/>
      <c r="M620" s="85"/>
      <c r="N620" s="85"/>
      <c r="O620" s="82"/>
      <c r="P620" s="83"/>
      <c r="Q620" s="83"/>
      <c r="R620" s="83"/>
      <c r="S620" s="82"/>
      <c r="T620" s="83"/>
      <c r="U620" s="83"/>
      <c r="V620" s="84"/>
      <c r="W620" s="85"/>
      <c r="X620" s="87"/>
      <c r="Y620" s="83"/>
      <c r="Z620" s="84"/>
      <c r="AA620" s="85"/>
      <c r="AB620" s="84"/>
      <c r="AC620" s="85"/>
      <c r="AD620" s="89">
        <f t="shared" si="141"/>
        <v>0</v>
      </c>
      <c r="AE620" s="89"/>
      <c r="AF620" s="186"/>
      <c r="AG620" s="85"/>
      <c r="AH620" s="85"/>
      <c r="AI620" s="85"/>
      <c r="AJ620" s="84"/>
      <c r="AK620" s="85"/>
      <c r="AL620" s="84"/>
      <c r="AM620" s="88"/>
      <c r="AN620" s="84"/>
      <c r="AO620" s="85"/>
      <c r="AP620" s="84"/>
      <c r="AQ620" s="83"/>
      <c r="AR620" s="83"/>
      <c r="AS620" s="83"/>
      <c r="AT620" s="85"/>
      <c r="AU620" s="85"/>
      <c r="AV620" s="85"/>
      <c r="AW620" s="88"/>
      <c r="AX620" s="84"/>
      <c r="AY620" s="85"/>
      <c r="AZ620" s="84"/>
      <c r="BA620" s="85"/>
      <c r="BB620" s="88"/>
      <c r="BC620" s="85"/>
      <c r="BD620" s="84"/>
      <c r="BE620" s="88"/>
      <c r="BF620" s="85"/>
      <c r="BG620" s="85"/>
      <c r="BH620" s="85">
        <v>300</v>
      </c>
      <c r="BI620" s="85">
        <v>22.85643</v>
      </c>
      <c r="BJ620" s="85"/>
      <c r="BK620" s="85"/>
      <c r="BL620" s="85"/>
      <c r="BM620" s="85"/>
      <c r="BN620" s="85"/>
      <c r="BO620" s="85"/>
      <c r="BP620" s="85"/>
      <c r="BQ620" s="85"/>
      <c r="BR620" s="84"/>
      <c r="BS620" s="85"/>
      <c r="BT620" s="85"/>
      <c r="BU620" s="198"/>
      <c r="BV620" s="90"/>
      <c r="BW620" s="198"/>
      <c r="BX620" s="90"/>
      <c r="BY620" s="198"/>
      <c r="BZ620" s="90"/>
      <c r="CA620" s="91"/>
    </row>
    <row r="621" spans="1:79" ht="50.1" customHeight="1" outlineLevel="2" x14ac:dyDescent="0.3">
      <c r="A621" s="103" t="s">
        <v>546</v>
      </c>
      <c r="B621" s="111" t="s">
        <v>996</v>
      </c>
      <c r="C621" s="79"/>
      <c r="D621" s="81">
        <f t="shared" si="142"/>
        <v>300</v>
      </c>
      <c r="E621" s="82">
        <f t="shared" si="135"/>
        <v>0</v>
      </c>
      <c r="F621" s="83">
        <f t="shared" si="143"/>
        <v>300</v>
      </c>
      <c r="G621" s="84"/>
      <c r="H621" s="85"/>
      <c r="I621" s="85"/>
      <c r="J621" s="84"/>
      <c r="K621" s="85"/>
      <c r="L621" s="85"/>
      <c r="M621" s="85"/>
      <c r="N621" s="85"/>
      <c r="O621" s="82"/>
      <c r="P621" s="83"/>
      <c r="Q621" s="83"/>
      <c r="R621" s="83"/>
      <c r="S621" s="82"/>
      <c r="T621" s="83"/>
      <c r="U621" s="83"/>
      <c r="V621" s="84"/>
      <c r="W621" s="85"/>
      <c r="X621" s="87"/>
      <c r="Y621" s="83"/>
      <c r="Z621" s="84"/>
      <c r="AA621" s="85"/>
      <c r="AB621" s="84"/>
      <c r="AC621" s="85"/>
      <c r="AD621" s="89">
        <f t="shared" si="141"/>
        <v>0</v>
      </c>
      <c r="AE621" s="89"/>
      <c r="AF621" s="186"/>
      <c r="AG621" s="85"/>
      <c r="AH621" s="85"/>
      <c r="AI621" s="85"/>
      <c r="AJ621" s="84"/>
      <c r="AK621" s="85"/>
      <c r="AL621" s="84"/>
      <c r="AM621" s="88"/>
      <c r="AN621" s="84"/>
      <c r="AO621" s="85"/>
      <c r="AP621" s="84"/>
      <c r="AQ621" s="83"/>
      <c r="AR621" s="83"/>
      <c r="AS621" s="83"/>
      <c r="AT621" s="85"/>
      <c r="AU621" s="85"/>
      <c r="AV621" s="85"/>
      <c r="AW621" s="88"/>
      <c r="AX621" s="84"/>
      <c r="AY621" s="85"/>
      <c r="AZ621" s="84"/>
      <c r="BA621" s="85"/>
      <c r="BB621" s="88"/>
      <c r="BC621" s="85"/>
      <c r="BD621" s="84"/>
      <c r="BE621" s="88"/>
      <c r="BF621" s="85"/>
      <c r="BG621" s="85"/>
      <c r="BH621" s="85">
        <v>300</v>
      </c>
      <c r="BI621" s="85"/>
      <c r="BJ621" s="85"/>
      <c r="BK621" s="85"/>
      <c r="BL621" s="85"/>
      <c r="BM621" s="85"/>
      <c r="BN621" s="85"/>
      <c r="BO621" s="85"/>
      <c r="BP621" s="85"/>
      <c r="BQ621" s="85"/>
      <c r="BR621" s="84"/>
      <c r="BS621" s="85"/>
      <c r="BT621" s="85"/>
      <c r="BU621" s="198"/>
      <c r="BV621" s="90"/>
      <c r="BW621" s="198"/>
      <c r="BX621" s="90"/>
      <c r="BY621" s="198"/>
      <c r="BZ621" s="90"/>
      <c r="CA621" s="91"/>
    </row>
    <row r="622" spans="1:79" ht="50.1" customHeight="1" outlineLevel="2" x14ac:dyDescent="0.3">
      <c r="A622" s="103" t="s">
        <v>546</v>
      </c>
      <c r="B622" s="111" t="s">
        <v>997</v>
      </c>
      <c r="C622" s="79"/>
      <c r="D622" s="81">
        <f t="shared" si="142"/>
        <v>300</v>
      </c>
      <c r="E622" s="82">
        <f t="shared" si="135"/>
        <v>0</v>
      </c>
      <c r="F622" s="83">
        <f t="shared" si="143"/>
        <v>300</v>
      </c>
      <c r="G622" s="84"/>
      <c r="H622" s="85"/>
      <c r="I622" s="85"/>
      <c r="J622" s="84"/>
      <c r="K622" s="85"/>
      <c r="L622" s="85"/>
      <c r="M622" s="85"/>
      <c r="N622" s="85"/>
      <c r="O622" s="82"/>
      <c r="P622" s="83"/>
      <c r="Q622" s="83"/>
      <c r="R622" s="83"/>
      <c r="S622" s="82"/>
      <c r="T622" s="83"/>
      <c r="U622" s="83"/>
      <c r="V622" s="84"/>
      <c r="W622" s="85"/>
      <c r="X622" s="87"/>
      <c r="Y622" s="83"/>
      <c r="Z622" s="84"/>
      <c r="AA622" s="85"/>
      <c r="AB622" s="84"/>
      <c r="AC622" s="85"/>
      <c r="AD622" s="89">
        <f t="shared" si="141"/>
        <v>0</v>
      </c>
      <c r="AE622" s="89"/>
      <c r="AF622" s="186"/>
      <c r="AG622" s="85"/>
      <c r="AH622" s="85"/>
      <c r="AI622" s="85"/>
      <c r="AJ622" s="84"/>
      <c r="AK622" s="85"/>
      <c r="AL622" s="84"/>
      <c r="AM622" s="88"/>
      <c r="AN622" s="84"/>
      <c r="AO622" s="85"/>
      <c r="AP622" s="84"/>
      <c r="AQ622" s="83"/>
      <c r="AR622" s="83"/>
      <c r="AS622" s="83"/>
      <c r="AT622" s="85"/>
      <c r="AU622" s="85"/>
      <c r="AV622" s="85"/>
      <c r="AW622" s="88"/>
      <c r="AX622" s="84"/>
      <c r="AY622" s="85"/>
      <c r="AZ622" s="84"/>
      <c r="BA622" s="85"/>
      <c r="BB622" s="88"/>
      <c r="BC622" s="85"/>
      <c r="BD622" s="84"/>
      <c r="BE622" s="88"/>
      <c r="BF622" s="85"/>
      <c r="BG622" s="85"/>
      <c r="BH622" s="85">
        <v>300</v>
      </c>
      <c r="BI622" s="85"/>
      <c r="BJ622" s="85"/>
      <c r="BK622" s="85"/>
      <c r="BL622" s="85"/>
      <c r="BM622" s="85"/>
      <c r="BN622" s="85"/>
      <c r="BO622" s="85"/>
      <c r="BP622" s="85"/>
      <c r="BQ622" s="85"/>
      <c r="BR622" s="84"/>
      <c r="BS622" s="85"/>
      <c r="BT622" s="85"/>
      <c r="BU622" s="198"/>
      <c r="BV622" s="90"/>
      <c r="BW622" s="198"/>
      <c r="BX622" s="90"/>
      <c r="BY622" s="198"/>
      <c r="BZ622" s="90"/>
      <c r="CA622" s="91"/>
    </row>
    <row r="623" spans="1:79" ht="50.1" customHeight="1" outlineLevel="2" x14ac:dyDescent="0.3">
      <c r="A623" s="103" t="s">
        <v>546</v>
      </c>
      <c r="B623" s="111" t="s">
        <v>998</v>
      </c>
      <c r="C623" s="79"/>
      <c r="D623" s="81">
        <f t="shared" si="142"/>
        <v>300</v>
      </c>
      <c r="E623" s="82">
        <f t="shared" si="135"/>
        <v>0</v>
      </c>
      <c r="F623" s="83">
        <f t="shared" si="143"/>
        <v>300</v>
      </c>
      <c r="G623" s="84"/>
      <c r="H623" s="85"/>
      <c r="I623" s="85"/>
      <c r="J623" s="84"/>
      <c r="K623" s="85"/>
      <c r="L623" s="85"/>
      <c r="M623" s="85"/>
      <c r="N623" s="85"/>
      <c r="O623" s="82"/>
      <c r="P623" s="83"/>
      <c r="Q623" s="83"/>
      <c r="R623" s="83"/>
      <c r="S623" s="82"/>
      <c r="T623" s="83"/>
      <c r="U623" s="83"/>
      <c r="V623" s="84"/>
      <c r="W623" s="85"/>
      <c r="X623" s="87"/>
      <c r="Y623" s="83"/>
      <c r="Z623" s="84"/>
      <c r="AA623" s="85"/>
      <c r="AB623" s="84"/>
      <c r="AC623" s="85"/>
      <c r="AD623" s="89">
        <f t="shared" si="141"/>
        <v>0</v>
      </c>
      <c r="AE623" s="89"/>
      <c r="AF623" s="186"/>
      <c r="AG623" s="85"/>
      <c r="AH623" s="85"/>
      <c r="AI623" s="85"/>
      <c r="AJ623" s="84"/>
      <c r="AK623" s="85"/>
      <c r="AL623" s="84"/>
      <c r="AM623" s="88"/>
      <c r="AN623" s="84"/>
      <c r="AO623" s="85"/>
      <c r="AP623" s="84"/>
      <c r="AQ623" s="83"/>
      <c r="AR623" s="83"/>
      <c r="AS623" s="83"/>
      <c r="AT623" s="85"/>
      <c r="AU623" s="85"/>
      <c r="AV623" s="85"/>
      <c r="AW623" s="88"/>
      <c r="AX623" s="84"/>
      <c r="AY623" s="85"/>
      <c r="AZ623" s="84"/>
      <c r="BA623" s="85"/>
      <c r="BB623" s="88"/>
      <c r="BC623" s="85"/>
      <c r="BD623" s="84"/>
      <c r="BE623" s="88"/>
      <c r="BF623" s="85"/>
      <c r="BG623" s="85"/>
      <c r="BH623" s="85">
        <v>300</v>
      </c>
      <c r="BI623" s="85"/>
      <c r="BJ623" s="85"/>
      <c r="BK623" s="85"/>
      <c r="BL623" s="85"/>
      <c r="BM623" s="85"/>
      <c r="BN623" s="85"/>
      <c r="BO623" s="85"/>
      <c r="BP623" s="85"/>
      <c r="BQ623" s="85"/>
      <c r="BR623" s="84"/>
      <c r="BS623" s="85"/>
      <c r="BT623" s="85"/>
      <c r="BU623" s="198"/>
      <c r="BV623" s="90"/>
      <c r="BW623" s="198"/>
      <c r="BX623" s="90"/>
      <c r="BY623" s="198"/>
      <c r="BZ623" s="90"/>
      <c r="CA623" s="91"/>
    </row>
    <row r="624" spans="1:79" ht="50.1" customHeight="1" outlineLevel="2" x14ac:dyDescent="0.3">
      <c r="A624" s="103" t="s">
        <v>546</v>
      </c>
      <c r="B624" s="111" t="s">
        <v>999</v>
      </c>
      <c r="C624" s="79"/>
      <c r="D624" s="81">
        <f t="shared" si="142"/>
        <v>300</v>
      </c>
      <c r="E624" s="82">
        <f t="shared" si="135"/>
        <v>0</v>
      </c>
      <c r="F624" s="83">
        <f t="shared" si="143"/>
        <v>300</v>
      </c>
      <c r="G624" s="84"/>
      <c r="H624" s="85"/>
      <c r="I624" s="85"/>
      <c r="J624" s="84"/>
      <c r="K624" s="85"/>
      <c r="L624" s="85"/>
      <c r="M624" s="85"/>
      <c r="N624" s="85"/>
      <c r="O624" s="82"/>
      <c r="P624" s="83"/>
      <c r="Q624" s="83"/>
      <c r="R624" s="83"/>
      <c r="S624" s="82"/>
      <c r="T624" s="83"/>
      <c r="U624" s="83"/>
      <c r="V624" s="84"/>
      <c r="W624" s="85"/>
      <c r="X624" s="87"/>
      <c r="Y624" s="83"/>
      <c r="Z624" s="84"/>
      <c r="AA624" s="85"/>
      <c r="AB624" s="84"/>
      <c r="AC624" s="85"/>
      <c r="AD624" s="89">
        <f t="shared" si="141"/>
        <v>0</v>
      </c>
      <c r="AE624" s="89"/>
      <c r="AF624" s="186"/>
      <c r="AG624" s="85"/>
      <c r="AH624" s="85"/>
      <c r="AI624" s="85"/>
      <c r="AJ624" s="84"/>
      <c r="AK624" s="85"/>
      <c r="AL624" s="84"/>
      <c r="AM624" s="88"/>
      <c r="AN624" s="84"/>
      <c r="AO624" s="85"/>
      <c r="AP624" s="84"/>
      <c r="AQ624" s="83"/>
      <c r="AR624" s="83"/>
      <c r="AS624" s="83"/>
      <c r="AT624" s="85"/>
      <c r="AU624" s="85"/>
      <c r="AV624" s="85"/>
      <c r="AW624" s="88"/>
      <c r="AX624" s="84"/>
      <c r="AY624" s="85"/>
      <c r="AZ624" s="84"/>
      <c r="BA624" s="85"/>
      <c r="BB624" s="88"/>
      <c r="BC624" s="85"/>
      <c r="BD624" s="84"/>
      <c r="BE624" s="88"/>
      <c r="BF624" s="85"/>
      <c r="BG624" s="85"/>
      <c r="BH624" s="85">
        <v>300</v>
      </c>
      <c r="BI624" s="85"/>
      <c r="BJ624" s="85"/>
      <c r="BK624" s="85"/>
      <c r="BL624" s="85"/>
      <c r="BM624" s="85"/>
      <c r="BN624" s="85"/>
      <c r="BO624" s="85"/>
      <c r="BP624" s="85"/>
      <c r="BQ624" s="85"/>
      <c r="BR624" s="84"/>
      <c r="BS624" s="85"/>
      <c r="BT624" s="85"/>
      <c r="BU624" s="198"/>
      <c r="BV624" s="90"/>
      <c r="BW624" s="198"/>
      <c r="BX624" s="90"/>
      <c r="BY624" s="198"/>
      <c r="BZ624" s="90"/>
      <c r="CA624" s="91"/>
    </row>
    <row r="625" spans="1:1199" ht="50.1" customHeight="1" outlineLevel="2" x14ac:dyDescent="0.3">
      <c r="A625" s="106" t="s">
        <v>546</v>
      </c>
      <c r="B625" s="111" t="s">
        <v>1000</v>
      </c>
      <c r="C625" s="79"/>
      <c r="D625" s="81">
        <f t="shared" si="142"/>
        <v>300</v>
      </c>
      <c r="E625" s="82">
        <f t="shared" si="135"/>
        <v>0</v>
      </c>
      <c r="F625" s="83">
        <f t="shared" si="143"/>
        <v>300</v>
      </c>
      <c r="G625" s="84"/>
      <c r="H625" s="85"/>
      <c r="I625" s="85"/>
      <c r="J625" s="84"/>
      <c r="K625" s="85"/>
      <c r="L625" s="85"/>
      <c r="M625" s="85"/>
      <c r="N625" s="85"/>
      <c r="O625" s="82"/>
      <c r="P625" s="83"/>
      <c r="Q625" s="83"/>
      <c r="R625" s="83"/>
      <c r="S625" s="82"/>
      <c r="T625" s="83"/>
      <c r="U625" s="83"/>
      <c r="V625" s="84"/>
      <c r="W625" s="85"/>
      <c r="X625" s="87"/>
      <c r="Y625" s="83"/>
      <c r="Z625" s="84"/>
      <c r="AA625" s="85"/>
      <c r="AB625" s="84"/>
      <c r="AC625" s="85"/>
      <c r="AD625" s="89">
        <f t="shared" si="141"/>
        <v>0</v>
      </c>
      <c r="AE625" s="89"/>
      <c r="AF625" s="186"/>
      <c r="AG625" s="85"/>
      <c r="AH625" s="85"/>
      <c r="AI625" s="85"/>
      <c r="AJ625" s="84"/>
      <c r="AK625" s="85"/>
      <c r="AL625" s="84"/>
      <c r="AM625" s="88"/>
      <c r="AN625" s="84"/>
      <c r="AO625" s="85"/>
      <c r="AP625" s="84"/>
      <c r="AQ625" s="83"/>
      <c r="AR625" s="83"/>
      <c r="AS625" s="83"/>
      <c r="AT625" s="85"/>
      <c r="AU625" s="85"/>
      <c r="AV625" s="85"/>
      <c r="AW625" s="88"/>
      <c r="AX625" s="84"/>
      <c r="AY625" s="85"/>
      <c r="AZ625" s="84"/>
      <c r="BA625" s="85"/>
      <c r="BB625" s="88"/>
      <c r="BC625" s="85"/>
      <c r="BD625" s="84"/>
      <c r="BE625" s="88"/>
      <c r="BF625" s="85"/>
      <c r="BG625" s="85"/>
      <c r="BH625" s="85">
        <v>300</v>
      </c>
      <c r="BI625" s="85"/>
      <c r="BJ625" s="85"/>
      <c r="BK625" s="85"/>
      <c r="BL625" s="85"/>
      <c r="BM625" s="85"/>
      <c r="BN625" s="85"/>
      <c r="BO625" s="85"/>
      <c r="BP625" s="85"/>
      <c r="BQ625" s="85"/>
      <c r="BR625" s="84"/>
      <c r="BS625" s="85"/>
      <c r="BT625" s="85"/>
      <c r="BU625" s="198"/>
      <c r="BV625" s="90"/>
      <c r="BW625" s="198"/>
      <c r="BX625" s="90"/>
      <c r="BY625" s="198"/>
      <c r="BZ625" s="90"/>
      <c r="CA625" s="91"/>
    </row>
    <row r="626" spans="1:1199" ht="50.1" customHeight="1" outlineLevel="2" x14ac:dyDescent="0.3">
      <c r="A626" s="106" t="s">
        <v>546</v>
      </c>
      <c r="B626" s="111" t="s">
        <v>1001</v>
      </c>
      <c r="C626" s="79"/>
      <c r="D626" s="81">
        <f t="shared" si="142"/>
        <v>300</v>
      </c>
      <c r="E626" s="82">
        <f t="shared" si="135"/>
        <v>0</v>
      </c>
      <c r="F626" s="83">
        <f t="shared" si="143"/>
        <v>300</v>
      </c>
      <c r="G626" s="84"/>
      <c r="H626" s="85"/>
      <c r="I626" s="85"/>
      <c r="J626" s="84"/>
      <c r="K626" s="85"/>
      <c r="L626" s="85"/>
      <c r="M626" s="85"/>
      <c r="N626" s="85"/>
      <c r="O626" s="82"/>
      <c r="P626" s="83"/>
      <c r="Q626" s="83"/>
      <c r="R626" s="83"/>
      <c r="S626" s="82"/>
      <c r="T626" s="83"/>
      <c r="U626" s="83"/>
      <c r="V626" s="84"/>
      <c r="W626" s="85"/>
      <c r="X626" s="87"/>
      <c r="Y626" s="83"/>
      <c r="Z626" s="84"/>
      <c r="AA626" s="85"/>
      <c r="AB626" s="84"/>
      <c r="AC626" s="85"/>
      <c r="AD626" s="89">
        <f t="shared" si="141"/>
        <v>0</v>
      </c>
      <c r="AE626" s="89"/>
      <c r="AF626" s="186"/>
      <c r="AG626" s="85"/>
      <c r="AH626" s="85"/>
      <c r="AI626" s="85"/>
      <c r="AJ626" s="84"/>
      <c r="AK626" s="85"/>
      <c r="AL626" s="84"/>
      <c r="AM626" s="88"/>
      <c r="AN626" s="84"/>
      <c r="AO626" s="85"/>
      <c r="AP626" s="84"/>
      <c r="AQ626" s="83"/>
      <c r="AR626" s="83"/>
      <c r="AS626" s="83"/>
      <c r="AT626" s="85"/>
      <c r="AU626" s="85"/>
      <c r="AV626" s="85"/>
      <c r="AW626" s="88"/>
      <c r="AX626" s="84"/>
      <c r="AY626" s="85"/>
      <c r="AZ626" s="84"/>
      <c r="BA626" s="85"/>
      <c r="BB626" s="88"/>
      <c r="BC626" s="85"/>
      <c r="BD626" s="84"/>
      <c r="BE626" s="88"/>
      <c r="BF626" s="85"/>
      <c r="BG626" s="85"/>
      <c r="BH626" s="85">
        <v>300</v>
      </c>
      <c r="BI626" s="85"/>
      <c r="BJ626" s="85"/>
      <c r="BK626" s="85"/>
      <c r="BL626" s="85"/>
      <c r="BM626" s="85"/>
      <c r="BN626" s="85"/>
      <c r="BO626" s="85"/>
      <c r="BP626" s="85"/>
      <c r="BQ626" s="85"/>
      <c r="BR626" s="84"/>
      <c r="BS626" s="85"/>
      <c r="BT626" s="85"/>
      <c r="BU626" s="198"/>
      <c r="BV626" s="90"/>
      <c r="BW626" s="198"/>
      <c r="BX626" s="90"/>
      <c r="BY626" s="198"/>
      <c r="BZ626" s="90"/>
      <c r="CA626" s="91"/>
    </row>
    <row r="627" spans="1:1199" ht="50.1" customHeight="1" outlineLevel="2" x14ac:dyDescent="0.3">
      <c r="A627" s="106" t="s">
        <v>546</v>
      </c>
      <c r="B627" s="111" t="s">
        <v>565</v>
      </c>
      <c r="C627" s="79"/>
      <c r="D627" s="81">
        <f t="shared" si="142"/>
        <v>34.270000000000003</v>
      </c>
      <c r="E627" s="82">
        <f t="shared" si="135"/>
        <v>0</v>
      </c>
      <c r="F627" s="83">
        <f t="shared" si="143"/>
        <v>34.270000000000003</v>
      </c>
      <c r="G627" s="84"/>
      <c r="H627" s="85"/>
      <c r="I627" s="85"/>
      <c r="J627" s="84"/>
      <c r="K627" s="85"/>
      <c r="L627" s="85"/>
      <c r="M627" s="85"/>
      <c r="N627" s="85"/>
      <c r="O627" s="82"/>
      <c r="P627" s="83"/>
      <c r="Q627" s="83"/>
      <c r="R627" s="83"/>
      <c r="S627" s="82"/>
      <c r="T627" s="83"/>
      <c r="U627" s="83"/>
      <c r="V627" s="84"/>
      <c r="W627" s="85"/>
      <c r="X627" s="87"/>
      <c r="Y627" s="83"/>
      <c r="Z627" s="84"/>
      <c r="AA627" s="85"/>
      <c r="AB627" s="84"/>
      <c r="AC627" s="85"/>
      <c r="AD627" s="89">
        <f t="shared" si="141"/>
        <v>0</v>
      </c>
      <c r="AE627" s="89"/>
      <c r="AF627" s="186"/>
      <c r="AG627" s="85"/>
      <c r="AH627" s="85"/>
      <c r="AI627" s="85"/>
      <c r="AJ627" s="84"/>
      <c r="AK627" s="85"/>
      <c r="AL627" s="84"/>
      <c r="AM627" s="88"/>
      <c r="AN627" s="84"/>
      <c r="AO627" s="85"/>
      <c r="AP627" s="84"/>
      <c r="AQ627" s="83"/>
      <c r="AR627" s="83"/>
      <c r="AS627" s="83"/>
      <c r="AT627" s="85"/>
      <c r="AU627" s="85"/>
      <c r="AV627" s="85"/>
      <c r="AW627" s="88"/>
      <c r="AX627" s="84"/>
      <c r="AY627" s="85"/>
      <c r="AZ627" s="84"/>
      <c r="BA627" s="85"/>
      <c r="BB627" s="88"/>
      <c r="BC627" s="85"/>
      <c r="BD627" s="84"/>
      <c r="BE627" s="88"/>
      <c r="BF627" s="85"/>
      <c r="BG627" s="85"/>
      <c r="BH627" s="85"/>
      <c r="BI627" s="85">
        <v>34.270000000000003</v>
      </c>
      <c r="BJ627" s="85"/>
      <c r="BK627" s="85"/>
      <c r="BL627" s="85"/>
      <c r="BM627" s="85"/>
      <c r="BN627" s="85"/>
      <c r="BO627" s="85"/>
      <c r="BP627" s="85"/>
      <c r="BQ627" s="85"/>
      <c r="BR627" s="84"/>
      <c r="BS627" s="85"/>
      <c r="BT627" s="85"/>
      <c r="BU627" s="198"/>
      <c r="BV627" s="90"/>
      <c r="BW627" s="198"/>
      <c r="BX627" s="90"/>
      <c r="BY627" s="198"/>
      <c r="BZ627" s="90"/>
      <c r="CA627" s="91"/>
    </row>
    <row r="628" spans="1:1199" ht="50.1" customHeight="1" outlineLevel="2" x14ac:dyDescent="0.3">
      <c r="A628" s="106" t="s">
        <v>546</v>
      </c>
      <c r="B628" s="111" t="s">
        <v>566</v>
      </c>
      <c r="C628" s="79"/>
      <c r="D628" s="81">
        <f t="shared" si="142"/>
        <v>24.135999999999999</v>
      </c>
      <c r="E628" s="82">
        <f t="shared" si="135"/>
        <v>0</v>
      </c>
      <c r="F628" s="83">
        <f t="shared" si="143"/>
        <v>24.135999999999999</v>
      </c>
      <c r="G628" s="84"/>
      <c r="H628" s="85"/>
      <c r="I628" s="85"/>
      <c r="J628" s="84"/>
      <c r="K628" s="85"/>
      <c r="L628" s="85"/>
      <c r="M628" s="85"/>
      <c r="N628" s="85"/>
      <c r="O628" s="82"/>
      <c r="P628" s="83"/>
      <c r="Q628" s="83"/>
      <c r="R628" s="83"/>
      <c r="S628" s="82"/>
      <c r="T628" s="83"/>
      <c r="U628" s="83"/>
      <c r="V628" s="84"/>
      <c r="W628" s="85"/>
      <c r="X628" s="87"/>
      <c r="Y628" s="83"/>
      <c r="Z628" s="84"/>
      <c r="AA628" s="85"/>
      <c r="AB628" s="84"/>
      <c r="AC628" s="85"/>
      <c r="AD628" s="89">
        <f t="shared" si="141"/>
        <v>0</v>
      </c>
      <c r="AE628" s="89"/>
      <c r="AF628" s="186"/>
      <c r="AG628" s="85"/>
      <c r="AH628" s="85"/>
      <c r="AI628" s="85"/>
      <c r="AJ628" s="84"/>
      <c r="AK628" s="85"/>
      <c r="AL628" s="84"/>
      <c r="AM628" s="88"/>
      <c r="AN628" s="84"/>
      <c r="AO628" s="85"/>
      <c r="AP628" s="84"/>
      <c r="AQ628" s="83"/>
      <c r="AR628" s="83"/>
      <c r="AS628" s="83"/>
      <c r="AT628" s="85"/>
      <c r="AU628" s="85"/>
      <c r="AV628" s="85"/>
      <c r="AW628" s="88"/>
      <c r="AX628" s="84"/>
      <c r="AY628" s="85"/>
      <c r="AZ628" s="84"/>
      <c r="BA628" s="85"/>
      <c r="BB628" s="88"/>
      <c r="BC628" s="85"/>
      <c r="BD628" s="84"/>
      <c r="BE628" s="88"/>
      <c r="BF628" s="85"/>
      <c r="BG628" s="85"/>
      <c r="BH628" s="85"/>
      <c r="BI628" s="85">
        <v>24.135999999999999</v>
      </c>
      <c r="BJ628" s="85"/>
      <c r="BK628" s="85"/>
      <c r="BL628" s="85"/>
      <c r="BM628" s="85"/>
      <c r="BN628" s="85"/>
      <c r="BO628" s="85"/>
      <c r="BP628" s="85"/>
      <c r="BQ628" s="85"/>
      <c r="BR628" s="84"/>
      <c r="BS628" s="85"/>
      <c r="BT628" s="85"/>
      <c r="BU628" s="198"/>
      <c r="BV628" s="90"/>
      <c r="BW628" s="198"/>
      <c r="BX628" s="90"/>
      <c r="BY628" s="198"/>
      <c r="BZ628" s="90"/>
      <c r="CA628" s="91"/>
    </row>
    <row r="629" spans="1:1199" ht="50.1" customHeight="1" outlineLevel="2" x14ac:dyDescent="0.3">
      <c r="A629" s="106" t="s">
        <v>546</v>
      </c>
      <c r="B629" s="111" t="s">
        <v>1080</v>
      </c>
      <c r="C629" s="79"/>
      <c r="D629" s="81">
        <f t="shared" si="142"/>
        <v>300</v>
      </c>
      <c r="E629" s="82">
        <f t="shared" si="135"/>
        <v>0</v>
      </c>
      <c r="F629" s="83">
        <f t="shared" si="143"/>
        <v>300</v>
      </c>
      <c r="G629" s="84"/>
      <c r="H629" s="85"/>
      <c r="I629" s="85"/>
      <c r="J629" s="84"/>
      <c r="K629" s="85"/>
      <c r="L629" s="85"/>
      <c r="M629" s="85"/>
      <c r="N629" s="85"/>
      <c r="O629" s="82"/>
      <c r="P629" s="83"/>
      <c r="Q629" s="83"/>
      <c r="R629" s="83"/>
      <c r="S629" s="82"/>
      <c r="T629" s="83"/>
      <c r="U629" s="83"/>
      <c r="V629" s="84"/>
      <c r="W629" s="85"/>
      <c r="X629" s="87"/>
      <c r="Y629" s="83"/>
      <c r="Z629" s="84"/>
      <c r="AA629" s="85"/>
      <c r="AB629" s="84"/>
      <c r="AC629" s="85"/>
      <c r="AD629" s="89"/>
      <c r="AE629" s="89"/>
      <c r="AF629" s="186"/>
      <c r="AG629" s="85"/>
      <c r="AH629" s="85"/>
      <c r="AI629" s="85"/>
      <c r="AJ629" s="84"/>
      <c r="AK629" s="85"/>
      <c r="AL629" s="84"/>
      <c r="AM629" s="88"/>
      <c r="AN629" s="84"/>
      <c r="AO629" s="85"/>
      <c r="AP629" s="84"/>
      <c r="AQ629" s="83"/>
      <c r="AR629" s="83"/>
      <c r="AS629" s="83"/>
      <c r="AT629" s="85"/>
      <c r="AU629" s="85"/>
      <c r="AV629" s="85"/>
      <c r="AW629" s="88"/>
      <c r="AX629" s="84"/>
      <c r="AY629" s="85"/>
      <c r="AZ629" s="84"/>
      <c r="BA629" s="85"/>
      <c r="BB629" s="88"/>
      <c r="BC629" s="85"/>
      <c r="BD629" s="84"/>
      <c r="BE629" s="88"/>
      <c r="BF629" s="85"/>
      <c r="BG629" s="85"/>
      <c r="BH629" s="85">
        <v>300</v>
      </c>
      <c r="BI629" s="85"/>
      <c r="BJ629" s="85"/>
      <c r="BK629" s="85"/>
      <c r="BL629" s="85"/>
      <c r="BM629" s="85"/>
      <c r="BN629" s="85"/>
      <c r="BO629" s="85"/>
      <c r="BP629" s="85"/>
      <c r="BQ629" s="85"/>
      <c r="BR629" s="84"/>
      <c r="BS629" s="85"/>
      <c r="BT629" s="85"/>
      <c r="BU629" s="198"/>
      <c r="BV629" s="90"/>
      <c r="BW629" s="198"/>
      <c r="BX629" s="90"/>
      <c r="BY629" s="198"/>
      <c r="BZ629" s="90"/>
      <c r="CA629" s="91"/>
    </row>
    <row r="630" spans="1:1199" ht="50.1" customHeight="1" outlineLevel="2" x14ac:dyDescent="0.3">
      <c r="A630" s="106" t="s">
        <v>546</v>
      </c>
      <c r="B630" s="111" t="s">
        <v>1081</v>
      </c>
      <c r="C630" s="79"/>
      <c r="D630" s="81">
        <f t="shared" si="142"/>
        <v>300</v>
      </c>
      <c r="E630" s="82">
        <f t="shared" si="135"/>
        <v>0</v>
      </c>
      <c r="F630" s="83">
        <f t="shared" si="143"/>
        <v>300</v>
      </c>
      <c r="G630" s="84"/>
      <c r="H630" s="85"/>
      <c r="I630" s="85"/>
      <c r="J630" s="84"/>
      <c r="K630" s="85"/>
      <c r="L630" s="85"/>
      <c r="M630" s="85"/>
      <c r="N630" s="85"/>
      <c r="O630" s="82"/>
      <c r="P630" s="83"/>
      <c r="Q630" s="83"/>
      <c r="R630" s="83"/>
      <c r="S630" s="82"/>
      <c r="T630" s="83"/>
      <c r="U630" s="83"/>
      <c r="V630" s="84"/>
      <c r="W630" s="85"/>
      <c r="X630" s="87"/>
      <c r="Y630" s="83"/>
      <c r="Z630" s="84"/>
      <c r="AA630" s="85"/>
      <c r="AB630" s="84"/>
      <c r="AC630" s="85"/>
      <c r="AD630" s="89"/>
      <c r="AE630" s="89"/>
      <c r="AF630" s="186"/>
      <c r="AG630" s="85"/>
      <c r="AH630" s="85"/>
      <c r="AI630" s="85"/>
      <c r="AJ630" s="84"/>
      <c r="AK630" s="85"/>
      <c r="AL630" s="84"/>
      <c r="AM630" s="88"/>
      <c r="AN630" s="84"/>
      <c r="AO630" s="85"/>
      <c r="AP630" s="84"/>
      <c r="AQ630" s="83"/>
      <c r="AR630" s="83"/>
      <c r="AS630" s="83"/>
      <c r="AT630" s="85"/>
      <c r="AU630" s="85"/>
      <c r="AV630" s="85"/>
      <c r="AW630" s="88"/>
      <c r="AX630" s="84"/>
      <c r="AY630" s="85"/>
      <c r="AZ630" s="84"/>
      <c r="BA630" s="85"/>
      <c r="BB630" s="88"/>
      <c r="BC630" s="85"/>
      <c r="BD630" s="84"/>
      <c r="BE630" s="88"/>
      <c r="BF630" s="85"/>
      <c r="BG630" s="85"/>
      <c r="BH630" s="85">
        <v>300</v>
      </c>
      <c r="BI630" s="85"/>
      <c r="BJ630" s="85"/>
      <c r="BK630" s="85"/>
      <c r="BL630" s="85"/>
      <c r="BM630" s="85"/>
      <c r="BN630" s="85"/>
      <c r="BO630" s="85"/>
      <c r="BP630" s="85"/>
      <c r="BQ630" s="85"/>
      <c r="BR630" s="84"/>
      <c r="BS630" s="85"/>
      <c r="BT630" s="85"/>
      <c r="BU630" s="198"/>
      <c r="BV630" s="90"/>
      <c r="BW630" s="198"/>
      <c r="BX630" s="90"/>
      <c r="BY630" s="198"/>
      <c r="BZ630" s="90"/>
      <c r="CA630" s="91"/>
    </row>
    <row r="631" spans="1:1199" ht="50.1" customHeight="1" outlineLevel="2" x14ac:dyDescent="0.3">
      <c r="A631" s="106" t="s">
        <v>546</v>
      </c>
      <c r="B631" s="111" t="s">
        <v>1002</v>
      </c>
      <c r="C631" s="79"/>
      <c r="D631" s="81">
        <f t="shared" si="142"/>
        <v>300</v>
      </c>
      <c r="E631" s="82">
        <f t="shared" si="135"/>
        <v>0</v>
      </c>
      <c r="F631" s="83">
        <f t="shared" si="143"/>
        <v>300</v>
      </c>
      <c r="G631" s="84"/>
      <c r="H631" s="85"/>
      <c r="I631" s="85"/>
      <c r="J631" s="84"/>
      <c r="K631" s="85"/>
      <c r="L631" s="85"/>
      <c r="M631" s="85"/>
      <c r="N631" s="85"/>
      <c r="O631" s="82"/>
      <c r="P631" s="83"/>
      <c r="Q631" s="83"/>
      <c r="R631" s="83"/>
      <c r="S631" s="82"/>
      <c r="T631" s="83"/>
      <c r="U631" s="83"/>
      <c r="V631" s="84"/>
      <c r="W631" s="85"/>
      <c r="X631" s="87"/>
      <c r="Y631" s="83"/>
      <c r="Z631" s="84"/>
      <c r="AA631" s="85"/>
      <c r="AB631" s="84"/>
      <c r="AC631" s="85"/>
      <c r="AD631" s="89">
        <f t="shared" si="141"/>
        <v>0</v>
      </c>
      <c r="AE631" s="89"/>
      <c r="AF631" s="186"/>
      <c r="AG631" s="85"/>
      <c r="AH631" s="85"/>
      <c r="AI631" s="85"/>
      <c r="AJ631" s="84"/>
      <c r="AK631" s="85"/>
      <c r="AL631" s="84"/>
      <c r="AM631" s="88"/>
      <c r="AN631" s="84"/>
      <c r="AO631" s="85"/>
      <c r="AP631" s="84"/>
      <c r="AQ631" s="83"/>
      <c r="AR631" s="83"/>
      <c r="AS631" s="83"/>
      <c r="AT631" s="85"/>
      <c r="AU631" s="85"/>
      <c r="AV631" s="85"/>
      <c r="AW631" s="88"/>
      <c r="AX631" s="84"/>
      <c r="AY631" s="85"/>
      <c r="AZ631" s="84"/>
      <c r="BA631" s="85"/>
      <c r="BB631" s="88"/>
      <c r="BC631" s="85"/>
      <c r="BD631" s="84"/>
      <c r="BE631" s="88"/>
      <c r="BF631" s="85"/>
      <c r="BG631" s="85"/>
      <c r="BH631" s="85">
        <v>300</v>
      </c>
      <c r="BI631" s="85"/>
      <c r="BJ631" s="85"/>
      <c r="BK631" s="85"/>
      <c r="BL631" s="85"/>
      <c r="BM631" s="85"/>
      <c r="BN631" s="85"/>
      <c r="BO631" s="85"/>
      <c r="BP631" s="85"/>
      <c r="BQ631" s="85"/>
      <c r="BR631" s="84"/>
      <c r="BS631" s="85"/>
      <c r="BT631" s="85"/>
      <c r="BU631" s="198"/>
      <c r="BV631" s="90"/>
      <c r="BW631" s="198"/>
      <c r="BX631" s="90"/>
      <c r="BY631" s="198"/>
      <c r="BZ631" s="90"/>
      <c r="CA631" s="91"/>
    </row>
    <row r="632" spans="1:1199" ht="50.1" customHeight="1" outlineLevel="2" x14ac:dyDescent="0.3">
      <c r="A632" s="106" t="s">
        <v>546</v>
      </c>
      <c r="B632" s="111" t="s">
        <v>1108</v>
      </c>
      <c r="C632" s="79"/>
      <c r="D632" s="81">
        <f t="shared" si="142"/>
        <v>300</v>
      </c>
      <c r="E632" s="82">
        <f t="shared" si="135"/>
        <v>0</v>
      </c>
      <c r="F632" s="83">
        <f t="shared" si="143"/>
        <v>300</v>
      </c>
      <c r="G632" s="84"/>
      <c r="H632" s="85"/>
      <c r="I632" s="85"/>
      <c r="J632" s="84"/>
      <c r="K632" s="85"/>
      <c r="L632" s="85"/>
      <c r="M632" s="85"/>
      <c r="N632" s="85"/>
      <c r="O632" s="82"/>
      <c r="P632" s="83"/>
      <c r="Q632" s="83"/>
      <c r="R632" s="83"/>
      <c r="S632" s="82"/>
      <c r="T632" s="83"/>
      <c r="U632" s="83"/>
      <c r="V632" s="84"/>
      <c r="W632" s="85"/>
      <c r="X632" s="87"/>
      <c r="Y632" s="83"/>
      <c r="Z632" s="84"/>
      <c r="AA632" s="85"/>
      <c r="AB632" s="84"/>
      <c r="AC632" s="85"/>
      <c r="AD632" s="89"/>
      <c r="AE632" s="89"/>
      <c r="AF632" s="186"/>
      <c r="AG632" s="85"/>
      <c r="AH632" s="85"/>
      <c r="AI632" s="85"/>
      <c r="AJ632" s="84"/>
      <c r="AK632" s="85"/>
      <c r="AL632" s="84"/>
      <c r="AM632" s="88"/>
      <c r="AN632" s="84"/>
      <c r="AO632" s="85"/>
      <c r="AP632" s="84"/>
      <c r="AQ632" s="83"/>
      <c r="AR632" s="83"/>
      <c r="AS632" s="83"/>
      <c r="AT632" s="85"/>
      <c r="AU632" s="85"/>
      <c r="AV632" s="85"/>
      <c r="AW632" s="88"/>
      <c r="AX632" s="84"/>
      <c r="AY632" s="85"/>
      <c r="AZ632" s="84"/>
      <c r="BA632" s="85"/>
      <c r="BB632" s="88"/>
      <c r="BC632" s="85"/>
      <c r="BD632" s="84"/>
      <c r="BE632" s="88"/>
      <c r="BF632" s="85"/>
      <c r="BG632" s="85"/>
      <c r="BH632" s="85">
        <v>300</v>
      </c>
      <c r="BI632" s="85"/>
      <c r="BJ632" s="85"/>
      <c r="BK632" s="85"/>
      <c r="BL632" s="85"/>
      <c r="BM632" s="85"/>
      <c r="BN632" s="85"/>
      <c r="BO632" s="85"/>
      <c r="BP632" s="85"/>
      <c r="BQ632" s="85"/>
      <c r="BR632" s="84"/>
      <c r="BS632" s="85"/>
      <c r="BT632" s="85"/>
      <c r="BU632" s="198"/>
      <c r="BV632" s="90"/>
      <c r="BW632" s="198"/>
      <c r="BX632" s="90"/>
      <c r="BY632" s="198"/>
      <c r="BZ632" s="90"/>
      <c r="CA632" s="91"/>
    </row>
    <row r="633" spans="1:1199" ht="50.1" customHeight="1" outlineLevel="2" x14ac:dyDescent="0.3">
      <c r="A633" s="106" t="s">
        <v>546</v>
      </c>
      <c r="B633" s="111" t="s">
        <v>1122</v>
      </c>
      <c r="C633" s="79"/>
      <c r="D633" s="81">
        <f t="shared" si="142"/>
        <v>27.57</v>
      </c>
      <c r="E633" s="82">
        <f t="shared" si="135"/>
        <v>0</v>
      </c>
      <c r="F633" s="83">
        <f t="shared" si="143"/>
        <v>27.57</v>
      </c>
      <c r="G633" s="84"/>
      <c r="H633" s="85"/>
      <c r="I633" s="85"/>
      <c r="J633" s="84"/>
      <c r="K633" s="85"/>
      <c r="L633" s="85"/>
      <c r="M633" s="85"/>
      <c r="N633" s="85"/>
      <c r="O633" s="82"/>
      <c r="P633" s="83"/>
      <c r="Q633" s="83"/>
      <c r="R633" s="83"/>
      <c r="S633" s="82"/>
      <c r="T633" s="83"/>
      <c r="U633" s="83"/>
      <c r="V633" s="84"/>
      <c r="W633" s="85"/>
      <c r="X633" s="87"/>
      <c r="Y633" s="83"/>
      <c r="Z633" s="84"/>
      <c r="AA633" s="85"/>
      <c r="AB633" s="84"/>
      <c r="AC633" s="85"/>
      <c r="AD633" s="89"/>
      <c r="AE633" s="89"/>
      <c r="AF633" s="186"/>
      <c r="AG633" s="85"/>
      <c r="AH633" s="85"/>
      <c r="AI633" s="85"/>
      <c r="AJ633" s="84"/>
      <c r="AK633" s="85"/>
      <c r="AL633" s="84"/>
      <c r="AM633" s="88"/>
      <c r="AN633" s="84"/>
      <c r="AO633" s="85"/>
      <c r="AP633" s="84"/>
      <c r="AQ633" s="83"/>
      <c r="AR633" s="83"/>
      <c r="AS633" s="83"/>
      <c r="AT633" s="85"/>
      <c r="AU633" s="85"/>
      <c r="AV633" s="85"/>
      <c r="AW633" s="88"/>
      <c r="AX633" s="84"/>
      <c r="AY633" s="85"/>
      <c r="AZ633" s="84"/>
      <c r="BA633" s="85"/>
      <c r="BB633" s="88"/>
      <c r="BC633" s="85"/>
      <c r="BD633" s="84"/>
      <c r="BE633" s="88"/>
      <c r="BF633" s="85"/>
      <c r="BG633" s="85"/>
      <c r="BH633" s="85"/>
      <c r="BI633" s="85">
        <v>27.57</v>
      </c>
      <c r="BJ633" s="85"/>
      <c r="BK633" s="85"/>
      <c r="BL633" s="85"/>
      <c r="BM633" s="85"/>
      <c r="BN633" s="85"/>
      <c r="BO633" s="85"/>
      <c r="BP633" s="85"/>
      <c r="BQ633" s="85"/>
      <c r="BR633" s="84"/>
      <c r="BS633" s="85"/>
      <c r="BT633" s="85"/>
      <c r="BU633" s="198"/>
      <c r="BV633" s="90"/>
      <c r="BW633" s="198"/>
      <c r="BX633" s="90"/>
      <c r="BY633" s="198"/>
      <c r="BZ633" s="90"/>
      <c r="CA633" s="91"/>
    </row>
    <row r="634" spans="1:1199" ht="50.1" customHeight="1" outlineLevel="2" x14ac:dyDescent="0.3">
      <c r="A634" s="106" t="s">
        <v>546</v>
      </c>
      <c r="B634" s="111" t="s">
        <v>1107</v>
      </c>
      <c r="C634" s="79"/>
      <c r="D634" s="81">
        <f t="shared" si="142"/>
        <v>300</v>
      </c>
      <c r="E634" s="82">
        <f t="shared" si="135"/>
        <v>0</v>
      </c>
      <c r="F634" s="83">
        <f t="shared" si="143"/>
        <v>300</v>
      </c>
      <c r="G634" s="84"/>
      <c r="H634" s="85"/>
      <c r="I634" s="85"/>
      <c r="J634" s="84"/>
      <c r="K634" s="85"/>
      <c r="L634" s="85"/>
      <c r="M634" s="85"/>
      <c r="N634" s="85"/>
      <c r="O634" s="82"/>
      <c r="P634" s="83"/>
      <c r="Q634" s="83"/>
      <c r="R634" s="83"/>
      <c r="S634" s="82"/>
      <c r="T634" s="83"/>
      <c r="U634" s="83"/>
      <c r="V634" s="84"/>
      <c r="W634" s="85"/>
      <c r="X634" s="87"/>
      <c r="Y634" s="83"/>
      <c r="Z634" s="84"/>
      <c r="AA634" s="85"/>
      <c r="AB634" s="84"/>
      <c r="AC634" s="85"/>
      <c r="AD634" s="89"/>
      <c r="AE634" s="89"/>
      <c r="AF634" s="186"/>
      <c r="AG634" s="85"/>
      <c r="AH634" s="85"/>
      <c r="AI634" s="85"/>
      <c r="AJ634" s="84"/>
      <c r="AK634" s="85"/>
      <c r="AL634" s="84"/>
      <c r="AM634" s="88"/>
      <c r="AN634" s="84"/>
      <c r="AO634" s="85"/>
      <c r="AP634" s="84"/>
      <c r="AQ634" s="83"/>
      <c r="AR634" s="83"/>
      <c r="AS634" s="83"/>
      <c r="AT634" s="85"/>
      <c r="AU634" s="85"/>
      <c r="AV634" s="85"/>
      <c r="AW634" s="88"/>
      <c r="AX634" s="84"/>
      <c r="AY634" s="85"/>
      <c r="AZ634" s="84"/>
      <c r="BA634" s="85"/>
      <c r="BB634" s="88"/>
      <c r="BC634" s="85"/>
      <c r="BD634" s="84"/>
      <c r="BE634" s="88"/>
      <c r="BF634" s="85"/>
      <c r="BG634" s="85"/>
      <c r="BH634" s="85">
        <v>300</v>
      </c>
      <c r="BI634" s="85"/>
      <c r="BJ634" s="85"/>
      <c r="BK634" s="85"/>
      <c r="BL634" s="85"/>
      <c r="BM634" s="85"/>
      <c r="BN634" s="85"/>
      <c r="BO634" s="85"/>
      <c r="BP634" s="85"/>
      <c r="BQ634" s="85"/>
      <c r="BR634" s="84"/>
      <c r="BS634" s="85"/>
      <c r="BT634" s="85"/>
      <c r="BU634" s="198"/>
      <c r="BV634" s="90"/>
      <c r="BW634" s="198"/>
      <c r="BX634" s="90"/>
      <c r="BY634" s="198"/>
      <c r="BZ634" s="90"/>
      <c r="CA634" s="91"/>
    </row>
    <row r="635" spans="1:1199" ht="50.1" customHeight="1" outlineLevel="2" x14ac:dyDescent="0.3">
      <c r="A635" s="106" t="s">
        <v>546</v>
      </c>
      <c r="B635" s="111" t="s">
        <v>1135</v>
      </c>
      <c r="C635" s="79"/>
      <c r="D635" s="81">
        <f t="shared" si="142"/>
        <v>300</v>
      </c>
      <c r="E635" s="82">
        <f t="shared" si="135"/>
        <v>0</v>
      </c>
      <c r="F635" s="83">
        <f t="shared" si="143"/>
        <v>300</v>
      </c>
      <c r="G635" s="84"/>
      <c r="H635" s="85"/>
      <c r="I635" s="85"/>
      <c r="J635" s="84"/>
      <c r="K635" s="85"/>
      <c r="L635" s="85"/>
      <c r="M635" s="85"/>
      <c r="N635" s="85"/>
      <c r="O635" s="82"/>
      <c r="P635" s="83"/>
      <c r="Q635" s="83"/>
      <c r="R635" s="83"/>
      <c r="S635" s="82"/>
      <c r="T635" s="83"/>
      <c r="U635" s="83"/>
      <c r="V635" s="84"/>
      <c r="W635" s="85"/>
      <c r="X635" s="87"/>
      <c r="Y635" s="83"/>
      <c r="Z635" s="84"/>
      <c r="AA635" s="85"/>
      <c r="AB635" s="84"/>
      <c r="AC635" s="85"/>
      <c r="AD635" s="89"/>
      <c r="AE635" s="89"/>
      <c r="AF635" s="186"/>
      <c r="AG635" s="85"/>
      <c r="AH635" s="85"/>
      <c r="AI635" s="85"/>
      <c r="AJ635" s="84"/>
      <c r="AK635" s="85"/>
      <c r="AL635" s="84"/>
      <c r="AM635" s="88"/>
      <c r="AN635" s="84"/>
      <c r="AO635" s="85"/>
      <c r="AP635" s="84"/>
      <c r="AQ635" s="83"/>
      <c r="AR635" s="83"/>
      <c r="AS635" s="83"/>
      <c r="AT635" s="85"/>
      <c r="AU635" s="85"/>
      <c r="AV635" s="85"/>
      <c r="AW635" s="88"/>
      <c r="AX635" s="84"/>
      <c r="AY635" s="85"/>
      <c r="AZ635" s="84"/>
      <c r="BA635" s="85"/>
      <c r="BB635" s="88"/>
      <c r="BC635" s="85"/>
      <c r="BD635" s="84"/>
      <c r="BE635" s="88"/>
      <c r="BF635" s="85"/>
      <c r="BG635" s="85"/>
      <c r="BH635" s="85">
        <v>300</v>
      </c>
      <c r="BI635" s="85"/>
      <c r="BJ635" s="85"/>
      <c r="BK635" s="85"/>
      <c r="BL635" s="85"/>
      <c r="BM635" s="85"/>
      <c r="BN635" s="85"/>
      <c r="BO635" s="85"/>
      <c r="BP635" s="85"/>
      <c r="BQ635" s="85"/>
      <c r="BR635" s="84"/>
      <c r="BS635" s="85"/>
      <c r="BT635" s="85"/>
      <c r="BU635" s="198"/>
      <c r="BV635" s="90"/>
      <c r="BW635" s="198"/>
      <c r="BX635" s="90"/>
      <c r="BY635" s="198"/>
      <c r="BZ635" s="90"/>
      <c r="CA635" s="91"/>
    </row>
    <row r="636" spans="1:1199" ht="50.1" customHeight="1" outlineLevel="2" x14ac:dyDescent="0.3">
      <c r="A636" s="106" t="s">
        <v>546</v>
      </c>
      <c r="B636" s="111" t="s">
        <v>1134</v>
      </c>
      <c r="C636" s="79"/>
      <c r="D636" s="81">
        <f t="shared" si="142"/>
        <v>300</v>
      </c>
      <c r="E636" s="82">
        <f t="shared" si="135"/>
        <v>0</v>
      </c>
      <c r="F636" s="83">
        <f t="shared" si="143"/>
        <v>300</v>
      </c>
      <c r="G636" s="84"/>
      <c r="H636" s="85"/>
      <c r="I636" s="85"/>
      <c r="J636" s="84"/>
      <c r="K636" s="85"/>
      <c r="L636" s="85"/>
      <c r="M636" s="85"/>
      <c r="N636" s="85"/>
      <c r="O636" s="82"/>
      <c r="P636" s="83"/>
      <c r="Q636" s="83"/>
      <c r="R636" s="83"/>
      <c r="S636" s="82"/>
      <c r="T636" s="83"/>
      <c r="U636" s="83"/>
      <c r="V636" s="84"/>
      <c r="W636" s="85"/>
      <c r="X636" s="87"/>
      <c r="Y636" s="83"/>
      <c r="Z636" s="84"/>
      <c r="AA636" s="85"/>
      <c r="AB636" s="84"/>
      <c r="AC636" s="85"/>
      <c r="AD636" s="89"/>
      <c r="AE636" s="89"/>
      <c r="AF636" s="186"/>
      <c r="AG636" s="85"/>
      <c r="AH636" s="85"/>
      <c r="AI636" s="85"/>
      <c r="AJ636" s="84"/>
      <c r="AK636" s="85"/>
      <c r="AL636" s="84"/>
      <c r="AM636" s="88"/>
      <c r="AN636" s="84"/>
      <c r="AO636" s="85"/>
      <c r="AP636" s="84"/>
      <c r="AQ636" s="83"/>
      <c r="AR636" s="83"/>
      <c r="AS636" s="83"/>
      <c r="AT636" s="85"/>
      <c r="AU636" s="85"/>
      <c r="AV636" s="85"/>
      <c r="AW636" s="88"/>
      <c r="AX636" s="84"/>
      <c r="AY636" s="85"/>
      <c r="AZ636" s="84"/>
      <c r="BA636" s="85"/>
      <c r="BB636" s="88"/>
      <c r="BC636" s="85"/>
      <c r="BD636" s="84"/>
      <c r="BE636" s="88"/>
      <c r="BF636" s="85"/>
      <c r="BG636" s="85"/>
      <c r="BH636" s="85">
        <v>300</v>
      </c>
      <c r="BI636" s="85"/>
      <c r="BJ636" s="85"/>
      <c r="BK636" s="85"/>
      <c r="BL636" s="85"/>
      <c r="BM636" s="85"/>
      <c r="BN636" s="85"/>
      <c r="BO636" s="85"/>
      <c r="BP636" s="85"/>
      <c r="BQ636" s="85"/>
      <c r="BR636" s="84"/>
      <c r="BS636" s="85"/>
      <c r="BT636" s="85"/>
      <c r="BU636" s="198"/>
      <c r="BV636" s="90"/>
      <c r="BW636" s="198"/>
      <c r="BX636" s="90"/>
      <c r="BY636" s="198"/>
      <c r="BZ636" s="90"/>
      <c r="CA636" s="91"/>
    </row>
    <row r="637" spans="1:1199" ht="50.1" customHeight="1" outlineLevel="2" x14ac:dyDescent="0.3">
      <c r="A637" s="106" t="s">
        <v>546</v>
      </c>
      <c r="B637" s="111" t="s">
        <v>1003</v>
      </c>
      <c r="C637" s="79"/>
      <c r="D637" s="81">
        <f t="shared" si="142"/>
        <v>300</v>
      </c>
      <c r="E637" s="82">
        <f t="shared" ref="E637:E681" si="146">G637+J637+O637+S637+V637+X637+Z637+AB637+AJ637+AL637+AN637+AP637+AX637+AZ637+BD637+BV637+BX637+BZ637+BR637</f>
        <v>0</v>
      </c>
      <c r="F637" s="83">
        <f t="shared" si="143"/>
        <v>300</v>
      </c>
      <c r="G637" s="84"/>
      <c r="H637" s="85"/>
      <c r="I637" s="85"/>
      <c r="J637" s="84"/>
      <c r="K637" s="85"/>
      <c r="L637" s="85"/>
      <c r="M637" s="85"/>
      <c r="N637" s="85"/>
      <c r="O637" s="82"/>
      <c r="P637" s="83"/>
      <c r="Q637" s="83"/>
      <c r="R637" s="83"/>
      <c r="S637" s="82"/>
      <c r="T637" s="83"/>
      <c r="U637" s="83"/>
      <c r="V637" s="84"/>
      <c r="W637" s="85"/>
      <c r="X637" s="87"/>
      <c r="Y637" s="83"/>
      <c r="Z637" s="84"/>
      <c r="AA637" s="85"/>
      <c r="AB637" s="84"/>
      <c r="AC637" s="85"/>
      <c r="AD637" s="89">
        <f t="shared" ref="AD637:AD682" si="147">AE637+AF637</f>
        <v>0</v>
      </c>
      <c r="AE637" s="89"/>
      <c r="AF637" s="186"/>
      <c r="AG637" s="85"/>
      <c r="AH637" s="85"/>
      <c r="AI637" s="85"/>
      <c r="AJ637" s="84"/>
      <c r="AK637" s="85"/>
      <c r="AL637" s="84"/>
      <c r="AM637" s="88"/>
      <c r="AN637" s="84"/>
      <c r="AO637" s="85"/>
      <c r="AP637" s="84"/>
      <c r="AQ637" s="83"/>
      <c r="AR637" s="83"/>
      <c r="AS637" s="83"/>
      <c r="AT637" s="85"/>
      <c r="AU637" s="85"/>
      <c r="AV637" s="85"/>
      <c r="AW637" s="88"/>
      <c r="AX637" s="84"/>
      <c r="AY637" s="85"/>
      <c r="AZ637" s="84"/>
      <c r="BA637" s="85"/>
      <c r="BB637" s="88"/>
      <c r="BC637" s="85"/>
      <c r="BD637" s="84"/>
      <c r="BE637" s="88"/>
      <c r="BF637" s="85"/>
      <c r="BG637" s="85"/>
      <c r="BH637" s="85">
        <v>300</v>
      </c>
      <c r="BI637" s="85"/>
      <c r="BJ637" s="85"/>
      <c r="BK637" s="85"/>
      <c r="BL637" s="85"/>
      <c r="BM637" s="85"/>
      <c r="BN637" s="85"/>
      <c r="BO637" s="85"/>
      <c r="BP637" s="85"/>
      <c r="BQ637" s="85"/>
      <c r="BR637" s="84"/>
      <c r="BS637" s="85"/>
      <c r="BT637" s="85"/>
      <c r="BU637" s="198"/>
      <c r="BV637" s="90"/>
      <c r="BW637" s="198"/>
      <c r="BX637" s="90"/>
      <c r="BY637" s="198"/>
      <c r="BZ637" s="90"/>
      <c r="CA637" s="91"/>
    </row>
    <row r="638" spans="1:1199" s="101" customFormat="1" ht="50.1" customHeight="1" outlineLevel="1" x14ac:dyDescent="0.3">
      <c r="A638" s="228" t="s">
        <v>567</v>
      </c>
      <c r="B638" s="229"/>
      <c r="C638" s="134" t="s">
        <v>94</v>
      </c>
      <c r="D638" s="114">
        <f t="shared" ref="D638:AI638" si="148">SUBTOTAL(9,D594:D637)</f>
        <v>312032.51394999993</v>
      </c>
      <c r="E638" s="114">
        <f t="shared" si="148"/>
        <v>91758.678980000026</v>
      </c>
      <c r="F638" s="114">
        <f t="shared" si="148"/>
        <v>220273.83496999988</v>
      </c>
      <c r="G638" s="114">
        <f t="shared" si="148"/>
        <v>1145.8331800000001</v>
      </c>
      <c r="H638" s="114">
        <f t="shared" si="148"/>
        <v>241.89973000000001</v>
      </c>
      <c r="I638" s="114">
        <f t="shared" si="148"/>
        <v>277.09620000000001</v>
      </c>
      <c r="J638" s="114">
        <f t="shared" si="148"/>
        <v>3254.3318199999994</v>
      </c>
      <c r="K638" s="114">
        <f t="shared" si="148"/>
        <v>1071.17679</v>
      </c>
      <c r="L638" s="114">
        <f t="shared" si="148"/>
        <v>24376.520579999997</v>
      </c>
      <c r="M638" s="114">
        <f t="shared" si="148"/>
        <v>0</v>
      </c>
      <c r="N638" s="114">
        <f t="shared" si="148"/>
        <v>0</v>
      </c>
      <c r="O638" s="114">
        <f t="shared" si="148"/>
        <v>0</v>
      </c>
      <c r="P638" s="114">
        <f t="shared" si="148"/>
        <v>0</v>
      </c>
      <c r="Q638" s="114">
        <f t="shared" si="148"/>
        <v>7419.4645700000001</v>
      </c>
      <c r="R638" s="114">
        <f t="shared" si="148"/>
        <v>0</v>
      </c>
      <c r="S638" s="114">
        <f t="shared" si="148"/>
        <v>6546.7467799999995</v>
      </c>
      <c r="T638" s="114">
        <f t="shared" si="148"/>
        <v>5878.1406999999999</v>
      </c>
      <c r="U638" s="114">
        <f t="shared" si="148"/>
        <v>0</v>
      </c>
      <c r="V638" s="114">
        <f t="shared" si="148"/>
        <v>2581.9489899999994</v>
      </c>
      <c r="W638" s="114">
        <f t="shared" si="148"/>
        <v>6549.2454400000006</v>
      </c>
      <c r="X638" s="114">
        <f t="shared" si="148"/>
        <v>0</v>
      </c>
      <c r="Y638" s="114">
        <f t="shared" si="148"/>
        <v>3111.498</v>
      </c>
      <c r="Z638" s="114">
        <f t="shared" si="148"/>
        <v>0</v>
      </c>
      <c r="AA638" s="114">
        <f t="shared" si="148"/>
        <v>1814.6089000000002</v>
      </c>
      <c r="AB638" s="114">
        <f t="shared" si="148"/>
        <v>0</v>
      </c>
      <c r="AC638" s="114">
        <f t="shared" si="148"/>
        <v>0</v>
      </c>
      <c r="AD638" s="114">
        <f t="shared" si="148"/>
        <v>12692.695319999997</v>
      </c>
      <c r="AE638" s="114">
        <f t="shared" si="148"/>
        <v>3391.5334000000003</v>
      </c>
      <c r="AF638" s="191">
        <f t="shared" si="148"/>
        <v>9301.1619200000023</v>
      </c>
      <c r="AG638" s="114">
        <f t="shared" si="148"/>
        <v>0</v>
      </c>
      <c r="AH638" s="114">
        <f t="shared" si="148"/>
        <v>0</v>
      </c>
      <c r="AI638" s="114">
        <f t="shared" si="148"/>
        <v>0</v>
      </c>
      <c r="AJ638" s="114">
        <f t="shared" ref="AJ638:BO638" si="149">SUBTOTAL(9,AJ594:AJ637)</f>
        <v>27797.001479999999</v>
      </c>
      <c r="AK638" s="114">
        <f t="shared" si="149"/>
        <v>9276.9</v>
      </c>
      <c r="AL638" s="114">
        <f t="shared" si="149"/>
        <v>0</v>
      </c>
      <c r="AM638" s="114">
        <f t="shared" si="149"/>
        <v>0</v>
      </c>
      <c r="AN638" s="114">
        <f t="shared" si="149"/>
        <v>0</v>
      </c>
      <c r="AO638" s="114">
        <f t="shared" si="149"/>
        <v>0</v>
      </c>
      <c r="AP638" s="114">
        <f t="shared" si="149"/>
        <v>18639.855899999999</v>
      </c>
      <c r="AQ638" s="114">
        <f t="shared" si="149"/>
        <v>36837.013770000005</v>
      </c>
      <c r="AR638" s="114">
        <f t="shared" si="149"/>
        <v>0</v>
      </c>
      <c r="AS638" s="114">
        <f t="shared" si="149"/>
        <v>0</v>
      </c>
      <c r="AT638" s="114">
        <f t="shared" si="149"/>
        <v>0</v>
      </c>
      <c r="AU638" s="114">
        <f t="shared" si="149"/>
        <v>23380</v>
      </c>
      <c r="AV638" s="114">
        <f t="shared" si="149"/>
        <v>33924.902009999903</v>
      </c>
      <c r="AW638" s="114">
        <f t="shared" si="149"/>
        <v>0</v>
      </c>
      <c r="AX638" s="114">
        <f t="shared" si="149"/>
        <v>0</v>
      </c>
      <c r="AY638" s="114">
        <f t="shared" si="149"/>
        <v>0</v>
      </c>
      <c r="AZ638" s="114">
        <f t="shared" si="149"/>
        <v>14624.803669999996</v>
      </c>
      <c r="BA638" s="114">
        <f t="shared" si="149"/>
        <v>13243.947209999998</v>
      </c>
      <c r="BB638" s="114">
        <f t="shared" si="149"/>
        <v>1425.5273500000001</v>
      </c>
      <c r="BC638" s="114">
        <f t="shared" si="149"/>
        <v>0</v>
      </c>
      <c r="BD638" s="114">
        <f t="shared" si="149"/>
        <v>0</v>
      </c>
      <c r="BE638" s="114">
        <f t="shared" si="149"/>
        <v>0</v>
      </c>
      <c r="BF638" s="114">
        <f t="shared" si="149"/>
        <v>0</v>
      </c>
      <c r="BG638" s="114">
        <f t="shared" si="149"/>
        <v>14992.199620000001</v>
      </c>
      <c r="BH638" s="114">
        <f t="shared" si="149"/>
        <v>5700</v>
      </c>
      <c r="BI638" s="114">
        <f t="shared" si="149"/>
        <v>132.83242999999999</v>
      </c>
      <c r="BJ638" s="114">
        <f t="shared" si="149"/>
        <v>0</v>
      </c>
      <c r="BK638" s="114">
        <f t="shared" si="149"/>
        <v>1988.5273099999999</v>
      </c>
      <c r="BL638" s="114">
        <f t="shared" si="149"/>
        <v>641.8655</v>
      </c>
      <c r="BM638" s="114">
        <f t="shared" si="149"/>
        <v>127.27341</v>
      </c>
      <c r="BN638" s="114">
        <f t="shared" si="149"/>
        <v>0</v>
      </c>
      <c r="BO638" s="114">
        <f t="shared" si="149"/>
        <v>0</v>
      </c>
      <c r="BP638" s="114">
        <f t="shared" ref="BP638:CU638" si="150">SUBTOTAL(9,BP594:BP637)</f>
        <v>5636.3865800000003</v>
      </c>
      <c r="BQ638" s="114">
        <f t="shared" si="150"/>
        <v>0</v>
      </c>
      <c r="BR638" s="114">
        <f t="shared" si="150"/>
        <v>16308.528609999999</v>
      </c>
      <c r="BS638" s="114">
        <f t="shared" si="150"/>
        <v>0</v>
      </c>
      <c r="BT638" s="114">
        <f t="shared" si="150"/>
        <v>896.32952</v>
      </c>
      <c r="BU638" s="114">
        <f t="shared" si="150"/>
        <v>820.33958000000007</v>
      </c>
      <c r="BV638" s="114">
        <f t="shared" si="150"/>
        <v>859.62855000000002</v>
      </c>
      <c r="BW638" s="114">
        <f t="shared" si="150"/>
        <v>7817.44445</v>
      </c>
      <c r="BX638" s="114">
        <f t="shared" si="150"/>
        <v>0</v>
      </c>
      <c r="BY638" s="114">
        <f t="shared" si="150"/>
        <v>0</v>
      </c>
      <c r="BZ638" s="114">
        <f t="shared" si="150"/>
        <v>0</v>
      </c>
      <c r="CA638" s="114">
        <f t="shared" si="150"/>
        <v>0</v>
      </c>
      <c r="CB638" s="176"/>
      <c r="CC638" s="176"/>
      <c r="CD638" s="176"/>
      <c r="CE638" s="176"/>
      <c r="CF638" s="176"/>
      <c r="CG638" s="176"/>
      <c r="CH638" s="176"/>
      <c r="CI638" s="176"/>
      <c r="CJ638" s="176"/>
      <c r="CK638" s="176"/>
      <c r="CL638" s="176"/>
      <c r="CM638" s="176"/>
      <c r="CN638" s="176"/>
      <c r="CO638" s="176"/>
      <c r="CP638" s="176"/>
      <c r="CQ638" s="176"/>
      <c r="CR638" s="176"/>
      <c r="CS638" s="176"/>
      <c r="CT638" s="176"/>
      <c r="CU638" s="176"/>
      <c r="CV638" s="176"/>
      <c r="CW638" s="176"/>
      <c r="CX638" s="176"/>
      <c r="CY638" s="176"/>
      <c r="CZ638" s="176"/>
      <c r="DA638" s="176"/>
      <c r="DB638" s="176"/>
      <c r="DC638" s="176"/>
      <c r="DD638" s="176"/>
      <c r="DE638" s="176"/>
      <c r="DF638" s="176"/>
      <c r="DG638" s="176"/>
      <c r="DH638" s="176"/>
      <c r="DI638" s="176"/>
      <c r="DJ638" s="176"/>
      <c r="DK638" s="176"/>
      <c r="DL638" s="176"/>
      <c r="DM638" s="176"/>
      <c r="DN638" s="176"/>
      <c r="DO638" s="176"/>
      <c r="DP638" s="176"/>
      <c r="DQ638" s="176"/>
      <c r="DR638" s="176"/>
      <c r="DS638" s="176"/>
      <c r="DT638" s="176"/>
      <c r="DU638" s="176"/>
      <c r="DV638" s="176"/>
      <c r="DW638" s="176"/>
      <c r="DX638" s="176"/>
      <c r="DY638" s="176"/>
      <c r="DZ638" s="176"/>
      <c r="EA638" s="176"/>
      <c r="EB638" s="176"/>
      <c r="EC638" s="176"/>
      <c r="ED638" s="176"/>
      <c r="EE638" s="176"/>
      <c r="EF638" s="176"/>
      <c r="EG638" s="176"/>
      <c r="EH638" s="176"/>
      <c r="EI638" s="176"/>
      <c r="EJ638" s="176"/>
      <c r="EK638" s="176"/>
      <c r="EL638" s="176"/>
      <c r="EM638" s="176"/>
      <c r="EN638" s="176"/>
      <c r="EO638" s="176"/>
      <c r="EP638" s="176"/>
      <c r="EQ638" s="176"/>
      <c r="ER638" s="176"/>
      <c r="ES638" s="176"/>
      <c r="ET638" s="176"/>
      <c r="EU638" s="176"/>
      <c r="EV638" s="176"/>
      <c r="EW638" s="176"/>
      <c r="EX638" s="176"/>
      <c r="EY638" s="176"/>
      <c r="EZ638" s="176"/>
      <c r="FA638" s="176"/>
      <c r="FB638" s="176"/>
      <c r="FC638" s="176"/>
      <c r="FD638" s="176"/>
      <c r="FE638" s="176"/>
      <c r="FF638" s="176"/>
      <c r="FG638" s="176"/>
      <c r="FH638" s="176"/>
      <c r="FI638" s="176"/>
      <c r="FJ638" s="176"/>
      <c r="FK638" s="176"/>
      <c r="FL638" s="176"/>
      <c r="FM638" s="176"/>
      <c r="FN638" s="176"/>
      <c r="FO638" s="176"/>
      <c r="FP638" s="176"/>
      <c r="FQ638" s="176"/>
      <c r="FR638" s="176"/>
      <c r="FS638" s="176"/>
      <c r="FT638" s="176"/>
      <c r="FU638" s="176"/>
      <c r="FV638" s="176"/>
      <c r="FW638" s="176"/>
      <c r="FX638" s="176"/>
      <c r="FY638" s="176"/>
      <c r="FZ638" s="176"/>
      <c r="GA638" s="176"/>
      <c r="GB638" s="176"/>
      <c r="GC638" s="176"/>
      <c r="GD638" s="176"/>
      <c r="GE638" s="176"/>
      <c r="GF638" s="176"/>
      <c r="GG638" s="176"/>
      <c r="GH638" s="176"/>
      <c r="GI638" s="176"/>
      <c r="GJ638" s="176"/>
      <c r="GK638" s="176"/>
      <c r="GL638" s="176"/>
      <c r="GM638" s="176"/>
      <c r="GN638" s="176"/>
      <c r="GO638" s="176"/>
      <c r="GP638" s="176"/>
      <c r="GQ638" s="176"/>
      <c r="GR638" s="176"/>
      <c r="GS638" s="176"/>
      <c r="GT638" s="176"/>
      <c r="GU638" s="176"/>
      <c r="GV638" s="176"/>
      <c r="GW638" s="176"/>
      <c r="GX638" s="176"/>
      <c r="GY638" s="176"/>
      <c r="GZ638" s="176"/>
      <c r="HA638" s="176"/>
      <c r="HB638" s="176"/>
      <c r="HC638" s="176"/>
      <c r="HD638" s="176"/>
      <c r="HE638" s="176"/>
      <c r="HF638" s="176"/>
      <c r="HG638" s="176"/>
      <c r="HH638" s="176"/>
      <c r="HI638" s="176"/>
      <c r="HJ638" s="176"/>
      <c r="HK638" s="176"/>
      <c r="HL638" s="176"/>
      <c r="HM638" s="176"/>
      <c r="HN638" s="176"/>
      <c r="HO638" s="176"/>
      <c r="HP638" s="176"/>
      <c r="HQ638" s="176"/>
      <c r="HR638" s="176"/>
      <c r="HS638" s="176"/>
      <c r="HT638" s="176"/>
      <c r="HU638" s="176"/>
      <c r="HV638" s="176"/>
      <c r="HW638" s="176"/>
      <c r="HX638" s="176"/>
      <c r="HY638" s="176"/>
      <c r="HZ638" s="176"/>
      <c r="IA638" s="176"/>
      <c r="IB638" s="176"/>
      <c r="IC638" s="176"/>
      <c r="ID638" s="176"/>
      <c r="IE638" s="176"/>
      <c r="IF638" s="176"/>
      <c r="IG638" s="176"/>
      <c r="IH638" s="176"/>
      <c r="II638" s="176"/>
      <c r="IJ638" s="176"/>
      <c r="IK638" s="176"/>
      <c r="IL638" s="176"/>
      <c r="IM638" s="176"/>
      <c r="IN638" s="176"/>
      <c r="IO638" s="176"/>
      <c r="IP638" s="176"/>
      <c r="IQ638" s="176"/>
      <c r="IR638" s="176"/>
      <c r="IS638" s="176"/>
      <c r="IT638" s="176"/>
      <c r="IU638" s="176"/>
      <c r="IV638" s="176"/>
      <c r="IW638" s="176"/>
      <c r="IX638" s="176"/>
      <c r="IY638" s="176"/>
      <c r="IZ638" s="176"/>
      <c r="JA638" s="176"/>
      <c r="JB638" s="176"/>
      <c r="JC638" s="176"/>
      <c r="JD638" s="176"/>
      <c r="JE638" s="176"/>
      <c r="JF638" s="176"/>
      <c r="JG638" s="176"/>
      <c r="JH638" s="176"/>
      <c r="JI638" s="176"/>
      <c r="JJ638" s="176"/>
      <c r="JK638" s="176"/>
      <c r="JL638" s="176"/>
      <c r="JM638" s="176"/>
      <c r="JN638" s="176"/>
      <c r="JO638" s="176"/>
      <c r="JP638" s="176"/>
      <c r="JQ638" s="176"/>
      <c r="JR638" s="176"/>
      <c r="JS638" s="176"/>
      <c r="JT638" s="176"/>
      <c r="JU638" s="176"/>
      <c r="JV638" s="176"/>
      <c r="JW638" s="131"/>
      <c r="JX638" s="131"/>
      <c r="JY638" s="131"/>
      <c r="JZ638" s="131"/>
      <c r="KA638" s="131"/>
      <c r="KB638" s="131"/>
      <c r="KC638" s="131"/>
      <c r="KD638" s="131"/>
      <c r="KE638" s="131"/>
      <c r="KF638" s="131"/>
      <c r="KG638" s="131"/>
      <c r="KH638" s="131"/>
      <c r="KI638" s="131"/>
      <c r="KJ638" s="131"/>
      <c r="KK638" s="131"/>
      <c r="KL638" s="131"/>
      <c r="KM638" s="131"/>
      <c r="KN638" s="131"/>
      <c r="KO638" s="131"/>
      <c r="KP638" s="131"/>
      <c r="KQ638" s="131"/>
      <c r="KR638" s="131"/>
      <c r="KS638" s="131"/>
      <c r="KT638" s="131"/>
      <c r="KU638" s="131"/>
      <c r="KV638" s="131"/>
      <c r="KW638" s="131"/>
      <c r="KX638" s="131"/>
      <c r="KY638" s="131"/>
      <c r="KZ638" s="131"/>
      <c r="LA638" s="131"/>
      <c r="LB638" s="131"/>
      <c r="LC638" s="131"/>
      <c r="LD638" s="131"/>
      <c r="LE638" s="131"/>
      <c r="LF638" s="131"/>
      <c r="LG638" s="131"/>
      <c r="LH638" s="131"/>
      <c r="LI638" s="131"/>
      <c r="LJ638" s="131"/>
      <c r="LK638" s="131"/>
      <c r="LL638" s="131"/>
      <c r="LM638" s="131"/>
      <c r="LN638" s="131"/>
      <c r="LO638" s="131"/>
      <c r="LP638" s="131"/>
      <c r="LQ638" s="131"/>
      <c r="LR638" s="131"/>
      <c r="LS638" s="131"/>
      <c r="LT638" s="131"/>
      <c r="LU638" s="131"/>
      <c r="LV638" s="131"/>
      <c r="LW638" s="131"/>
      <c r="LX638" s="131"/>
      <c r="LY638" s="131"/>
      <c r="LZ638" s="131"/>
      <c r="MA638" s="131"/>
      <c r="MB638" s="131"/>
      <c r="MC638" s="131"/>
      <c r="MD638" s="131"/>
      <c r="ME638" s="131"/>
      <c r="MF638" s="131"/>
      <c r="MG638" s="131"/>
      <c r="MH638" s="131"/>
      <c r="MI638" s="131"/>
      <c r="MJ638" s="131"/>
      <c r="MK638" s="131"/>
      <c r="ML638" s="131"/>
      <c r="MM638" s="131"/>
      <c r="MN638" s="131"/>
      <c r="MO638" s="131"/>
      <c r="MP638" s="131"/>
      <c r="MQ638" s="131"/>
      <c r="MR638" s="131"/>
      <c r="MS638" s="131"/>
      <c r="MT638" s="131"/>
      <c r="MU638" s="131"/>
      <c r="MV638" s="131"/>
      <c r="MW638" s="131"/>
      <c r="MX638" s="131"/>
      <c r="MY638" s="131"/>
      <c r="MZ638" s="131"/>
      <c r="NA638" s="131"/>
      <c r="NB638" s="131"/>
      <c r="NC638" s="131"/>
      <c r="ND638" s="131"/>
      <c r="NE638" s="131"/>
      <c r="NF638" s="131"/>
      <c r="NG638" s="131"/>
      <c r="NH638" s="131"/>
      <c r="NI638" s="131"/>
      <c r="NJ638" s="131"/>
      <c r="NK638" s="131"/>
      <c r="NL638" s="131"/>
      <c r="NM638" s="131"/>
      <c r="NN638" s="131"/>
      <c r="NO638" s="131"/>
      <c r="NP638" s="131"/>
      <c r="NQ638" s="131"/>
      <c r="NR638" s="131"/>
      <c r="NS638" s="131"/>
      <c r="NT638" s="131"/>
      <c r="NU638" s="131"/>
      <c r="NV638" s="131"/>
      <c r="NW638" s="131"/>
      <c r="NX638" s="131"/>
      <c r="NY638" s="131"/>
      <c r="NZ638" s="131"/>
      <c r="OA638" s="131"/>
      <c r="OB638" s="131"/>
      <c r="OC638" s="131"/>
      <c r="OD638" s="131"/>
      <c r="OE638" s="131"/>
      <c r="OF638" s="131"/>
      <c r="OG638" s="131"/>
      <c r="OH638" s="131"/>
      <c r="OI638" s="131"/>
      <c r="OJ638" s="131"/>
      <c r="OK638" s="131"/>
      <c r="OL638" s="131"/>
      <c r="OM638" s="131"/>
      <c r="ON638" s="131"/>
      <c r="OO638" s="131"/>
      <c r="OP638" s="131"/>
      <c r="OQ638" s="131"/>
      <c r="OR638" s="131"/>
      <c r="OS638" s="131"/>
      <c r="OT638" s="131"/>
      <c r="OU638" s="131"/>
      <c r="OV638" s="131"/>
      <c r="OW638" s="131"/>
      <c r="OX638" s="131"/>
      <c r="OY638" s="131"/>
      <c r="OZ638" s="131"/>
      <c r="PA638" s="131"/>
      <c r="PB638" s="131"/>
      <c r="PC638" s="131"/>
      <c r="PD638" s="131"/>
      <c r="PE638" s="131"/>
      <c r="PF638" s="131"/>
      <c r="PG638" s="131"/>
      <c r="PH638" s="131"/>
      <c r="PI638" s="131"/>
      <c r="PJ638" s="131"/>
      <c r="PK638" s="131"/>
      <c r="PL638" s="131"/>
      <c r="PM638" s="131"/>
      <c r="PN638" s="131"/>
      <c r="PO638" s="131"/>
      <c r="PP638" s="131"/>
      <c r="PQ638" s="131"/>
      <c r="PR638" s="131"/>
      <c r="PS638" s="131"/>
      <c r="PT638" s="131"/>
      <c r="PU638" s="131"/>
      <c r="PV638" s="131"/>
      <c r="PW638" s="131"/>
      <c r="PX638" s="131"/>
      <c r="PY638" s="131"/>
      <c r="PZ638" s="131"/>
      <c r="QA638" s="131"/>
      <c r="QB638" s="131"/>
      <c r="QC638" s="131"/>
      <c r="QD638" s="131"/>
      <c r="QE638" s="131"/>
      <c r="QF638" s="131"/>
      <c r="QG638" s="131"/>
      <c r="QH638" s="131"/>
      <c r="QI638" s="131"/>
      <c r="QJ638" s="131"/>
      <c r="QK638" s="131"/>
      <c r="QL638" s="131"/>
      <c r="QM638" s="131"/>
      <c r="QN638" s="131"/>
      <c r="QO638" s="131"/>
      <c r="QP638" s="131"/>
      <c r="QQ638" s="131"/>
      <c r="QR638" s="131"/>
      <c r="QS638" s="131"/>
      <c r="QT638" s="131"/>
      <c r="QU638" s="131"/>
      <c r="QV638" s="131"/>
      <c r="QW638" s="131"/>
      <c r="QX638" s="131"/>
      <c r="QY638" s="131"/>
      <c r="QZ638" s="131"/>
      <c r="RA638" s="131"/>
      <c r="RB638" s="131"/>
      <c r="RC638" s="131"/>
      <c r="RD638" s="131"/>
      <c r="RE638" s="131"/>
      <c r="RF638" s="131"/>
      <c r="RG638" s="131"/>
      <c r="RH638" s="131"/>
      <c r="RI638" s="131"/>
      <c r="RJ638" s="131"/>
      <c r="RK638" s="131"/>
      <c r="RL638" s="131"/>
      <c r="RM638" s="131"/>
      <c r="RN638" s="131"/>
      <c r="RO638" s="131"/>
      <c r="RP638" s="131"/>
      <c r="RQ638" s="131"/>
      <c r="RR638" s="131"/>
      <c r="RS638" s="131"/>
      <c r="RT638" s="131"/>
      <c r="RU638" s="131"/>
      <c r="RV638" s="131"/>
      <c r="RW638" s="131"/>
      <c r="RX638" s="131"/>
      <c r="RY638" s="131"/>
      <c r="RZ638" s="131"/>
      <c r="SA638" s="131"/>
      <c r="SB638" s="131"/>
      <c r="SC638" s="131"/>
      <c r="SD638" s="131"/>
      <c r="SE638" s="131"/>
      <c r="SF638" s="131"/>
      <c r="SG638" s="131"/>
      <c r="SH638" s="131"/>
      <c r="SI638" s="131"/>
      <c r="SJ638" s="131"/>
      <c r="SK638" s="131"/>
      <c r="SL638" s="131"/>
      <c r="SM638" s="131"/>
      <c r="SN638" s="131"/>
      <c r="SO638" s="131"/>
      <c r="SP638" s="131"/>
      <c r="SQ638" s="131"/>
      <c r="SR638" s="131"/>
      <c r="SS638" s="131"/>
      <c r="ST638" s="131"/>
      <c r="SU638" s="131"/>
      <c r="SV638" s="131"/>
      <c r="SW638" s="131"/>
      <c r="SX638" s="131"/>
      <c r="SY638" s="131"/>
      <c r="SZ638" s="131"/>
      <c r="TA638" s="131"/>
      <c r="TB638" s="131"/>
      <c r="TC638" s="131"/>
      <c r="TD638" s="131"/>
      <c r="TE638" s="131"/>
      <c r="TF638" s="131"/>
      <c r="TG638" s="131"/>
      <c r="TH638" s="131"/>
      <c r="TI638" s="131"/>
      <c r="TJ638" s="131"/>
      <c r="TK638" s="131"/>
      <c r="TL638" s="131"/>
      <c r="TM638" s="131"/>
      <c r="TN638" s="131"/>
      <c r="TO638" s="131"/>
      <c r="TP638" s="131"/>
      <c r="TQ638" s="131"/>
      <c r="TR638" s="131"/>
      <c r="TS638" s="131"/>
      <c r="TT638" s="131"/>
      <c r="TU638" s="131"/>
      <c r="TV638" s="131"/>
      <c r="TW638" s="131"/>
      <c r="TX638" s="131"/>
      <c r="TY638" s="131"/>
      <c r="TZ638" s="131"/>
      <c r="UA638" s="131"/>
      <c r="UB638" s="131"/>
      <c r="UC638" s="131"/>
      <c r="UD638" s="131"/>
      <c r="UE638" s="131"/>
      <c r="UF638" s="131"/>
      <c r="UG638" s="131"/>
      <c r="UH638" s="131"/>
      <c r="UI638" s="131"/>
      <c r="UJ638" s="131"/>
      <c r="UK638" s="131"/>
      <c r="UL638" s="131"/>
      <c r="UM638" s="131"/>
      <c r="UN638" s="131"/>
      <c r="UO638" s="131"/>
      <c r="UP638" s="131"/>
      <c r="UQ638" s="131"/>
      <c r="UR638" s="131"/>
      <c r="US638" s="131"/>
      <c r="UT638" s="131"/>
      <c r="UU638" s="131"/>
      <c r="UV638" s="131"/>
      <c r="UW638" s="131"/>
      <c r="UX638" s="131"/>
      <c r="UY638" s="131"/>
      <c r="UZ638" s="131"/>
      <c r="VA638" s="131"/>
      <c r="VB638" s="131"/>
      <c r="VC638" s="131"/>
      <c r="VD638" s="131"/>
      <c r="VE638" s="131"/>
      <c r="VF638" s="131"/>
      <c r="VG638" s="131"/>
      <c r="VH638" s="131"/>
      <c r="VI638" s="131"/>
      <c r="VJ638" s="131"/>
      <c r="VK638" s="131"/>
      <c r="VL638" s="131"/>
      <c r="VM638" s="131"/>
      <c r="VN638" s="131"/>
      <c r="VO638" s="131"/>
      <c r="VP638" s="131"/>
      <c r="VQ638" s="131"/>
      <c r="VR638" s="131"/>
      <c r="VS638" s="131"/>
      <c r="VT638" s="131"/>
      <c r="VU638" s="131"/>
      <c r="VV638" s="131"/>
      <c r="VW638" s="131"/>
      <c r="VX638" s="131"/>
      <c r="VY638" s="131"/>
      <c r="VZ638" s="131"/>
      <c r="WA638" s="131"/>
      <c r="WB638" s="131"/>
      <c r="WC638" s="131"/>
      <c r="WD638" s="131"/>
      <c r="WE638" s="131"/>
      <c r="WF638" s="131"/>
      <c r="WG638" s="131"/>
      <c r="WH638" s="131"/>
      <c r="WI638" s="131"/>
      <c r="WJ638" s="131"/>
      <c r="WK638" s="131"/>
      <c r="WL638" s="131"/>
      <c r="WM638" s="131"/>
      <c r="WN638" s="131"/>
      <c r="WO638" s="131"/>
      <c r="WP638" s="131"/>
      <c r="WQ638" s="131"/>
      <c r="WR638" s="131"/>
      <c r="WS638" s="131"/>
      <c r="WT638" s="131"/>
      <c r="WU638" s="131"/>
      <c r="WV638" s="131"/>
      <c r="WW638" s="131"/>
      <c r="WX638" s="131"/>
      <c r="WY638" s="131"/>
      <c r="WZ638" s="131"/>
      <c r="XA638" s="131"/>
      <c r="XB638" s="131"/>
      <c r="XC638" s="131"/>
      <c r="XD638" s="131"/>
      <c r="XE638" s="131"/>
      <c r="XF638" s="131"/>
      <c r="XG638" s="131"/>
      <c r="XH638" s="131"/>
      <c r="XI638" s="131"/>
      <c r="XJ638" s="131"/>
      <c r="XK638" s="131"/>
      <c r="XL638" s="131"/>
      <c r="XM638" s="131"/>
      <c r="XN638" s="131"/>
      <c r="XO638" s="131"/>
      <c r="XP638" s="131"/>
      <c r="XQ638" s="131"/>
      <c r="XR638" s="131"/>
      <c r="XS638" s="131"/>
      <c r="XT638" s="131"/>
      <c r="XU638" s="131"/>
      <c r="XV638" s="131"/>
      <c r="XW638" s="131"/>
      <c r="XX638" s="131"/>
      <c r="XY638" s="131"/>
      <c r="XZ638" s="131"/>
      <c r="YA638" s="131"/>
      <c r="YB638" s="131"/>
      <c r="YC638" s="131"/>
      <c r="YD638" s="131"/>
      <c r="YE638" s="131"/>
      <c r="YF638" s="131"/>
      <c r="YG638" s="131"/>
      <c r="YH638" s="131"/>
      <c r="YI638" s="131"/>
      <c r="YJ638" s="131"/>
      <c r="YK638" s="131"/>
      <c r="YL638" s="131"/>
      <c r="YM638" s="131"/>
      <c r="YN638" s="131"/>
      <c r="YO638" s="131"/>
      <c r="YP638" s="131"/>
      <c r="YQ638" s="131"/>
      <c r="YR638" s="131"/>
      <c r="YS638" s="131"/>
      <c r="YT638" s="131"/>
      <c r="YU638" s="131"/>
      <c r="YV638" s="131"/>
      <c r="YW638" s="131"/>
      <c r="YX638" s="131"/>
      <c r="YY638" s="131"/>
      <c r="YZ638" s="131"/>
      <c r="ZA638" s="131"/>
      <c r="ZB638" s="131"/>
      <c r="ZC638" s="131"/>
      <c r="ZD638" s="131"/>
      <c r="ZE638" s="131"/>
      <c r="ZF638" s="131"/>
      <c r="ZG638" s="131"/>
      <c r="ZH638" s="131"/>
      <c r="ZI638" s="131"/>
      <c r="ZJ638" s="131"/>
      <c r="ZK638" s="131"/>
      <c r="ZL638" s="131"/>
      <c r="ZM638" s="131"/>
      <c r="ZN638" s="131"/>
      <c r="ZO638" s="131"/>
      <c r="ZP638" s="131"/>
      <c r="ZQ638" s="131"/>
      <c r="ZR638" s="131"/>
      <c r="ZS638" s="131"/>
      <c r="ZT638" s="131"/>
      <c r="ZU638" s="131"/>
      <c r="ZV638" s="131"/>
      <c r="ZW638" s="131"/>
      <c r="ZX638" s="131"/>
      <c r="ZY638" s="131"/>
      <c r="ZZ638" s="131"/>
      <c r="AAA638" s="131"/>
      <c r="AAB638" s="131"/>
      <c r="AAC638" s="131"/>
      <c r="AAD638" s="131"/>
      <c r="AAE638" s="131"/>
      <c r="AAF638" s="131"/>
      <c r="AAG638" s="131"/>
      <c r="AAH638" s="131"/>
      <c r="AAI638" s="131"/>
      <c r="AAJ638" s="131"/>
      <c r="AAK638" s="131"/>
      <c r="AAL638" s="131"/>
      <c r="AAM638" s="131"/>
      <c r="AAN638" s="131"/>
      <c r="AAO638" s="131"/>
      <c r="AAP638" s="131"/>
      <c r="AAQ638" s="131"/>
      <c r="AAR638" s="131"/>
      <c r="AAS638" s="131"/>
      <c r="AAT638" s="131"/>
      <c r="AAU638" s="131"/>
      <c r="AAV638" s="131"/>
      <c r="AAW638" s="131"/>
      <c r="AAX638" s="131"/>
      <c r="AAY638" s="131"/>
      <c r="AAZ638" s="131"/>
      <c r="ABA638" s="131"/>
      <c r="ABB638" s="131"/>
      <c r="ABC638" s="131"/>
      <c r="ABD638" s="131"/>
      <c r="ABE638" s="131"/>
      <c r="ABF638" s="131"/>
      <c r="ABG638" s="131"/>
      <c r="ABH638" s="131"/>
      <c r="ABI638" s="131"/>
      <c r="ABJ638" s="131"/>
      <c r="ABK638" s="131"/>
      <c r="ABL638" s="131"/>
      <c r="ABM638" s="131"/>
      <c r="ABN638" s="131"/>
      <c r="ABO638" s="131"/>
      <c r="ABP638" s="131"/>
      <c r="ABQ638" s="131"/>
      <c r="ABR638" s="131"/>
      <c r="ABS638" s="131"/>
      <c r="ABT638" s="131"/>
      <c r="ABU638" s="131"/>
      <c r="ABV638" s="131"/>
      <c r="ABW638" s="131"/>
      <c r="ABX638" s="131"/>
      <c r="ABY638" s="131"/>
      <c r="ABZ638" s="131"/>
      <c r="ACA638" s="131"/>
      <c r="ACB638" s="131"/>
      <c r="ACC638" s="131"/>
      <c r="ACD638" s="131"/>
      <c r="ACE638" s="131"/>
      <c r="ACF638" s="131"/>
      <c r="ACG638" s="131"/>
      <c r="ACH638" s="131"/>
      <c r="ACI638" s="131"/>
      <c r="ACJ638" s="131"/>
      <c r="ACK638" s="131"/>
      <c r="ACL638" s="131"/>
      <c r="ACM638" s="131"/>
      <c r="ACN638" s="131"/>
      <c r="ACO638" s="131"/>
      <c r="ACP638" s="131"/>
      <c r="ACQ638" s="131"/>
      <c r="ACR638" s="131"/>
      <c r="ACS638" s="131"/>
      <c r="ACT638" s="131"/>
      <c r="ACU638" s="131"/>
      <c r="ACV638" s="131"/>
      <c r="ACW638" s="131"/>
      <c r="ACX638" s="131"/>
      <c r="ACY638" s="131"/>
      <c r="ACZ638" s="131"/>
      <c r="ADA638" s="131"/>
      <c r="ADB638" s="131"/>
      <c r="ADC638" s="131"/>
      <c r="ADD638" s="131"/>
      <c r="ADE638" s="131"/>
      <c r="ADF638" s="131"/>
      <c r="ADG638" s="131"/>
      <c r="ADH638" s="131"/>
      <c r="ADI638" s="131"/>
      <c r="ADJ638" s="131"/>
      <c r="ADK638" s="131"/>
      <c r="ADL638" s="131"/>
      <c r="ADM638" s="131"/>
      <c r="ADN638" s="131"/>
      <c r="ADO638" s="131"/>
      <c r="ADP638" s="131"/>
      <c r="ADQ638" s="131"/>
      <c r="ADR638" s="131"/>
      <c r="ADS638" s="131"/>
      <c r="ADT638" s="131"/>
      <c r="ADU638" s="131"/>
      <c r="ADV638" s="131"/>
      <c r="ADW638" s="131"/>
      <c r="ADX638" s="131"/>
      <c r="ADY638" s="131"/>
      <c r="ADZ638" s="131"/>
      <c r="AEA638" s="131"/>
      <c r="AEB638" s="131"/>
      <c r="AEC638" s="131"/>
      <c r="AED638" s="131"/>
      <c r="AEE638" s="131"/>
      <c r="AEF638" s="131"/>
      <c r="AEG638" s="131"/>
      <c r="AEH638" s="131"/>
      <c r="AEI638" s="131"/>
      <c r="AEJ638" s="131"/>
      <c r="AEK638" s="131"/>
      <c r="AEL638" s="131"/>
      <c r="AEM638" s="131"/>
      <c r="AEN638" s="131"/>
      <c r="AEO638" s="131"/>
      <c r="AEP638" s="131"/>
      <c r="AEQ638" s="131"/>
      <c r="AER638" s="131"/>
      <c r="AES638" s="131"/>
      <c r="AET638" s="131"/>
      <c r="AEU638" s="131"/>
      <c r="AEV638" s="131"/>
      <c r="AEW638" s="131"/>
      <c r="AEX638" s="131"/>
      <c r="AEY638" s="131"/>
      <c r="AEZ638" s="131"/>
      <c r="AFA638" s="131"/>
      <c r="AFB638" s="131"/>
      <c r="AFC638" s="131"/>
      <c r="AFD638" s="131"/>
      <c r="AFE638" s="131"/>
      <c r="AFF638" s="131"/>
      <c r="AFG638" s="131"/>
      <c r="AFH638" s="131"/>
      <c r="AFI638" s="131"/>
      <c r="AFJ638" s="131"/>
      <c r="AFK638" s="131"/>
      <c r="AFL638" s="131"/>
      <c r="AFM638" s="131"/>
      <c r="AFN638" s="131"/>
      <c r="AFO638" s="131"/>
      <c r="AFP638" s="131"/>
      <c r="AFQ638" s="131"/>
      <c r="AFR638" s="131"/>
      <c r="AFS638" s="131"/>
      <c r="AFT638" s="131"/>
      <c r="AFU638" s="131"/>
      <c r="AFV638" s="131"/>
      <c r="AFW638" s="131"/>
      <c r="AFX638" s="131"/>
      <c r="AFY638" s="131"/>
      <c r="AFZ638" s="131"/>
      <c r="AGA638" s="131"/>
      <c r="AGB638" s="131"/>
      <c r="AGC638" s="131"/>
      <c r="AGD638" s="131"/>
      <c r="AGE638" s="131"/>
      <c r="AGF638" s="131"/>
      <c r="AGG638" s="131"/>
      <c r="AGH638" s="131"/>
      <c r="AGI638" s="131"/>
      <c r="AGJ638" s="131"/>
      <c r="AGK638" s="131"/>
      <c r="AGL638" s="131"/>
      <c r="AGM638" s="131"/>
      <c r="AGN638" s="131"/>
      <c r="AGO638" s="131"/>
      <c r="AGP638" s="131"/>
      <c r="AGQ638" s="131"/>
      <c r="AGR638" s="131"/>
      <c r="AGS638" s="131"/>
      <c r="AGT638" s="131"/>
      <c r="AGU638" s="131"/>
      <c r="AGV638" s="131"/>
      <c r="AGW638" s="131"/>
      <c r="AGX638" s="131"/>
      <c r="AGY638" s="131"/>
      <c r="AGZ638" s="131"/>
      <c r="AHA638" s="131"/>
      <c r="AHB638" s="131"/>
      <c r="AHC638" s="131"/>
      <c r="AHD638" s="131"/>
      <c r="AHE638" s="131"/>
      <c r="AHF638" s="131"/>
      <c r="AHG638" s="131"/>
      <c r="AHH638" s="131"/>
      <c r="AHI638" s="131"/>
      <c r="AHJ638" s="131"/>
      <c r="AHK638" s="131"/>
      <c r="AHL638" s="131"/>
      <c r="AHM638" s="131"/>
      <c r="AHN638" s="131"/>
      <c r="AHO638" s="131"/>
      <c r="AHP638" s="131"/>
      <c r="AHQ638" s="131"/>
      <c r="AHR638" s="131"/>
      <c r="AHS638" s="131"/>
      <c r="AHT638" s="131"/>
      <c r="AHU638" s="131"/>
      <c r="AHV638" s="131"/>
      <c r="AHW638" s="131"/>
      <c r="AHX638" s="131"/>
      <c r="AHY638" s="131"/>
      <c r="AHZ638" s="131"/>
      <c r="AIA638" s="131"/>
      <c r="AIB638" s="131"/>
      <c r="AIC638" s="131"/>
      <c r="AID638" s="131"/>
      <c r="AIE638" s="131"/>
      <c r="AIF638" s="131"/>
      <c r="AIG638" s="131"/>
      <c r="AIH638" s="131"/>
      <c r="AII638" s="131"/>
      <c r="AIJ638" s="131"/>
      <c r="AIK638" s="131"/>
      <c r="AIL638" s="131"/>
      <c r="AIM638" s="131"/>
      <c r="AIN638" s="131"/>
      <c r="AIO638" s="131"/>
      <c r="AIP638" s="131"/>
      <c r="AIQ638" s="131"/>
      <c r="AIR638" s="131"/>
      <c r="AIS638" s="131"/>
      <c r="AIT638" s="131"/>
      <c r="AIU638" s="131"/>
      <c r="AIV638" s="131"/>
      <c r="AIW638" s="131"/>
      <c r="AIX638" s="131"/>
      <c r="AIY638" s="131"/>
      <c r="AIZ638" s="131"/>
      <c r="AJA638" s="131"/>
      <c r="AJB638" s="131"/>
      <c r="AJC638" s="131"/>
      <c r="AJD638" s="131"/>
      <c r="AJE638" s="131"/>
      <c r="AJF638" s="131"/>
      <c r="AJG638" s="131"/>
      <c r="AJH638" s="131"/>
      <c r="AJI638" s="131"/>
      <c r="AJJ638" s="131"/>
      <c r="AJK638" s="131"/>
      <c r="AJL638" s="131"/>
      <c r="AJM638" s="131"/>
      <c r="AJN638" s="131"/>
      <c r="AJO638" s="131"/>
      <c r="AJP638" s="131"/>
      <c r="AJQ638" s="131"/>
      <c r="AJR638" s="131"/>
      <c r="AJS638" s="131"/>
      <c r="AJT638" s="131"/>
      <c r="AJU638" s="131"/>
      <c r="AJV638" s="131"/>
      <c r="AJW638" s="131"/>
      <c r="AJX638" s="131"/>
      <c r="AJY638" s="131"/>
      <c r="AJZ638" s="131"/>
      <c r="AKA638" s="131"/>
      <c r="AKB638" s="131"/>
      <c r="AKC638" s="131"/>
      <c r="AKD638" s="131"/>
      <c r="AKE638" s="131"/>
      <c r="AKF638" s="131"/>
      <c r="AKG638" s="131"/>
      <c r="AKH638" s="131"/>
      <c r="AKI638" s="131"/>
      <c r="AKJ638" s="131"/>
      <c r="AKK638" s="131"/>
      <c r="AKL638" s="131"/>
      <c r="AKM638" s="131"/>
      <c r="AKN638" s="131"/>
      <c r="AKO638" s="131"/>
      <c r="AKP638" s="131"/>
      <c r="AKQ638" s="131"/>
      <c r="AKR638" s="131"/>
      <c r="AKS638" s="131"/>
      <c r="AKT638" s="131"/>
      <c r="AKU638" s="131"/>
      <c r="AKV638" s="131"/>
      <c r="AKW638" s="131"/>
      <c r="AKX638" s="131"/>
      <c r="AKY638" s="131"/>
      <c r="AKZ638" s="131"/>
      <c r="ALA638" s="131"/>
      <c r="ALB638" s="131"/>
      <c r="ALC638" s="131"/>
      <c r="ALD638" s="131"/>
      <c r="ALE638" s="131"/>
      <c r="ALF638" s="131"/>
      <c r="ALG638" s="131"/>
      <c r="ALH638" s="131"/>
      <c r="ALI638" s="131"/>
      <c r="ALJ638" s="131"/>
      <c r="ALK638" s="131"/>
      <c r="ALL638" s="131"/>
      <c r="ALM638" s="131"/>
      <c r="ALN638" s="131"/>
      <c r="ALO638" s="131"/>
      <c r="ALP638" s="131"/>
      <c r="ALQ638" s="131"/>
      <c r="ALR638" s="131"/>
      <c r="ALS638" s="131"/>
      <c r="ALT638" s="131"/>
      <c r="ALU638" s="131"/>
      <c r="ALV638" s="131"/>
      <c r="ALW638" s="131"/>
      <c r="ALX638" s="131"/>
      <c r="ALY638" s="131"/>
      <c r="ALZ638" s="131"/>
      <c r="AMA638" s="131"/>
      <c r="AMB638" s="131"/>
      <c r="AMC638" s="131"/>
      <c r="AMD638" s="131"/>
      <c r="AME638" s="131"/>
      <c r="AMF638" s="131"/>
      <c r="AMG638" s="131"/>
      <c r="AMH638" s="131"/>
      <c r="AMI638" s="131"/>
      <c r="AMJ638" s="131"/>
      <c r="AMK638" s="131"/>
      <c r="AML638" s="131"/>
      <c r="AMM638" s="131"/>
      <c r="AMN638" s="131"/>
      <c r="AMO638" s="131"/>
      <c r="AMP638" s="131"/>
      <c r="AMQ638" s="131"/>
      <c r="AMR638" s="131"/>
      <c r="AMS638" s="131"/>
      <c r="AMT638" s="131"/>
      <c r="AMU638" s="131"/>
      <c r="AMV638" s="131"/>
      <c r="AMW638" s="131"/>
      <c r="AMX638" s="131"/>
      <c r="AMY638" s="131"/>
      <c r="AMZ638" s="131"/>
      <c r="ANA638" s="131"/>
      <c r="ANB638" s="131"/>
      <c r="ANC638" s="131"/>
      <c r="AND638" s="131"/>
      <c r="ANE638" s="131"/>
      <c r="ANF638" s="131"/>
      <c r="ANG638" s="131"/>
      <c r="ANH638" s="131"/>
      <c r="ANI638" s="131"/>
      <c r="ANJ638" s="131"/>
      <c r="ANK638" s="131"/>
      <c r="ANL638" s="131"/>
      <c r="ANM638" s="131"/>
      <c r="ANN638" s="131"/>
      <c r="ANO638" s="131"/>
      <c r="ANP638" s="131"/>
      <c r="ANQ638" s="131"/>
      <c r="ANR638" s="131"/>
      <c r="ANS638" s="131"/>
      <c r="ANT638" s="131"/>
      <c r="ANU638" s="131"/>
      <c r="ANV638" s="131"/>
      <c r="ANW638" s="131"/>
      <c r="ANX638" s="131"/>
      <c r="ANY638" s="131"/>
      <c r="ANZ638" s="131"/>
      <c r="AOA638" s="131"/>
      <c r="AOB638" s="131"/>
      <c r="AOC638" s="131"/>
      <c r="AOD638" s="131"/>
      <c r="AOE638" s="131"/>
      <c r="AOF638" s="131"/>
      <c r="AOG638" s="131"/>
      <c r="AOH638" s="131"/>
      <c r="AOI638" s="131"/>
      <c r="AOJ638" s="131"/>
      <c r="AOK638" s="131"/>
      <c r="AOL638" s="131"/>
      <c r="AOM638" s="131"/>
      <c r="AON638" s="131"/>
      <c r="AOO638" s="131"/>
      <c r="AOP638" s="131"/>
      <c r="AOQ638" s="131"/>
      <c r="AOR638" s="131"/>
      <c r="AOS638" s="131"/>
      <c r="AOT638" s="131"/>
      <c r="AOU638" s="131"/>
      <c r="AOV638" s="131"/>
      <c r="AOW638" s="131"/>
      <c r="AOX638" s="131"/>
      <c r="AOY638" s="131"/>
      <c r="AOZ638" s="131"/>
      <c r="APA638" s="131"/>
      <c r="APB638" s="131"/>
      <c r="APC638" s="131"/>
      <c r="APD638" s="131"/>
      <c r="APE638" s="131"/>
      <c r="APF638" s="131"/>
      <c r="APG638" s="131"/>
      <c r="APH638" s="131"/>
      <c r="API638" s="131"/>
      <c r="APJ638" s="131"/>
      <c r="APK638" s="131"/>
      <c r="APL638" s="131"/>
      <c r="APM638" s="131"/>
      <c r="APN638" s="131"/>
      <c r="APO638" s="131"/>
      <c r="APP638" s="131"/>
      <c r="APQ638" s="131"/>
      <c r="APR638" s="131"/>
      <c r="APS638" s="131"/>
      <c r="APT638" s="131"/>
      <c r="APU638" s="131"/>
      <c r="APV638" s="131"/>
      <c r="APW638" s="131"/>
      <c r="APX638" s="131"/>
      <c r="APY638" s="131"/>
      <c r="APZ638" s="131"/>
      <c r="AQA638" s="131"/>
      <c r="AQB638" s="131"/>
      <c r="AQC638" s="131"/>
      <c r="AQD638" s="131"/>
      <c r="AQE638" s="131"/>
      <c r="AQF638" s="131"/>
      <c r="AQG638" s="131"/>
      <c r="AQH638" s="131"/>
      <c r="AQI638" s="131"/>
      <c r="AQJ638" s="131"/>
      <c r="AQK638" s="131"/>
      <c r="AQL638" s="131"/>
      <c r="AQM638" s="131"/>
      <c r="AQN638" s="131"/>
      <c r="AQO638" s="131"/>
      <c r="AQP638" s="131"/>
      <c r="AQQ638" s="131"/>
      <c r="AQR638" s="131"/>
      <c r="AQS638" s="131"/>
      <c r="AQT638" s="131"/>
      <c r="AQU638" s="131"/>
      <c r="AQV638" s="131"/>
      <c r="AQW638" s="131"/>
      <c r="AQX638" s="131"/>
      <c r="AQY638" s="131"/>
      <c r="AQZ638" s="131"/>
      <c r="ARA638" s="131"/>
      <c r="ARB638" s="131"/>
      <c r="ARC638" s="131"/>
      <c r="ARD638" s="131"/>
      <c r="ARE638" s="131"/>
      <c r="ARF638" s="131"/>
      <c r="ARG638" s="131"/>
      <c r="ARH638" s="131"/>
      <c r="ARI638" s="131"/>
      <c r="ARJ638" s="131"/>
      <c r="ARK638" s="131"/>
      <c r="ARL638" s="131"/>
      <c r="ARM638" s="131"/>
      <c r="ARN638" s="131"/>
      <c r="ARO638" s="131"/>
      <c r="ARP638" s="131"/>
      <c r="ARQ638" s="131"/>
      <c r="ARR638" s="131"/>
      <c r="ARS638" s="131"/>
      <c r="ART638" s="131"/>
      <c r="ARU638" s="131"/>
      <c r="ARV638" s="131"/>
      <c r="ARW638" s="131"/>
      <c r="ARX638" s="131"/>
      <c r="ARY638" s="131"/>
      <c r="ARZ638" s="131"/>
      <c r="ASA638" s="131"/>
      <c r="ASB638" s="131"/>
      <c r="ASC638" s="131"/>
      <c r="ASD638" s="131"/>
      <c r="ASE638" s="131"/>
      <c r="ASF638" s="131"/>
      <c r="ASG638" s="131"/>
      <c r="ASH638" s="131"/>
      <c r="ASI638" s="131"/>
      <c r="ASJ638" s="131"/>
      <c r="ASK638" s="131"/>
      <c r="ASL638" s="131"/>
      <c r="ASM638" s="131"/>
      <c r="ASN638" s="131"/>
      <c r="ASO638" s="131"/>
      <c r="ASP638" s="131"/>
      <c r="ASQ638" s="131"/>
      <c r="ASR638" s="131"/>
      <c r="ASS638" s="131"/>
      <c r="AST638" s="131"/>
      <c r="ASU638" s="131"/>
      <c r="ASV638" s="131"/>
      <c r="ASW638" s="131"/>
      <c r="ASX638" s="131"/>
      <c r="ASY638" s="131"/>
      <c r="ASZ638" s="131"/>
      <c r="ATA638" s="131"/>
      <c r="ATB638" s="131"/>
      <c r="ATC638" s="131"/>
    </row>
    <row r="639" spans="1:1199" ht="50.1" customHeight="1" outlineLevel="2" x14ac:dyDescent="0.3">
      <c r="A639" s="103" t="s">
        <v>568</v>
      </c>
      <c r="B639" s="96" t="s">
        <v>569</v>
      </c>
      <c r="C639" s="79" t="s">
        <v>37</v>
      </c>
      <c r="D639" s="81">
        <f t="shared" ref="D639:D656" si="151">E639+F639</f>
        <v>10133.734660000002</v>
      </c>
      <c r="E639" s="82">
        <f t="shared" si="146"/>
        <v>2765.6104200000004</v>
      </c>
      <c r="F639" s="83">
        <f t="shared" si="143"/>
        <v>7368.124240000001</v>
      </c>
      <c r="G639" s="84"/>
      <c r="H639" s="85"/>
      <c r="I639" s="85"/>
      <c r="J639" s="84">
        <v>412.52767</v>
      </c>
      <c r="K639" s="85">
        <v>98.21472</v>
      </c>
      <c r="L639" s="85"/>
      <c r="M639" s="85"/>
      <c r="N639" s="85"/>
      <c r="O639" s="82"/>
      <c r="P639" s="83"/>
      <c r="Q639" s="83"/>
      <c r="R639" s="83"/>
      <c r="S639" s="82"/>
      <c r="T639" s="83"/>
      <c r="U639" s="83"/>
      <c r="V639" s="84">
        <v>34.792499999999997</v>
      </c>
      <c r="W639" s="85">
        <v>60.75</v>
      </c>
      <c r="X639" s="87"/>
      <c r="Y639" s="83"/>
      <c r="Z639" s="84"/>
      <c r="AA639" s="85"/>
      <c r="AB639" s="84"/>
      <c r="AC639" s="85"/>
      <c r="AD639" s="89">
        <f t="shared" si="147"/>
        <v>93.118920000000003</v>
      </c>
      <c r="AE639" s="89">
        <v>27.938300000000002</v>
      </c>
      <c r="AF639" s="186">
        <v>65.180620000000005</v>
      </c>
      <c r="AG639" s="85"/>
      <c r="AH639" s="85"/>
      <c r="AI639" s="85"/>
      <c r="AJ639" s="84"/>
      <c r="AK639" s="85"/>
      <c r="AL639" s="84"/>
      <c r="AM639" s="88"/>
      <c r="AN639" s="84"/>
      <c r="AO639" s="85"/>
      <c r="AP639" s="84">
        <v>1711.9841100000001</v>
      </c>
      <c r="AQ639" s="85">
        <v>3349.95271</v>
      </c>
      <c r="AR639" s="85"/>
      <c r="AS639" s="85"/>
      <c r="AT639" s="85"/>
      <c r="AU639" s="85">
        <v>2030</v>
      </c>
      <c r="AV639" s="85">
        <f>616.0665+278.866</f>
        <v>894.9325</v>
      </c>
      <c r="AW639" s="88"/>
      <c r="AX639" s="84"/>
      <c r="AY639" s="85"/>
      <c r="AZ639" s="84">
        <v>606.30614000000003</v>
      </c>
      <c r="BA639" s="85">
        <v>549.05939000000001</v>
      </c>
      <c r="BB639" s="88"/>
      <c r="BC639" s="85"/>
      <c r="BD639" s="84"/>
      <c r="BE639" s="88"/>
      <c r="BF639" s="85"/>
      <c r="BG639" s="85"/>
      <c r="BH639" s="85"/>
      <c r="BI639" s="85"/>
      <c r="BJ639" s="85"/>
      <c r="BK639" s="85">
        <v>292.096</v>
      </c>
      <c r="BL639" s="85"/>
      <c r="BM639" s="85"/>
      <c r="BN639" s="85"/>
      <c r="BO639" s="85"/>
      <c r="BP639" s="85"/>
      <c r="BQ639" s="85"/>
      <c r="BR639" s="84"/>
      <c r="BS639" s="85"/>
      <c r="BT639" s="85"/>
      <c r="BU639" s="198"/>
      <c r="BV639" s="90"/>
      <c r="BW639" s="198"/>
      <c r="BX639" s="90"/>
      <c r="BY639" s="198"/>
      <c r="BZ639" s="90"/>
      <c r="CA639" s="91"/>
    </row>
    <row r="640" spans="1:1199" ht="50.1" customHeight="1" outlineLevel="2" x14ac:dyDescent="0.3">
      <c r="A640" s="103" t="s">
        <v>568</v>
      </c>
      <c r="B640" s="96" t="s">
        <v>570</v>
      </c>
      <c r="C640" s="79" t="s">
        <v>37</v>
      </c>
      <c r="D640" s="81">
        <f t="shared" si="151"/>
        <v>292.64557000000002</v>
      </c>
      <c r="E640" s="82">
        <f t="shared" si="146"/>
        <v>116.23224999999999</v>
      </c>
      <c r="F640" s="83">
        <f t="shared" si="143"/>
        <v>176.41332</v>
      </c>
      <c r="G640" s="84"/>
      <c r="H640" s="85"/>
      <c r="I640" s="85"/>
      <c r="J640" s="84"/>
      <c r="K640" s="85"/>
      <c r="L640" s="85"/>
      <c r="M640" s="85"/>
      <c r="N640" s="85"/>
      <c r="O640" s="82"/>
      <c r="P640" s="83"/>
      <c r="Q640" s="83"/>
      <c r="R640" s="83"/>
      <c r="S640" s="82"/>
      <c r="T640" s="83"/>
      <c r="U640" s="83"/>
      <c r="V640" s="84"/>
      <c r="W640" s="85"/>
      <c r="X640" s="87"/>
      <c r="Y640" s="83">
        <v>62.4</v>
      </c>
      <c r="Z640" s="84"/>
      <c r="AA640" s="85"/>
      <c r="AB640" s="84"/>
      <c r="AC640" s="85"/>
      <c r="AD640" s="89">
        <f t="shared" si="147"/>
        <v>8.7555999999999994</v>
      </c>
      <c r="AE640" s="89"/>
      <c r="AF640" s="186">
        <v>8.7555999999999994</v>
      </c>
      <c r="AG640" s="85"/>
      <c r="AH640" s="85"/>
      <c r="AI640" s="85"/>
      <c r="AJ640" s="84"/>
      <c r="AK640" s="85"/>
      <c r="AL640" s="84"/>
      <c r="AM640" s="88"/>
      <c r="AN640" s="84"/>
      <c r="AO640" s="85"/>
      <c r="AP640" s="84"/>
      <c r="AQ640" s="83"/>
      <c r="AR640" s="83"/>
      <c r="AS640" s="83"/>
      <c r="AT640" s="85"/>
      <c r="AU640" s="85"/>
      <c r="AV640" s="85"/>
      <c r="AW640" s="88"/>
      <c r="AX640" s="84"/>
      <c r="AY640" s="85"/>
      <c r="AZ640" s="84">
        <v>116.23224999999999</v>
      </c>
      <c r="BA640" s="85">
        <v>105.25772000000001</v>
      </c>
      <c r="BB640" s="88"/>
      <c r="BC640" s="85"/>
      <c r="BD640" s="84"/>
      <c r="BE640" s="88"/>
      <c r="BF640" s="85"/>
      <c r="BG640" s="85"/>
      <c r="BH640" s="85"/>
      <c r="BI640" s="85"/>
      <c r="BJ640" s="85"/>
      <c r="BK640" s="85"/>
      <c r="BL640" s="85"/>
      <c r="BM640" s="85"/>
      <c r="BN640" s="85"/>
      <c r="BO640" s="85"/>
      <c r="BP640" s="85"/>
      <c r="BQ640" s="85"/>
      <c r="BR640" s="84"/>
      <c r="BS640" s="85"/>
      <c r="BT640" s="85"/>
      <c r="BU640" s="198"/>
      <c r="BV640" s="90"/>
      <c r="BW640" s="198"/>
      <c r="BX640" s="90"/>
      <c r="BY640" s="198"/>
      <c r="BZ640" s="90"/>
      <c r="CA640" s="91"/>
    </row>
    <row r="641" spans="1:79" ht="50.1" customHeight="1" outlineLevel="2" x14ac:dyDescent="0.3">
      <c r="A641" s="103" t="s">
        <v>568</v>
      </c>
      <c r="B641" s="96" t="s">
        <v>571</v>
      </c>
      <c r="C641" s="79" t="s">
        <v>37</v>
      </c>
      <c r="D641" s="81">
        <f t="shared" si="151"/>
        <v>118.40396000000001</v>
      </c>
      <c r="E641" s="82">
        <f t="shared" si="146"/>
        <v>53.544080000000001</v>
      </c>
      <c r="F641" s="83">
        <f t="shared" si="143"/>
        <v>64.859880000000004</v>
      </c>
      <c r="G641" s="84"/>
      <c r="H641" s="85"/>
      <c r="I641" s="85"/>
      <c r="J641" s="84"/>
      <c r="K641" s="85"/>
      <c r="L641" s="85"/>
      <c r="M641" s="85"/>
      <c r="N641" s="85"/>
      <c r="O641" s="82"/>
      <c r="P641" s="83"/>
      <c r="Q641" s="83"/>
      <c r="R641" s="83"/>
      <c r="S641" s="82"/>
      <c r="T641" s="83"/>
      <c r="U641" s="83"/>
      <c r="V641" s="84"/>
      <c r="W641" s="85"/>
      <c r="X641" s="87"/>
      <c r="Y641" s="83">
        <v>12.48</v>
      </c>
      <c r="Z641" s="84"/>
      <c r="AA641" s="85"/>
      <c r="AB641" s="84"/>
      <c r="AC641" s="85"/>
      <c r="AD641" s="89">
        <f t="shared" si="147"/>
        <v>3.8913799999999998</v>
      </c>
      <c r="AE641" s="89"/>
      <c r="AF641" s="186">
        <v>3.8913799999999998</v>
      </c>
      <c r="AG641" s="85"/>
      <c r="AH641" s="85"/>
      <c r="AI641" s="85"/>
      <c r="AJ641" s="84"/>
      <c r="AK641" s="85"/>
      <c r="AL641" s="84"/>
      <c r="AM641" s="88"/>
      <c r="AN641" s="84"/>
      <c r="AO641" s="85"/>
      <c r="AP641" s="84"/>
      <c r="AQ641" s="83"/>
      <c r="AR641" s="83"/>
      <c r="AS641" s="83"/>
      <c r="AT641" s="85"/>
      <c r="AU641" s="85"/>
      <c r="AV641" s="85"/>
      <c r="AW641" s="88"/>
      <c r="AX641" s="84"/>
      <c r="AY641" s="85"/>
      <c r="AZ641" s="84">
        <v>53.544080000000001</v>
      </c>
      <c r="BA641" s="85">
        <v>48.488500000000002</v>
      </c>
      <c r="BB641" s="88"/>
      <c r="BC641" s="85"/>
      <c r="BD641" s="84"/>
      <c r="BE641" s="88"/>
      <c r="BF641" s="85"/>
      <c r="BG641" s="85"/>
      <c r="BH641" s="85"/>
      <c r="BI641" s="85"/>
      <c r="BJ641" s="85"/>
      <c r="BK641" s="85"/>
      <c r="BL641" s="85"/>
      <c r="BM641" s="85"/>
      <c r="BN641" s="85"/>
      <c r="BO641" s="85"/>
      <c r="BP641" s="85"/>
      <c r="BQ641" s="85"/>
      <c r="BR641" s="84"/>
      <c r="BS641" s="85"/>
      <c r="BT641" s="85"/>
      <c r="BU641" s="198"/>
      <c r="BV641" s="90"/>
      <c r="BW641" s="198"/>
      <c r="BX641" s="90"/>
      <c r="BY641" s="198"/>
      <c r="BZ641" s="90"/>
      <c r="CA641" s="91"/>
    </row>
    <row r="642" spans="1:79" ht="50.1" customHeight="1" outlineLevel="2" x14ac:dyDescent="0.3">
      <c r="A642" s="103" t="s">
        <v>568</v>
      </c>
      <c r="B642" s="96" t="s">
        <v>572</v>
      </c>
      <c r="C642" s="79" t="s">
        <v>37</v>
      </c>
      <c r="D642" s="81">
        <f t="shared" si="151"/>
        <v>51.861649999999997</v>
      </c>
      <c r="E642" s="82">
        <f t="shared" si="146"/>
        <v>23.122409999999999</v>
      </c>
      <c r="F642" s="83">
        <f t="shared" si="143"/>
        <v>28.739240000000002</v>
      </c>
      <c r="G642" s="84"/>
      <c r="H642" s="85"/>
      <c r="I642" s="85"/>
      <c r="J642" s="84"/>
      <c r="K642" s="85"/>
      <c r="L642" s="85"/>
      <c r="M642" s="85"/>
      <c r="N642" s="85"/>
      <c r="O642" s="82"/>
      <c r="P642" s="83"/>
      <c r="Q642" s="83"/>
      <c r="R642" s="83"/>
      <c r="S642" s="82"/>
      <c r="T642" s="83"/>
      <c r="U642" s="83"/>
      <c r="V642" s="84"/>
      <c r="W642" s="85"/>
      <c r="X642" s="82"/>
      <c r="Y642" s="83">
        <v>7.8</v>
      </c>
      <c r="Z642" s="84"/>
      <c r="AA642" s="85"/>
      <c r="AB642" s="84"/>
      <c r="AC642" s="85"/>
      <c r="AD642" s="89">
        <f t="shared" si="147"/>
        <v>0</v>
      </c>
      <c r="AE642" s="89"/>
      <c r="AF642" s="186"/>
      <c r="AG642" s="85"/>
      <c r="AH642" s="85"/>
      <c r="AI642" s="85"/>
      <c r="AJ642" s="84"/>
      <c r="AK642" s="85"/>
      <c r="AL642" s="84"/>
      <c r="AM642" s="88"/>
      <c r="AN642" s="84"/>
      <c r="AO642" s="85"/>
      <c r="AP642" s="84"/>
      <c r="AQ642" s="83"/>
      <c r="AR642" s="83"/>
      <c r="AS642" s="83"/>
      <c r="AT642" s="85"/>
      <c r="AU642" s="85"/>
      <c r="AV642" s="85"/>
      <c r="AW642" s="88"/>
      <c r="AX642" s="84"/>
      <c r="AY642" s="85"/>
      <c r="AZ642" s="84">
        <v>23.122409999999999</v>
      </c>
      <c r="BA642" s="85">
        <v>20.939240000000002</v>
      </c>
      <c r="BB642" s="88"/>
      <c r="BC642" s="85"/>
      <c r="BD642" s="84"/>
      <c r="BE642" s="88"/>
      <c r="BF642" s="85"/>
      <c r="BG642" s="85"/>
      <c r="BH642" s="85"/>
      <c r="BI642" s="85"/>
      <c r="BJ642" s="85"/>
      <c r="BK642" s="85"/>
      <c r="BL642" s="85"/>
      <c r="BM642" s="85"/>
      <c r="BN642" s="85"/>
      <c r="BO642" s="85"/>
      <c r="BP642" s="85"/>
      <c r="BQ642" s="85"/>
      <c r="BR642" s="84"/>
      <c r="BS642" s="85"/>
      <c r="BT642" s="85"/>
      <c r="BU642" s="198"/>
      <c r="BV642" s="90"/>
      <c r="BW642" s="198"/>
      <c r="BX642" s="90"/>
      <c r="BY642" s="198"/>
      <c r="BZ642" s="90"/>
      <c r="CA642" s="91"/>
    </row>
    <row r="643" spans="1:79" ht="50.1" customHeight="1" outlineLevel="2" x14ac:dyDescent="0.3">
      <c r="A643" s="103" t="s">
        <v>568</v>
      </c>
      <c r="B643" s="96" t="s">
        <v>573</v>
      </c>
      <c r="C643" s="112" t="s">
        <v>55</v>
      </c>
      <c r="D643" s="81">
        <f t="shared" si="151"/>
        <v>70.320689999999999</v>
      </c>
      <c r="E643" s="82">
        <f t="shared" si="146"/>
        <v>23.195</v>
      </c>
      <c r="F643" s="83">
        <f t="shared" si="143"/>
        <v>47.125689999999999</v>
      </c>
      <c r="G643" s="84"/>
      <c r="H643" s="85"/>
      <c r="I643" s="85"/>
      <c r="J643" s="84"/>
      <c r="K643" s="85"/>
      <c r="L643" s="85"/>
      <c r="M643" s="85"/>
      <c r="N643" s="85"/>
      <c r="O643" s="82"/>
      <c r="P643" s="83"/>
      <c r="Q643" s="83"/>
      <c r="R643" s="83"/>
      <c r="S643" s="82"/>
      <c r="T643" s="83"/>
      <c r="U643" s="83"/>
      <c r="V643" s="84">
        <v>23.195</v>
      </c>
      <c r="W643" s="85">
        <v>40.5</v>
      </c>
      <c r="X643" s="87"/>
      <c r="Y643" s="83">
        <v>4.68</v>
      </c>
      <c r="Z643" s="84"/>
      <c r="AA643" s="85"/>
      <c r="AB643" s="84"/>
      <c r="AC643" s="85"/>
      <c r="AD643" s="89">
        <f t="shared" si="147"/>
        <v>1.9456899999999999</v>
      </c>
      <c r="AE643" s="89"/>
      <c r="AF643" s="186">
        <v>1.9456899999999999</v>
      </c>
      <c r="AG643" s="85"/>
      <c r="AH643" s="85"/>
      <c r="AI643" s="85"/>
      <c r="AJ643" s="84"/>
      <c r="AK643" s="85"/>
      <c r="AL643" s="84"/>
      <c r="AM643" s="88"/>
      <c r="AN643" s="84"/>
      <c r="AO643" s="85"/>
      <c r="AP643" s="84"/>
      <c r="AQ643" s="83"/>
      <c r="AR643" s="83"/>
      <c r="AS643" s="83"/>
      <c r="AT643" s="85"/>
      <c r="AU643" s="85"/>
      <c r="AV643" s="85"/>
      <c r="AW643" s="88"/>
      <c r="AX643" s="84"/>
      <c r="AY643" s="85"/>
      <c r="AZ643" s="84"/>
      <c r="BA643" s="85"/>
      <c r="BB643" s="88"/>
      <c r="BC643" s="85"/>
      <c r="BD643" s="84"/>
      <c r="BE643" s="88"/>
      <c r="BF643" s="85"/>
      <c r="BG643" s="85"/>
      <c r="BH643" s="85"/>
      <c r="BI643" s="85"/>
      <c r="BJ643" s="85"/>
      <c r="BK643" s="85"/>
      <c r="BL643" s="85"/>
      <c r="BM643" s="85"/>
      <c r="BN643" s="85"/>
      <c r="BO643" s="85"/>
      <c r="BP643" s="85"/>
      <c r="BQ643" s="85"/>
      <c r="BR643" s="84"/>
      <c r="BS643" s="85"/>
      <c r="BT643" s="85"/>
      <c r="BU643" s="198"/>
      <c r="BV643" s="90"/>
      <c r="BW643" s="198"/>
      <c r="BX643" s="90"/>
      <c r="BY643" s="198"/>
      <c r="BZ643" s="90"/>
      <c r="CA643" s="91"/>
    </row>
    <row r="644" spans="1:79" ht="50.1" customHeight="1" outlineLevel="2" x14ac:dyDescent="0.3">
      <c r="A644" s="103" t="s">
        <v>568</v>
      </c>
      <c r="B644" s="96" t="s">
        <v>574</v>
      </c>
      <c r="C644" s="79" t="s">
        <v>55</v>
      </c>
      <c r="D644" s="81">
        <f t="shared" si="151"/>
        <v>3.62602</v>
      </c>
      <c r="E644" s="82">
        <f t="shared" si="146"/>
        <v>1.9028400000000001</v>
      </c>
      <c r="F644" s="83">
        <f t="shared" si="143"/>
        <v>1.7231799999999999</v>
      </c>
      <c r="G644" s="84"/>
      <c r="H644" s="85"/>
      <c r="I644" s="85"/>
      <c r="J644" s="84"/>
      <c r="K644" s="85"/>
      <c r="L644" s="85"/>
      <c r="M644" s="85"/>
      <c r="N644" s="85"/>
      <c r="O644" s="82"/>
      <c r="P644" s="83"/>
      <c r="Q644" s="83"/>
      <c r="R644" s="83"/>
      <c r="S644" s="82"/>
      <c r="T644" s="83"/>
      <c r="U644" s="83"/>
      <c r="V644" s="84"/>
      <c r="W644" s="85"/>
      <c r="X644" s="87"/>
      <c r="Y644" s="83"/>
      <c r="Z644" s="84"/>
      <c r="AA644" s="85"/>
      <c r="AB644" s="84"/>
      <c r="AC644" s="85"/>
      <c r="AD644" s="89">
        <f t="shared" si="147"/>
        <v>0</v>
      </c>
      <c r="AE644" s="89"/>
      <c r="AF644" s="186"/>
      <c r="AG644" s="85"/>
      <c r="AH644" s="85"/>
      <c r="AI644" s="85"/>
      <c r="AJ644" s="84"/>
      <c r="AK644" s="85"/>
      <c r="AL644" s="84"/>
      <c r="AM644" s="88"/>
      <c r="AN644" s="84"/>
      <c r="AO644" s="85"/>
      <c r="AP644" s="84"/>
      <c r="AQ644" s="83"/>
      <c r="AR644" s="83"/>
      <c r="AS644" s="83"/>
      <c r="AT644" s="85"/>
      <c r="AU644" s="85"/>
      <c r="AV644" s="85"/>
      <c r="AW644" s="88"/>
      <c r="AX644" s="84"/>
      <c r="AY644" s="85"/>
      <c r="AZ644" s="84">
        <v>1.9028400000000001</v>
      </c>
      <c r="BA644" s="85">
        <v>1.7231799999999999</v>
      </c>
      <c r="BB644" s="88"/>
      <c r="BC644" s="85"/>
      <c r="BD644" s="84"/>
      <c r="BE644" s="88"/>
      <c r="BF644" s="85"/>
      <c r="BG644" s="85"/>
      <c r="BH644" s="85"/>
      <c r="BI644" s="85"/>
      <c r="BJ644" s="85"/>
      <c r="BK644" s="85"/>
      <c r="BL644" s="85"/>
      <c r="BM644" s="85"/>
      <c r="BN644" s="85"/>
      <c r="BO644" s="85"/>
      <c r="BP644" s="85"/>
      <c r="BQ644" s="85"/>
      <c r="BR644" s="84"/>
      <c r="BS644" s="85"/>
      <c r="BT644" s="85"/>
      <c r="BU644" s="198"/>
      <c r="BV644" s="90"/>
      <c r="BW644" s="198"/>
      <c r="BX644" s="90"/>
      <c r="BY644" s="198"/>
      <c r="BZ644" s="90"/>
      <c r="CA644" s="91"/>
    </row>
    <row r="645" spans="1:79" ht="50.1" customHeight="1" outlineLevel="2" x14ac:dyDescent="0.3">
      <c r="A645" s="103" t="s">
        <v>568</v>
      </c>
      <c r="B645" s="96" t="s">
        <v>575</v>
      </c>
      <c r="C645" s="79" t="s">
        <v>55</v>
      </c>
      <c r="D645" s="81">
        <f t="shared" si="151"/>
        <v>9.36</v>
      </c>
      <c r="E645" s="82">
        <f t="shared" si="146"/>
        <v>0</v>
      </c>
      <c r="F645" s="83">
        <f t="shared" si="143"/>
        <v>9.36</v>
      </c>
      <c r="G645" s="84"/>
      <c r="H645" s="85"/>
      <c r="I645" s="85"/>
      <c r="J645" s="84"/>
      <c r="K645" s="85"/>
      <c r="L645" s="85"/>
      <c r="M645" s="85"/>
      <c r="N645" s="85"/>
      <c r="O645" s="82"/>
      <c r="P645" s="83"/>
      <c r="Q645" s="83"/>
      <c r="R645" s="83"/>
      <c r="S645" s="82"/>
      <c r="T645" s="83"/>
      <c r="U645" s="83"/>
      <c r="V645" s="84"/>
      <c r="W645" s="85"/>
      <c r="X645" s="82"/>
      <c r="Y645" s="83">
        <v>9.36</v>
      </c>
      <c r="Z645" s="84"/>
      <c r="AA645" s="85"/>
      <c r="AB645" s="84"/>
      <c r="AC645" s="85"/>
      <c r="AD645" s="89">
        <f t="shared" si="147"/>
        <v>0</v>
      </c>
      <c r="AE645" s="89"/>
      <c r="AF645" s="186"/>
      <c r="AG645" s="85"/>
      <c r="AH645" s="85"/>
      <c r="AI645" s="85"/>
      <c r="AJ645" s="84"/>
      <c r="AK645" s="85"/>
      <c r="AL645" s="84"/>
      <c r="AM645" s="88"/>
      <c r="AN645" s="84"/>
      <c r="AO645" s="85"/>
      <c r="AP645" s="84"/>
      <c r="AQ645" s="83"/>
      <c r="AR645" s="83"/>
      <c r="AS645" s="83"/>
      <c r="AT645" s="85"/>
      <c r="AU645" s="85"/>
      <c r="AV645" s="85"/>
      <c r="AW645" s="88"/>
      <c r="AX645" s="84"/>
      <c r="AY645" s="85"/>
      <c r="AZ645" s="84"/>
      <c r="BA645" s="85"/>
      <c r="BB645" s="88"/>
      <c r="BC645" s="85"/>
      <c r="BD645" s="84"/>
      <c r="BE645" s="88"/>
      <c r="BF645" s="85"/>
      <c r="BG645" s="85"/>
      <c r="BH645" s="85"/>
      <c r="BI645" s="85"/>
      <c r="BJ645" s="85"/>
      <c r="BK645" s="85"/>
      <c r="BL645" s="85"/>
      <c r="BM645" s="85"/>
      <c r="BN645" s="85"/>
      <c r="BO645" s="85"/>
      <c r="BP645" s="85"/>
      <c r="BQ645" s="85"/>
      <c r="BR645" s="84"/>
      <c r="BS645" s="85"/>
      <c r="BT645" s="85"/>
      <c r="BU645" s="198"/>
      <c r="BV645" s="90"/>
      <c r="BW645" s="198"/>
      <c r="BX645" s="90"/>
      <c r="BY645" s="198"/>
      <c r="BZ645" s="90"/>
      <c r="CA645" s="91"/>
    </row>
    <row r="646" spans="1:79" ht="50.1" customHeight="1" outlineLevel="2" x14ac:dyDescent="0.3">
      <c r="A646" s="103" t="s">
        <v>568</v>
      </c>
      <c r="B646" s="96" t="s">
        <v>576</v>
      </c>
      <c r="C646" s="79" t="s">
        <v>55</v>
      </c>
      <c r="D646" s="81">
        <f t="shared" si="151"/>
        <v>2266.0468799999999</v>
      </c>
      <c r="E646" s="82">
        <f t="shared" si="146"/>
        <v>126.50776999999999</v>
      </c>
      <c r="F646" s="83">
        <f t="shared" si="143"/>
        <v>2139.5391099999997</v>
      </c>
      <c r="G646" s="84"/>
      <c r="H646" s="85"/>
      <c r="I646" s="85"/>
      <c r="J646" s="84"/>
      <c r="K646" s="85"/>
      <c r="L646" s="85"/>
      <c r="M646" s="85"/>
      <c r="N646" s="85"/>
      <c r="O646" s="82"/>
      <c r="P646" s="83"/>
      <c r="Q646" s="83"/>
      <c r="R646" s="83"/>
      <c r="S646" s="82"/>
      <c r="T646" s="83"/>
      <c r="U646" s="83"/>
      <c r="V646" s="84"/>
      <c r="W646" s="85"/>
      <c r="X646" s="82"/>
      <c r="Y646" s="83"/>
      <c r="Z646" s="84"/>
      <c r="AA646" s="85"/>
      <c r="AB646" s="84"/>
      <c r="AC646" s="85"/>
      <c r="AD646" s="89">
        <f t="shared" si="147"/>
        <v>0</v>
      </c>
      <c r="AE646" s="89"/>
      <c r="AF646" s="186"/>
      <c r="AG646" s="85"/>
      <c r="AH646" s="85"/>
      <c r="AI646" s="85"/>
      <c r="AJ646" s="84"/>
      <c r="AK646" s="85"/>
      <c r="AL646" s="84"/>
      <c r="AM646" s="88"/>
      <c r="AN646" s="84"/>
      <c r="AO646" s="85"/>
      <c r="AP646" s="84">
        <v>126.50776999999999</v>
      </c>
      <c r="AQ646" s="83">
        <v>331.47253999999998</v>
      </c>
      <c r="AR646" s="83"/>
      <c r="AS646" s="83">
        <v>958.07372999999995</v>
      </c>
      <c r="AT646" s="85"/>
      <c r="AU646" s="85"/>
      <c r="AV646" s="85">
        <v>768.40200000000004</v>
      </c>
      <c r="AW646" s="88"/>
      <c r="AX646" s="84"/>
      <c r="AY646" s="85"/>
      <c r="AZ646" s="84"/>
      <c r="BA646" s="85"/>
      <c r="BB646" s="88"/>
      <c r="BC646" s="85"/>
      <c r="BD646" s="84"/>
      <c r="BE646" s="88"/>
      <c r="BF646" s="85"/>
      <c r="BG646" s="85"/>
      <c r="BH646" s="85"/>
      <c r="BI646" s="85"/>
      <c r="BJ646" s="85"/>
      <c r="BK646" s="85">
        <v>25.273499999999999</v>
      </c>
      <c r="BL646" s="85"/>
      <c r="BM646" s="85"/>
      <c r="BN646" s="85"/>
      <c r="BO646" s="85"/>
      <c r="BP646" s="85"/>
      <c r="BQ646" s="85"/>
      <c r="BR646" s="84"/>
      <c r="BS646" s="85"/>
      <c r="BT646" s="85"/>
      <c r="BU646" s="198">
        <v>56.317340000000002</v>
      </c>
      <c r="BV646" s="90"/>
      <c r="BW646" s="198"/>
      <c r="BX646" s="90"/>
      <c r="BY646" s="198"/>
      <c r="BZ646" s="90"/>
      <c r="CA646" s="91"/>
    </row>
    <row r="647" spans="1:79" ht="50.1" customHeight="1" outlineLevel="2" x14ac:dyDescent="0.3">
      <c r="A647" s="96" t="s">
        <v>568</v>
      </c>
      <c r="B647" s="80" t="s">
        <v>577</v>
      </c>
      <c r="C647" s="79" t="s">
        <v>55</v>
      </c>
      <c r="D647" s="81">
        <f t="shared" si="151"/>
        <v>9.36</v>
      </c>
      <c r="E647" s="82">
        <f t="shared" si="146"/>
        <v>0</v>
      </c>
      <c r="F647" s="83">
        <f t="shared" si="143"/>
        <v>9.36</v>
      </c>
      <c r="G647" s="84"/>
      <c r="H647" s="85"/>
      <c r="I647" s="85"/>
      <c r="J647" s="84"/>
      <c r="K647" s="85"/>
      <c r="L647" s="85"/>
      <c r="M647" s="85"/>
      <c r="N647" s="85"/>
      <c r="O647" s="82"/>
      <c r="P647" s="83"/>
      <c r="Q647" s="83"/>
      <c r="R647" s="83"/>
      <c r="S647" s="82"/>
      <c r="T647" s="83"/>
      <c r="U647" s="83"/>
      <c r="V647" s="84"/>
      <c r="W647" s="85"/>
      <c r="X647" s="82"/>
      <c r="Y647" s="83">
        <v>9.36</v>
      </c>
      <c r="Z647" s="84"/>
      <c r="AA647" s="85"/>
      <c r="AB647" s="84"/>
      <c r="AC647" s="85"/>
      <c r="AD647" s="89">
        <f t="shared" si="147"/>
        <v>0</v>
      </c>
      <c r="AE647" s="89"/>
      <c r="AF647" s="186"/>
      <c r="AG647" s="85"/>
      <c r="AH647" s="85"/>
      <c r="AI647" s="85"/>
      <c r="AJ647" s="84"/>
      <c r="AK647" s="85"/>
      <c r="AL647" s="84"/>
      <c r="AM647" s="88"/>
      <c r="AN647" s="84"/>
      <c r="AO647" s="85"/>
      <c r="AP647" s="84"/>
      <c r="AQ647" s="83"/>
      <c r="AR647" s="83"/>
      <c r="AS647" s="83"/>
      <c r="AT647" s="85"/>
      <c r="AU647" s="85"/>
      <c r="AV647" s="85"/>
      <c r="AW647" s="88"/>
      <c r="AX647" s="84"/>
      <c r="AY647" s="85"/>
      <c r="AZ647" s="84"/>
      <c r="BA647" s="85"/>
      <c r="BB647" s="88"/>
      <c r="BC647" s="85"/>
      <c r="BD647" s="84"/>
      <c r="BE647" s="88"/>
      <c r="BF647" s="85"/>
      <c r="BG647" s="85"/>
      <c r="BH647" s="85"/>
      <c r="BI647" s="85"/>
      <c r="BJ647" s="85"/>
      <c r="BK647" s="85"/>
      <c r="BL647" s="85"/>
      <c r="BM647" s="85"/>
      <c r="BN647" s="85"/>
      <c r="BO647" s="85"/>
      <c r="BP647" s="85"/>
      <c r="BQ647" s="85"/>
      <c r="BR647" s="84"/>
      <c r="BS647" s="85"/>
      <c r="BT647" s="85"/>
      <c r="BU647" s="198"/>
      <c r="BV647" s="90"/>
      <c r="BW647" s="198"/>
      <c r="BX647" s="90"/>
      <c r="BY647" s="198"/>
      <c r="BZ647" s="90"/>
      <c r="CA647" s="91"/>
    </row>
    <row r="648" spans="1:79" ht="50.1" customHeight="1" outlineLevel="2" x14ac:dyDescent="0.3">
      <c r="A648" s="103" t="s">
        <v>568</v>
      </c>
      <c r="B648" s="96" t="s">
        <v>578</v>
      </c>
      <c r="C648" s="79" t="s">
        <v>55</v>
      </c>
      <c r="D648" s="81">
        <f t="shared" si="151"/>
        <v>37.500340000000001</v>
      </c>
      <c r="E648" s="82">
        <f t="shared" si="146"/>
        <v>11.5975</v>
      </c>
      <c r="F648" s="83">
        <f t="shared" si="143"/>
        <v>25.902840000000001</v>
      </c>
      <c r="G648" s="84"/>
      <c r="H648" s="85"/>
      <c r="I648" s="85"/>
      <c r="J648" s="84"/>
      <c r="K648" s="85"/>
      <c r="L648" s="85"/>
      <c r="M648" s="85"/>
      <c r="N648" s="85"/>
      <c r="O648" s="82"/>
      <c r="P648" s="83"/>
      <c r="Q648" s="83"/>
      <c r="R648" s="83"/>
      <c r="S648" s="82"/>
      <c r="T648" s="83"/>
      <c r="U648" s="83"/>
      <c r="V648" s="84">
        <v>11.5975</v>
      </c>
      <c r="W648" s="85">
        <v>20.25</v>
      </c>
      <c r="X648" s="87"/>
      <c r="Y648" s="83">
        <v>4.68</v>
      </c>
      <c r="Z648" s="84"/>
      <c r="AA648" s="85"/>
      <c r="AB648" s="84"/>
      <c r="AC648" s="85"/>
      <c r="AD648" s="89">
        <f t="shared" si="147"/>
        <v>0.97284000000000004</v>
      </c>
      <c r="AE648" s="83"/>
      <c r="AF648" s="123">
        <v>0.97284000000000004</v>
      </c>
      <c r="AG648" s="85"/>
      <c r="AH648" s="85"/>
      <c r="AI648" s="85"/>
      <c r="AJ648" s="84"/>
      <c r="AK648" s="85"/>
      <c r="AL648" s="84"/>
      <c r="AM648" s="85"/>
      <c r="AN648" s="84"/>
      <c r="AO648" s="85"/>
      <c r="AP648" s="84"/>
      <c r="AQ648" s="83"/>
      <c r="AR648" s="83"/>
      <c r="AS648" s="83"/>
      <c r="AT648" s="85"/>
      <c r="AU648" s="85"/>
      <c r="AV648" s="85"/>
      <c r="AW648" s="85"/>
      <c r="AX648" s="84"/>
      <c r="AY648" s="85"/>
      <c r="AZ648" s="84"/>
      <c r="BA648" s="85"/>
      <c r="BB648" s="85"/>
      <c r="BC648" s="85"/>
      <c r="BD648" s="84"/>
      <c r="BE648" s="85"/>
      <c r="BF648" s="85"/>
      <c r="BG648" s="85"/>
      <c r="BH648" s="85"/>
      <c r="BI648" s="85"/>
      <c r="BJ648" s="85"/>
      <c r="BK648" s="85"/>
      <c r="BL648" s="85"/>
      <c r="BM648" s="85"/>
      <c r="BN648" s="85"/>
      <c r="BO648" s="85"/>
      <c r="BP648" s="85"/>
      <c r="BQ648" s="85"/>
      <c r="BR648" s="84"/>
      <c r="BS648" s="85"/>
      <c r="BT648" s="85"/>
      <c r="BU648" s="198"/>
      <c r="BV648" s="90"/>
      <c r="BW648" s="198"/>
      <c r="BX648" s="90"/>
      <c r="BY648" s="198"/>
      <c r="BZ648" s="90"/>
      <c r="CA648" s="91"/>
    </row>
    <row r="649" spans="1:79" ht="50.1" customHeight="1" outlineLevel="2" x14ac:dyDescent="0.3">
      <c r="A649" s="103" t="s">
        <v>568</v>
      </c>
      <c r="B649" s="96" t="s">
        <v>579</v>
      </c>
      <c r="C649" s="79" t="s">
        <v>55</v>
      </c>
      <c r="D649" s="81">
        <f t="shared" si="151"/>
        <v>316.16300000000001</v>
      </c>
      <c r="E649" s="82">
        <f t="shared" si="146"/>
        <v>110.68714</v>
      </c>
      <c r="F649" s="83">
        <f t="shared" si="143"/>
        <v>205.47586000000001</v>
      </c>
      <c r="G649" s="84"/>
      <c r="H649" s="85"/>
      <c r="I649" s="85"/>
      <c r="J649" s="84"/>
      <c r="K649" s="85"/>
      <c r="L649" s="85"/>
      <c r="M649" s="85"/>
      <c r="N649" s="85"/>
      <c r="O649" s="82"/>
      <c r="P649" s="83"/>
      <c r="Q649" s="83"/>
      <c r="R649" s="83"/>
      <c r="S649" s="82"/>
      <c r="T649" s="83"/>
      <c r="U649" s="83"/>
      <c r="V649" s="84"/>
      <c r="W649" s="85"/>
      <c r="X649" s="87"/>
      <c r="Y649" s="83">
        <v>78</v>
      </c>
      <c r="Z649" s="84"/>
      <c r="AA649" s="85"/>
      <c r="AB649" s="84"/>
      <c r="AC649" s="85"/>
      <c r="AD649" s="89">
        <f t="shared" si="147"/>
        <v>27.239660000000001</v>
      </c>
      <c r="AE649" s="89"/>
      <c r="AF649" s="187">
        <v>27.239660000000001</v>
      </c>
      <c r="AG649" s="85"/>
      <c r="AH649" s="85"/>
      <c r="AI649" s="85"/>
      <c r="AJ649" s="84"/>
      <c r="AK649" s="85"/>
      <c r="AL649" s="84"/>
      <c r="AM649" s="88"/>
      <c r="AN649" s="84"/>
      <c r="AO649" s="85"/>
      <c r="AP649" s="84"/>
      <c r="AQ649" s="83"/>
      <c r="AR649" s="83"/>
      <c r="AS649" s="83"/>
      <c r="AT649" s="85"/>
      <c r="AU649" s="85"/>
      <c r="AV649" s="85"/>
      <c r="AW649" s="88"/>
      <c r="AX649" s="84"/>
      <c r="AY649" s="85"/>
      <c r="AZ649" s="84">
        <v>110.68714</v>
      </c>
      <c r="BA649" s="85">
        <v>100.2362</v>
      </c>
      <c r="BB649" s="88"/>
      <c r="BC649" s="85"/>
      <c r="BD649" s="84"/>
      <c r="BE649" s="88"/>
      <c r="BF649" s="85"/>
      <c r="BG649" s="85"/>
      <c r="BH649" s="85"/>
      <c r="BI649" s="85"/>
      <c r="BJ649" s="85"/>
      <c r="BK649" s="85"/>
      <c r="BL649" s="85"/>
      <c r="BM649" s="85"/>
      <c r="BN649" s="85"/>
      <c r="BO649" s="85"/>
      <c r="BP649" s="85"/>
      <c r="BQ649" s="85"/>
      <c r="BR649" s="84"/>
      <c r="BS649" s="85"/>
      <c r="BT649" s="85"/>
      <c r="BU649" s="198"/>
      <c r="BV649" s="90"/>
      <c r="BW649" s="198"/>
      <c r="BX649" s="90"/>
      <c r="BY649" s="198"/>
      <c r="BZ649" s="90"/>
      <c r="CA649" s="91"/>
    </row>
    <row r="650" spans="1:79" ht="50.1" customHeight="1" outlineLevel="2" x14ac:dyDescent="0.3">
      <c r="A650" s="103" t="s">
        <v>568</v>
      </c>
      <c r="B650" s="96" t="s">
        <v>580</v>
      </c>
      <c r="C650" s="79" t="s">
        <v>55</v>
      </c>
      <c r="D650" s="81">
        <f t="shared" si="151"/>
        <v>160.49671999999998</v>
      </c>
      <c r="E650" s="82">
        <f t="shared" si="146"/>
        <v>21.65962</v>
      </c>
      <c r="F650" s="83">
        <f t="shared" si="143"/>
        <v>138.83709999999999</v>
      </c>
      <c r="G650" s="84"/>
      <c r="H650" s="85"/>
      <c r="I650" s="85"/>
      <c r="J650" s="84"/>
      <c r="K650" s="85"/>
      <c r="L650" s="85"/>
      <c r="M650" s="85"/>
      <c r="N650" s="85"/>
      <c r="O650" s="82"/>
      <c r="P650" s="83"/>
      <c r="Q650" s="83"/>
      <c r="R650" s="83"/>
      <c r="S650" s="82"/>
      <c r="T650" s="83"/>
      <c r="U650" s="83"/>
      <c r="V650" s="84">
        <v>6.9584999999999999</v>
      </c>
      <c r="W650" s="85">
        <v>12.15</v>
      </c>
      <c r="X650" s="87"/>
      <c r="Y650" s="83">
        <v>93.6</v>
      </c>
      <c r="Z650" s="84"/>
      <c r="AA650" s="85"/>
      <c r="AB650" s="84"/>
      <c r="AC650" s="85"/>
      <c r="AD650" s="89">
        <f t="shared" si="147"/>
        <v>18.484059999999999</v>
      </c>
      <c r="AE650" s="89"/>
      <c r="AF650" s="187">
        <v>18.484059999999999</v>
      </c>
      <c r="AG650" s="85"/>
      <c r="AH650" s="85"/>
      <c r="AI650" s="85"/>
      <c r="AJ650" s="84"/>
      <c r="AK650" s="85"/>
      <c r="AL650" s="84"/>
      <c r="AM650" s="88"/>
      <c r="AN650" s="84"/>
      <c r="AO650" s="85"/>
      <c r="AP650" s="84"/>
      <c r="AQ650" s="83"/>
      <c r="AR650" s="83"/>
      <c r="AS650" s="83"/>
      <c r="AT650" s="85"/>
      <c r="AU650" s="85"/>
      <c r="AV650" s="85"/>
      <c r="AW650" s="88"/>
      <c r="AX650" s="84"/>
      <c r="AY650" s="85"/>
      <c r="AZ650" s="84">
        <v>14.70112</v>
      </c>
      <c r="BA650" s="85">
        <v>13.313029999999999</v>
      </c>
      <c r="BB650" s="88">
        <v>1.2900100000000001</v>
      </c>
      <c r="BC650" s="85"/>
      <c r="BD650" s="84"/>
      <c r="BE650" s="88"/>
      <c r="BF650" s="85"/>
      <c r="BG650" s="85"/>
      <c r="BH650" s="85"/>
      <c r="BI650" s="85"/>
      <c r="BJ650" s="85"/>
      <c r="BK650" s="85"/>
      <c r="BL650" s="85"/>
      <c r="BM650" s="85"/>
      <c r="BN650" s="85"/>
      <c r="BO650" s="85"/>
      <c r="BP650" s="85"/>
      <c r="BQ650" s="85"/>
      <c r="BR650" s="84"/>
      <c r="BS650" s="85"/>
      <c r="BT650" s="85"/>
      <c r="BU650" s="198"/>
      <c r="BV650" s="90"/>
      <c r="BW650" s="198"/>
      <c r="BX650" s="90"/>
      <c r="BY650" s="198"/>
      <c r="BZ650" s="90"/>
      <c r="CA650" s="91"/>
    </row>
    <row r="651" spans="1:79" ht="50.1" customHeight="1" outlineLevel="2" x14ac:dyDescent="0.3">
      <c r="A651" s="103" t="s">
        <v>568</v>
      </c>
      <c r="B651" s="96" t="s">
        <v>581</v>
      </c>
      <c r="C651" s="79" t="s">
        <v>53</v>
      </c>
      <c r="D651" s="81">
        <f t="shared" si="151"/>
        <v>35.39893</v>
      </c>
      <c r="E651" s="82">
        <f t="shared" si="146"/>
        <v>13.66456</v>
      </c>
      <c r="F651" s="83">
        <f t="shared" si="143"/>
        <v>21.734369999999998</v>
      </c>
      <c r="G651" s="84"/>
      <c r="H651" s="85"/>
      <c r="I651" s="85"/>
      <c r="J651" s="84"/>
      <c r="K651" s="85"/>
      <c r="L651" s="85"/>
      <c r="M651" s="85"/>
      <c r="N651" s="85"/>
      <c r="O651" s="82"/>
      <c r="P651" s="83"/>
      <c r="Q651" s="83"/>
      <c r="R651" s="83"/>
      <c r="S651" s="82"/>
      <c r="T651" s="83"/>
      <c r="U651" s="83"/>
      <c r="V651" s="84"/>
      <c r="W651" s="85"/>
      <c r="X651" s="87"/>
      <c r="Y651" s="83">
        <v>9.36</v>
      </c>
      <c r="Z651" s="84"/>
      <c r="AA651" s="85"/>
      <c r="AB651" s="84"/>
      <c r="AC651" s="85"/>
      <c r="AD651" s="89">
        <f t="shared" si="147"/>
        <v>0</v>
      </c>
      <c r="AE651" s="89"/>
      <c r="AF651" s="186"/>
      <c r="AG651" s="85"/>
      <c r="AH651" s="85"/>
      <c r="AI651" s="85"/>
      <c r="AJ651" s="84"/>
      <c r="AK651" s="85"/>
      <c r="AL651" s="84"/>
      <c r="AM651" s="88"/>
      <c r="AN651" s="84"/>
      <c r="AO651" s="85"/>
      <c r="AP651" s="84"/>
      <c r="AQ651" s="83"/>
      <c r="AR651" s="83"/>
      <c r="AS651" s="83"/>
      <c r="AT651" s="85"/>
      <c r="AU651" s="85"/>
      <c r="AV651" s="85"/>
      <c r="AW651" s="88"/>
      <c r="AX651" s="84"/>
      <c r="AY651" s="85"/>
      <c r="AZ651" s="84">
        <v>13.66456</v>
      </c>
      <c r="BA651" s="85">
        <v>12.374370000000001</v>
      </c>
      <c r="BB651" s="88"/>
      <c r="BC651" s="85"/>
      <c r="BD651" s="84"/>
      <c r="BE651" s="88"/>
      <c r="BF651" s="85"/>
      <c r="BG651" s="85"/>
      <c r="BH651" s="85"/>
      <c r="BI651" s="85"/>
      <c r="BJ651" s="85"/>
      <c r="BK651" s="85"/>
      <c r="BL651" s="85"/>
      <c r="BM651" s="85"/>
      <c r="BN651" s="85"/>
      <c r="BO651" s="85"/>
      <c r="BP651" s="85"/>
      <c r="BQ651" s="85"/>
      <c r="BR651" s="84"/>
      <c r="BS651" s="85"/>
      <c r="BT651" s="85"/>
      <c r="BU651" s="198"/>
      <c r="BV651" s="90"/>
      <c r="BW651" s="198"/>
      <c r="BX651" s="90"/>
      <c r="BY651" s="198"/>
      <c r="BZ651" s="90"/>
      <c r="CA651" s="91"/>
    </row>
    <row r="652" spans="1:79" ht="50.1" customHeight="1" outlineLevel="2" x14ac:dyDescent="0.3">
      <c r="A652" s="103" t="s">
        <v>568</v>
      </c>
      <c r="B652" s="96" t="s">
        <v>582</v>
      </c>
      <c r="C652" s="79" t="s">
        <v>53</v>
      </c>
      <c r="D652" s="81">
        <f t="shared" si="151"/>
        <v>13.43108</v>
      </c>
      <c r="E652" s="82">
        <f t="shared" si="146"/>
        <v>7.0482800000000001</v>
      </c>
      <c r="F652" s="83">
        <f t="shared" si="143"/>
        <v>6.3827999999999996</v>
      </c>
      <c r="G652" s="84"/>
      <c r="H652" s="85"/>
      <c r="I652" s="85"/>
      <c r="J652" s="84"/>
      <c r="K652" s="85"/>
      <c r="L652" s="85"/>
      <c r="M652" s="85"/>
      <c r="N652" s="85"/>
      <c r="O652" s="82"/>
      <c r="P652" s="83"/>
      <c r="Q652" s="83"/>
      <c r="R652" s="83"/>
      <c r="S652" s="82"/>
      <c r="T652" s="83"/>
      <c r="U652" s="83"/>
      <c r="V652" s="84"/>
      <c r="W652" s="85"/>
      <c r="X652" s="87"/>
      <c r="Y652" s="83"/>
      <c r="Z652" s="84"/>
      <c r="AA652" s="85"/>
      <c r="AB652" s="84"/>
      <c r="AC652" s="85"/>
      <c r="AD652" s="89">
        <f t="shared" si="147"/>
        <v>0</v>
      </c>
      <c r="AE652" s="89"/>
      <c r="AF652" s="186"/>
      <c r="AG652" s="85"/>
      <c r="AH652" s="85"/>
      <c r="AI652" s="85"/>
      <c r="AJ652" s="84"/>
      <c r="AK652" s="85"/>
      <c r="AL652" s="84"/>
      <c r="AM652" s="88"/>
      <c r="AN652" s="84"/>
      <c r="AO652" s="85"/>
      <c r="AP652" s="84"/>
      <c r="AQ652" s="83"/>
      <c r="AR652" s="83"/>
      <c r="AS652" s="83"/>
      <c r="AT652" s="85"/>
      <c r="AU652" s="85"/>
      <c r="AV652" s="85"/>
      <c r="AW652" s="88"/>
      <c r="AX652" s="84"/>
      <c r="AY652" s="85"/>
      <c r="AZ652" s="84">
        <v>7.0482800000000001</v>
      </c>
      <c r="BA652" s="85">
        <v>6.3827999999999996</v>
      </c>
      <c r="BB652" s="88"/>
      <c r="BC652" s="85"/>
      <c r="BD652" s="84"/>
      <c r="BE652" s="88"/>
      <c r="BF652" s="85"/>
      <c r="BG652" s="85"/>
      <c r="BH652" s="85"/>
      <c r="BI652" s="85"/>
      <c r="BJ652" s="85"/>
      <c r="BK652" s="85"/>
      <c r="BL652" s="85"/>
      <c r="BM652" s="85"/>
      <c r="BN652" s="85"/>
      <c r="BO652" s="85"/>
      <c r="BP652" s="85"/>
      <c r="BQ652" s="85"/>
      <c r="BR652" s="84"/>
      <c r="BS652" s="85"/>
      <c r="BT652" s="85"/>
      <c r="BU652" s="198"/>
      <c r="BV652" s="90"/>
      <c r="BW652" s="198"/>
      <c r="BX652" s="90"/>
      <c r="BY652" s="198"/>
      <c r="BZ652" s="90"/>
      <c r="CA652" s="91"/>
    </row>
    <row r="653" spans="1:79" ht="50.1" customHeight="1" outlineLevel="2" x14ac:dyDescent="0.3">
      <c r="A653" s="103" t="s">
        <v>568</v>
      </c>
      <c r="B653" s="96" t="s">
        <v>1159</v>
      </c>
      <c r="C653" s="79" t="s">
        <v>55</v>
      </c>
      <c r="D653" s="81">
        <f t="shared" si="151"/>
        <v>20.904</v>
      </c>
      <c r="E653" s="82">
        <f t="shared" si="146"/>
        <v>0</v>
      </c>
      <c r="F653" s="83">
        <f t="shared" si="143"/>
        <v>20.904</v>
      </c>
      <c r="G653" s="84"/>
      <c r="H653" s="85"/>
      <c r="I653" s="85"/>
      <c r="J653" s="84"/>
      <c r="K653" s="85"/>
      <c r="L653" s="85"/>
      <c r="M653" s="85"/>
      <c r="N653" s="85"/>
      <c r="O653" s="82"/>
      <c r="P653" s="83"/>
      <c r="Q653" s="83"/>
      <c r="R653" s="83"/>
      <c r="S653" s="82"/>
      <c r="T653" s="83"/>
      <c r="U653" s="83"/>
      <c r="V653" s="84"/>
      <c r="W653" s="85"/>
      <c r="X653" s="87"/>
      <c r="Y653" s="83">
        <v>20.904</v>
      </c>
      <c r="Z653" s="84"/>
      <c r="AA653" s="85"/>
      <c r="AB653" s="84"/>
      <c r="AC653" s="85"/>
      <c r="AD653" s="89"/>
      <c r="AE653" s="89"/>
      <c r="AF653" s="186"/>
      <c r="AG653" s="85"/>
      <c r="AH653" s="85"/>
      <c r="AI653" s="85"/>
      <c r="AJ653" s="84"/>
      <c r="AK653" s="85"/>
      <c r="AL653" s="84"/>
      <c r="AM653" s="88"/>
      <c r="AN653" s="84"/>
      <c r="AO653" s="85"/>
      <c r="AP653" s="84"/>
      <c r="AQ653" s="83"/>
      <c r="AR653" s="83"/>
      <c r="AS653" s="83"/>
      <c r="AT653" s="85"/>
      <c r="AU653" s="85"/>
      <c r="AV653" s="85"/>
      <c r="AW653" s="88"/>
      <c r="AX653" s="84"/>
      <c r="AY653" s="85"/>
      <c r="AZ653" s="84"/>
      <c r="BA653" s="85"/>
      <c r="BB653" s="88"/>
      <c r="BC653" s="85"/>
      <c r="BD653" s="84"/>
      <c r="BE653" s="88"/>
      <c r="BF653" s="85"/>
      <c r="BG653" s="85"/>
      <c r="BH653" s="85"/>
      <c r="BI653" s="85"/>
      <c r="BJ653" s="85"/>
      <c r="BK653" s="85"/>
      <c r="BL653" s="85"/>
      <c r="BM653" s="85"/>
      <c r="BN653" s="85"/>
      <c r="BO653" s="85"/>
      <c r="BP653" s="85"/>
      <c r="BQ653" s="85"/>
      <c r="BR653" s="84"/>
      <c r="BS653" s="85"/>
      <c r="BT653" s="85"/>
      <c r="BU653" s="198"/>
      <c r="BV653" s="90"/>
      <c r="BW653" s="198"/>
      <c r="BX653" s="90"/>
      <c r="BY653" s="198"/>
      <c r="BZ653" s="90"/>
      <c r="CA653" s="91"/>
    </row>
    <row r="654" spans="1:79" ht="50.1" customHeight="1" outlineLevel="2" x14ac:dyDescent="0.3">
      <c r="A654" s="103" t="s">
        <v>568</v>
      </c>
      <c r="B654" s="96" t="s">
        <v>583</v>
      </c>
      <c r="C654" s="79" t="s">
        <v>53</v>
      </c>
      <c r="D654" s="81">
        <f t="shared" si="151"/>
        <v>64.588580000000007</v>
      </c>
      <c r="E654" s="82">
        <f t="shared" si="146"/>
        <v>29.810230000000001</v>
      </c>
      <c r="F654" s="83">
        <f t="shared" si="143"/>
        <v>34.778350000000003</v>
      </c>
      <c r="G654" s="84"/>
      <c r="H654" s="85"/>
      <c r="I654" s="85"/>
      <c r="J654" s="84"/>
      <c r="K654" s="85"/>
      <c r="L654" s="85"/>
      <c r="M654" s="85"/>
      <c r="N654" s="85"/>
      <c r="O654" s="82"/>
      <c r="P654" s="83"/>
      <c r="Q654" s="83"/>
      <c r="R654" s="83"/>
      <c r="S654" s="82"/>
      <c r="T654" s="83"/>
      <c r="U654" s="83"/>
      <c r="V654" s="84"/>
      <c r="W654" s="85"/>
      <c r="X654" s="87"/>
      <c r="Y654" s="83"/>
      <c r="Z654" s="84"/>
      <c r="AA654" s="85"/>
      <c r="AB654" s="84"/>
      <c r="AC654" s="85"/>
      <c r="AD654" s="89">
        <f t="shared" si="147"/>
        <v>7.7827599999999997</v>
      </c>
      <c r="AE654" s="89"/>
      <c r="AF654" s="187">
        <v>7.7827599999999997</v>
      </c>
      <c r="AG654" s="85"/>
      <c r="AH654" s="85"/>
      <c r="AI654" s="85"/>
      <c r="AJ654" s="84"/>
      <c r="AK654" s="85"/>
      <c r="AL654" s="84"/>
      <c r="AM654" s="88"/>
      <c r="AN654" s="84"/>
      <c r="AO654" s="85"/>
      <c r="AP654" s="84"/>
      <c r="AQ654" s="83"/>
      <c r="AR654" s="83"/>
      <c r="AS654" s="83"/>
      <c r="AT654" s="85"/>
      <c r="AU654" s="85"/>
      <c r="AV654" s="85"/>
      <c r="AW654" s="88"/>
      <c r="AX654" s="84"/>
      <c r="AY654" s="85"/>
      <c r="AZ654" s="84">
        <v>29.810230000000001</v>
      </c>
      <c r="BA654" s="85">
        <v>26.99559</v>
      </c>
      <c r="BB654" s="88"/>
      <c r="BC654" s="85"/>
      <c r="BD654" s="84"/>
      <c r="BE654" s="88"/>
      <c r="BF654" s="85"/>
      <c r="BG654" s="85"/>
      <c r="BH654" s="85"/>
      <c r="BI654" s="85"/>
      <c r="BJ654" s="85"/>
      <c r="BK654" s="85"/>
      <c r="BL654" s="85"/>
      <c r="BM654" s="85"/>
      <c r="BN654" s="85"/>
      <c r="BO654" s="85"/>
      <c r="BP654" s="85"/>
      <c r="BQ654" s="85"/>
      <c r="BR654" s="84"/>
      <c r="BS654" s="85"/>
      <c r="BT654" s="85"/>
      <c r="BU654" s="198"/>
      <c r="BV654" s="90"/>
      <c r="BW654" s="198"/>
      <c r="BX654" s="90"/>
      <c r="BY654" s="198"/>
      <c r="BZ654" s="90"/>
      <c r="CA654" s="91"/>
    </row>
    <row r="655" spans="1:79" ht="50.1" customHeight="1" outlineLevel="2" x14ac:dyDescent="0.3">
      <c r="A655" s="103" t="s">
        <v>568</v>
      </c>
      <c r="B655" s="96" t="s">
        <v>584</v>
      </c>
      <c r="C655" s="79" t="s">
        <v>89</v>
      </c>
      <c r="D655" s="81">
        <f t="shared" si="151"/>
        <v>790.95196999999996</v>
      </c>
      <c r="E655" s="82">
        <f t="shared" si="146"/>
        <v>0</v>
      </c>
      <c r="F655" s="83">
        <f t="shared" si="143"/>
        <v>790.95196999999996</v>
      </c>
      <c r="G655" s="84"/>
      <c r="H655" s="85"/>
      <c r="I655" s="85"/>
      <c r="J655" s="84"/>
      <c r="K655" s="85"/>
      <c r="L655" s="85"/>
      <c r="M655" s="85"/>
      <c r="N655" s="85"/>
      <c r="O655" s="82"/>
      <c r="P655" s="83"/>
      <c r="Q655" s="83"/>
      <c r="R655" s="83"/>
      <c r="S655" s="82"/>
      <c r="T655" s="83"/>
      <c r="U655" s="83"/>
      <c r="V655" s="84"/>
      <c r="W655" s="85"/>
      <c r="X655" s="82"/>
      <c r="Y655" s="83"/>
      <c r="Z655" s="84"/>
      <c r="AA655" s="85"/>
      <c r="AB655" s="84"/>
      <c r="AC655" s="85"/>
      <c r="AD655" s="89">
        <f t="shared" si="147"/>
        <v>0</v>
      </c>
      <c r="AE655" s="89"/>
      <c r="AF655" s="186"/>
      <c r="AG655" s="85"/>
      <c r="AH655" s="85"/>
      <c r="AI655" s="85"/>
      <c r="AJ655" s="84"/>
      <c r="AK655" s="85"/>
      <c r="AL655" s="84"/>
      <c r="AM655" s="88"/>
      <c r="AN655" s="84"/>
      <c r="AO655" s="85"/>
      <c r="AP655" s="84"/>
      <c r="AQ655" s="83"/>
      <c r="AR655" s="83"/>
      <c r="AS655" s="83"/>
      <c r="AT655" s="85"/>
      <c r="AU655" s="85"/>
      <c r="AV655" s="85"/>
      <c r="AW655" s="88"/>
      <c r="AX655" s="84"/>
      <c r="AY655" s="85"/>
      <c r="AZ655" s="84"/>
      <c r="BA655" s="85"/>
      <c r="BB655" s="88"/>
      <c r="BC655" s="85"/>
      <c r="BD655" s="84"/>
      <c r="BE655" s="88"/>
      <c r="BF655" s="85"/>
      <c r="BG655" s="85"/>
      <c r="BH655" s="85"/>
      <c r="BI655" s="85"/>
      <c r="BJ655" s="85"/>
      <c r="BK655" s="85"/>
      <c r="BL655" s="85"/>
      <c r="BM655" s="85"/>
      <c r="BN655" s="85"/>
      <c r="BO655" s="85"/>
      <c r="BP655" s="85">
        <v>790.95196999999996</v>
      </c>
      <c r="BQ655" s="85"/>
      <c r="BR655" s="84"/>
      <c r="BS655" s="85"/>
      <c r="BT655" s="85"/>
      <c r="BU655" s="198"/>
      <c r="BV655" s="90"/>
      <c r="BW655" s="198"/>
      <c r="BX655" s="90"/>
      <c r="BY655" s="198"/>
      <c r="BZ655" s="90"/>
      <c r="CA655" s="91"/>
    </row>
    <row r="656" spans="1:79" ht="50.1" customHeight="1" outlineLevel="2" x14ac:dyDescent="0.3">
      <c r="A656" s="103" t="s">
        <v>568</v>
      </c>
      <c r="B656" s="111" t="s">
        <v>1028</v>
      </c>
      <c r="C656" s="79"/>
      <c r="D656" s="81">
        <f t="shared" si="151"/>
        <v>300</v>
      </c>
      <c r="E656" s="82">
        <f t="shared" si="146"/>
        <v>0</v>
      </c>
      <c r="F656" s="83">
        <f t="shared" si="143"/>
        <v>300</v>
      </c>
      <c r="G656" s="84"/>
      <c r="H656" s="85"/>
      <c r="I656" s="85"/>
      <c r="J656" s="84"/>
      <c r="K656" s="85"/>
      <c r="L656" s="85"/>
      <c r="M656" s="85"/>
      <c r="N656" s="85"/>
      <c r="O656" s="82"/>
      <c r="P656" s="83"/>
      <c r="Q656" s="83"/>
      <c r="R656" s="83"/>
      <c r="S656" s="82"/>
      <c r="T656" s="83"/>
      <c r="U656" s="83"/>
      <c r="V656" s="84"/>
      <c r="W656" s="85"/>
      <c r="X656" s="82"/>
      <c r="Y656" s="83"/>
      <c r="Z656" s="84"/>
      <c r="AA656" s="85"/>
      <c r="AB656" s="84"/>
      <c r="AC656" s="85"/>
      <c r="AD656" s="89">
        <f t="shared" si="147"/>
        <v>0</v>
      </c>
      <c r="AE656" s="89"/>
      <c r="AF656" s="186"/>
      <c r="AG656" s="85"/>
      <c r="AH656" s="85"/>
      <c r="AI656" s="85"/>
      <c r="AJ656" s="84"/>
      <c r="AK656" s="85"/>
      <c r="AL656" s="84"/>
      <c r="AM656" s="88"/>
      <c r="AN656" s="84"/>
      <c r="AO656" s="85"/>
      <c r="AP656" s="84"/>
      <c r="AQ656" s="83"/>
      <c r="AR656" s="83"/>
      <c r="AS656" s="83"/>
      <c r="AT656" s="85"/>
      <c r="AU656" s="85"/>
      <c r="AV656" s="85"/>
      <c r="AW656" s="88"/>
      <c r="AX656" s="84"/>
      <c r="AY656" s="85"/>
      <c r="AZ656" s="84"/>
      <c r="BA656" s="85"/>
      <c r="BB656" s="88"/>
      <c r="BC656" s="85"/>
      <c r="BD656" s="84"/>
      <c r="BE656" s="88"/>
      <c r="BF656" s="85"/>
      <c r="BG656" s="85"/>
      <c r="BH656" s="85">
        <v>300</v>
      </c>
      <c r="BI656" s="85"/>
      <c r="BJ656" s="85"/>
      <c r="BK656" s="85"/>
      <c r="BL656" s="85"/>
      <c r="BM656" s="85"/>
      <c r="BN656" s="85"/>
      <c r="BO656" s="85"/>
      <c r="BP656" s="85"/>
      <c r="BQ656" s="85"/>
      <c r="BR656" s="84"/>
      <c r="BS656" s="85"/>
      <c r="BT656" s="85"/>
      <c r="BU656" s="198"/>
      <c r="BV656" s="90"/>
      <c r="BW656" s="198"/>
      <c r="BX656" s="90"/>
      <c r="BY656" s="198"/>
      <c r="BZ656" s="90"/>
      <c r="CA656" s="91"/>
    </row>
    <row r="657" spans="1:1199" s="101" customFormat="1" ht="50.1" customHeight="1" outlineLevel="1" x14ac:dyDescent="0.3">
      <c r="A657" s="132" t="s">
        <v>585</v>
      </c>
      <c r="B657" s="229"/>
      <c r="C657" s="134" t="s">
        <v>94</v>
      </c>
      <c r="D657" s="114">
        <f>SUBTOTAL(9,D639:D656)</f>
        <v>14694.794050000004</v>
      </c>
      <c r="E657" s="114">
        <f>SUBTOTAL(9,E639:E656)</f>
        <v>3304.582100000001</v>
      </c>
      <c r="F657" s="114">
        <f>SUBTOTAL(9,F639:F656)</f>
        <v>11390.211950000003</v>
      </c>
      <c r="G657" s="114">
        <f t="shared" ref="G657:AL657" si="152">SUBTOTAL(9,G639:G655)</f>
        <v>0</v>
      </c>
      <c r="H657" s="114">
        <f t="shared" si="152"/>
        <v>0</v>
      </c>
      <c r="I657" s="114">
        <f t="shared" si="152"/>
        <v>0</v>
      </c>
      <c r="J657" s="114">
        <f t="shared" si="152"/>
        <v>412.52767</v>
      </c>
      <c r="K657" s="114">
        <f t="shared" si="152"/>
        <v>98.21472</v>
      </c>
      <c r="L657" s="114">
        <f t="shared" si="152"/>
        <v>0</v>
      </c>
      <c r="M657" s="114">
        <f t="shared" si="152"/>
        <v>0</v>
      </c>
      <c r="N657" s="114">
        <f t="shared" si="152"/>
        <v>0</v>
      </c>
      <c r="O657" s="114">
        <f t="shared" si="152"/>
        <v>0</v>
      </c>
      <c r="P657" s="114">
        <f t="shared" si="152"/>
        <v>0</v>
      </c>
      <c r="Q657" s="114">
        <f t="shared" si="152"/>
        <v>0</v>
      </c>
      <c r="R657" s="114">
        <f t="shared" si="152"/>
        <v>0</v>
      </c>
      <c r="S657" s="114">
        <f t="shared" si="152"/>
        <v>0</v>
      </c>
      <c r="T657" s="114">
        <f t="shared" si="152"/>
        <v>0</v>
      </c>
      <c r="U657" s="114">
        <f t="shared" si="152"/>
        <v>0</v>
      </c>
      <c r="V657" s="114">
        <f t="shared" si="152"/>
        <v>76.543499999999995</v>
      </c>
      <c r="W657" s="114">
        <f t="shared" si="152"/>
        <v>133.65</v>
      </c>
      <c r="X657" s="114">
        <f t="shared" si="152"/>
        <v>0</v>
      </c>
      <c r="Y657" s="114">
        <f t="shared" si="152"/>
        <v>312.62400000000002</v>
      </c>
      <c r="Z657" s="114">
        <f t="shared" si="152"/>
        <v>0</v>
      </c>
      <c r="AA657" s="114">
        <f t="shared" si="152"/>
        <v>0</v>
      </c>
      <c r="AB657" s="114">
        <f t="shared" si="152"/>
        <v>0</v>
      </c>
      <c r="AC657" s="114">
        <f t="shared" si="152"/>
        <v>0</v>
      </c>
      <c r="AD657" s="114">
        <f t="shared" si="152"/>
        <v>162.19091</v>
      </c>
      <c r="AE657" s="114">
        <f t="shared" si="152"/>
        <v>27.938300000000002</v>
      </c>
      <c r="AF657" s="114">
        <f t="shared" si="152"/>
        <v>134.25261</v>
      </c>
      <c r="AG657" s="114">
        <f t="shared" si="152"/>
        <v>0</v>
      </c>
      <c r="AH657" s="114">
        <f t="shared" si="152"/>
        <v>0</v>
      </c>
      <c r="AI657" s="114">
        <f t="shared" si="152"/>
        <v>0</v>
      </c>
      <c r="AJ657" s="114">
        <f t="shared" si="152"/>
        <v>0</v>
      </c>
      <c r="AK657" s="114">
        <f t="shared" si="152"/>
        <v>0</v>
      </c>
      <c r="AL657" s="114">
        <f t="shared" si="152"/>
        <v>0</v>
      </c>
      <c r="AM657" s="114">
        <f t="shared" ref="AM657:BG657" si="153">SUBTOTAL(9,AM639:AM655)</f>
        <v>0</v>
      </c>
      <c r="AN657" s="114">
        <f t="shared" si="153"/>
        <v>0</v>
      </c>
      <c r="AO657" s="114">
        <f t="shared" si="153"/>
        <v>0</v>
      </c>
      <c r="AP657" s="114">
        <f t="shared" si="153"/>
        <v>1838.49188</v>
      </c>
      <c r="AQ657" s="114">
        <f t="shared" si="153"/>
        <v>3681.4252500000002</v>
      </c>
      <c r="AR657" s="114">
        <f t="shared" si="153"/>
        <v>0</v>
      </c>
      <c r="AS657" s="114">
        <f t="shared" si="153"/>
        <v>958.07372999999995</v>
      </c>
      <c r="AT657" s="114">
        <f t="shared" si="153"/>
        <v>0</v>
      </c>
      <c r="AU657" s="114">
        <f t="shared" si="153"/>
        <v>2030</v>
      </c>
      <c r="AV657" s="114">
        <f t="shared" si="153"/>
        <v>1663.3344999999999</v>
      </c>
      <c r="AW657" s="114">
        <f t="shared" si="153"/>
        <v>0</v>
      </c>
      <c r="AX657" s="114">
        <f t="shared" si="153"/>
        <v>0</v>
      </c>
      <c r="AY657" s="114">
        <f t="shared" si="153"/>
        <v>0</v>
      </c>
      <c r="AZ657" s="114">
        <f t="shared" si="153"/>
        <v>977.01904999999999</v>
      </c>
      <c r="BA657" s="114">
        <f t="shared" si="153"/>
        <v>884.77002000000005</v>
      </c>
      <c r="BB657" s="114">
        <f t="shared" si="153"/>
        <v>1.2900100000000001</v>
      </c>
      <c r="BC657" s="114">
        <f t="shared" si="153"/>
        <v>0</v>
      </c>
      <c r="BD657" s="114">
        <f t="shared" si="153"/>
        <v>0</v>
      </c>
      <c r="BE657" s="114">
        <f t="shared" si="153"/>
        <v>0</v>
      </c>
      <c r="BF657" s="114">
        <f t="shared" si="153"/>
        <v>0</v>
      </c>
      <c r="BG657" s="114">
        <f t="shared" si="153"/>
        <v>0</v>
      </c>
      <c r="BH657" s="114">
        <f>SUBTOTAL(9,BH639:BH656)</f>
        <v>300</v>
      </c>
      <c r="BI657" s="114">
        <f t="shared" ref="BI657:CA657" si="154">SUBTOTAL(9,BI639:BI655)</f>
        <v>0</v>
      </c>
      <c r="BJ657" s="114">
        <f t="shared" si="154"/>
        <v>0</v>
      </c>
      <c r="BK657" s="114">
        <f t="shared" si="154"/>
        <v>317.36950000000002</v>
      </c>
      <c r="BL657" s="114">
        <f t="shared" si="154"/>
        <v>0</v>
      </c>
      <c r="BM657" s="114">
        <f t="shared" si="154"/>
        <v>0</v>
      </c>
      <c r="BN657" s="114">
        <f t="shared" si="154"/>
        <v>0</v>
      </c>
      <c r="BO657" s="114">
        <f t="shared" si="154"/>
        <v>0</v>
      </c>
      <c r="BP657" s="114">
        <f t="shared" si="154"/>
        <v>790.95196999999996</v>
      </c>
      <c r="BQ657" s="114">
        <f t="shared" si="154"/>
        <v>0</v>
      </c>
      <c r="BR657" s="114">
        <f t="shared" si="154"/>
        <v>0</v>
      </c>
      <c r="BS657" s="114">
        <f t="shared" si="154"/>
        <v>0</v>
      </c>
      <c r="BT657" s="114">
        <f t="shared" si="154"/>
        <v>0</v>
      </c>
      <c r="BU657" s="114">
        <f t="shared" si="154"/>
        <v>56.317340000000002</v>
      </c>
      <c r="BV657" s="114">
        <f t="shared" si="154"/>
        <v>0</v>
      </c>
      <c r="BW657" s="114">
        <f t="shared" si="154"/>
        <v>0</v>
      </c>
      <c r="BX657" s="114">
        <f t="shared" si="154"/>
        <v>0</v>
      </c>
      <c r="BY657" s="114">
        <f t="shared" si="154"/>
        <v>0</v>
      </c>
      <c r="BZ657" s="114">
        <f t="shared" si="154"/>
        <v>0</v>
      </c>
      <c r="CA657" s="114">
        <f t="shared" si="154"/>
        <v>0</v>
      </c>
      <c r="CB657" s="176"/>
      <c r="CC657" s="176"/>
      <c r="CD657" s="176"/>
      <c r="CE657" s="176"/>
      <c r="CF657" s="176"/>
      <c r="CG657" s="176"/>
      <c r="CH657" s="176"/>
      <c r="CI657" s="176"/>
      <c r="CJ657" s="176"/>
      <c r="CK657" s="176"/>
      <c r="CL657" s="176"/>
      <c r="CM657" s="176"/>
      <c r="CN657" s="176"/>
      <c r="CO657" s="176"/>
      <c r="CP657" s="176"/>
      <c r="CQ657" s="176"/>
      <c r="CR657" s="176"/>
      <c r="CS657" s="176"/>
      <c r="CT657" s="176"/>
      <c r="CU657" s="176"/>
      <c r="CV657" s="176"/>
      <c r="CW657" s="176"/>
      <c r="CX657" s="176"/>
      <c r="CY657" s="176"/>
      <c r="CZ657" s="176"/>
      <c r="DA657" s="176"/>
      <c r="DB657" s="176"/>
      <c r="DC657" s="176"/>
      <c r="DD657" s="176"/>
      <c r="DE657" s="176"/>
      <c r="DF657" s="176"/>
      <c r="DG657" s="176"/>
      <c r="DH657" s="176"/>
      <c r="DI657" s="176"/>
      <c r="DJ657" s="176"/>
      <c r="DK657" s="176"/>
      <c r="DL657" s="176"/>
      <c r="DM657" s="176"/>
      <c r="DN657" s="176"/>
      <c r="DO657" s="176"/>
      <c r="DP657" s="176"/>
      <c r="DQ657" s="176"/>
      <c r="DR657" s="176"/>
      <c r="DS657" s="176"/>
      <c r="DT657" s="176"/>
      <c r="DU657" s="176"/>
      <c r="DV657" s="176"/>
      <c r="DW657" s="176"/>
      <c r="DX657" s="176"/>
      <c r="DY657" s="176"/>
      <c r="DZ657" s="176"/>
      <c r="EA657" s="176"/>
      <c r="EB657" s="176"/>
      <c r="EC657" s="176"/>
      <c r="ED657" s="176"/>
      <c r="EE657" s="176"/>
      <c r="EF657" s="176"/>
      <c r="EG657" s="176"/>
      <c r="EH657" s="176"/>
      <c r="EI657" s="176"/>
      <c r="EJ657" s="176"/>
      <c r="EK657" s="176"/>
      <c r="EL657" s="176"/>
      <c r="EM657" s="176"/>
      <c r="EN657" s="176"/>
      <c r="EO657" s="176"/>
      <c r="EP657" s="176"/>
      <c r="EQ657" s="176"/>
      <c r="ER657" s="176"/>
      <c r="ES657" s="176"/>
      <c r="ET657" s="176"/>
      <c r="EU657" s="176"/>
      <c r="EV657" s="176"/>
      <c r="EW657" s="176"/>
      <c r="EX657" s="176"/>
      <c r="EY657" s="176"/>
      <c r="EZ657" s="176"/>
      <c r="FA657" s="176"/>
      <c r="FB657" s="176"/>
      <c r="FC657" s="176"/>
      <c r="FD657" s="176"/>
      <c r="FE657" s="176"/>
      <c r="FF657" s="176"/>
      <c r="FG657" s="176"/>
      <c r="FH657" s="176"/>
      <c r="FI657" s="176"/>
      <c r="FJ657" s="176"/>
      <c r="FK657" s="176"/>
      <c r="FL657" s="176"/>
      <c r="FM657" s="176"/>
      <c r="FN657" s="176"/>
      <c r="FO657" s="176"/>
      <c r="FP657" s="176"/>
      <c r="FQ657" s="176"/>
      <c r="FR657" s="176"/>
      <c r="FS657" s="176"/>
      <c r="FT657" s="176"/>
      <c r="FU657" s="176"/>
      <c r="FV657" s="176"/>
      <c r="FW657" s="176"/>
      <c r="FX657" s="176"/>
      <c r="FY657" s="176"/>
      <c r="FZ657" s="176"/>
      <c r="GA657" s="176"/>
      <c r="GB657" s="176"/>
      <c r="GC657" s="176"/>
      <c r="GD657" s="176"/>
      <c r="GE657" s="176"/>
      <c r="GF657" s="176"/>
      <c r="GG657" s="176"/>
      <c r="GH657" s="176"/>
      <c r="GI657" s="176"/>
      <c r="GJ657" s="176"/>
      <c r="GK657" s="176"/>
      <c r="GL657" s="176"/>
      <c r="GM657" s="176"/>
      <c r="GN657" s="176"/>
      <c r="GO657" s="176"/>
      <c r="GP657" s="176"/>
      <c r="GQ657" s="176"/>
      <c r="GR657" s="176"/>
      <c r="GS657" s="176"/>
      <c r="GT657" s="176"/>
      <c r="GU657" s="176"/>
      <c r="GV657" s="176"/>
      <c r="GW657" s="176"/>
      <c r="GX657" s="176"/>
      <c r="GY657" s="176"/>
      <c r="GZ657" s="176"/>
      <c r="HA657" s="176"/>
      <c r="HB657" s="176"/>
      <c r="HC657" s="176"/>
      <c r="HD657" s="176"/>
      <c r="HE657" s="176"/>
      <c r="HF657" s="176"/>
      <c r="HG657" s="176"/>
      <c r="HH657" s="176"/>
      <c r="HI657" s="176"/>
      <c r="HJ657" s="176"/>
      <c r="HK657" s="176"/>
      <c r="HL657" s="176"/>
      <c r="HM657" s="176"/>
      <c r="HN657" s="176"/>
      <c r="HO657" s="176"/>
      <c r="HP657" s="176"/>
      <c r="HQ657" s="176"/>
      <c r="HR657" s="176"/>
      <c r="HS657" s="176"/>
      <c r="HT657" s="176"/>
      <c r="HU657" s="176"/>
      <c r="HV657" s="176"/>
      <c r="HW657" s="176"/>
      <c r="HX657" s="176"/>
      <c r="HY657" s="176"/>
      <c r="HZ657" s="176"/>
      <c r="IA657" s="176"/>
      <c r="IB657" s="176"/>
      <c r="IC657" s="176"/>
      <c r="ID657" s="176"/>
      <c r="IE657" s="176"/>
      <c r="IF657" s="176"/>
      <c r="IG657" s="176"/>
      <c r="IH657" s="176"/>
      <c r="II657" s="176"/>
      <c r="IJ657" s="176"/>
      <c r="IK657" s="176"/>
      <c r="IL657" s="176"/>
      <c r="IM657" s="176"/>
      <c r="IN657" s="176"/>
      <c r="IO657" s="176"/>
      <c r="IP657" s="176"/>
      <c r="IQ657" s="176"/>
      <c r="IR657" s="176"/>
      <c r="IS657" s="176"/>
      <c r="IT657" s="176"/>
      <c r="IU657" s="176"/>
      <c r="IV657" s="176"/>
      <c r="IW657" s="176"/>
      <c r="IX657" s="176"/>
      <c r="IY657" s="176"/>
      <c r="IZ657" s="176"/>
      <c r="JA657" s="176"/>
      <c r="JB657" s="176"/>
      <c r="JC657" s="176"/>
      <c r="JD657" s="176"/>
      <c r="JE657" s="176"/>
      <c r="JF657" s="176"/>
      <c r="JG657" s="176"/>
      <c r="JH657" s="176"/>
      <c r="JI657" s="176"/>
      <c r="JJ657" s="176"/>
      <c r="JK657" s="176"/>
      <c r="JL657" s="176"/>
      <c r="JM657" s="176"/>
      <c r="JN657" s="176"/>
      <c r="JO657" s="176"/>
      <c r="JP657" s="176"/>
      <c r="JQ657" s="176"/>
      <c r="JR657" s="176"/>
      <c r="JS657" s="176"/>
      <c r="JT657" s="176"/>
      <c r="JU657" s="176"/>
      <c r="JV657" s="176"/>
      <c r="JW657" s="131"/>
      <c r="JX657" s="131"/>
      <c r="JY657" s="131"/>
      <c r="JZ657" s="131"/>
      <c r="KA657" s="131"/>
      <c r="KB657" s="131"/>
      <c r="KC657" s="131"/>
      <c r="KD657" s="131"/>
      <c r="KE657" s="131"/>
      <c r="KF657" s="131"/>
      <c r="KG657" s="131"/>
      <c r="KH657" s="131"/>
      <c r="KI657" s="131"/>
      <c r="KJ657" s="131"/>
      <c r="KK657" s="131"/>
      <c r="KL657" s="131"/>
      <c r="KM657" s="131"/>
      <c r="KN657" s="131"/>
      <c r="KO657" s="131"/>
      <c r="KP657" s="131"/>
      <c r="KQ657" s="131"/>
      <c r="KR657" s="131"/>
      <c r="KS657" s="131"/>
      <c r="KT657" s="131"/>
      <c r="KU657" s="131"/>
      <c r="KV657" s="131"/>
      <c r="KW657" s="131"/>
      <c r="KX657" s="131"/>
      <c r="KY657" s="131"/>
      <c r="KZ657" s="131"/>
      <c r="LA657" s="131"/>
      <c r="LB657" s="131"/>
      <c r="LC657" s="131"/>
      <c r="LD657" s="131"/>
      <c r="LE657" s="131"/>
      <c r="LF657" s="131"/>
      <c r="LG657" s="131"/>
      <c r="LH657" s="131"/>
      <c r="LI657" s="131"/>
      <c r="LJ657" s="131"/>
      <c r="LK657" s="131"/>
      <c r="LL657" s="131"/>
      <c r="LM657" s="131"/>
      <c r="LN657" s="131"/>
      <c r="LO657" s="131"/>
      <c r="LP657" s="131"/>
      <c r="LQ657" s="131"/>
      <c r="LR657" s="131"/>
      <c r="LS657" s="131"/>
      <c r="LT657" s="131"/>
      <c r="LU657" s="131"/>
      <c r="LV657" s="131"/>
      <c r="LW657" s="131"/>
      <c r="LX657" s="131"/>
      <c r="LY657" s="131"/>
      <c r="LZ657" s="131"/>
      <c r="MA657" s="131"/>
      <c r="MB657" s="131"/>
      <c r="MC657" s="131"/>
      <c r="MD657" s="131"/>
      <c r="ME657" s="131"/>
      <c r="MF657" s="131"/>
      <c r="MG657" s="131"/>
      <c r="MH657" s="131"/>
      <c r="MI657" s="131"/>
      <c r="MJ657" s="131"/>
      <c r="MK657" s="131"/>
      <c r="ML657" s="131"/>
      <c r="MM657" s="131"/>
      <c r="MN657" s="131"/>
      <c r="MO657" s="131"/>
      <c r="MP657" s="131"/>
      <c r="MQ657" s="131"/>
      <c r="MR657" s="131"/>
      <c r="MS657" s="131"/>
      <c r="MT657" s="131"/>
      <c r="MU657" s="131"/>
      <c r="MV657" s="131"/>
      <c r="MW657" s="131"/>
      <c r="MX657" s="131"/>
      <c r="MY657" s="131"/>
      <c r="MZ657" s="131"/>
      <c r="NA657" s="131"/>
      <c r="NB657" s="131"/>
      <c r="NC657" s="131"/>
      <c r="ND657" s="131"/>
      <c r="NE657" s="131"/>
      <c r="NF657" s="131"/>
      <c r="NG657" s="131"/>
      <c r="NH657" s="131"/>
      <c r="NI657" s="131"/>
      <c r="NJ657" s="131"/>
      <c r="NK657" s="131"/>
      <c r="NL657" s="131"/>
      <c r="NM657" s="131"/>
      <c r="NN657" s="131"/>
      <c r="NO657" s="131"/>
      <c r="NP657" s="131"/>
      <c r="NQ657" s="131"/>
      <c r="NR657" s="131"/>
      <c r="NS657" s="131"/>
      <c r="NT657" s="131"/>
      <c r="NU657" s="131"/>
      <c r="NV657" s="131"/>
      <c r="NW657" s="131"/>
      <c r="NX657" s="131"/>
      <c r="NY657" s="131"/>
      <c r="NZ657" s="131"/>
      <c r="OA657" s="131"/>
      <c r="OB657" s="131"/>
      <c r="OC657" s="131"/>
      <c r="OD657" s="131"/>
      <c r="OE657" s="131"/>
      <c r="OF657" s="131"/>
      <c r="OG657" s="131"/>
      <c r="OH657" s="131"/>
      <c r="OI657" s="131"/>
      <c r="OJ657" s="131"/>
      <c r="OK657" s="131"/>
      <c r="OL657" s="131"/>
      <c r="OM657" s="131"/>
      <c r="ON657" s="131"/>
      <c r="OO657" s="131"/>
      <c r="OP657" s="131"/>
      <c r="OQ657" s="131"/>
      <c r="OR657" s="131"/>
      <c r="OS657" s="131"/>
      <c r="OT657" s="131"/>
      <c r="OU657" s="131"/>
      <c r="OV657" s="131"/>
      <c r="OW657" s="131"/>
      <c r="OX657" s="131"/>
      <c r="OY657" s="131"/>
      <c r="OZ657" s="131"/>
      <c r="PA657" s="131"/>
      <c r="PB657" s="131"/>
      <c r="PC657" s="131"/>
      <c r="PD657" s="131"/>
      <c r="PE657" s="131"/>
      <c r="PF657" s="131"/>
      <c r="PG657" s="131"/>
      <c r="PH657" s="131"/>
      <c r="PI657" s="131"/>
      <c r="PJ657" s="131"/>
      <c r="PK657" s="131"/>
      <c r="PL657" s="131"/>
      <c r="PM657" s="131"/>
      <c r="PN657" s="131"/>
      <c r="PO657" s="131"/>
      <c r="PP657" s="131"/>
      <c r="PQ657" s="131"/>
      <c r="PR657" s="131"/>
      <c r="PS657" s="131"/>
      <c r="PT657" s="131"/>
      <c r="PU657" s="131"/>
      <c r="PV657" s="131"/>
      <c r="PW657" s="131"/>
      <c r="PX657" s="131"/>
      <c r="PY657" s="131"/>
      <c r="PZ657" s="131"/>
      <c r="QA657" s="131"/>
      <c r="QB657" s="131"/>
      <c r="QC657" s="131"/>
      <c r="QD657" s="131"/>
      <c r="QE657" s="131"/>
      <c r="QF657" s="131"/>
      <c r="QG657" s="131"/>
      <c r="QH657" s="131"/>
      <c r="QI657" s="131"/>
      <c r="QJ657" s="131"/>
      <c r="QK657" s="131"/>
      <c r="QL657" s="131"/>
      <c r="QM657" s="131"/>
      <c r="QN657" s="131"/>
      <c r="QO657" s="131"/>
      <c r="QP657" s="131"/>
      <c r="QQ657" s="131"/>
      <c r="QR657" s="131"/>
      <c r="QS657" s="131"/>
      <c r="QT657" s="131"/>
      <c r="QU657" s="131"/>
      <c r="QV657" s="131"/>
      <c r="QW657" s="131"/>
      <c r="QX657" s="131"/>
      <c r="QY657" s="131"/>
      <c r="QZ657" s="131"/>
      <c r="RA657" s="131"/>
      <c r="RB657" s="131"/>
      <c r="RC657" s="131"/>
      <c r="RD657" s="131"/>
      <c r="RE657" s="131"/>
      <c r="RF657" s="131"/>
      <c r="RG657" s="131"/>
      <c r="RH657" s="131"/>
      <c r="RI657" s="131"/>
      <c r="RJ657" s="131"/>
      <c r="RK657" s="131"/>
      <c r="RL657" s="131"/>
      <c r="RM657" s="131"/>
      <c r="RN657" s="131"/>
      <c r="RO657" s="131"/>
      <c r="RP657" s="131"/>
      <c r="RQ657" s="131"/>
      <c r="RR657" s="131"/>
      <c r="RS657" s="131"/>
      <c r="RT657" s="131"/>
      <c r="RU657" s="131"/>
      <c r="RV657" s="131"/>
      <c r="RW657" s="131"/>
      <c r="RX657" s="131"/>
      <c r="RY657" s="131"/>
      <c r="RZ657" s="131"/>
      <c r="SA657" s="131"/>
      <c r="SB657" s="131"/>
      <c r="SC657" s="131"/>
      <c r="SD657" s="131"/>
      <c r="SE657" s="131"/>
      <c r="SF657" s="131"/>
      <c r="SG657" s="131"/>
      <c r="SH657" s="131"/>
      <c r="SI657" s="131"/>
      <c r="SJ657" s="131"/>
      <c r="SK657" s="131"/>
      <c r="SL657" s="131"/>
      <c r="SM657" s="131"/>
      <c r="SN657" s="131"/>
      <c r="SO657" s="131"/>
      <c r="SP657" s="131"/>
      <c r="SQ657" s="131"/>
      <c r="SR657" s="131"/>
      <c r="SS657" s="131"/>
      <c r="ST657" s="131"/>
      <c r="SU657" s="131"/>
      <c r="SV657" s="131"/>
      <c r="SW657" s="131"/>
      <c r="SX657" s="131"/>
      <c r="SY657" s="131"/>
      <c r="SZ657" s="131"/>
      <c r="TA657" s="131"/>
      <c r="TB657" s="131"/>
      <c r="TC657" s="131"/>
      <c r="TD657" s="131"/>
      <c r="TE657" s="131"/>
      <c r="TF657" s="131"/>
      <c r="TG657" s="131"/>
      <c r="TH657" s="131"/>
      <c r="TI657" s="131"/>
      <c r="TJ657" s="131"/>
      <c r="TK657" s="131"/>
      <c r="TL657" s="131"/>
      <c r="TM657" s="131"/>
      <c r="TN657" s="131"/>
      <c r="TO657" s="131"/>
      <c r="TP657" s="131"/>
      <c r="TQ657" s="131"/>
      <c r="TR657" s="131"/>
      <c r="TS657" s="131"/>
      <c r="TT657" s="131"/>
      <c r="TU657" s="131"/>
      <c r="TV657" s="131"/>
      <c r="TW657" s="131"/>
      <c r="TX657" s="131"/>
      <c r="TY657" s="131"/>
      <c r="TZ657" s="131"/>
      <c r="UA657" s="131"/>
      <c r="UB657" s="131"/>
      <c r="UC657" s="131"/>
      <c r="UD657" s="131"/>
      <c r="UE657" s="131"/>
      <c r="UF657" s="131"/>
      <c r="UG657" s="131"/>
      <c r="UH657" s="131"/>
      <c r="UI657" s="131"/>
      <c r="UJ657" s="131"/>
      <c r="UK657" s="131"/>
      <c r="UL657" s="131"/>
      <c r="UM657" s="131"/>
      <c r="UN657" s="131"/>
      <c r="UO657" s="131"/>
      <c r="UP657" s="131"/>
      <c r="UQ657" s="131"/>
      <c r="UR657" s="131"/>
      <c r="US657" s="131"/>
      <c r="UT657" s="131"/>
      <c r="UU657" s="131"/>
      <c r="UV657" s="131"/>
      <c r="UW657" s="131"/>
      <c r="UX657" s="131"/>
      <c r="UY657" s="131"/>
      <c r="UZ657" s="131"/>
      <c r="VA657" s="131"/>
      <c r="VB657" s="131"/>
      <c r="VC657" s="131"/>
      <c r="VD657" s="131"/>
      <c r="VE657" s="131"/>
      <c r="VF657" s="131"/>
      <c r="VG657" s="131"/>
      <c r="VH657" s="131"/>
      <c r="VI657" s="131"/>
      <c r="VJ657" s="131"/>
      <c r="VK657" s="131"/>
      <c r="VL657" s="131"/>
      <c r="VM657" s="131"/>
      <c r="VN657" s="131"/>
      <c r="VO657" s="131"/>
      <c r="VP657" s="131"/>
      <c r="VQ657" s="131"/>
      <c r="VR657" s="131"/>
      <c r="VS657" s="131"/>
      <c r="VT657" s="131"/>
      <c r="VU657" s="131"/>
      <c r="VV657" s="131"/>
      <c r="VW657" s="131"/>
      <c r="VX657" s="131"/>
      <c r="VY657" s="131"/>
      <c r="VZ657" s="131"/>
      <c r="WA657" s="131"/>
      <c r="WB657" s="131"/>
      <c r="WC657" s="131"/>
      <c r="WD657" s="131"/>
      <c r="WE657" s="131"/>
      <c r="WF657" s="131"/>
      <c r="WG657" s="131"/>
      <c r="WH657" s="131"/>
      <c r="WI657" s="131"/>
      <c r="WJ657" s="131"/>
      <c r="WK657" s="131"/>
      <c r="WL657" s="131"/>
      <c r="WM657" s="131"/>
      <c r="WN657" s="131"/>
      <c r="WO657" s="131"/>
      <c r="WP657" s="131"/>
      <c r="WQ657" s="131"/>
      <c r="WR657" s="131"/>
      <c r="WS657" s="131"/>
      <c r="WT657" s="131"/>
      <c r="WU657" s="131"/>
      <c r="WV657" s="131"/>
      <c r="WW657" s="131"/>
      <c r="WX657" s="131"/>
      <c r="WY657" s="131"/>
      <c r="WZ657" s="131"/>
      <c r="XA657" s="131"/>
      <c r="XB657" s="131"/>
      <c r="XC657" s="131"/>
      <c r="XD657" s="131"/>
      <c r="XE657" s="131"/>
      <c r="XF657" s="131"/>
      <c r="XG657" s="131"/>
      <c r="XH657" s="131"/>
      <c r="XI657" s="131"/>
      <c r="XJ657" s="131"/>
      <c r="XK657" s="131"/>
      <c r="XL657" s="131"/>
      <c r="XM657" s="131"/>
      <c r="XN657" s="131"/>
      <c r="XO657" s="131"/>
      <c r="XP657" s="131"/>
      <c r="XQ657" s="131"/>
      <c r="XR657" s="131"/>
      <c r="XS657" s="131"/>
      <c r="XT657" s="131"/>
      <c r="XU657" s="131"/>
      <c r="XV657" s="131"/>
      <c r="XW657" s="131"/>
      <c r="XX657" s="131"/>
      <c r="XY657" s="131"/>
      <c r="XZ657" s="131"/>
      <c r="YA657" s="131"/>
      <c r="YB657" s="131"/>
      <c r="YC657" s="131"/>
      <c r="YD657" s="131"/>
      <c r="YE657" s="131"/>
      <c r="YF657" s="131"/>
      <c r="YG657" s="131"/>
      <c r="YH657" s="131"/>
      <c r="YI657" s="131"/>
      <c r="YJ657" s="131"/>
      <c r="YK657" s="131"/>
      <c r="YL657" s="131"/>
      <c r="YM657" s="131"/>
      <c r="YN657" s="131"/>
      <c r="YO657" s="131"/>
      <c r="YP657" s="131"/>
      <c r="YQ657" s="131"/>
      <c r="YR657" s="131"/>
      <c r="YS657" s="131"/>
      <c r="YT657" s="131"/>
      <c r="YU657" s="131"/>
      <c r="YV657" s="131"/>
      <c r="YW657" s="131"/>
      <c r="YX657" s="131"/>
      <c r="YY657" s="131"/>
      <c r="YZ657" s="131"/>
      <c r="ZA657" s="131"/>
      <c r="ZB657" s="131"/>
      <c r="ZC657" s="131"/>
      <c r="ZD657" s="131"/>
      <c r="ZE657" s="131"/>
      <c r="ZF657" s="131"/>
      <c r="ZG657" s="131"/>
      <c r="ZH657" s="131"/>
      <c r="ZI657" s="131"/>
      <c r="ZJ657" s="131"/>
      <c r="ZK657" s="131"/>
      <c r="ZL657" s="131"/>
      <c r="ZM657" s="131"/>
      <c r="ZN657" s="131"/>
      <c r="ZO657" s="131"/>
      <c r="ZP657" s="131"/>
      <c r="ZQ657" s="131"/>
      <c r="ZR657" s="131"/>
      <c r="ZS657" s="131"/>
      <c r="ZT657" s="131"/>
      <c r="ZU657" s="131"/>
      <c r="ZV657" s="131"/>
      <c r="ZW657" s="131"/>
      <c r="ZX657" s="131"/>
      <c r="ZY657" s="131"/>
      <c r="ZZ657" s="131"/>
      <c r="AAA657" s="131"/>
      <c r="AAB657" s="131"/>
      <c r="AAC657" s="131"/>
      <c r="AAD657" s="131"/>
      <c r="AAE657" s="131"/>
      <c r="AAF657" s="131"/>
      <c r="AAG657" s="131"/>
      <c r="AAH657" s="131"/>
      <c r="AAI657" s="131"/>
      <c r="AAJ657" s="131"/>
      <c r="AAK657" s="131"/>
      <c r="AAL657" s="131"/>
      <c r="AAM657" s="131"/>
      <c r="AAN657" s="131"/>
      <c r="AAO657" s="131"/>
      <c r="AAP657" s="131"/>
      <c r="AAQ657" s="131"/>
      <c r="AAR657" s="131"/>
      <c r="AAS657" s="131"/>
      <c r="AAT657" s="131"/>
      <c r="AAU657" s="131"/>
      <c r="AAV657" s="131"/>
      <c r="AAW657" s="131"/>
      <c r="AAX657" s="131"/>
      <c r="AAY657" s="131"/>
      <c r="AAZ657" s="131"/>
      <c r="ABA657" s="131"/>
      <c r="ABB657" s="131"/>
      <c r="ABC657" s="131"/>
      <c r="ABD657" s="131"/>
      <c r="ABE657" s="131"/>
      <c r="ABF657" s="131"/>
      <c r="ABG657" s="131"/>
      <c r="ABH657" s="131"/>
      <c r="ABI657" s="131"/>
      <c r="ABJ657" s="131"/>
      <c r="ABK657" s="131"/>
      <c r="ABL657" s="131"/>
      <c r="ABM657" s="131"/>
      <c r="ABN657" s="131"/>
      <c r="ABO657" s="131"/>
      <c r="ABP657" s="131"/>
      <c r="ABQ657" s="131"/>
      <c r="ABR657" s="131"/>
      <c r="ABS657" s="131"/>
      <c r="ABT657" s="131"/>
      <c r="ABU657" s="131"/>
      <c r="ABV657" s="131"/>
      <c r="ABW657" s="131"/>
      <c r="ABX657" s="131"/>
      <c r="ABY657" s="131"/>
      <c r="ABZ657" s="131"/>
      <c r="ACA657" s="131"/>
      <c r="ACB657" s="131"/>
      <c r="ACC657" s="131"/>
      <c r="ACD657" s="131"/>
      <c r="ACE657" s="131"/>
      <c r="ACF657" s="131"/>
      <c r="ACG657" s="131"/>
      <c r="ACH657" s="131"/>
      <c r="ACI657" s="131"/>
      <c r="ACJ657" s="131"/>
      <c r="ACK657" s="131"/>
      <c r="ACL657" s="131"/>
      <c r="ACM657" s="131"/>
      <c r="ACN657" s="131"/>
      <c r="ACO657" s="131"/>
      <c r="ACP657" s="131"/>
      <c r="ACQ657" s="131"/>
      <c r="ACR657" s="131"/>
      <c r="ACS657" s="131"/>
      <c r="ACT657" s="131"/>
      <c r="ACU657" s="131"/>
      <c r="ACV657" s="131"/>
      <c r="ACW657" s="131"/>
      <c r="ACX657" s="131"/>
      <c r="ACY657" s="131"/>
      <c r="ACZ657" s="131"/>
      <c r="ADA657" s="131"/>
      <c r="ADB657" s="131"/>
      <c r="ADC657" s="131"/>
      <c r="ADD657" s="131"/>
      <c r="ADE657" s="131"/>
      <c r="ADF657" s="131"/>
      <c r="ADG657" s="131"/>
      <c r="ADH657" s="131"/>
      <c r="ADI657" s="131"/>
      <c r="ADJ657" s="131"/>
      <c r="ADK657" s="131"/>
      <c r="ADL657" s="131"/>
      <c r="ADM657" s="131"/>
      <c r="ADN657" s="131"/>
      <c r="ADO657" s="131"/>
      <c r="ADP657" s="131"/>
      <c r="ADQ657" s="131"/>
      <c r="ADR657" s="131"/>
      <c r="ADS657" s="131"/>
      <c r="ADT657" s="131"/>
      <c r="ADU657" s="131"/>
      <c r="ADV657" s="131"/>
      <c r="ADW657" s="131"/>
      <c r="ADX657" s="131"/>
      <c r="ADY657" s="131"/>
      <c r="ADZ657" s="131"/>
      <c r="AEA657" s="131"/>
      <c r="AEB657" s="131"/>
      <c r="AEC657" s="131"/>
      <c r="AED657" s="131"/>
      <c r="AEE657" s="131"/>
      <c r="AEF657" s="131"/>
      <c r="AEG657" s="131"/>
      <c r="AEH657" s="131"/>
      <c r="AEI657" s="131"/>
      <c r="AEJ657" s="131"/>
      <c r="AEK657" s="131"/>
      <c r="AEL657" s="131"/>
      <c r="AEM657" s="131"/>
      <c r="AEN657" s="131"/>
      <c r="AEO657" s="131"/>
      <c r="AEP657" s="131"/>
      <c r="AEQ657" s="131"/>
      <c r="AER657" s="131"/>
      <c r="AES657" s="131"/>
      <c r="AET657" s="131"/>
      <c r="AEU657" s="131"/>
      <c r="AEV657" s="131"/>
      <c r="AEW657" s="131"/>
      <c r="AEX657" s="131"/>
      <c r="AEY657" s="131"/>
      <c r="AEZ657" s="131"/>
      <c r="AFA657" s="131"/>
      <c r="AFB657" s="131"/>
      <c r="AFC657" s="131"/>
      <c r="AFD657" s="131"/>
      <c r="AFE657" s="131"/>
      <c r="AFF657" s="131"/>
      <c r="AFG657" s="131"/>
      <c r="AFH657" s="131"/>
      <c r="AFI657" s="131"/>
      <c r="AFJ657" s="131"/>
      <c r="AFK657" s="131"/>
      <c r="AFL657" s="131"/>
      <c r="AFM657" s="131"/>
      <c r="AFN657" s="131"/>
      <c r="AFO657" s="131"/>
      <c r="AFP657" s="131"/>
      <c r="AFQ657" s="131"/>
      <c r="AFR657" s="131"/>
      <c r="AFS657" s="131"/>
      <c r="AFT657" s="131"/>
      <c r="AFU657" s="131"/>
      <c r="AFV657" s="131"/>
      <c r="AFW657" s="131"/>
      <c r="AFX657" s="131"/>
      <c r="AFY657" s="131"/>
      <c r="AFZ657" s="131"/>
      <c r="AGA657" s="131"/>
      <c r="AGB657" s="131"/>
      <c r="AGC657" s="131"/>
      <c r="AGD657" s="131"/>
      <c r="AGE657" s="131"/>
      <c r="AGF657" s="131"/>
      <c r="AGG657" s="131"/>
      <c r="AGH657" s="131"/>
      <c r="AGI657" s="131"/>
      <c r="AGJ657" s="131"/>
      <c r="AGK657" s="131"/>
      <c r="AGL657" s="131"/>
      <c r="AGM657" s="131"/>
      <c r="AGN657" s="131"/>
      <c r="AGO657" s="131"/>
      <c r="AGP657" s="131"/>
      <c r="AGQ657" s="131"/>
      <c r="AGR657" s="131"/>
      <c r="AGS657" s="131"/>
      <c r="AGT657" s="131"/>
      <c r="AGU657" s="131"/>
      <c r="AGV657" s="131"/>
      <c r="AGW657" s="131"/>
      <c r="AGX657" s="131"/>
      <c r="AGY657" s="131"/>
      <c r="AGZ657" s="131"/>
      <c r="AHA657" s="131"/>
      <c r="AHB657" s="131"/>
      <c r="AHC657" s="131"/>
      <c r="AHD657" s="131"/>
      <c r="AHE657" s="131"/>
      <c r="AHF657" s="131"/>
      <c r="AHG657" s="131"/>
      <c r="AHH657" s="131"/>
      <c r="AHI657" s="131"/>
      <c r="AHJ657" s="131"/>
      <c r="AHK657" s="131"/>
      <c r="AHL657" s="131"/>
      <c r="AHM657" s="131"/>
      <c r="AHN657" s="131"/>
      <c r="AHO657" s="131"/>
      <c r="AHP657" s="131"/>
      <c r="AHQ657" s="131"/>
      <c r="AHR657" s="131"/>
      <c r="AHS657" s="131"/>
      <c r="AHT657" s="131"/>
      <c r="AHU657" s="131"/>
      <c r="AHV657" s="131"/>
      <c r="AHW657" s="131"/>
      <c r="AHX657" s="131"/>
      <c r="AHY657" s="131"/>
      <c r="AHZ657" s="131"/>
      <c r="AIA657" s="131"/>
      <c r="AIB657" s="131"/>
      <c r="AIC657" s="131"/>
      <c r="AID657" s="131"/>
      <c r="AIE657" s="131"/>
      <c r="AIF657" s="131"/>
      <c r="AIG657" s="131"/>
      <c r="AIH657" s="131"/>
      <c r="AII657" s="131"/>
      <c r="AIJ657" s="131"/>
      <c r="AIK657" s="131"/>
      <c r="AIL657" s="131"/>
      <c r="AIM657" s="131"/>
      <c r="AIN657" s="131"/>
      <c r="AIO657" s="131"/>
      <c r="AIP657" s="131"/>
      <c r="AIQ657" s="131"/>
      <c r="AIR657" s="131"/>
      <c r="AIS657" s="131"/>
      <c r="AIT657" s="131"/>
      <c r="AIU657" s="131"/>
      <c r="AIV657" s="131"/>
      <c r="AIW657" s="131"/>
      <c r="AIX657" s="131"/>
      <c r="AIY657" s="131"/>
      <c r="AIZ657" s="131"/>
      <c r="AJA657" s="131"/>
      <c r="AJB657" s="131"/>
      <c r="AJC657" s="131"/>
      <c r="AJD657" s="131"/>
      <c r="AJE657" s="131"/>
      <c r="AJF657" s="131"/>
      <c r="AJG657" s="131"/>
      <c r="AJH657" s="131"/>
      <c r="AJI657" s="131"/>
      <c r="AJJ657" s="131"/>
      <c r="AJK657" s="131"/>
      <c r="AJL657" s="131"/>
      <c r="AJM657" s="131"/>
      <c r="AJN657" s="131"/>
      <c r="AJO657" s="131"/>
      <c r="AJP657" s="131"/>
      <c r="AJQ657" s="131"/>
      <c r="AJR657" s="131"/>
      <c r="AJS657" s="131"/>
      <c r="AJT657" s="131"/>
      <c r="AJU657" s="131"/>
      <c r="AJV657" s="131"/>
      <c r="AJW657" s="131"/>
      <c r="AJX657" s="131"/>
      <c r="AJY657" s="131"/>
      <c r="AJZ657" s="131"/>
      <c r="AKA657" s="131"/>
      <c r="AKB657" s="131"/>
      <c r="AKC657" s="131"/>
      <c r="AKD657" s="131"/>
      <c r="AKE657" s="131"/>
      <c r="AKF657" s="131"/>
      <c r="AKG657" s="131"/>
      <c r="AKH657" s="131"/>
      <c r="AKI657" s="131"/>
      <c r="AKJ657" s="131"/>
      <c r="AKK657" s="131"/>
      <c r="AKL657" s="131"/>
      <c r="AKM657" s="131"/>
      <c r="AKN657" s="131"/>
      <c r="AKO657" s="131"/>
      <c r="AKP657" s="131"/>
      <c r="AKQ657" s="131"/>
      <c r="AKR657" s="131"/>
      <c r="AKS657" s="131"/>
      <c r="AKT657" s="131"/>
      <c r="AKU657" s="131"/>
      <c r="AKV657" s="131"/>
      <c r="AKW657" s="131"/>
      <c r="AKX657" s="131"/>
      <c r="AKY657" s="131"/>
      <c r="AKZ657" s="131"/>
      <c r="ALA657" s="131"/>
      <c r="ALB657" s="131"/>
      <c r="ALC657" s="131"/>
      <c r="ALD657" s="131"/>
      <c r="ALE657" s="131"/>
      <c r="ALF657" s="131"/>
      <c r="ALG657" s="131"/>
      <c r="ALH657" s="131"/>
      <c r="ALI657" s="131"/>
      <c r="ALJ657" s="131"/>
      <c r="ALK657" s="131"/>
      <c r="ALL657" s="131"/>
      <c r="ALM657" s="131"/>
      <c r="ALN657" s="131"/>
      <c r="ALO657" s="131"/>
      <c r="ALP657" s="131"/>
      <c r="ALQ657" s="131"/>
      <c r="ALR657" s="131"/>
      <c r="ALS657" s="131"/>
      <c r="ALT657" s="131"/>
      <c r="ALU657" s="131"/>
      <c r="ALV657" s="131"/>
      <c r="ALW657" s="131"/>
      <c r="ALX657" s="131"/>
      <c r="ALY657" s="131"/>
      <c r="ALZ657" s="131"/>
      <c r="AMA657" s="131"/>
      <c r="AMB657" s="131"/>
      <c r="AMC657" s="131"/>
      <c r="AMD657" s="131"/>
      <c r="AME657" s="131"/>
      <c r="AMF657" s="131"/>
      <c r="AMG657" s="131"/>
      <c r="AMH657" s="131"/>
      <c r="AMI657" s="131"/>
      <c r="AMJ657" s="131"/>
      <c r="AMK657" s="131"/>
      <c r="AML657" s="131"/>
      <c r="AMM657" s="131"/>
      <c r="AMN657" s="131"/>
      <c r="AMO657" s="131"/>
      <c r="AMP657" s="131"/>
      <c r="AMQ657" s="131"/>
      <c r="AMR657" s="131"/>
      <c r="AMS657" s="131"/>
      <c r="AMT657" s="131"/>
      <c r="AMU657" s="131"/>
      <c r="AMV657" s="131"/>
      <c r="AMW657" s="131"/>
      <c r="AMX657" s="131"/>
      <c r="AMY657" s="131"/>
      <c r="AMZ657" s="131"/>
      <c r="ANA657" s="131"/>
      <c r="ANB657" s="131"/>
      <c r="ANC657" s="131"/>
      <c r="AND657" s="131"/>
      <c r="ANE657" s="131"/>
      <c r="ANF657" s="131"/>
      <c r="ANG657" s="131"/>
      <c r="ANH657" s="131"/>
      <c r="ANI657" s="131"/>
      <c r="ANJ657" s="131"/>
      <c r="ANK657" s="131"/>
      <c r="ANL657" s="131"/>
      <c r="ANM657" s="131"/>
      <c r="ANN657" s="131"/>
      <c r="ANO657" s="131"/>
      <c r="ANP657" s="131"/>
      <c r="ANQ657" s="131"/>
      <c r="ANR657" s="131"/>
      <c r="ANS657" s="131"/>
      <c r="ANT657" s="131"/>
      <c r="ANU657" s="131"/>
      <c r="ANV657" s="131"/>
      <c r="ANW657" s="131"/>
      <c r="ANX657" s="131"/>
      <c r="ANY657" s="131"/>
      <c r="ANZ657" s="131"/>
      <c r="AOA657" s="131"/>
      <c r="AOB657" s="131"/>
      <c r="AOC657" s="131"/>
      <c r="AOD657" s="131"/>
      <c r="AOE657" s="131"/>
      <c r="AOF657" s="131"/>
      <c r="AOG657" s="131"/>
      <c r="AOH657" s="131"/>
      <c r="AOI657" s="131"/>
      <c r="AOJ657" s="131"/>
      <c r="AOK657" s="131"/>
      <c r="AOL657" s="131"/>
      <c r="AOM657" s="131"/>
      <c r="AON657" s="131"/>
      <c r="AOO657" s="131"/>
      <c r="AOP657" s="131"/>
      <c r="AOQ657" s="131"/>
      <c r="AOR657" s="131"/>
      <c r="AOS657" s="131"/>
      <c r="AOT657" s="131"/>
      <c r="AOU657" s="131"/>
      <c r="AOV657" s="131"/>
      <c r="AOW657" s="131"/>
      <c r="AOX657" s="131"/>
      <c r="AOY657" s="131"/>
      <c r="AOZ657" s="131"/>
      <c r="APA657" s="131"/>
      <c r="APB657" s="131"/>
      <c r="APC657" s="131"/>
      <c r="APD657" s="131"/>
      <c r="APE657" s="131"/>
      <c r="APF657" s="131"/>
      <c r="APG657" s="131"/>
      <c r="APH657" s="131"/>
      <c r="API657" s="131"/>
      <c r="APJ657" s="131"/>
      <c r="APK657" s="131"/>
      <c r="APL657" s="131"/>
      <c r="APM657" s="131"/>
      <c r="APN657" s="131"/>
      <c r="APO657" s="131"/>
      <c r="APP657" s="131"/>
      <c r="APQ657" s="131"/>
      <c r="APR657" s="131"/>
      <c r="APS657" s="131"/>
      <c r="APT657" s="131"/>
      <c r="APU657" s="131"/>
      <c r="APV657" s="131"/>
      <c r="APW657" s="131"/>
      <c r="APX657" s="131"/>
      <c r="APY657" s="131"/>
      <c r="APZ657" s="131"/>
      <c r="AQA657" s="131"/>
      <c r="AQB657" s="131"/>
      <c r="AQC657" s="131"/>
      <c r="AQD657" s="131"/>
      <c r="AQE657" s="131"/>
      <c r="AQF657" s="131"/>
      <c r="AQG657" s="131"/>
      <c r="AQH657" s="131"/>
      <c r="AQI657" s="131"/>
      <c r="AQJ657" s="131"/>
      <c r="AQK657" s="131"/>
      <c r="AQL657" s="131"/>
      <c r="AQM657" s="131"/>
      <c r="AQN657" s="131"/>
      <c r="AQO657" s="131"/>
      <c r="AQP657" s="131"/>
      <c r="AQQ657" s="131"/>
      <c r="AQR657" s="131"/>
      <c r="AQS657" s="131"/>
      <c r="AQT657" s="131"/>
      <c r="AQU657" s="131"/>
      <c r="AQV657" s="131"/>
      <c r="AQW657" s="131"/>
      <c r="AQX657" s="131"/>
      <c r="AQY657" s="131"/>
      <c r="AQZ657" s="131"/>
      <c r="ARA657" s="131"/>
      <c r="ARB657" s="131"/>
      <c r="ARC657" s="131"/>
      <c r="ARD657" s="131"/>
      <c r="ARE657" s="131"/>
      <c r="ARF657" s="131"/>
      <c r="ARG657" s="131"/>
      <c r="ARH657" s="131"/>
      <c r="ARI657" s="131"/>
      <c r="ARJ657" s="131"/>
      <c r="ARK657" s="131"/>
      <c r="ARL657" s="131"/>
      <c r="ARM657" s="131"/>
      <c r="ARN657" s="131"/>
      <c r="ARO657" s="131"/>
      <c r="ARP657" s="131"/>
      <c r="ARQ657" s="131"/>
      <c r="ARR657" s="131"/>
      <c r="ARS657" s="131"/>
      <c r="ART657" s="131"/>
      <c r="ARU657" s="131"/>
      <c r="ARV657" s="131"/>
      <c r="ARW657" s="131"/>
      <c r="ARX657" s="131"/>
      <c r="ARY657" s="131"/>
      <c r="ARZ657" s="131"/>
      <c r="ASA657" s="131"/>
      <c r="ASB657" s="131"/>
      <c r="ASC657" s="131"/>
      <c r="ASD657" s="131"/>
      <c r="ASE657" s="131"/>
      <c r="ASF657" s="131"/>
      <c r="ASG657" s="131"/>
      <c r="ASH657" s="131"/>
      <c r="ASI657" s="131"/>
      <c r="ASJ657" s="131"/>
      <c r="ASK657" s="131"/>
      <c r="ASL657" s="131"/>
      <c r="ASM657" s="131"/>
      <c r="ASN657" s="131"/>
      <c r="ASO657" s="131"/>
      <c r="ASP657" s="131"/>
      <c r="ASQ657" s="131"/>
      <c r="ASR657" s="131"/>
      <c r="ASS657" s="131"/>
      <c r="AST657" s="131"/>
      <c r="ASU657" s="131"/>
      <c r="ASV657" s="131"/>
      <c r="ASW657" s="131"/>
      <c r="ASX657" s="131"/>
      <c r="ASY657" s="131"/>
      <c r="ASZ657" s="131"/>
      <c r="ATA657" s="131"/>
      <c r="ATB657" s="131"/>
      <c r="ATC657" s="131"/>
    </row>
    <row r="658" spans="1:1199" ht="50.1" customHeight="1" outlineLevel="2" x14ac:dyDescent="0.3">
      <c r="A658" s="103" t="s">
        <v>586</v>
      </c>
      <c r="B658" s="96" t="s">
        <v>587</v>
      </c>
      <c r="C658" s="79" t="s">
        <v>37</v>
      </c>
      <c r="D658" s="81">
        <f t="shared" ref="D658" si="155">E658+F658</f>
        <v>49066.364220000003</v>
      </c>
      <c r="E658" s="82">
        <f t="shared" si="146"/>
        <v>19897.265710000003</v>
      </c>
      <c r="F658" s="83">
        <f t="shared" si="143"/>
        <v>29169.09851</v>
      </c>
      <c r="G658" s="84">
        <v>309.50142</v>
      </c>
      <c r="H658" s="85">
        <v>112.54595999999999</v>
      </c>
      <c r="I658" s="85"/>
      <c r="J658" s="86">
        <f>26.0005+77.72919+218.56323</f>
        <v>322.29291999999998</v>
      </c>
      <c r="K658" s="85">
        <f>3.83133+11.39299+50.65838</f>
        <v>65.8827</v>
      </c>
      <c r="L658" s="85">
        <v>2695.9469100000001</v>
      </c>
      <c r="M658" s="85"/>
      <c r="N658" s="85"/>
      <c r="O658" s="82"/>
      <c r="P658" s="83"/>
      <c r="Q658" s="83"/>
      <c r="R658" s="83"/>
      <c r="S658" s="82">
        <v>1288.81799</v>
      </c>
      <c r="T658" s="83">
        <v>1003.7384</v>
      </c>
      <c r="U658" s="129"/>
      <c r="V658" s="84">
        <v>477.64460000000003</v>
      </c>
      <c r="W658" s="85">
        <v>1366.8</v>
      </c>
      <c r="X658" s="87"/>
      <c r="Y658" s="83">
        <v>604.34400000000005</v>
      </c>
      <c r="Z658" s="84"/>
      <c r="AA658" s="85">
        <v>619.72631999999999</v>
      </c>
      <c r="AB658" s="84"/>
      <c r="AC658" s="85"/>
      <c r="AD658" s="89">
        <f t="shared" si="147"/>
        <v>1560.6770300000001</v>
      </c>
      <c r="AE658" s="89">
        <f>52.569+120.3496+30.0874</f>
        <v>203.006</v>
      </c>
      <c r="AF658" s="186">
        <f>978.68345+84.98966+238.34702+55.6509</f>
        <v>1357.67103</v>
      </c>
      <c r="AG658" s="85"/>
      <c r="AH658" s="85"/>
      <c r="AI658" s="85"/>
      <c r="AJ658" s="84">
        <v>7636</v>
      </c>
      <c r="AK658" s="85">
        <v>2822</v>
      </c>
      <c r="AL658" s="84"/>
      <c r="AM658" s="88"/>
      <c r="AN658" s="84"/>
      <c r="AO658" s="85"/>
      <c r="AP658" s="84">
        <v>4165.4799400000002</v>
      </c>
      <c r="AQ658" s="83">
        <v>8121.6740900000004</v>
      </c>
      <c r="AR658" s="83"/>
      <c r="AS658" s="83"/>
      <c r="AT658" s="85"/>
      <c r="AU658" s="85"/>
      <c r="AV658" s="85">
        <f>3661.69588</f>
        <v>3661.6958800000002</v>
      </c>
      <c r="AW658" s="88"/>
      <c r="AX658" s="84"/>
      <c r="AY658" s="85"/>
      <c r="AZ658" s="84">
        <v>2650.721</v>
      </c>
      <c r="BA658" s="85">
        <v>2400.4418999999998</v>
      </c>
      <c r="BB658" s="85">
        <v>162.63199</v>
      </c>
      <c r="BC658" s="85"/>
      <c r="BD658" s="84"/>
      <c r="BE658" s="88"/>
      <c r="BF658" s="85"/>
      <c r="BG658" s="85">
        <v>3970.9933299999998</v>
      </c>
      <c r="BH658" s="85"/>
      <c r="BI658" s="85"/>
      <c r="BJ658" s="85"/>
      <c r="BK658" s="85"/>
      <c r="BL658" s="85"/>
      <c r="BM658" s="85"/>
      <c r="BN658" s="85"/>
      <c r="BO658" s="85"/>
      <c r="BP658" s="85"/>
      <c r="BQ658" s="85"/>
      <c r="BR658" s="84">
        <v>3046.8078399999999</v>
      </c>
      <c r="BS658" s="85"/>
      <c r="BT658" s="85"/>
      <c r="BU658" s="198"/>
      <c r="BV658" s="90"/>
      <c r="BW658" s="198"/>
      <c r="BX658" s="90"/>
      <c r="BY658" s="198"/>
      <c r="BZ658" s="90"/>
      <c r="CA658" s="91"/>
    </row>
    <row r="659" spans="1:1199" ht="50.1" customHeight="1" outlineLevel="2" x14ac:dyDescent="0.3">
      <c r="A659" s="103" t="s">
        <v>586</v>
      </c>
      <c r="B659" s="96" t="s">
        <v>588</v>
      </c>
      <c r="C659" s="79" t="s">
        <v>99</v>
      </c>
      <c r="D659" s="81">
        <f t="shared" ref="D659:D704" si="156">E659+F659</f>
        <v>651.48277000000007</v>
      </c>
      <c r="E659" s="82">
        <f t="shared" si="146"/>
        <v>0</v>
      </c>
      <c r="F659" s="83">
        <f t="shared" si="143"/>
        <v>651.48277000000007</v>
      </c>
      <c r="G659" s="84"/>
      <c r="H659" s="85"/>
      <c r="I659" s="85"/>
      <c r="J659" s="86"/>
      <c r="K659" s="85"/>
      <c r="L659" s="85"/>
      <c r="M659" s="85"/>
      <c r="N659" s="85"/>
      <c r="O659" s="82"/>
      <c r="P659" s="83"/>
      <c r="Q659" s="83"/>
      <c r="R659" s="83"/>
      <c r="S659" s="82"/>
      <c r="T659" s="83"/>
      <c r="U659" s="129"/>
      <c r="V659" s="84"/>
      <c r="W659" s="85"/>
      <c r="X659" s="87"/>
      <c r="Y659" s="83"/>
      <c r="Z659" s="84"/>
      <c r="AA659" s="85"/>
      <c r="AB659" s="84"/>
      <c r="AC659" s="85"/>
      <c r="AD659" s="89">
        <f t="shared" si="147"/>
        <v>0</v>
      </c>
      <c r="AE659" s="89"/>
      <c r="AF659" s="186"/>
      <c r="AG659" s="85"/>
      <c r="AH659" s="85"/>
      <c r="AI659" s="85"/>
      <c r="AJ659" s="84"/>
      <c r="AK659" s="85"/>
      <c r="AL659" s="84"/>
      <c r="AM659" s="88"/>
      <c r="AN659" s="84"/>
      <c r="AO659" s="85"/>
      <c r="AP659" s="84"/>
      <c r="AQ659" s="83"/>
      <c r="AR659" s="83"/>
      <c r="AS659" s="83"/>
      <c r="AT659" s="85"/>
      <c r="AU659" s="85"/>
      <c r="AV659" s="85">
        <f>108.30695+543.17582</f>
        <v>651.48277000000007</v>
      </c>
      <c r="AW659" s="88"/>
      <c r="AX659" s="84"/>
      <c r="AY659" s="85"/>
      <c r="AZ659" s="84"/>
      <c r="BA659" s="85"/>
      <c r="BB659" s="88"/>
      <c r="BC659" s="85"/>
      <c r="BD659" s="84"/>
      <c r="BE659" s="88"/>
      <c r="BF659" s="85"/>
      <c r="BG659" s="85"/>
      <c r="BH659" s="85"/>
      <c r="BI659" s="85"/>
      <c r="BJ659" s="85"/>
      <c r="BK659" s="85"/>
      <c r="BL659" s="85"/>
      <c r="BM659" s="85"/>
      <c r="BN659" s="85"/>
      <c r="BO659" s="85"/>
      <c r="BP659" s="85"/>
      <c r="BQ659" s="85"/>
      <c r="BR659" s="84"/>
      <c r="BS659" s="85"/>
      <c r="BT659" s="85"/>
      <c r="BU659" s="198"/>
      <c r="BV659" s="90"/>
      <c r="BW659" s="198"/>
      <c r="BX659" s="90"/>
      <c r="BY659" s="198"/>
      <c r="BZ659" s="90"/>
      <c r="CA659" s="91"/>
    </row>
    <row r="660" spans="1:1199" ht="50.1" customHeight="1" outlineLevel="2" x14ac:dyDescent="0.3">
      <c r="A660" s="103" t="s">
        <v>586</v>
      </c>
      <c r="B660" s="102" t="s">
        <v>589</v>
      </c>
      <c r="C660" s="130" t="s">
        <v>37</v>
      </c>
      <c r="D660" s="81">
        <f t="shared" si="156"/>
        <v>8238.7554300000011</v>
      </c>
      <c r="E660" s="82">
        <f t="shared" si="146"/>
        <v>1293.3312900000001</v>
      </c>
      <c r="F660" s="83">
        <f t="shared" ref="F660:F704" si="157">H660+I660+K660+L660+M660+N660+P660+Q660+R660+T660+U660+W660+Y660+AA660+AC660+AD660+AG660+AH660+AI660+AK660+AM660+AO660+AQ660+AR660+AS660+AT660+AU660+AV660+AW660+AY660+BA660+BB660+BC660+BE660+BF660+BG660+BH660+BI660+BJ660+BK660+BL660+BO660+BP660+BQ660+BS660+BT660+BU660+BW660+BY660+CA660+BM660+BN660</f>
        <v>6945.4241400000001</v>
      </c>
      <c r="G660" s="84"/>
      <c r="H660" s="85"/>
      <c r="I660" s="85"/>
      <c r="J660" s="84"/>
      <c r="K660" s="85"/>
      <c r="L660" s="85"/>
      <c r="M660" s="85"/>
      <c r="N660" s="85"/>
      <c r="O660" s="82"/>
      <c r="P660" s="83"/>
      <c r="Q660" s="83"/>
      <c r="R660" s="83"/>
      <c r="S660" s="83"/>
      <c r="T660" s="83"/>
      <c r="U660" s="83"/>
      <c r="V660" s="85"/>
      <c r="W660" s="85"/>
      <c r="X660" s="137"/>
      <c r="Y660" s="83">
        <v>18.72</v>
      </c>
      <c r="Z660" s="85"/>
      <c r="AA660" s="85"/>
      <c r="AB660" s="84">
        <v>1200.16768</v>
      </c>
      <c r="AC660" s="85">
        <v>840.86434999999994</v>
      </c>
      <c r="AD660" s="83">
        <f t="shared" si="147"/>
        <v>0</v>
      </c>
      <c r="AE660" s="83"/>
      <c r="AF660" s="123"/>
      <c r="AG660" s="85"/>
      <c r="AH660" s="85"/>
      <c r="AI660" s="85"/>
      <c r="AJ660" s="84"/>
      <c r="AK660" s="85"/>
      <c r="AL660" s="85"/>
      <c r="AM660" s="85"/>
      <c r="AN660" s="84"/>
      <c r="AO660" s="85"/>
      <c r="AP660" s="85"/>
      <c r="AQ660" s="83"/>
      <c r="AR660" s="83"/>
      <c r="AS660" s="83"/>
      <c r="AT660" s="85"/>
      <c r="AU660" s="85"/>
      <c r="AV660" s="85"/>
      <c r="AW660" s="85"/>
      <c r="AX660" s="84"/>
      <c r="AY660" s="85"/>
      <c r="AZ660" s="85">
        <v>93.163610000000006</v>
      </c>
      <c r="BA660" s="85">
        <v>62.275199999999998</v>
      </c>
      <c r="BB660" s="85">
        <v>5.0983499999999999</v>
      </c>
      <c r="BC660" s="85"/>
      <c r="BD660" s="85"/>
      <c r="BE660" s="85"/>
      <c r="BF660" s="85">
        <v>4682.0559999999996</v>
      </c>
      <c r="BG660" s="85"/>
      <c r="BH660" s="85"/>
      <c r="BI660" s="85"/>
      <c r="BJ660" s="85">
        <v>338.11023999999998</v>
      </c>
      <c r="BK660" s="85"/>
      <c r="BL660" s="85"/>
      <c r="BM660" s="85"/>
      <c r="BN660" s="85"/>
      <c r="BO660" s="85"/>
      <c r="BP660" s="85"/>
      <c r="BQ660" s="85"/>
      <c r="BR660" s="84"/>
      <c r="BS660" s="85">
        <v>998.3</v>
      </c>
      <c r="BT660" s="85"/>
      <c r="BU660" s="198"/>
      <c r="BV660" s="198"/>
      <c r="BW660" s="198"/>
      <c r="BX660" s="198"/>
      <c r="BY660" s="198"/>
      <c r="BZ660" s="198"/>
      <c r="CA660" s="91"/>
    </row>
    <row r="661" spans="1:1199" ht="50.1" customHeight="1" outlineLevel="2" x14ac:dyDescent="0.3">
      <c r="A661" s="103" t="s">
        <v>586</v>
      </c>
      <c r="B661" s="102" t="s">
        <v>590</v>
      </c>
      <c r="C661" s="79" t="s">
        <v>37</v>
      </c>
      <c r="D661" s="81">
        <f t="shared" si="156"/>
        <v>3686.9531999999999</v>
      </c>
      <c r="E661" s="82">
        <f t="shared" si="146"/>
        <v>0</v>
      </c>
      <c r="F661" s="83">
        <f t="shared" si="157"/>
        <v>3686.9531999999999</v>
      </c>
      <c r="G661" s="84"/>
      <c r="H661" s="85"/>
      <c r="I661" s="85"/>
      <c r="J661" s="84"/>
      <c r="K661" s="85"/>
      <c r="L661" s="85"/>
      <c r="M661" s="85"/>
      <c r="N661" s="85">
        <v>3686.9531999999999</v>
      </c>
      <c r="O661" s="82"/>
      <c r="P661" s="83"/>
      <c r="Q661" s="83"/>
      <c r="R661" s="83"/>
      <c r="S661" s="82"/>
      <c r="T661" s="83"/>
      <c r="U661" s="83"/>
      <c r="V661" s="84"/>
      <c r="W661" s="85"/>
      <c r="X661" s="87"/>
      <c r="Y661" s="83"/>
      <c r="Z661" s="84"/>
      <c r="AA661" s="85"/>
      <c r="AB661" s="84"/>
      <c r="AC661" s="85"/>
      <c r="AD661" s="89">
        <f t="shared" si="147"/>
        <v>0</v>
      </c>
      <c r="AE661" s="89"/>
      <c r="AF661" s="186"/>
      <c r="AG661" s="85"/>
      <c r="AH661" s="85"/>
      <c r="AI661" s="85"/>
      <c r="AJ661" s="84"/>
      <c r="AK661" s="85"/>
      <c r="AL661" s="84"/>
      <c r="AM661" s="88"/>
      <c r="AN661" s="84"/>
      <c r="AO661" s="85"/>
      <c r="AP661" s="84"/>
      <c r="AQ661" s="83"/>
      <c r="AR661" s="83"/>
      <c r="AS661" s="83"/>
      <c r="AT661" s="85"/>
      <c r="AU661" s="85"/>
      <c r="AV661" s="85"/>
      <c r="AW661" s="88"/>
      <c r="AX661" s="84"/>
      <c r="AY661" s="85"/>
      <c r="AZ661" s="84"/>
      <c r="BA661" s="85"/>
      <c r="BB661" s="88"/>
      <c r="BC661" s="85"/>
      <c r="BD661" s="84"/>
      <c r="BE661" s="88"/>
      <c r="BF661" s="85"/>
      <c r="BG661" s="85"/>
      <c r="BH661" s="85"/>
      <c r="BI661" s="85"/>
      <c r="BJ661" s="85"/>
      <c r="BK661" s="85"/>
      <c r="BL661" s="85"/>
      <c r="BM661" s="85"/>
      <c r="BN661" s="85"/>
      <c r="BO661" s="85"/>
      <c r="BP661" s="85"/>
      <c r="BQ661" s="85"/>
      <c r="BR661" s="84"/>
      <c r="BS661" s="85"/>
      <c r="BT661" s="85"/>
      <c r="BU661" s="198"/>
      <c r="BV661" s="90"/>
      <c r="BW661" s="198"/>
      <c r="BX661" s="90"/>
      <c r="BY661" s="198"/>
      <c r="BZ661" s="90"/>
      <c r="CA661" s="91"/>
    </row>
    <row r="662" spans="1:1199" ht="50.1" customHeight="1" outlineLevel="2" x14ac:dyDescent="0.3">
      <c r="A662" s="96" t="s">
        <v>586</v>
      </c>
      <c r="B662" s="96" t="s">
        <v>591</v>
      </c>
      <c r="C662" s="79" t="s">
        <v>37</v>
      </c>
      <c r="D662" s="81">
        <f t="shared" si="156"/>
        <v>293.97959000000003</v>
      </c>
      <c r="E662" s="82">
        <f t="shared" si="146"/>
        <v>133.80662000000001</v>
      </c>
      <c r="F662" s="83">
        <f t="shared" si="157"/>
        <v>160.17297000000002</v>
      </c>
      <c r="G662" s="84"/>
      <c r="H662" s="85"/>
      <c r="I662" s="85"/>
      <c r="J662" s="84"/>
      <c r="K662" s="85"/>
      <c r="L662" s="85"/>
      <c r="M662" s="85"/>
      <c r="N662" s="85"/>
      <c r="O662" s="82"/>
      <c r="P662" s="83"/>
      <c r="Q662" s="83"/>
      <c r="R662" s="83"/>
      <c r="S662" s="82"/>
      <c r="T662" s="83"/>
      <c r="U662" s="83"/>
      <c r="V662" s="84"/>
      <c r="W662" s="85"/>
      <c r="X662" s="87"/>
      <c r="Y662" s="83">
        <v>39</v>
      </c>
      <c r="Z662" s="84"/>
      <c r="AA662" s="85"/>
      <c r="AB662" s="84"/>
      <c r="AC662" s="85"/>
      <c r="AD662" s="89">
        <f t="shared" si="147"/>
        <v>0</v>
      </c>
      <c r="AE662" s="89"/>
      <c r="AF662" s="186"/>
      <c r="AG662" s="85"/>
      <c r="AH662" s="85"/>
      <c r="AI662" s="85"/>
      <c r="AJ662" s="84"/>
      <c r="AK662" s="85"/>
      <c r="AL662" s="84"/>
      <c r="AM662" s="88"/>
      <c r="AN662" s="84"/>
      <c r="AO662" s="85"/>
      <c r="AP662" s="84"/>
      <c r="AQ662" s="83"/>
      <c r="AR662" s="83"/>
      <c r="AS662" s="83"/>
      <c r="AT662" s="85"/>
      <c r="AU662" s="85"/>
      <c r="AV662" s="85"/>
      <c r="AW662" s="88"/>
      <c r="AX662" s="84"/>
      <c r="AY662" s="85"/>
      <c r="AZ662" s="84">
        <v>133.80662000000001</v>
      </c>
      <c r="BA662" s="85">
        <v>121.17297000000001</v>
      </c>
      <c r="BB662" s="88"/>
      <c r="BC662" s="85"/>
      <c r="BD662" s="84"/>
      <c r="BE662" s="88"/>
      <c r="BF662" s="85"/>
      <c r="BG662" s="85"/>
      <c r="BH662" s="85"/>
      <c r="BI662" s="85"/>
      <c r="BJ662" s="85"/>
      <c r="BK662" s="85"/>
      <c r="BL662" s="85"/>
      <c r="BM662" s="85"/>
      <c r="BN662" s="85"/>
      <c r="BO662" s="85"/>
      <c r="BP662" s="85"/>
      <c r="BQ662" s="85"/>
      <c r="BR662" s="84"/>
      <c r="BS662" s="85"/>
      <c r="BT662" s="85"/>
      <c r="BU662" s="198"/>
      <c r="BV662" s="90"/>
      <c r="BW662" s="198"/>
      <c r="BX662" s="90"/>
      <c r="BY662" s="198"/>
      <c r="BZ662" s="90"/>
      <c r="CA662" s="91"/>
    </row>
    <row r="663" spans="1:1199" ht="50.1" customHeight="1" outlineLevel="2" x14ac:dyDescent="0.3">
      <c r="A663" s="106" t="s">
        <v>586</v>
      </c>
      <c r="B663" s="96" t="s">
        <v>592</v>
      </c>
      <c r="C663" s="79" t="s">
        <v>37</v>
      </c>
      <c r="D663" s="81">
        <f t="shared" si="156"/>
        <v>2013.5882999999999</v>
      </c>
      <c r="E663" s="82">
        <f t="shared" si="146"/>
        <v>204.94561999999999</v>
      </c>
      <c r="F663" s="83">
        <f t="shared" si="157"/>
        <v>1808.6426799999999</v>
      </c>
      <c r="G663" s="84"/>
      <c r="H663" s="85"/>
      <c r="I663" s="85"/>
      <c r="J663" s="84"/>
      <c r="K663" s="85"/>
      <c r="L663" s="85"/>
      <c r="M663" s="85"/>
      <c r="N663" s="85"/>
      <c r="O663" s="82"/>
      <c r="P663" s="83"/>
      <c r="Q663" s="83"/>
      <c r="R663" s="83"/>
      <c r="S663" s="82"/>
      <c r="T663" s="83"/>
      <c r="U663" s="83"/>
      <c r="V663" s="84"/>
      <c r="W663" s="85"/>
      <c r="X663" s="87"/>
      <c r="Y663" s="83">
        <v>190.32</v>
      </c>
      <c r="Z663" s="84"/>
      <c r="AA663" s="85"/>
      <c r="AB663" s="84"/>
      <c r="AC663" s="85"/>
      <c r="AD663" s="89">
        <f t="shared" si="147"/>
        <v>0</v>
      </c>
      <c r="AE663" s="89"/>
      <c r="AF663" s="186"/>
      <c r="AG663" s="85"/>
      <c r="AH663" s="85"/>
      <c r="AI663" s="85"/>
      <c r="AJ663" s="84"/>
      <c r="AK663" s="85"/>
      <c r="AL663" s="84"/>
      <c r="AM663" s="88"/>
      <c r="AN663" s="84"/>
      <c r="AO663" s="85"/>
      <c r="AP663" s="84"/>
      <c r="AQ663" s="83"/>
      <c r="AR663" s="83"/>
      <c r="AS663" s="83"/>
      <c r="AT663" s="85"/>
      <c r="AU663" s="85"/>
      <c r="AV663" s="85">
        <f>379.6254+1053.10215</f>
        <v>1432.7275500000001</v>
      </c>
      <c r="AW663" s="88"/>
      <c r="AX663" s="84"/>
      <c r="AY663" s="85"/>
      <c r="AZ663" s="84">
        <v>204.94561999999999</v>
      </c>
      <c r="BA663" s="85">
        <v>185.59513000000001</v>
      </c>
      <c r="BB663" s="88"/>
      <c r="BC663" s="85"/>
      <c r="BD663" s="84"/>
      <c r="BE663" s="88"/>
      <c r="BF663" s="85"/>
      <c r="BG663" s="85"/>
      <c r="BH663" s="85"/>
      <c r="BI663" s="85"/>
      <c r="BJ663" s="85"/>
      <c r="BK663" s="85"/>
      <c r="BL663" s="85"/>
      <c r="BM663" s="85"/>
      <c r="BN663" s="85"/>
      <c r="BO663" s="85"/>
      <c r="BP663" s="85"/>
      <c r="BQ663" s="85"/>
      <c r="BR663" s="84"/>
      <c r="BS663" s="85"/>
      <c r="BT663" s="85"/>
      <c r="BU663" s="198"/>
      <c r="BV663" s="90"/>
      <c r="BW663" s="198"/>
      <c r="BX663" s="90"/>
      <c r="BY663" s="198"/>
      <c r="BZ663" s="90"/>
      <c r="CA663" s="91"/>
    </row>
    <row r="664" spans="1:1199" ht="50.1" customHeight="1" outlineLevel="2" x14ac:dyDescent="0.3">
      <c r="A664" s="103" t="s">
        <v>586</v>
      </c>
      <c r="B664" s="102" t="s">
        <v>593</v>
      </c>
      <c r="C664" s="79" t="s">
        <v>37</v>
      </c>
      <c r="D664" s="81">
        <f t="shared" si="156"/>
        <v>15433.35282</v>
      </c>
      <c r="E664" s="82">
        <f t="shared" si="146"/>
        <v>8137.47822</v>
      </c>
      <c r="F664" s="83">
        <f t="shared" si="157"/>
        <v>7295.8745999999992</v>
      </c>
      <c r="G664" s="84"/>
      <c r="H664" s="85"/>
      <c r="I664" s="85"/>
      <c r="J664" s="84"/>
      <c r="K664" s="85"/>
      <c r="L664" s="85"/>
      <c r="M664" s="85"/>
      <c r="N664" s="85"/>
      <c r="O664" s="82"/>
      <c r="P664" s="83"/>
      <c r="Q664" s="83"/>
      <c r="R664" s="83"/>
      <c r="S664" s="82"/>
      <c r="T664" s="83"/>
      <c r="U664" s="83"/>
      <c r="V664" s="84">
        <v>162.36500000000001</v>
      </c>
      <c r="W664" s="85">
        <v>475.2</v>
      </c>
      <c r="X664" s="87"/>
      <c r="Y664" s="83">
        <v>140.4</v>
      </c>
      <c r="Z664" s="84"/>
      <c r="AA664" s="85"/>
      <c r="AB664" s="84"/>
      <c r="AC664" s="85"/>
      <c r="AD664" s="89">
        <f t="shared" si="147"/>
        <v>507.61100999999996</v>
      </c>
      <c r="AE664" s="89">
        <f>64.473+23.6401</f>
        <v>88.113100000000003</v>
      </c>
      <c r="AF664" s="186">
        <f>303.72935+115.76856</f>
        <v>419.49790999999999</v>
      </c>
      <c r="AG664" s="85"/>
      <c r="AH664" s="85"/>
      <c r="AI664" s="85"/>
      <c r="AJ664" s="84"/>
      <c r="AK664" s="85"/>
      <c r="AL664" s="84"/>
      <c r="AM664" s="88"/>
      <c r="AN664" s="84"/>
      <c r="AO664" s="85"/>
      <c r="AP664" s="84">
        <v>2288.43255</v>
      </c>
      <c r="AQ664" s="83">
        <v>3681.1558</v>
      </c>
      <c r="AR664" s="83"/>
      <c r="AS664" s="83"/>
      <c r="AT664" s="85"/>
      <c r="AU664" s="85"/>
      <c r="AV664" s="85"/>
      <c r="AW664" s="88"/>
      <c r="AX664" s="84"/>
      <c r="AY664" s="85"/>
      <c r="AZ664" s="84">
        <v>1211.8491200000001</v>
      </c>
      <c r="BA664" s="85">
        <v>1097.4277500000001</v>
      </c>
      <c r="BB664" s="88">
        <v>30.241430000000001</v>
      </c>
      <c r="BC664" s="85"/>
      <c r="BD664" s="84"/>
      <c r="BE664" s="88"/>
      <c r="BF664" s="85"/>
      <c r="BG664" s="85">
        <v>1363.83861</v>
      </c>
      <c r="BH664" s="85"/>
      <c r="BI664" s="85"/>
      <c r="BJ664" s="85"/>
      <c r="BK664" s="85"/>
      <c r="BL664" s="85"/>
      <c r="BM664" s="85"/>
      <c r="BN664" s="85"/>
      <c r="BO664" s="85"/>
      <c r="BP664" s="85"/>
      <c r="BQ664" s="85"/>
      <c r="BR664" s="84">
        <v>4474.8315499999999</v>
      </c>
      <c r="BS664" s="85"/>
      <c r="BT664" s="85"/>
      <c r="BU664" s="198"/>
      <c r="BV664" s="90"/>
      <c r="BW664" s="198"/>
      <c r="BX664" s="90"/>
      <c r="BY664" s="198"/>
      <c r="BZ664" s="90"/>
      <c r="CA664" s="91"/>
    </row>
    <row r="665" spans="1:1199" ht="50.1" customHeight="1" outlineLevel="2" x14ac:dyDescent="0.3">
      <c r="A665" s="103" t="s">
        <v>586</v>
      </c>
      <c r="B665" s="96" t="s">
        <v>594</v>
      </c>
      <c r="C665" s="79" t="s">
        <v>37</v>
      </c>
      <c r="D665" s="81">
        <f t="shared" si="156"/>
        <v>4510.7420199999997</v>
      </c>
      <c r="E665" s="82">
        <f t="shared" si="146"/>
        <v>2656.16705</v>
      </c>
      <c r="F665" s="83">
        <f t="shared" si="157"/>
        <v>1854.5749699999999</v>
      </c>
      <c r="G665" s="84"/>
      <c r="H665" s="85"/>
      <c r="I665" s="85"/>
      <c r="J665" s="84"/>
      <c r="K665" s="85"/>
      <c r="L665" s="85"/>
      <c r="M665" s="85"/>
      <c r="N665" s="85"/>
      <c r="O665" s="82"/>
      <c r="P665" s="83"/>
      <c r="Q665" s="83"/>
      <c r="R665" s="83"/>
      <c r="S665" s="82"/>
      <c r="T665" s="83"/>
      <c r="U665" s="83"/>
      <c r="V665" s="84">
        <v>74.247240000000005</v>
      </c>
      <c r="W665" s="85">
        <v>129.41999999999999</v>
      </c>
      <c r="X665" s="87"/>
      <c r="Y665" s="83">
        <v>65.207999999999998</v>
      </c>
      <c r="Z665" s="84"/>
      <c r="AA665" s="85"/>
      <c r="AB665" s="84"/>
      <c r="AC665" s="85"/>
      <c r="AD665" s="89">
        <f t="shared" si="147"/>
        <v>493.69078999999999</v>
      </c>
      <c r="AE665" s="89">
        <f>105.138+56.4984</f>
        <v>161.63640000000001</v>
      </c>
      <c r="AF665" s="186">
        <f>55.57016+276.48423</f>
        <v>332.05439000000001</v>
      </c>
      <c r="AG665" s="85"/>
      <c r="AH665" s="85"/>
      <c r="AI665" s="85"/>
      <c r="AJ665" s="84"/>
      <c r="AK665" s="85"/>
      <c r="AL665" s="84"/>
      <c r="AM665" s="88"/>
      <c r="AN665" s="84"/>
      <c r="AO665" s="85"/>
      <c r="AP665" s="84"/>
      <c r="AQ665" s="83"/>
      <c r="AR665" s="83"/>
      <c r="AS665" s="83"/>
      <c r="AT665" s="85"/>
      <c r="AU665" s="85"/>
      <c r="AV665" s="85">
        <f>554.81204+254.99315</f>
        <v>809.80519000000004</v>
      </c>
      <c r="AW665" s="88"/>
      <c r="AX665" s="84"/>
      <c r="AY665" s="85"/>
      <c r="AZ665" s="84">
        <v>227.69587000000001</v>
      </c>
      <c r="BA665" s="85">
        <v>206.19718</v>
      </c>
      <c r="BB665" s="88">
        <v>150.25380999999999</v>
      </c>
      <c r="BC665" s="85"/>
      <c r="BD665" s="84"/>
      <c r="BE665" s="88"/>
      <c r="BF665" s="85"/>
      <c r="BG665" s="85"/>
      <c r="BH665" s="85"/>
      <c r="BI665" s="85"/>
      <c r="BJ665" s="85"/>
      <c r="BK665" s="85"/>
      <c r="BL665" s="85"/>
      <c r="BM665" s="85"/>
      <c r="BN665" s="85"/>
      <c r="BO665" s="85"/>
      <c r="BP665" s="85"/>
      <c r="BQ665" s="85"/>
      <c r="BR665" s="84">
        <v>2354.2239399999999</v>
      </c>
      <c r="BS665" s="85"/>
      <c r="BT665" s="85"/>
      <c r="BU665" s="198"/>
      <c r="BV665" s="90"/>
      <c r="BW665" s="198"/>
      <c r="BX665" s="90"/>
      <c r="BY665" s="198"/>
      <c r="BZ665" s="90"/>
      <c r="CA665" s="91"/>
    </row>
    <row r="666" spans="1:1199" ht="50.1" customHeight="1" outlineLevel="2" x14ac:dyDescent="0.3">
      <c r="A666" s="103" t="s">
        <v>586</v>
      </c>
      <c r="B666" s="102" t="s">
        <v>595</v>
      </c>
      <c r="C666" s="79" t="s">
        <v>37</v>
      </c>
      <c r="D666" s="81">
        <f t="shared" si="156"/>
        <v>526.02395999999999</v>
      </c>
      <c r="E666" s="82">
        <f t="shared" si="146"/>
        <v>208.29812000000001</v>
      </c>
      <c r="F666" s="83">
        <f t="shared" si="157"/>
        <v>317.72584000000001</v>
      </c>
      <c r="G666" s="84"/>
      <c r="H666" s="85"/>
      <c r="I666" s="85"/>
      <c r="J666" s="84"/>
      <c r="K666" s="85"/>
      <c r="L666" s="85"/>
      <c r="M666" s="85"/>
      <c r="N666" s="85"/>
      <c r="O666" s="82"/>
      <c r="P666" s="83"/>
      <c r="Q666" s="83"/>
      <c r="R666" s="83"/>
      <c r="S666" s="82"/>
      <c r="T666" s="83"/>
      <c r="U666" s="83"/>
      <c r="V666" s="84"/>
      <c r="W666" s="85"/>
      <c r="X666" s="82"/>
      <c r="Y666" s="83">
        <v>62.4</v>
      </c>
      <c r="Z666" s="84"/>
      <c r="AA666" s="85"/>
      <c r="AB666" s="84"/>
      <c r="AC666" s="85"/>
      <c r="AD666" s="89">
        <f t="shared" si="147"/>
        <v>66.694919999999996</v>
      </c>
      <c r="AE666" s="89">
        <v>42.373800000000003</v>
      </c>
      <c r="AF666" s="186">
        <v>24.321120000000001</v>
      </c>
      <c r="AG666" s="85"/>
      <c r="AH666" s="85"/>
      <c r="AI666" s="85"/>
      <c r="AJ666" s="84"/>
      <c r="AK666" s="85"/>
      <c r="AL666" s="84"/>
      <c r="AM666" s="88"/>
      <c r="AN666" s="84"/>
      <c r="AO666" s="85"/>
      <c r="AP666" s="84"/>
      <c r="AQ666" s="83"/>
      <c r="AR666" s="83"/>
      <c r="AS666" s="83"/>
      <c r="AT666" s="85"/>
      <c r="AU666" s="85"/>
      <c r="AV666" s="85"/>
      <c r="AW666" s="88"/>
      <c r="AX666" s="84"/>
      <c r="AY666" s="85"/>
      <c r="AZ666" s="84">
        <v>208.29812000000001</v>
      </c>
      <c r="BA666" s="85">
        <v>188.63092</v>
      </c>
      <c r="BB666" s="88"/>
      <c r="BC666" s="85"/>
      <c r="BD666" s="84"/>
      <c r="BE666" s="88"/>
      <c r="BF666" s="85"/>
      <c r="BG666" s="85"/>
      <c r="BH666" s="85"/>
      <c r="BI666" s="85"/>
      <c r="BJ666" s="85"/>
      <c r="BK666" s="85"/>
      <c r="BL666" s="85"/>
      <c r="BM666" s="85"/>
      <c r="BN666" s="85"/>
      <c r="BO666" s="85"/>
      <c r="BP666" s="85"/>
      <c r="BQ666" s="85"/>
      <c r="BR666" s="84"/>
      <c r="BS666" s="85"/>
      <c r="BT666" s="85"/>
      <c r="BU666" s="198"/>
      <c r="BV666" s="90"/>
      <c r="BW666" s="198"/>
      <c r="BX666" s="90"/>
      <c r="BY666" s="198"/>
      <c r="BZ666" s="90"/>
      <c r="CA666" s="91"/>
    </row>
    <row r="667" spans="1:1199" ht="50.1" customHeight="1" outlineLevel="2" x14ac:dyDescent="0.3">
      <c r="A667" s="106" t="s">
        <v>586</v>
      </c>
      <c r="B667" s="96" t="s">
        <v>596</v>
      </c>
      <c r="C667" s="79" t="s">
        <v>37</v>
      </c>
      <c r="D667" s="81">
        <f t="shared" si="156"/>
        <v>5744.3731900000002</v>
      </c>
      <c r="E667" s="82">
        <f t="shared" si="146"/>
        <v>741.84272999999996</v>
      </c>
      <c r="F667" s="83">
        <f t="shared" si="157"/>
        <v>5002.5304599999999</v>
      </c>
      <c r="G667" s="84"/>
      <c r="H667" s="85"/>
      <c r="I667" s="85"/>
      <c r="J667" s="84">
        <v>198.1465</v>
      </c>
      <c r="K667" s="85">
        <v>99.073260000000005</v>
      </c>
      <c r="L667" s="85">
        <v>135.98741999999999</v>
      </c>
      <c r="M667" s="85"/>
      <c r="N667" s="85"/>
      <c r="O667" s="82"/>
      <c r="P667" s="83"/>
      <c r="Q667" s="83"/>
      <c r="R667" s="83"/>
      <c r="S667" s="82"/>
      <c r="T667" s="83"/>
      <c r="U667" s="83"/>
      <c r="V667" s="84">
        <v>166.26849999999999</v>
      </c>
      <c r="W667" s="85">
        <v>291.14999999999998</v>
      </c>
      <c r="X667" s="87"/>
      <c r="Y667" s="83">
        <v>163.488</v>
      </c>
      <c r="Z667" s="84"/>
      <c r="AA667" s="85"/>
      <c r="AB667" s="84"/>
      <c r="AC667" s="85"/>
      <c r="AD667" s="89">
        <f t="shared" si="147"/>
        <v>1677.7388800000001</v>
      </c>
      <c r="AE667" s="89">
        <f>131.4225+98.8722+2.1491</f>
        <v>232.44380000000004</v>
      </c>
      <c r="AF667" s="186">
        <f>45.76366+43.77802+1355.7534</f>
        <v>1445.2950800000001</v>
      </c>
      <c r="AG667" s="85"/>
      <c r="AH667" s="85"/>
      <c r="AI667" s="85"/>
      <c r="AJ667" s="84"/>
      <c r="AK667" s="85"/>
      <c r="AL667" s="84"/>
      <c r="AM667" s="88"/>
      <c r="AN667" s="84"/>
      <c r="AO667" s="85">
        <v>449.28</v>
      </c>
      <c r="AP667" s="84"/>
      <c r="AQ667" s="83"/>
      <c r="AR667" s="83"/>
      <c r="AS667" s="83"/>
      <c r="AT667" s="85"/>
      <c r="AU667" s="85"/>
      <c r="AV667" s="85">
        <v>525.05645000000004</v>
      </c>
      <c r="AW667" s="88"/>
      <c r="AX667" s="84"/>
      <c r="AY667" s="85"/>
      <c r="AZ667" s="84">
        <v>377.42773</v>
      </c>
      <c r="BA667" s="85">
        <v>341.79147</v>
      </c>
      <c r="BB667" s="88">
        <v>366.37072000000001</v>
      </c>
      <c r="BC667" s="85"/>
      <c r="BD667" s="84"/>
      <c r="BE667" s="88"/>
      <c r="BF667" s="85"/>
      <c r="BG667" s="85">
        <v>405</v>
      </c>
      <c r="BH667" s="85"/>
      <c r="BI667" s="85"/>
      <c r="BJ667" s="85"/>
      <c r="BK667" s="85">
        <v>547.59425999999996</v>
      </c>
      <c r="BL667" s="85"/>
      <c r="BM667" s="85"/>
      <c r="BN667" s="85"/>
      <c r="BO667" s="85"/>
      <c r="BP667" s="85"/>
      <c r="BQ667" s="85"/>
      <c r="BR667" s="84"/>
      <c r="BS667" s="85"/>
      <c r="BT667" s="85"/>
      <c r="BU667" s="198"/>
      <c r="BV667" s="90"/>
      <c r="BW667" s="198"/>
      <c r="BX667" s="90"/>
      <c r="BY667" s="198"/>
      <c r="BZ667" s="90"/>
      <c r="CA667" s="91"/>
    </row>
    <row r="668" spans="1:1199" ht="50.1" customHeight="1" outlineLevel="2" x14ac:dyDescent="0.3">
      <c r="A668" s="103" t="s">
        <v>586</v>
      </c>
      <c r="B668" s="102" t="s">
        <v>597</v>
      </c>
      <c r="C668" s="79" t="s">
        <v>37</v>
      </c>
      <c r="D668" s="81">
        <f t="shared" si="156"/>
        <v>7357.7294400000001</v>
      </c>
      <c r="E668" s="82">
        <f t="shared" si="146"/>
        <v>4985.4268499999998</v>
      </c>
      <c r="F668" s="83">
        <f t="shared" si="157"/>
        <v>2372.3025900000002</v>
      </c>
      <c r="G668" s="84"/>
      <c r="H668" s="85"/>
      <c r="I668" s="85"/>
      <c r="J668" s="84">
        <v>77.4756</v>
      </c>
      <c r="K668" s="85">
        <v>9.6049900000000008</v>
      </c>
      <c r="L668" s="85"/>
      <c r="M668" s="85"/>
      <c r="N668" s="85"/>
      <c r="O668" s="82"/>
      <c r="P668" s="83"/>
      <c r="Q668" s="83"/>
      <c r="R668" s="83"/>
      <c r="S668" s="82"/>
      <c r="T668" s="83"/>
      <c r="U668" s="129"/>
      <c r="V668" s="84">
        <v>56.05021</v>
      </c>
      <c r="W668" s="85">
        <v>94.061719999999994</v>
      </c>
      <c r="X668" s="87"/>
      <c r="Y668" s="83">
        <v>59.904000000000003</v>
      </c>
      <c r="Z668" s="84"/>
      <c r="AA668" s="85"/>
      <c r="AB668" s="84"/>
      <c r="AC668" s="85"/>
      <c r="AD668" s="89">
        <f t="shared" si="147"/>
        <v>462.03914000000003</v>
      </c>
      <c r="AE668" s="89">
        <f>131.4225+45.1311</f>
        <v>176.55360000000002</v>
      </c>
      <c r="AF668" s="186">
        <f>62.10782+56.42502+166.9527</f>
        <v>285.48554000000001</v>
      </c>
      <c r="AG668" s="85"/>
      <c r="AH668" s="85"/>
      <c r="AI668" s="85"/>
      <c r="AJ668" s="84"/>
      <c r="AK668" s="85"/>
      <c r="AL668" s="84"/>
      <c r="AM668" s="88"/>
      <c r="AN668" s="84"/>
      <c r="AO668" s="85"/>
      <c r="AP668" s="84">
        <v>144.77008000000001</v>
      </c>
      <c r="AQ668" s="83">
        <v>148.90637000000001</v>
      </c>
      <c r="AR668" s="83"/>
      <c r="AS668" s="83"/>
      <c r="AT668" s="85"/>
      <c r="AU668" s="85"/>
      <c r="AV668" s="85">
        <v>905.91718000000003</v>
      </c>
      <c r="AW668" s="88"/>
      <c r="AX668" s="84"/>
      <c r="AY668" s="85"/>
      <c r="AZ668" s="84">
        <v>603.57191999999998</v>
      </c>
      <c r="BA668" s="85">
        <v>546.58384000000001</v>
      </c>
      <c r="BB668" s="88">
        <v>145.28534999999999</v>
      </c>
      <c r="BC668" s="85"/>
      <c r="BD668" s="84"/>
      <c r="BE668" s="88"/>
      <c r="BF668" s="85"/>
      <c r="BG668" s="85"/>
      <c r="BH668" s="85"/>
      <c r="BI668" s="85"/>
      <c r="BJ668" s="85"/>
      <c r="BK668" s="85"/>
      <c r="BL668" s="85"/>
      <c r="BM668" s="85"/>
      <c r="BN668" s="85"/>
      <c r="BO668" s="85"/>
      <c r="BP668" s="85"/>
      <c r="BQ668" s="85"/>
      <c r="BR668" s="84">
        <v>4103.5590400000001</v>
      </c>
      <c r="BS668" s="85"/>
      <c r="BT668" s="85"/>
      <c r="BU668" s="198"/>
      <c r="BV668" s="90"/>
      <c r="BW668" s="198"/>
      <c r="BX668" s="90"/>
      <c r="BY668" s="198"/>
      <c r="BZ668" s="90"/>
      <c r="CA668" s="91"/>
    </row>
    <row r="669" spans="1:1199" ht="50.1" customHeight="1" outlineLevel="2" x14ac:dyDescent="0.3">
      <c r="A669" s="103" t="s">
        <v>586</v>
      </c>
      <c r="B669" s="102" t="s">
        <v>598</v>
      </c>
      <c r="C669" s="79" t="s">
        <v>37</v>
      </c>
      <c r="D669" s="81">
        <f t="shared" si="156"/>
        <v>2569.9133699999998</v>
      </c>
      <c r="E669" s="82">
        <f t="shared" si="146"/>
        <v>1813.7044799999999</v>
      </c>
      <c r="F669" s="83">
        <f t="shared" si="157"/>
        <v>756.20889</v>
      </c>
      <c r="G669" s="84"/>
      <c r="H669" s="85"/>
      <c r="I669" s="85"/>
      <c r="J669" s="84"/>
      <c r="K669" s="85"/>
      <c r="L669" s="85"/>
      <c r="M669" s="85"/>
      <c r="N669" s="85"/>
      <c r="O669" s="82"/>
      <c r="P669" s="83"/>
      <c r="Q669" s="83"/>
      <c r="R669" s="83"/>
      <c r="S669" s="82"/>
      <c r="T669" s="83"/>
      <c r="U669" s="83"/>
      <c r="V669" s="84"/>
      <c r="W669" s="85"/>
      <c r="X669" s="87"/>
      <c r="Y669" s="83">
        <v>101.4</v>
      </c>
      <c r="Z669" s="84"/>
      <c r="AA669" s="85"/>
      <c r="AB669" s="84"/>
      <c r="AC669" s="85"/>
      <c r="AD669" s="89">
        <f t="shared" si="147"/>
        <v>150.68537000000001</v>
      </c>
      <c r="AE669" s="89">
        <v>105.9345</v>
      </c>
      <c r="AF669" s="186">
        <v>44.750869999999999</v>
      </c>
      <c r="AG669" s="85"/>
      <c r="AH669" s="85"/>
      <c r="AI669" s="85"/>
      <c r="AJ669" s="84"/>
      <c r="AK669" s="85"/>
      <c r="AL669" s="84"/>
      <c r="AM669" s="88"/>
      <c r="AN669" s="84"/>
      <c r="AO669" s="85"/>
      <c r="AP669" s="84"/>
      <c r="AQ669" s="83"/>
      <c r="AR669" s="83"/>
      <c r="AS669" s="83"/>
      <c r="AT669" s="85"/>
      <c r="AU669" s="85"/>
      <c r="AV669" s="85">
        <v>231.54179999999999</v>
      </c>
      <c r="AW669" s="88"/>
      <c r="AX669" s="84"/>
      <c r="AY669" s="85"/>
      <c r="AZ669" s="84">
        <v>301.00157000000002</v>
      </c>
      <c r="BA669" s="85">
        <v>272.58172000000002</v>
      </c>
      <c r="BB669" s="88"/>
      <c r="BC669" s="85"/>
      <c r="BD669" s="84"/>
      <c r="BE669" s="88"/>
      <c r="BF669" s="85"/>
      <c r="BG669" s="85"/>
      <c r="BH669" s="85"/>
      <c r="BI669" s="85"/>
      <c r="BJ669" s="85"/>
      <c r="BK669" s="85"/>
      <c r="BL669" s="85"/>
      <c r="BM669" s="85"/>
      <c r="BN669" s="85"/>
      <c r="BO669" s="85"/>
      <c r="BP669" s="85"/>
      <c r="BQ669" s="85"/>
      <c r="BR669" s="84">
        <v>1512.70291</v>
      </c>
      <c r="BS669" s="85"/>
      <c r="BT669" s="85"/>
      <c r="BU669" s="198"/>
      <c r="BV669" s="90"/>
      <c r="BW669" s="198"/>
      <c r="BX669" s="90"/>
      <c r="BY669" s="198"/>
      <c r="BZ669" s="90"/>
      <c r="CA669" s="91"/>
    </row>
    <row r="670" spans="1:1199" ht="50.1" customHeight="1" outlineLevel="2" x14ac:dyDescent="0.3">
      <c r="A670" s="103" t="s">
        <v>586</v>
      </c>
      <c r="B670" s="102" t="s">
        <v>599</v>
      </c>
      <c r="C670" s="79" t="s">
        <v>37</v>
      </c>
      <c r="D670" s="81">
        <f t="shared" si="156"/>
        <v>13232.475560000001</v>
      </c>
      <c r="E670" s="82">
        <f t="shared" si="146"/>
        <v>9980.1068400000004</v>
      </c>
      <c r="F670" s="83">
        <f t="shared" si="157"/>
        <v>3252.3687199999999</v>
      </c>
      <c r="G670" s="84"/>
      <c r="H670" s="85"/>
      <c r="I670" s="85"/>
      <c r="J670" s="84"/>
      <c r="K670" s="85"/>
      <c r="L670" s="85"/>
      <c r="M670" s="85"/>
      <c r="N670" s="85"/>
      <c r="O670" s="82"/>
      <c r="P670" s="83"/>
      <c r="Q670" s="83"/>
      <c r="R670" s="83"/>
      <c r="S670" s="82"/>
      <c r="T670" s="83"/>
      <c r="U670" s="83"/>
      <c r="V670" s="84">
        <v>123.22653</v>
      </c>
      <c r="W670" s="85">
        <v>214.98750000000001</v>
      </c>
      <c r="X670" s="87"/>
      <c r="Y670" s="83">
        <v>780</v>
      </c>
      <c r="Z670" s="84"/>
      <c r="AA670" s="85"/>
      <c r="AB670" s="84"/>
      <c r="AC670" s="85"/>
      <c r="AD670" s="89">
        <f t="shared" si="147"/>
        <v>239.61744999999999</v>
      </c>
      <c r="AE670" s="89"/>
      <c r="AF670" s="186">
        <f>165.38365+74.2338</f>
        <v>239.61744999999999</v>
      </c>
      <c r="AG670" s="85"/>
      <c r="AH670" s="85"/>
      <c r="AI670" s="85"/>
      <c r="AJ670" s="84"/>
      <c r="AK670" s="85"/>
      <c r="AL670" s="84"/>
      <c r="AM670" s="88"/>
      <c r="AN670" s="84"/>
      <c r="AO670" s="85">
        <v>557.44000000000005</v>
      </c>
      <c r="AP670" s="84"/>
      <c r="AQ670" s="83"/>
      <c r="AR670" s="83"/>
      <c r="AS670" s="83"/>
      <c r="AT670" s="85"/>
      <c r="AU670" s="85"/>
      <c r="AV670" s="85"/>
      <c r="AW670" s="88"/>
      <c r="AX670" s="84"/>
      <c r="AY670" s="85"/>
      <c r="AZ670" s="84">
        <v>1374.66759</v>
      </c>
      <c r="BA670" s="85">
        <v>1244.8742400000001</v>
      </c>
      <c r="BB670" s="88">
        <v>215.44953000000001</v>
      </c>
      <c r="BC670" s="85"/>
      <c r="BD670" s="84"/>
      <c r="BE670" s="88"/>
      <c r="BF670" s="85"/>
      <c r="BG670" s="85"/>
      <c r="BH670" s="85"/>
      <c r="BI670" s="85"/>
      <c r="BJ670" s="85"/>
      <c r="BK670" s="85"/>
      <c r="BL670" s="85"/>
      <c r="BM670" s="85"/>
      <c r="BN670" s="85"/>
      <c r="BO670" s="85"/>
      <c r="BP670" s="85"/>
      <c r="BQ670" s="85"/>
      <c r="BR670" s="84">
        <v>8482.2127199999995</v>
      </c>
      <c r="BS670" s="85"/>
      <c r="BT670" s="85"/>
      <c r="BU670" s="198"/>
      <c r="BV670" s="90"/>
      <c r="BW670" s="198"/>
      <c r="BX670" s="90"/>
      <c r="BY670" s="198"/>
      <c r="BZ670" s="90"/>
      <c r="CA670" s="91"/>
    </row>
    <row r="671" spans="1:1199" ht="50.1" customHeight="1" outlineLevel="2" x14ac:dyDescent="0.3">
      <c r="A671" s="106" t="s">
        <v>586</v>
      </c>
      <c r="B671" s="96" t="s">
        <v>600</v>
      </c>
      <c r="C671" s="79" t="s">
        <v>37</v>
      </c>
      <c r="D671" s="81">
        <f t="shared" si="156"/>
        <v>197.36768999999998</v>
      </c>
      <c r="E671" s="82">
        <f t="shared" si="146"/>
        <v>88.234459999999999</v>
      </c>
      <c r="F671" s="83">
        <f t="shared" si="157"/>
        <v>109.13323</v>
      </c>
      <c r="G671" s="84"/>
      <c r="H671" s="85"/>
      <c r="I671" s="85"/>
      <c r="J671" s="84"/>
      <c r="K671" s="85"/>
      <c r="L671" s="85"/>
      <c r="M671" s="85"/>
      <c r="N671" s="85"/>
      <c r="O671" s="82"/>
      <c r="P671" s="83"/>
      <c r="Q671" s="83"/>
      <c r="R671" s="83"/>
      <c r="S671" s="82"/>
      <c r="T671" s="83"/>
      <c r="U671" s="83"/>
      <c r="V671" s="84"/>
      <c r="W671" s="85"/>
      <c r="X671" s="82"/>
      <c r="Y671" s="83"/>
      <c r="Z671" s="84"/>
      <c r="AA671" s="85"/>
      <c r="AB671" s="84"/>
      <c r="AC671" s="85"/>
      <c r="AD671" s="89">
        <f t="shared" si="147"/>
        <v>29.229559999999999</v>
      </c>
      <c r="AE671" s="89">
        <v>10.7455</v>
      </c>
      <c r="AF671" s="186">
        <v>18.484059999999999</v>
      </c>
      <c r="AG671" s="85"/>
      <c r="AH671" s="85"/>
      <c r="AI671" s="85"/>
      <c r="AJ671" s="84"/>
      <c r="AK671" s="85"/>
      <c r="AL671" s="84"/>
      <c r="AM671" s="88"/>
      <c r="AN671" s="84"/>
      <c r="AO671" s="85"/>
      <c r="AP671" s="84"/>
      <c r="AQ671" s="83"/>
      <c r="AR671" s="83"/>
      <c r="AS671" s="83"/>
      <c r="AT671" s="85"/>
      <c r="AU671" s="85"/>
      <c r="AV671" s="85"/>
      <c r="AW671" s="88"/>
      <c r="AX671" s="84"/>
      <c r="AY671" s="85"/>
      <c r="AZ671" s="84">
        <v>88.234459999999999</v>
      </c>
      <c r="BA671" s="85">
        <v>79.903670000000005</v>
      </c>
      <c r="BB671" s="88"/>
      <c r="BC671" s="85"/>
      <c r="BD671" s="84"/>
      <c r="BE671" s="88"/>
      <c r="BF671" s="85"/>
      <c r="BG671" s="85"/>
      <c r="BH671" s="85"/>
      <c r="BI671" s="85"/>
      <c r="BJ671" s="85"/>
      <c r="BK671" s="85"/>
      <c r="BL671" s="85"/>
      <c r="BM671" s="85"/>
      <c r="BN671" s="85"/>
      <c r="BO671" s="85"/>
      <c r="BP671" s="85"/>
      <c r="BQ671" s="85"/>
      <c r="BR671" s="84"/>
      <c r="BS671" s="85"/>
      <c r="BT671" s="85"/>
      <c r="BU671" s="198"/>
      <c r="BV671" s="90"/>
      <c r="BW671" s="198"/>
      <c r="BX671" s="90"/>
      <c r="BY671" s="198"/>
      <c r="BZ671" s="90"/>
      <c r="CA671" s="91"/>
    </row>
    <row r="672" spans="1:1199" ht="50.1" customHeight="1" outlineLevel="2" x14ac:dyDescent="0.3">
      <c r="A672" s="106" t="s">
        <v>586</v>
      </c>
      <c r="B672" s="96" t="s">
        <v>601</v>
      </c>
      <c r="C672" s="79" t="s">
        <v>37</v>
      </c>
      <c r="D672" s="81">
        <f t="shared" si="156"/>
        <v>417.92998</v>
      </c>
      <c r="E672" s="82">
        <f t="shared" si="146"/>
        <v>131.04679999999999</v>
      </c>
      <c r="F672" s="83">
        <f t="shared" si="157"/>
        <v>286.88317999999998</v>
      </c>
      <c r="G672" s="84"/>
      <c r="H672" s="85"/>
      <c r="I672" s="85"/>
      <c r="J672" s="84"/>
      <c r="K672" s="85"/>
      <c r="L672" s="85"/>
      <c r="M672" s="85"/>
      <c r="N672" s="85"/>
      <c r="O672" s="82"/>
      <c r="P672" s="83"/>
      <c r="Q672" s="83"/>
      <c r="R672" s="83"/>
      <c r="S672" s="82"/>
      <c r="T672" s="83"/>
      <c r="U672" s="83"/>
      <c r="V672" s="84"/>
      <c r="W672" s="85"/>
      <c r="X672" s="87"/>
      <c r="Y672" s="83">
        <v>134.16</v>
      </c>
      <c r="Z672" s="84"/>
      <c r="AA672" s="85"/>
      <c r="AB672" s="84"/>
      <c r="AC672" s="85"/>
      <c r="AD672" s="89">
        <f t="shared" si="147"/>
        <v>34.049579999999999</v>
      </c>
      <c r="AE672" s="89"/>
      <c r="AF672" s="186">
        <v>34.049579999999999</v>
      </c>
      <c r="AG672" s="85"/>
      <c r="AH672" s="85"/>
      <c r="AI672" s="85"/>
      <c r="AJ672" s="84"/>
      <c r="AK672" s="85"/>
      <c r="AL672" s="84"/>
      <c r="AM672" s="88"/>
      <c r="AN672" s="84"/>
      <c r="AO672" s="85"/>
      <c r="AP672" s="84"/>
      <c r="AQ672" s="83"/>
      <c r="AR672" s="83"/>
      <c r="AS672" s="83"/>
      <c r="AT672" s="85"/>
      <c r="AU672" s="85"/>
      <c r="AV672" s="85"/>
      <c r="AW672" s="88"/>
      <c r="AX672" s="84"/>
      <c r="AY672" s="85"/>
      <c r="AZ672" s="84">
        <v>131.04679999999999</v>
      </c>
      <c r="BA672" s="85">
        <v>118.67359999999999</v>
      </c>
      <c r="BB672" s="88"/>
      <c r="BC672" s="85"/>
      <c r="BD672" s="84"/>
      <c r="BE672" s="88"/>
      <c r="BF672" s="85"/>
      <c r="BG672" s="85"/>
      <c r="BH672" s="85"/>
      <c r="BI672" s="85"/>
      <c r="BJ672" s="85"/>
      <c r="BK672" s="85"/>
      <c r="BL672" s="85"/>
      <c r="BM672" s="85"/>
      <c r="BN672" s="85"/>
      <c r="BO672" s="85"/>
      <c r="BP672" s="85"/>
      <c r="BQ672" s="85"/>
      <c r="BR672" s="84"/>
      <c r="BS672" s="85"/>
      <c r="BT672" s="85"/>
      <c r="BU672" s="198"/>
      <c r="BV672" s="90"/>
      <c r="BW672" s="198"/>
      <c r="BX672" s="90"/>
      <c r="BY672" s="198"/>
      <c r="BZ672" s="90"/>
      <c r="CA672" s="91"/>
    </row>
    <row r="673" spans="1:79" ht="50.1" customHeight="1" outlineLevel="2" x14ac:dyDescent="0.3">
      <c r="A673" s="106" t="s">
        <v>586</v>
      </c>
      <c r="B673" s="96" t="s">
        <v>602</v>
      </c>
      <c r="C673" s="79" t="s">
        <v>37</v>
      </c>
      <c r="D673" s="81">
        <f t="shared" si="156"/>
        <v>9204.6112200000007</v>
      </c>
      <c r="E673" s="82">
        <f t="shared" si="146"/>
        <v>6484.6286100000007</v>
      </c>
      <c r="F673" s="83">
        <f t="shared" si="157"/>
        <v>2719.98261</v>
      </c>
      <c r="G673" s="84"/>
      <c r="H673" s="85"/>
      <c r="I673" s="85"/>
      <c r="J673" s="84">
        <f>503.54117+324.24417</f>
        <v>827.78534000000002</v>
      </c>
      <c r="K673" s="85">
        <f>130.82903+85.68217</f>
        <v>216.51119999999997</v>
      </c>
      <c r="L673" s="85"/>
      <c r="M673" s="85"/>
      <c r="N673" s="85"/>
      <c r="O673" s="82"/>
      <c r="P673" s="83"/>
      <c r="Q673" s="83">
        <v>700.44386999999995</v>
      </c>
      <c r="R673" s="83"/>
      <c r="S673" s="82">
        <v>292.49225000000001</v>
      </c>
      <c r="T673" s="83">
        <v>265.90204</v>
      </c>
      <c r="U673" s="83">
        <v>231.4726</v>
      </c>
      <c r="V673" s="84"/>
      <c r="W673" s="85"/>
      <c r="X673" s="87"/>
      <c r="Y673" s="83">
        <v>338.52</v>
      </c>
      <c r="Z673" s="84"/>
      <c r="AA673" s="85"/>
      <c r="AB673" s="84"/>
      <c r="AC673" s="85"/>
      <c r="AD673" s="89">
        <f t="shared" si="147"/>
        <v>327.38517000000002</v>
      </c>
      <c r="AE673" s="89">
        <v>204.80670000000001</v>
      </c>
      <c r="AF673" s="186">
        <v>122.57847</v>
      </c>
      <c r="AG673" s="85"/>
      <c r="AH673" s="85"/>
      <c r="AI673" s="85"/>
      <c r="AJ673" s="84"/>
      <c r="AK673" s="85"/>
      <c r="AL673" s="84"/>
      <c r="AM673" s="88"/>
      <c r="AN673" s="84"/>
      <c r="AO673" s="85"/>
      <c r="AP673" s="84"/>
      <c r="AQ673" s="83"/>
      <c r="AR673" s="83"/>
      <c r="AS673" s="83"/>
      <c r="AT673" s="85"/>
      <c r="AU673" s="85"/>
      <c r="AV673" s="85"/>
      <c r="AW673" s="88"/>
      <c r="AX673" s="84"/>
      <c r="AY673" s="85"/>
      <c r="AZ673" s="84">
        <v>706.44992999999999</v>
      </c>
      <c r="BA673" s="85">
        <v>639.74773000000005</v>
      </c>
      <c r="BB673" s="88"/>
      <c r="BC673" s="85"/>
      <c r="BD673" s="84"/>
      <c r="BE673" s="88"/>
      <c r="BF673" s="85"/>
      <c r="BG673" s="85"/>
      <c r="BH673" s="85"/>
      <c r="BI673" s="85"/>
      <c r="BJ673" s="85"/>
      <c r="BK673" s="85"/>
      <c r="BL673" s="85"/>
      <c r="BM673" s="85"/>
      <c r="BN673" s="85"/>
      <c r="BO673" s="85"/>
      <c r="BP673" s="85"/>
      <c r="BQ673" s="85"/>
      <c r="BR673" s="84">
        <v>4657.9010900000003</v>
      </c>
      <c r="BS673" s="85"/>
      <c r="BT673" s="85"/>
      <c r="BU673" s="198"/>
      <c r="BV673" s="90"/>
      <c r="BW673" s="198"/>
      <c r="BX673" s="90"/>
      <c r="BY673" s="198"/>
      <c r="BZ673" s="90"/>
      <c r="CA673" s="91"/>
    </row>
    <row r="674" spans="1:79" ht="50.1" customHeight="1" outlineLevel="2" x14ac:dyDescent="0.3">
      <c r="A674" s="103" t="s">
        <v>586</v>
      </c>
      <c r="B674" s="102" t="s">
        <v>603</v>
      </c>
      <c r="C674" s="79" t="s">
        <v>37</v>
      </c>
      <c r="D674" s="81">
        <f t="shared" si="156"/>
        <v>1658.4821400000001</v>
      </c>
      <c r="E674" s="82">
        <f t="shared" si="146"/>
        <v>290.21602000000001</v>
      </c>
      <c r="F674" s="83">
        <f t="shared" si="157"/>
        <v>1368.26612</v>
      </c>
      <c r="G674" s="84"/>
      <c r="H674" s="85"/>
      <c r="I674" s="85"/>
      <c r="J674" s="84"/>
      <c r="K674" s="85"/>
      <c r="L674" s="85"/>
      <c r="M674" s="85"/>
      <c r="N674" s="85"/>
      <c r="O674" s="82"/>
      <c r="P674" s="83"/>
      <c r="Q674" s="83"/>
      <c r="R674" s="83"/>
      <c r="S674" s="82"/>
      <c r="T674" s="83"/>
      <c r="U674" s="83"/>
      <c r="V674" s="84"/>
      <c r="W674" s="85"/>
      <c r="X674" s="87"/>
      <c r="Y674" s="83">
        <v>150.696</v>
      </c>
      <c r="Z674" s="84"/>
      <c r="AA674" s="85"/>
      <c r="AB674" s="84"/>
      <c r="AC674" s="85"/>
      <c r="AD674" s="89">
        <f t="shared" si="147"/>
        <v>44.229050000000001</v>
      </c>
      <c r="AE674" s="89">
        <v>15.043699999999999</v>
      </c>
      <c r="AF674" s="186">
        <v>29.18535</v>
      </c>
      <c r="AG674" s="85"/>
      <c r="AH674" s="85"/>
      <c r="AI674" s="85"/>
      <c r="AJ674" s="84"/>
      <c r="AK674" s="85"/>
      <c r="AL674" s="84"/>
      <c r="AM674" s="88"/>
      <c r="AN674" s="84"/>
      <c r="AO674" s="85">
        <v>241.28</v>
      </c>
      <c r="AP674" s="84"/>
      <c r="AQ674" s="83"/>
      <c r="AR674" s="83"/>
      <c r="AS674" s="83"/>
      <c r="AT674" s="85"/>
      <c r="AU674" s="85"/>
      <c r="AV674" s="85">
        <f>347.57695+321.66925</f>
        <v>669.24620000000004</v>
      </c>
      <c r="AW674" s="88"/>
      <c r="AX674" s="84"/>
      <c r="AY674" s="85"/>
      <c r="AZ674" s="84">
        <v>290.21602000000001</v>
      </c>
      <c r="BA674" s="85">
        <v>262.81486999999998</v>
      </c>
      <c r="BB674" s="88"/>
      <c r="BC674" s="85"/>
      <c r="BD674" s="84"/>
      <c r="BE674" s="88"/>
      <c r="BF674" s="85"/>
      <c r="BG674" s="85"/>
      <c r="BH674" s="85"/>
      <c r="BI674" s="85"/>
      <c r="BJ674" s="85"/>
      <c r="BK674" s="85"/>
      <c r="BL674" s="85"/>
      <c r="BM674" s="85"/>
      <c r="BN674" s="85"/>
      <c r="BO674" s="85"/>
      <c r="BP674" s="85"/>
      <c r="BQ674" s="85"/>
      <c r="BR674" s="84"/>
      <c r="BS674" s="85"/>
      <c r="BT674" s="85"/>
      <c r="BU674" s="198"/>
      <c r="BV674" s="90"/>
      <c r="BW674" s="198"/>
      <c r="BX674" s="90"/>
      <c r="BY674" s="198"/>
      <c r="BZ674" s="90"/>
      <c r="CA674" s="91"/>
    </row>
    <row r="675" spans="1:79" ht="50.1" customHeight="1" outlineLevel="2" x14ac:dyDescent="0.3">
      <c r="A675" s="103" t="s">
        <v>586</v>
      </c>
      <c r="B675" s="102" t="s">
        <v>1052</v>
      </c>
      <c r="C675" s="79" t="s">
        <v>37</v>
      </c>
      <c r="D675" s="81">
        <f t="shared" si="156"/>
        <v>7433.02765</v>
      </c>
      <c r="E675" s="82">
        <f t="shared" si="146"/>
        <v>5588.0290199999999</v>
      </c>
      <c r="F675" s="83">
        <f t="shared" si="157"/>
        <v>1844.99863</v>
      </c>
      <c r="G675" s="84"/>
      <c r="H675" s="85"/>
      <c r="I675" s="85"/>
      <c r="J675" s="84"/>
      <c r="K675" s="85"/>
      <c r="L675" s="85"/>
      <c r="M675" s="85"/>
      <c r="N675" s="85"/>
      <c r="O675" s="82"/>
      <c r="P675" s="83"/>
      <c r="Q675" s="83"/>
      <c r="R675" s="83"/>
      <c r="S675" s="82"/>
      <c r="T675" s="83"/>
      <c r="U675" s="83"/>
      <c r="V675" s="84">
        <v>57.987499999999997</v>
      </c>
      <c r="W675" s="85">
        <v>101.25</v>
      </c>
      <c r="X675" s="87"/>
      <c r="Y675" s="83">
        <v>436.8</v>
      </c>
      <c r="Z675" s="84"/>
      <c r="AA675" s="85"/>
      <c r="AB675" s="84"/>
      <c r="AC675" s="85"/>
      <c r="AD675" s="89">
        <f t="shared" si="147"/>
        <v>211.09838999999999</v>
      </c>
      <c r="AE675" s="89">
        <f>66.6221+25.7892</f>
        <v>92.411300000000011</v>
      </c>
      <c r="AF675" s="186">
        <v>118.68709</v>
      </c>
      <c r="AG675" s="85"/>
      <c r="AH675" s="85"/>
      <c r="AI675" s="85"/>
      <c r="AJ675" s="84"/>
      <c r="AK675" s="85"/>
      <c r="AL675" s="84"/>
      <c r="AM675" s="88"/>
      <c r="AN675" s="84"/>
      <c r="AO675" s="85"/>
      <c r="AP675" s="84"/>
      <c r="AQ675" s="83"/>
      <c r="AR675" s="83"/>
      <c r="AS675" s="83"/>
      <c r="AT675" s="85"/>
      <c r="AU675" s="85"/>
      <c r="AV675" s="85"/>
      <c r="AW675" s="88"/>
      <c r="AX675" s="84"/>
      <c r="AY675" s="85"/>
      <c r="AZ675" s="84">
        <v>1210.10499</v>
      </c>
      <c r="BA675" s="85">
        <v>1095.85024</v>
      </c>
      <c r="BB675" s="88"/>
      <c r="BC675" s="85"/>
      <c r="BD675" s="84"/>
      <c r="BE675" s="88"/>
      <c r="BF675" s="85"/>
      <c r="BG675" s="85"/>
      <c r="BH675" s="85"/>
      <c r="BI675" s="85"/>
      <c r="BJ675" s="85"/>
      <c r="BK675" s="85"/>
      <c r="BL675" s="85"/>
      <c r="BM675" s="85"/>
      <c r="BN675" s="85"/>
      <c r="BO675" s="85"/>
      <c r="BP675" s="85"/>
      <c r="BQ675" s="85"/>
      <c r="BR675" s="84">
        <v>4319.9365299999999</v>
      </c>
      <c r="BS675" s="85"/>
      <c r="BT675" s="85"/>
      <c r="BU675" s="198"/>
      <c r="BV675" s="90"/>
      <c r="BW675" s="198"/>
      <c r="BX675" s="90"/>
      <c r="BY675" s="198"/>
      <c r="BZ675" s="90"/>
      <c r="CA675" s="91"/>
    </row>
    <row r="676" spans="1:79" ht="50.1" customHeight="1" outlineLevel="2" x14ac:dyDescent="0.3">
      <c r="A676" s="103" t="s">
        <v>586</v>
      </c>
      <c r="B676" s="96" t="s">
        <v>604</v>
      </c>
      <c r="C676" s="79" t="s">
        <v>55</v>
      </c>
      <c r="D676" s="81">
        <f t="shared" si="156"/>
        <v>299.52</v>
      </c>
      <c r="E676" s="82">
        <f t="shared" si="146"/>
        <v>0</v>
      </c>
      <c r="F676" s="83">
        <f t="shared" si="157"/>
        <v>299.52</v>
      </c>
      <c r="G676" s="84"/>
      <c r="H676" s="85"/>
      <c r="I676" s="85"/>
      <c r="J676" s="84"/>
      <c r="K676" s="85"/>
      <c r="L676" s="85"/>
      <c r="M676" s="85"/>
      <c r="N676" s="85"/>
      <c r="O676" s="82"/>
      <c r="P676" s="83"/>
      <c r="Q676" s="83"/>
      <c r="R676" s="83"/>
      <c r="S676" s="82"/>
      <c r="T676" s="83"/>
      <c r="U676" s="83"/>
      <c r="V676" s="84"/>
      <c r="W676" s="85"/>
      <c r="X676" s="87"/>
      <c r="Y676" s="83"/>
      <c r="Z676" s="84"/>
      <c r="AA676" s="85"/>
      <c r="AB676" s="84"/>
      <c r="AC676" s="85"/>
      <c r="AD676" s="89">
        <f t="shared" si="147"/>
        <v>0</v>
      </c>
      <c r="AE676" s="89"/>
      <c r="AF676" s="186"/>
      <c r="AG676" s="85"/>
      <c r="AH676" s="85"/>
      <c r="AI676" s="85"/>
      <c r="AJ676" s="84"/>
      <c r="AK676" s="85"/>
      <c r="AL676" s="84"/>
      <c r="AM676" s="88"/>
      <c r="AN676" s="84"/>
      <c r="AO676" s="85">
        <v>299.52</v>
      </c>
      <c r="AP676" s="84"/>
      <c r="AQ676" s="83"/>
      <c r="AR676" s="83"/>
      <c r="AS676" s="83"/>
      <c r="AT676" s="85"/>
      <c r="AU676" s="85"/>
      <c r="AV676" s="85"/>
      <c r="AW676" s="88"/>
      <c r="AX676" s="84"/>
      <c r="AY676" s="85"/>
      <c r="AZ676" s="84"/>
      <c r="BA676" s="85"/>
      <c r="BB676" s="88"/>
      <c r="BC676" s="85"/>
      <c r="BD676" s="84"/>
      <c r="BE676" s="88"/>
      <c r="BF676" s="85"/>
      <c r="BG676" s="85"/>
      <c r="BH676" s="85"/>
      <c r="BI676" s="85"/>
      <c r="BJ676" s="85"/>
      <c r="BK676" s="85"/>
      <c r="BL676" s="85"/>
      <c r="BM676" s="85"/>
      <c r="BN676" s="85"/>
      <c r="BO676" s="85"/>
      <c r="BP676" s="85"/>
      <c r="BQ676" s="85"/>
      <c r="BR676" s="84"/>
      <c r="BS676" s="85"/>
      <c r="BT676" s="85"/>
      <c r="BU676" s="198"/>
      <c r="BV676" s="90"/>
      <c r="BW676" s="198"/>
      <c r="BX676" s="90"/>
      <c r="BY676" s="198"/>
      <c r="BZ676" s="90"/>
      <c r="CA676" s="91"/>
    </row>
    <row r="677" spans="1:79" ht="50.1" customHeight="1" outlineLevel="2" x14ac:dyDescent="0.3">
      <c r="A677" s="103" t="s">
        <v>586</v>
      </c>
      <c r="B677" s="96" t="s">
        <v>605</v>
      </c>
      <c r="C677" s="79" t="s">
        <v>55</v>
      </c>
      <c r="D677" s="81">
        <f t="shared" si="156"/>
        <v>3171.4564700000001</v>
      </c>
      <c r="E677" s="82">
        <f t="shared" si="146"/>
        <v>2887.6627899999999</v>
      </c>
      <c r="F677" s="83">
        <f t="shared" si="157"/>
        <v>283.79367999999999</v>
      </c>
      <c r="G677" s="84"/>
      <c r="H677" s="85"/>
      <c r="I677" s="85"/>
      <c r="J677" s="84"/>
      <c r="K677" s="85"/>
      <c r="L677" s="85"/>
      <c r="M677" s="85"/>
      <c r="N677" s="85"/>
      <c r="O677" s="82"/>
      <c r="P677" s="83"/>
      <c r="Q677" s="83"/>
      <c r="R677" s="83"/>
      <c r="S677" s="82"/>
      <c r="T677" s="83"/>
      <c r="U677" s="83"/>
      <c r="V677" s="84"/>
      <c r="W677" s="85"/>
      <c r="X677" s="87"/>
      <c r="Y677" s="83"/>
      <c r="Z677" s="84"/>
      <c r="AA677" s="85"/>
      <c r="AB677" s="84"/>
      <c r="AC677" s="85"/>
      <c r="AD677" s="89">
        <f t="shared" si="147"/>
        <v>0</v>
      </c>
      <c r="AE677" s="89"/>
      <c r="AF677" s="186"/>
      <c r="AG677" s="85"/>
      <c r="AH677" s="85"/>
      <c r="AI677" s="85"/>
      <c r="AJ677" s="84"/>
      <c r="AK677" s="85"/>
      <c r="AL677" s="84"/>
      <c r="AM677" s="88"/>
      <c r="AN677" s="84"/>
      <c r="AO677" s="85"/>
      <c r="AP677" s="84">
        <v>58.040289999999999</v>
      </c>
      <c r="AQ677" s="83">
        <v>134.86618000000001</v>
      </c>
      <c r="AR677" s="83"/>
      <c r="AS677" s="83"/>
      <c r="AT677" s="85"/>
      <c r="AU677" s="85"/>
      <c r="AV677" s="85"/>
      <c r="AW677" s="88"/>
      <c r="AX677" s="84"/>
      <c r="AY677" s="85"/>
      <c r="AZ677" s="84"/>
      <c r="BA677" s="85"/>
      <c r="BB677" s="88"/>
      <c r="BC677" s="85"/>
      <c r="BD677" s="84"/>
      <c r="BE677" s="88"/>
      <c r="BF677" s="85"/>
      <c r="BG677" s="85"/>
      <c r="BH677" s="85"/>
      <c r="BI677" s="85"/>
      <c r="BJ677" s="85"/>
      <c r="BK677" s="85"/>
      <c r="BL677" s="85"/>
      <c r="BM677" s="85"/>
      <c r="BN677" s="85"/>
      <c r="BO677" s="85"/>
      <c r="BP677" s="85"/>
      <c r="BQ677" s="85"/>
      <c r="BR677" s="84"/>
      <c r="BS677" s="85"/>
      <c r="BT677" s="85"/>
      <c r="BU677" s="198"/>
      <c r="BV677" s="90">
        <v>2829.6224999999999</v>
      </c>
      <c r="BW677" s="198">
        <v>148.92750000000001</v>
      </c>
      <c r="BX677" s="90"/>
      <c r="BY677" s="198"/>
      <c r="BZ677" s="90"/>
      <c r="CA677" s="91"/>
    </row>
    <row r="678" spans="1:79" ht="50.1" customHeight="1" outlineLevel="2" x14ac:dyDescent="0.3">
      <c r="A678" s="103" t="s">
        <v>586</v>
      </c>
      <c r="B678" s="96" t="s">
        <v>1240</v>
      </c>
      <c r="C678" s="79" t="s">
        <v>55</v>
      </c>
      <c r="D678" s="81">
        <f t="shared" si="156"/>
        <v>2999.9160000000002</v>
      </c>
      <c r="E678" s="82">
        <f t="shared" si="146"/>
        <v>2849.9202</v>
      </c>
      <c r="F678" s="83">
        <f t="shared" si="157"/>
        <v>149.9958</v>
      </c>
      <c r="G678" s="84"/>
      <c r="H678" s="85"/>
      <c r="I678" s="85"/>
      <c r="J678" s="84"/>
      <c r="K678" s="85"/>
      <c r="L678" s="85"/>
      <c r="M678" s="85"/>
      <c r="N678" s="85"/>
      <c r="O678" s="82"/>
      <c r="P678" s="83"/>
      <c r="Q678" s="83"/>
      <c r="R678" s="83"/>
      <c r="S678" s="82"/>
      <c r="T678" s="83"/>
      <c r="U678" s="83"/>
      <c r="V678" s="84"/>
      <c r="W678" s="85"/>
      <c r="X678" s="87"/>
      <c r="Y678" s="83"/>
      <c r="Z678" s="84"/>
      <c r="AA678" s="85"/>
      <c r="AB678" s="84"/>
      <c r="AC678" s="85"/>
      <c r="AD678" s="89"/>
      <c r="AE678" s="89"/>
      <c r="AF678" s="186"/>
      <c r="AG678" s="85"/>
      <c r="AH678" s="85"/>
      <c r="AI678" s="85"/>
      <c r="AJ678" s="84"/>
      <c r="AK678" s="85"/>
      <c r="AL678" s="84"/>
      <c r="AM678" s="88"/>
      <c r="AN678" s="84"/>
      <c r="AO678" s="85"/>
      <c r="AP678" s="84"/>
      <c r="AQ678" s="83"/>
      <c r="AR678" s="83"/>
      <c r="AS678" s="83"/>
      <c r="AT678" s="85"/>
      <c r="AU678" s="85"/>
      <c r="AV678" s="85"/>
      <c r="AW678" s="88"/>
      <c r="AX678" s="84"/>
      <c r="AY678" s="85"/>
      <c r="AZ678" s="84"/>
      <c r="BA678" s="85"/>
      <c r="BB678" s="88"/>
      <c r="BC678" s="85"/>
      <c r="BD678" s="84"/>
      <c r="BE678" s="88"/>
      <c r="BF678" s="85"/>
      <c r="BG678" s="85"/>
      <c r="BH678" s="85"/>
      <c r="BI678" s="85"/>
      <c r="BJ678" s="85"/>
      <c r="BK678" s="85"/>
      <c r="BL678" s="85"/>
      <c r="BM678" s="85"/>
      <c r="BN678" s="85"/>
      <c r="BO678" s="85"/>
      <c r="BP678" s="85"/>
      <c r="BQ678" s="85"/>
      <c r="BR678" s="84"/>
      <c r="BS678" s="85"/>
      <c r="BT678" s="85"/>
      <c r="BU678" s="198"/>
      <c r="BV678" s="90">
        <v>2849.9202</v>
      </c>
      <c r="BW678" s="198">
        <v>149.9958</v>
      </c>
      <c r="BX678" s="90"/>
      <c r="BY678" s="198"/>
      <c r="BZ678" s="90"/>
      <c r="CA678" s="91"/>
    </row>
    <row r="679" spans="1:79" ht="50.1" customHeight="1" outlineLevel="2" x14ac:dyDescent="0.3">
      <c r="A679" s="103" t="s">
        <v>586</v>
      </c>
      <c r="B679" s="96" t="s">
        <v>1241</v>
      </c>
      <c r="C679" s="79" t="s">
        <v>55</v>
      </c>
      <c r="D679" s="81">
        <f t="shared" si="156"/>
        <v>3000</v>
      </c>
      <c r="E679" s="82">
        <f t="shared" si="146"/>
        <v>2850</v>
      </c>
      <c r="F679" s="83">
        <f t="shared" si="157"/>
        <v>150</v>
      </c>
      <c r="G679" s="84"/>
      <c r="H679" s="85"/>
      <c r="I679" s="85"/>
      <c r="J679" s="84"/>
      <c r="K679" s="85"/>
      <c r="L679" s="85"/>
      <c r="M679" s="85"/>
      <c r="N679" s="85"/>
      <c r="O679" s="82"/>
      <c r="P679" s="83"/>
      <c r="Q679" s="83"/>
      <c r="R679" s="83"/>
      <c r="S679" s="82"/>
      <c r="T679" s="83"/>
      <c r="U679" s="83"/>
      <c r="V679" s="84"/>
      <c r="W679" s="85"/>
      <c r="X679" s="87"/>
      <c r="Y679" s="83"/>
      <c r="Z679" s="84"/>
      <c r="AA679" s="85"/>
      <c r="AB679" s="84"/>
      <c r="AC679" s="85"/>
      <c r="AD679" s="89"/>
      <c r="AE679" s="89"/>
      <c r="AF679" s="186"/>
      <c r="AG679" s="85"/>
      <c r="AH679" s="85"/>
      <c r="AI679" s="85"/>
      <c r="AJ679" s="84"/>
      <c r="AK679" s="85"/>
      <c r="AL679" s="84"/>
      <c r="AM679" s="88"/>
      <c r="AN679" s="84"/>
      <c r="AO679" s="85"/>
      <c r="AP679" s="84"/>
      <c r="AQ679" s="83"/>
      <c r="AR679" s="83"/>
      <c r="AS679" s="83"/>
      <c r="AT679" s="85"/>
      <c r="AU679" s="85"/>
      <c r="AV679" s="85"/>
      <c r="AW679" s="88"/>
      <c r="AX679" s="84"/>
      <c r="AY679" s="85"/>
      <c r="AZ679" s="84"/>
      <c r="BA679" s="85"/>
      <c r="BB679" s="88"/>
      <c r="BC679" s="85"/>
      <c r="BD679" s="84"/>
      <c r="BE679" s="88"/>
      <c r="BF679" s="85"/>
      <c r="BG679" s="85"/>
      <c r="BH679" s="85"/>
      <c r="BI679" s="85"/>
      <c r="BJ679" s="85"/>
      <c r="BK679" s="85"/>
      <c r="BL679" s="85"/>
      <c r="BM679" s="85"/>
      <c r="BN679" s="85"/>
      <c r="BO679" s="85"/>
      <c r="BP679" s="85"/>
      <c r="BQ679" s="85"/>
      <c r="BR679" s="84"/>
      <c r="BS679" s="85"/>
      <c r="BT679" s="85"/>
      <c r="BU679" s="198"/>
      <c r="BV679" s="90">
        <v>2850</v>
      </c>
      <c r="BW679" s="198">
        <v>150</v>
      </c>
      <c r="BX679" s="90"/>
      <c r="BY679" s="198"/>
      <c r="BZ679" s="90"/>
      <c r="CA679" s="91"/>
    </row>
    <row r="680" spans="1:79" ht="50.1" customHeight="1" outlineLevel="2" x14ac:dyDescent="0.3">
      <c r="A680" s="103" t="s">
        <v>586</v>
      </c>
      <c r="B680" s="96" t="s">
        <v>1242</v>
      </c>
      <c r="C680" s="79" t="s">
        <v>55</v>
      </c>
      <c r="D680" s="81">
        <f t="shared" si="156"/>
        <v>3000</v>
      </c>
      <c r="E680" s="82">
        <f t="shared" si="146"/>
        <v>2850</v>
      </c>
      <c r="F680" s="83">
        <f t="shared" si="157"/>
        <v>150</v>
      </c>
      <c r="G680" s="84"/>
      <c r="H680" s="85"/>
      <c r="I680" s="85"/>
      <c r="J680" s="84"/>
      <c r="K680" s="85"/>
      <c r="L680" s="85"/>
      <c r="M680" s="85"/>
      <c r="N680" s="85"/>
      <c r="O680" s="82"/>
      <c r="P680" s="83"/>
      <c r="Q680" s="83"/>
      <c r="R680" s="83"/>
      <c r="S680" s="82"/>
      <c r="T680" s="83"/>
      <c r="U680" s="83"/>
      <c r="V680" s="84"/>
      <c r="W680" s="85"/>
      <c r="X680" s="87"/>
      <c r="Y680" s="83"/>
      <c r="Z680" s="84"/>
      <c r="AA680" s="85"/>
      <c r="AB680" s="84"/>
      <c r="AC680" s="85"/>
      <c r="AD680" s="89"/>
      <c r="AE680" s="89"/>
      <c r="AF680" s="186"/>
      <c r="AG680" s="85"/>
      <c r="AH680" s="85"/>
      <c r="AI680" s="85"/>
      <c r="AJ680" s="84"/>
      <c r="AK680" s="85"/>
      <c r="AL680" s="84"/>
      <c r="AM680" s="88"/>
      <c r="AN680" s="84"/>
      <c r="AO680" s="85"/>
      <c r="AP680" s="84"/>
      <c r="AQ680" s="83"/>
      <c r="AR680" s="83"/>
      <c r="AS680" s="83"/>
      <c r="AT680" s="85"/>
      <c r="AU680" s="85"/>
      <c r="AV680" s="85"/>
      <c r="AW680" s="88"/>
      <c r="AX680" s="84"/>
      <c r="AY680" s="85"/>
      <c r="AZ680" s="84"/>
      <c r="BA680" s="85"/>
      <c r="BB680" s="88"/>
      <c r="BC680" s="85"/>
      <c r="BD680" s="84"/>
      <c r="BE680" s="88"/>
      <c r="BF680" s="85"/>
      <c r="BG680" s="85"/>
      <c r="BH680" s="85"/>
      <c r="BI680" s="85"/>
      <c r="BJ680" s="85"/>
      <c r="BK680" s="85"/>
      <c r="BL680" s="85"/>
      <c r="BM680" s="85"/>
      <c r="BN680" s="85"/>
      <c r="BO680" s="85"/>
      <c r="BP680" s="85"/>
      <c r="BQ680" s="85"/>
      <c r="BR680" s="84"/>
      <c r="BS680" s="85"/>
      <c r="BT680" s="85"/>
      <c r="BU680" s="198"/>
      <c r="BV680" s="90">
        <v>2850</v>
      </c>
      <c r="BW680" s="198">
        <v>150</v>
      </c>
      <c r="BX680" s="90"/>
      <c r="BY680" s="198"/>
      <c r="BZ680" s="90"/>
      <c r="CA680" s="91"/>
    </row>
    <row r="681" spans="1:79" ht="50.1" customHeight="1" outlineLevel="2" x14ac:dyDescent="0.3">
      <c r="A681" s="103" t="s">
        <v>586</v>
      </c>
      <c r="B681" s="96" t="s">
        <v>1243</v>
      </c>
      <c r="C681" s="79" t="s">
        <v>55</v>
      </c>
      <c r="D681" s="81">
        <f t="shared" si="156"/>
        <v>4.68</v>
      </c>
      <c r="E681" s="82">
        <f t="shared" si="146"/>
        <v>0</v>
      </c>
      <c r="F681" s="83">
        <f t="shared" si="157"/>
        <v>4.68</v>
      </c>
      <c r="G681" s="84"/>
      <c r="H681" s="85"/>
      <c r="I681" s="85"/>
      <c r="J681" s="84"/>
      <c r="K681" s="85"/>
      <c r="L681" s="85"/>
      <c r="M681" s="85"/>
      <c r="N681" s="85"/>
      <c r="O681" s="82"/>
      <c r="P681" s="83"/>
      <c r="Q681" s="83"/>
      <c r="R681" s="83"/>
      <c r="S681" s="82"/>
      <c r="T681" s="83"/>
      <c r="U681" s="83"/>
      <c r="V681" s="84"/>
      <c r="W681" s="85"/>
      <c r="X681" s="87"/>
      <c r="Y681" s="83">
        <v>4.68</v>
      </c>
      <c r="Z681" s="84"/>
      <c r="AA681" s="85"/>
      <c r="AB681" s="84"/>
      <c r="AC681" s="85"/>
      <c r="AD681" s="89"/>
      <c r="AE681" s="89"/>
      <c r="AF681" s="186"/>
      <c r="AG681" s="85"/>
      <c r="AH681" s="85"/>
      <c r="AI681" s="85"/>
      <c r="AJ681" s="84"/>
      <c r="AK681" s="85"/>
      <c r="AL681" s="84"/>
      <c r="AM681" s="88"/>
      <c r="AN681" s="84"/>
      <c r="AO681" s="85"/>
      <c r="AP681" s="84"/>
      <c r="AQ681" s="83"/>
      <c r="AR681" s="83"/>
      <c r="AS681" s="83"/>
      <c r="AT681" s="85"/>
      <c r="AU681" s="85"/>
      <c r="AV681" s="85"/>
      <c r="AW681" s="88"/>
      <c r="AX681" s="84"/>
      <c r="AY681" s="85"/>
      <c r="AZ681" s="84"/>
      <c r="BA681" s="85"/>
      <c r="BB681" s="88"/>
      <c r="BC681" s="85"/>
      <c r="BD681" s="84"/>
      <c r="BE681" s="88"/>
      <c r="BF681" s="85"/>
      <c r="BG681" s="85"/>
      <c r="BH681" s="85"/>
      <c r="BI681" s="85"/>
      <c r="BJ681" s="85"/>
      <c r="BK681" s="85"/>
      <c r="BL681" s="85"/>
      <c r="BM681" s="85"/>
      <c r="BN681" s="85"/>
      <c r="BO681" s="85"/>
      <c r="BP681" s="85"/>
      <c r="BQ681" s="85"/>
      <c r="BR681" s="84"/>
      <c r="BS681" s="85"/>
      <c r="BT681" s="85"/>
      <c r="BU681" s="198"/>
      <c r="BV681" s="90"/>
      <c r="BW681" s="198"/>
      <c r="BX681" s="90"/>
      <c r="BY681" s="198"/>
      <c r="BZ681" s="90"/>
      <c r="CA681" s="91"/>
    </row>
    <row r="682" spans="1:79" ht="50.1" customHeight="1" outlineLevel="2" x14ac:dyDescent="0.3">
      <c r="A682" s="106" t="s">
        <v>586</v>
      </c>
      <c r="B682" s="96" t="s">
        <v>606</v>
      </c>
      <c r="C682" s="79" t="s">
        <v>55</v>
      </c>
      <c r="D682" s="81">
        <f t="shared" si="156"/>
        <v>2709.2159700000002</v>
      </c>
      <c r="E682" s="82">
        <f t="shared" ref="E682:E725" si="158">G682+J682+O682+S682+V682+X682+Z682+AB682+AJ682+AL682+AN682+AP682+AX682+AZ682+BD682+BV682+BX682+BZ682+BR682</f>
        <v>2090.1006200000002</v>
      </c>
      <c r="F682" s="83">
        <f t="shared" si="157"/>
        <v>619.11535000000003</v>
      </c>
      <c r="G682" s="84"/>
      <c r="H682" s="85"/>
      <c r="I682" s="85"/>
      <c r="J682" s="84"/>
      <c r="K682" s="85"/>
      <c r="L682" s="85"/>
      <c r="M682" s="85"/>
      <c r="N682" s="85"/>
      <c r="O682" s="82"/>
      <c r="P682" s="83"/>
      <c r="Q682" s="83"/>
      <c r="R682" s="83"/>
      <c r="S682" s="82"/>
      <c r="T682" s="83"/>
      <c r="U682" s="83"/>
      <c r="V682" s="84">
        <v>25.514500000000002</v>
      </c>
      <c r="W682" s="85">
        <v>44.55</v>
      </c>
      <c r="X682" s="87"/>
      <c r="Y682" s="83">
        <v>124.8</v>
      </c>
      <c r="Z682" s="84"/>
      <c r="AA682" s="85"/>
      <c r="AB682" s="84"/>
      <c r="AC682" s="85"/>
      <c r="AD682" s="89">
        <f t="shared" si="147"/>
        <v>158.21574000000001</v>
      </c>
      <c r="AE682" s="89">
        <v>98.872200000000007</v>
      </c>
      <c r="AF682" s="186">
        <v>59.343539999999997</v>
      </c>
      <c r="AG682" s="85"/>
      <c r="AH682" s="85"/>
      <c r="AI682" s="85"/>
      <c r="AJ682" s="84"/>
      <c r="AK682" s="85"/>
      <c r="AL682" s="84"/>
      <c r="AM682" s="88"/>
      <c r="AN682" s="84"/>
      <c r="AO682" s="85"/>
      <c r="AP682" s="84"/>
      <c r="AQ682" s="83"/>
      <c r="AR682" s="83"/>
      <c r="AS682" s="83"/>
      <c r="AT682" s="85"/>
      <c r="AU682" s="85"/>
      <c r="AV682" s="85"/>
      <c r="AW682" s="88"/>
      <c r="AX682" s="84"/>
      <c r="AY682" s="85"/>
      <c r="AZ682" s="84">
        <v>246.66798</v>
      </c>
      <c r="BA682" s="85">
        <v>223.37791000000001</v>
      </c>
      <c r="BB682" s="88">
        <v>68.171700000000001</v>
      </c>
      <c r="BC682" s="85"/>
      <c r="BD682" s="84"/>
      <c r="BE682" s="88"/>
      <c r="BF682" s="85"/>
      <c r="BG682" s="85"/>
      <c r="BH682" s="85"/>
      <c r="BI682" s="85"/>
      <c r="BJ682" s="85"/>
      <c r="BK682" s="85"/>
      <c r="BL682" s="85"/>
      <c r="BM682" s="85"/>
      <c r="BN682" s="85"/>
      <c r="BO682" s="85"/>
      <c r="BP682" s="85"/>
      <c r="BQ682" s="85"/>
      <c r="BR682" s="84">
        <v>1817.91814</v>
      </c>
      <c r="BS682" s="85"/>
      <c r="BT682" s="85"/>
      <c r="BU682" s="198"/>
      <c r="BV682" s="90"/>
      <c r="BW682" s="198"/>
      <c r="BX682" s="90"/>
      <c r="BY682" s="198"/>
      <c r="BZ682" s="90"/>
      <c r="CA682" s="91"/>
    </row>
    <row r="683" spans="1:79" ht="50.1" customHeight="1" outlineLevel="2" x14ac:dyDescent="0.3">
      <c r="A683" s="106" t="s">
        <v>586</v>
      </c>
      <c r="B683" s="96" t="s">
        <v>607</v>
      </c>
      <c r="C683" s="79" t="s">
        <v>55</v>
      </c>
      <c r="D683" s="81">
        <f t="shared" si="156"/>
        <v>103.40165999999999</v>
      </c>
      <c r="E683" s="82">
        <f t="shared" si="158"/>
        <v>38.098970000000001</v>
      </c>
      <c r="F683" s="83">
        <f t="shared" si="157"/>
        <v>65.302689999999998</v>
      </c>
      <c r="G683" s="84"/>
      <c r="H683" s="85"/>
      <c r="I683" s="85"/>
      <c r="J683" s="84"/>
      <c r="K683" s="85"/>
      <c r="L683" s="85"/>
      <c r="M683" s="85"/>
      <c r="N683" s="85"/>
      <c r="O683" s="82"/>
      <c r="P683" s="83"/>
      <c r="Q683" s="83"/>
      <c r="R683" s="83"/>
      <c r="S683" s="82"/>
      <c r="T683" s="83"/>
      <c r="U683" s="83"/>
      <c r="V683" s="84"/>
      <c r="W683" s="85"/>
      <c r="X683" s="87"/>
      <c r="Y683" s="83">
        <v>18.72</v>
      </c>
      <c r="Z683" s="84"/>
      <c r="AA683" s="85"/>
      <c r="AB683" s="84"/>
      <c r="AC683" s="85"/>
      <c r="AD683" s="89">
        <f t="shared" ref="AD683:AD731" si="159">AE683+AF683</f>
        <v>12.080959999999999</v>
      </c>
      <c r="AE683" s="89">
        <v>4.2981999999999996</v>
      </c>
      <c r="AF683" s="186">
        <v>7.7827599999999997</v>
      </c>
      <c r="AG683" s="85"/>
      <c r="AH683" s="85"/>
      <c r="AI683" s="85"/>
      <c r="AJ683" s="84"/>
      <c r="AK683" s="85"/>
      <c r="AL683" s="84"/>
      <c r="AM683" s="88"/>
      <c r="AN683" s="84"/>
      <c r="AO683" s="85"/>
      <c r="AP683" s="84"/>
      <c r="AQ683" s="83"/>
      <c r="AR683" s="83"/>
      <c r="AS683" s="83"/>
      <c r="AT683" s="85"/>
      <c r="AU683" s="85"/>
      <c r="AV683" s="85"/>
      <c r="AW683" s="88"/>
      <c r="AX683" s="84"/>
      <c r="AY683" s="85"/>
      <c r="AZ683" s="84">
        <v>38.098970000000001</v>
      </c>
      <c r="BA683" s="85">
        <v>34.501730000000002</v>
      </c>
      <c r="BB683" s="88"/>
      <c r="BC683" s="85"/>
      <c r="BD683" s="84"/>
      <c r="BE683" s="88"/>
      <c r="BF683" s="85"/>
      <c r="BG683" s="85"/>
      <c r="BH683" s="85"/>
      <c r="BI683" s="85"/>
      <c r="BJ683" s="85"/>
      <c r="BK683" s="85"/>
      <c r="BL683" s="85"/>
      <c r="BM683" s="85"/>
      <c r="BN683" s="85"/>
      <c r="BO683" s="85"/>
      <c r="BP683" s="85"/>
      <c r="BQ683" s="85"/>
      <c r="BR683" s="84"/>
      <c r="BS683" s="85"/>
      <c r="BT683" s="85"/>
      <c r="BU683" s="198"/>
      <c r="BV683" s="90"/>
      <c r="BW683" s="198"/>
      <c r="BX683" s="90"/>
      <c r="BY683" s="198"/>
      <c r="BZ683" s="90"/>
      <c r="CA683" s="91"/>
    </row>
    <row r="684" spans="1:79" ht="50.1" customHeight="1" outlineLevel="2" x14ac:dyDescent="0.3">
      <c r="A684" s="106" t="s">
        <v>586</v>
      </c>
      <c r="B684" s="96" t="s">
        <v>608</v>
      </c>
      <c r="C684" s="79" t="s">
        <v>55</v>
      </c>
      <c r="D684" s="81">
        <f t="shared" si="156"/>
        <v>216.32</v>
      </c>
      <c r="E684" s="82">
        <f t="shared" si="158"/>
        <v>0</v>
      </c>
      <c r="F684" s="83">
        <f t="shared" si="157"/>
        <v>216.32</v>
      </c>
      <c r="G684" s="84"/>
      <c r="H684" s="85"/>
      <c r="I684" s="85"/>
      <c r="J684" s="84"/>
      <c r="K684" s="85"/>
      <c r="L684" s="85"/>
      <c r="M684" s="85"/>
      <c r="N684" s="85"/>
      <c r="O684" s="82"/>
      <c r="P684" s="83"/>
      <c r="Q684" s="83"/>
      <c r="R684" s="83"/>
      <c r="S684" s="82"/>
      <c r="T684" s="83"/>
      <c r="U684" s="83"/>
      <c r="V684" s="84"/>
      <c r="W684" s="85"/>
      <c r="X684" s="87"/>
      <c r="Y684" s="83"/>
      <c r="Z684" s="84"/>
      <c r="AA684" s="85"/>
      <c r="AB684" s="84"/>
      <c r="AC684" s="85"/>
      <c r="AD684" s="89">
        <f t="shared" si="159"/>
        <v>0</v>
      </c>
      <c r="AE684" s="89"/>
      <c r="AF684" s="186"/>
      <c r="AG684" s="85"/>
      <c r="AH684" s="85"/>
      <c r="AI684" s="85"/>
      <c r="AJ684" s="84"/>
      <c r="AK684" s="85"/>
      <c r="AL684" s="84"/>
      <c r="AM684" s="88"/>
      <c r="AN684" s="84"/>
      <c r="AO684" s="85">
        <v>216.32</v>
      </c>
      <c r="AP684" s="84"/>
      <c r="AQ684" s="83"/>
      <c r="AR684" s="83"/>
      <c r="AS684" s="83"/>
      <c r="AT684" s="85"/>
      <c r="AU684" s="85"/>
      <c r="AV684" s="85"/>
      <c r="AW684" s="88"/>
      <c r="AX684" s="84"/>
      <c r="AY684" s="85"/>
      <c r="AZ684" s="84"/>
      <c r="BA684" s="85"/>
      <c r="BB684" s="88"/>
      <c r="BC684" s="85"/>
      <c r="BD684" s="84"/>
      <c r="BE684" s="88"/>
      <c r="BF684" s="85"/>
      <c r="BG684" s="85"/>
      <c r="BH684" s="85"/>
      <c r="BI684" s="85"/>
      <c r="BJ684" s="85"/>
      <c r="BK684" s="85"/>
      <c r="BL684" s="85"/>
      <c r="BM684" s="85"/>
      <c r="BN684" s="85"/>
      <c r="BO684" s="85"/>
      <c r="BP684" s="85"/>
      <c r="BQ684" s="85"/>
      <c r="BR684" s="84"/>
      <c r="BS684" s="85"/>
      <c r="BT684" s="85"/>
      <c r="BU684" s="198"/>
      <c r="BV684" s="90"/>
      <c r="BW684" s="198"/>
      <c r="BX684" s="90"/>
      <c r="BY684" s="198"/>
      <c r="BZ684" s="90"/>
      <c r="CA684" s="91"/>
    </row>
    <row r="685" spans="1:79" ht="50.1" customHeight="1" outlineLevel="2" x14ac:dyDescent="0.3">
      <c r="A685" s="103" t="s">
        <v>586</v>
      </c>
      <c r="B685" s="96" t="s">
        <v>609</v>
      </c>
      <c r="C685" s="79" t="s">
        <v>55</v>
      </c>
      <c r="D685" s="81">
        <f t="shared" si="156"/>
        <v>117.03714000000001</v>
      </c>
      <c r="E685" s="82">
        <f t="shared" si="158"/>
        <v>30.319680000000002</v>
      </c>
      <c r="F685" s="83">
        <f t="shared" si="157"/>
        <v>86.717460000000003</v>
      </c>
      <c r="G685" s="84"/>
      <c r="H685" s="85"/>
      <c r="I685" s="85"/>
      <c r="J685" s="84"/>
      <c r="K685" s="85"/>
      <c r="L685" s="85"/>
      <c r="M685" s="85"/>
      <c r="N685" s="85"/>
      <c r="O685" s="82"/>
      <c r="P685" s="83"/>
      <c r="Q685" s="83"/>
      <c r="R685" s="83"/>
      <c r="S685" s="82"/>
      <c r="T685" s="83"/>
      <c r="U685" s="83"/>
      <c r="V685" s="84"/>
      <c r="W685" s="85"/>
      <c r="X685" s="82"/>
      <c r="Y685" s="83"/>
      <c r="Z685" s="84"/>
      <c r="AA685" s="85"/>
      <c r="AB685" s="84"/>
      <c r="AC685" s="85"/>
      <c r="AD685" s="89">
        <f t="shared" si="159"/>
        <v>0</v>
      </c>
      <c r="AE685" s="89"/>
      <c r="AF685" s="186"/>
      <c r="AG685" s="85"/>
      <c r="AH685" s="85"/>
      <c r="AI685" s="85"/>
      <c r="AJ685" s="84"/>
      <c r="AK685" s="85"/>
      <c r="AL685" s="84"/>
      <c r="AM685" s="88"/>
      <c r="AN685" s="84"/>
      <c r="AO685" s="85"/>
      <c r="AP685" s="84">
        <v>30.319680000000002</v>
      </c>
      <c r="AQ685" s="83">
        <v>86.717460000000003</v>
      </c>
      <c r="AR685" s="83"/>
      <c r="AS685" s="83"/>
      <c r="AT685" s="85"/>
      <c r="AU685" s="85"/>
      <c r="AV685" s="85"/>
      <c r="AW685" s="88"/>
      <c r="AX685" s="84"/>
      <c r="AY685" s="85"/>
      <c r="AZ685" s="84"/>
      <c r="BA685" s="85"/>
      <c r="BB685" s="88"/>
      <c r="BC685" s="85"/>
      <c r="BD685" s="84"/>
      <c r="BE685" s="88"/>
      <c r="BF685" s="85"/>
      <c r="BG685" s="85"/>
      <c r="BH685" s="85"/>
      <c r="BI685" s="85"/>
      <c r="BJ685" s="85"/>
      <c r="BK685" s="85"/>
      <c r="BL685" s="85"/>
      <c r="BM685" s="85"/>
      <c r="BN685" s="85"/>
      <c r="BO685" s="85"/>
      <c r="BP685" s="85"/>
      <c r="BQ685" s="85"/>
      <c r="BR685" s="84"/>
      <c r="BS685" s="85"/>
      <c r="BT685" s="85"/>
      <c r="BU685" s="198"/>
      <c r="BV685" s="90"/>
      <c r="BW685" s="198"/>
      <c r="BX685" s="90"/>
      <c r="BY685" s="198"/>
      <c r="BZ685" s="90"/>
      <c r="CA685" s="91"/>
    </row>
    <row r="686" spans="1:79" ht="50.1" customHeight="1" outlineLevel="2" x14ac:dyDescent="0.3">
      <c r="A686" s="103" t="s">
        <v>586</v>
      </c>
      <c r="B686" s="96" t="s">
        <v>610</v>
      </c>
      <c r="C686" s="79" t="s">
        <v>55</v>
      </c>
      <c r="D686" s="81">
        <f t="shared" si="156"/>
        <v>146.53307000000001</v>
      </c>
      <c r="E686" s="82">
        <f t="shared" si="158"/>
        <v>73.993809999999996</v>
      </c>
      <c r="F686" s="83">
        <f t="shared" si="157"/>
        <v>72.539259999999999</v>
      </c>
      <c r="G686" s="84"/>
      <c r="H686" s="85"/>
      <c r="I686" s="85"/>
      <c r="J686" s="84"/>
      <c r="K686" s="85"/>
      <c r="L686" s="85"/>
      <c r="M686" s="85"/>
      <c r="N686" s="85"/>
      <c r="O686" s="82"/>
      <c r="P686" s="83"/>
      <c r="Q686" s="83"/>
      <c r="R686" s="83"/>
      <c r="S686" s="82"/>
      <c r="T686" s="83"/>
      <c r="U686" s="83"/>
      <c r="V686" s="84"/>
      <c r="W686" s="85"/>
      <c r="X686" s="82"/>
      <c r="Y686" s="83"/>
      <c r="Z686" s="84"/>
      <c r="AA686" s="85"/>
      <c r="AB686" s="84"/>
      <c r="AC686" s="85"/>
      <c r="AD686" s="89">
        <f t="shared" si="159"/>
        <v>0</v>
      </c>
      <c r="AE686" s="89"/>
      <c r="AF686" s="186"/>
      <c r="AG686" s="85"/>
      <c r="AH686" s="85"/>
      <c r="AI686" s="85"/>
      <c r="AJ686" s="84"/>
      <c r="AK686" s="85"/>
      <c r="AL686" s="84"/>
      <c r="AM686" s="88"/>
      <c r="AN686" s="84"/>
      <c r="AO686" s="85"/>
      <c r="AP686" s="84">
        <v>9.4878099999999996</v>
      </c>
      <c r="AQ686" s="83">
        <v>14.12374</v>
      </c>
      <c r="AR686" s="83"/>
      <c r="AS686" s="83"/>
      <c r="AT686" s="85"/>
      <c r="AU686" s="85"/>
      <c r="AV686" s="85"/>
      <c r="AW686" s="88"/>
      <c r="AX686" s="84"/>
      <c r="AY686" s="85"/>
      <c r="AZ686" s="84">
        <v>64.506</v>
      </c>
      <c r="BA686" s="85">
        <v>58.415520000000001</v>
      </c>
      <c r="BB686" s="88"/>
      <c r="BC686" s="85"/>
      <c r="BD686" s="84"/>
      <c r="BE686" s="88"/>
      <c r="BF686" s="85"/>
      <c r="BG686" s="85"/>
      <c r="BH686" s="85"/>
      <c r="BI686" s="85"/>
      <c r="BJ686" s="85"/>
      <c r="BK686" s="85"/>
      <c r="BL686" s="85"/>
      <c r="BM686" s="85"/>
      <c r="BN686" s="85"/>
      <c r="BO686" s="85"/>
      <c r="BP686" s="85"/>
      <c r="BQ686" s="85"/>
      <c r="BR686" s="84"/>
      <c r="BS686" s="85"/>
      <c r="BT686" s="85"/>
      <c r="BU686" s="198"/>
      <c r="BV686" s="90"/>
      <c r="BW686" s="198"/>
      <c r="BX686" s="90"/>
      <c r="BY686" s="198"/>
      <c r="BZ686" s="90"/>
      <c r="CA686" s="91"/>
    </row>
    <row r="687" spans="1:79" ht="50.1" customHeight="1" outlineLevel="2" x14ac:dyDescent="0.3">
      <c r="A687" s="103" t="s">
        <v>586</v>
      </c>
      <c r="B687" s="96" t="s">
        <v>1151</v>
      </c>
      <c r="C687" s="79" t="s">
        <v>55</v>
      </c>
      <c r="D687" s="81">
        <f t="shared" si="156"/>
        <v>29.102399999999996</v>
      </c>
      <c r="E687" s="82">
        <f t="shared" si="158"/>
        <v>9.3059999999999992</v>
      </c>
      <c r="F687" s="83">
        <f t="shared" si="157"/>
        <v>19.796399999999998</v>
      </c>
      <c r="G687" s="84"/>
      <c r="H687" s="85"/>
      <c r="I687" s="85"/>
      <c r="J687" s="84"/>
      <c r="K687" s="85"/>
      <c r="L687" s="85"/>
      <c r="M687" s="85"/>
      <c r="N687" s="85"/>
      <c r="O687" s="82"/>
      <c r="P687" s="83"/>
      <c r="Q687" s="83"/>
      <c r="R687" s="83"/>
      <c r="S687" s="82"/>
      <c r="T687" s="83"/>
      <c r="U687" s="83"/>
      <c r="V687" s="84"/>
      <c r="W687" s="85"/>
      <c r="X687" s="82"/>
      <c r="Y687" s="83"/>
      <c r="Z687" s="84"/>
      <c r="AA687" s="85"/>
      <c r="AB687" s="84"/>
      <c r="AC687" s="85"/>
      <c r="AD687" s="89"/>
      <c r="AE687" s="89"/>
      <c r="AF687" s="186"/>
      <c r="AG687" s="85"/>
      <c r="AH687" s="85"/>
      <c r="AI687" s="85"/>
      <c r="AJ687" s="84"/>
      <c r="AK687" s="85"/>
      <c r="AL687" s="84"/>
      <c r="AM687" s="88"/>
      <c r="AN687" s="84"/>
      <c r="AO687" s="85"/>
      <c r="AP687" s="84">
        <v>9.3059999999999992</v>
      </c>
      <c r="AQ687" s="83">
        <v>19.796399999999998</v>
      </c>
      <c r="AR687" s="83"/>
      <c r="AS687" s="83"/>
      <c r="AT687" s="85"/>
      <c r="AU687" s="85"/>
      <c r="AV687" s="85"/>
      <c r="AW687" s="88"/>
      <c r="AX687" s="84"/>
      <c r="AY687" s="85"/>
      <c r="AZ687" s="84"/>
      <c r="BA687" s="85"/>
      <c r="BB687" s="88"/>
      <c r="BC687" s="85"/>
      <c r="BD687" s="84"/>
      <c r="BE687" s="88"/>
      <c r="BF687" s="85"/>
      <c r="BG687" s="85"/>
      <c r="BH687" s="85"/>
      <c r="BI687" s="85"/>
      <c r="BJ687" s="85"/>
      <c r="BK687" s="85"/>
      <c r="BL687" s="85"/>
      <c r="BM687" s="85"/>
      <c r="BN687" s="85"/>
      <c r="BO687" s="85"/>
      <c r="BP687" s="85"/>
      <c r="BQ687" s="85"/>
      <c r="BR687" s="84"/>
      <c r="BS687" s="85"/>
      <c r="BT687" s="85"/>
      <c r="BU687" s="198"/>
      <c r="BV687" s="90"/>
      <c r="BW687" s="198"/>
      <c r="BX687" s="90"/>
      <c r="BY687" s="198"/>
      <c r="BZ687" s="90"/>
      <c r="CA687" s="91"/>
    </row>
    <row r="688" spans="1:79" ht="50.1" customHeight="1" outlineLevel="2" x14ac:dyDescent="0.3">
      <c r="A688" s="106" t="s">
        <v>586</v>
      </c>
      <c r="B688" s="96" t="s">
        <v>611</v>
      </c>
      <c r="C688" s="79" t="s">
        <v>55</v>
      </c>
      <c r="D688" s="81">
        <f t="shared" si="156"/>
        <v>1630.1332500000001</v>
      </c>
      <c r="E688" s="82">
        <f t="shared" si="158"/>
        <v>0</v>
      </c>
      <c r="F688" s="83">
        <f t="shared" si="157"/>
        <v>1630.1332500000001</v>
      </c>
      <c r="G688" s="84"/>
      <c r="H688" s="85"/>
      <c r="I688" s="85"/>
      <c r="J688" s="84"/>
      <c r="K688" s="85"/>
      <c r="L688" s="85"/>
      <c r="M688" s="85"/>
      <c r="N688" s="85">
        <v>1630.1332500000001</v>
      </c>
      <c r="O688" s="82"/>
      <c r="P688" s="83"/>
      <c r="Q688" s="83"/>
      <c r="R688" s="83"/>
      <c r="S688" s="82"/>
      <c r="T688" s="83"/>
      <c r="U688" s="83"/>
      <c r="V688" s="84"/>
      <c r="W688" s="85"/>
      <c r="X688" s="82"/>
      <c r="Y688" s="83"/>
      <c r="Z688" s="84"/>
      <c r="AA688" s="85"/>
      <c r="AB688" s="84"/>
      <c r="AC688" s="85"/>
      <c r="AD688" s="89">
        <f t="shared" si="159"/>
        <v>0</v>
      </c>
      <c r="AE688" s="89"/>
      <c r="AF688" s="186"/>
      <c r="AG688" s="85"/>
      <c r="AH688" s="85"/>
      <c r="AI688" s="85"/>
      <c r="AJ688" s="84"/>
      <c r="AK688" s="85"/>
      <c r="AL688" s="84"/>
      <c r="AM688" s="88"/>
      <c r="AN688" s="84"/>
      <c r="AO688" s="85"/>
      <c r="AP688" s="84"/>
      <c r="AQ688" s="83"/>
      <c r="AR688" s="83"/>
      <c r="AS688" s="83"/>
      <c r="AT688" s="85"/>
      <c r="AU688" s="85"/>
      <c r="AV688" s="85"/>
      <c r="AW688" s="88"/>
      <c r="AX688" s="84"/>
      <c r="AY688" s="85"/>
      <c r="AZ688" s="84"/>
      <c r="BA688" s="85"/>
      <c r="BB688" s="88"/>
      <c r="BC688" s="85"/>
      <c r="BD688" s="84"/>
      <c r="BE688" s="88"/>
      <c r="BF688" s="85"/>
      <c r="BG688" s="85"/>
      <c r="BH688" s="85"/>
      <c r="BI688" s="85"/>
      <c r="BJ688" s="85"/>
      <c r="BK688" s="85"/>
      <c r="BL688" s="85"/>
      <c r="BM688" s="85"/>
      <c r="BN688" s="85"/>
      <c r="BO688" s="85"/>
      <c r="BP688" s="85"/>
      <c r="BQ688" s="85"/>
      <c r="BR688" s="84"/>
      <c r="BS688" s="85"/>
      <c r="BT688" s="85"/>
      <c r="BU688" s="198"/>
      <c r="BV688" s="90"/>
      <c r="BW688" s="198"/>
      <c r="BX688" s="90"/>
      <c r="BY688" s="198"/>
      <c r="BZ688" s="90"/>
      <c r="CA688" s="91"/>
    </row>
    <row r="689" spans="1:79" ht="50.1" customHeight="1" outlineLevel="2" x14ac:dyDescent="0.3">
      <c r="A689" s="103" t="s">
        <v>586</v>
      </c>
      <c r="B689" s="96" t="s">
        <v>612</v>
      </c>
      <c r="C689" s="79" t="s">
        <v>55</v>
      </c>
      <c r="D689" s="81">
        <f t="shared" si="156"/>
        <v>79.936920000000001</v>
      </c>
      <c r="E689" s="82">
        <f t="shared" si="158"/>
        <v>25.645379999999999</v>
      </c>
      <c r="F689" s="83">
        <f t="shared" si="157"/>
        <v>54.291539999999998</v>
      </c>
      <c r="G689" s="84"/>
      <c r="H689" s="85"/>
      <c r="I689" s="85"/>
      <c r="J689" s="84"/>
      <c r="K689" s="85"/>
      <c r="L689" s="85"/>
      <c r="M689" s="85"/>
      <c r="N689" s="85"/>
      <c r="O689" s="82"/>
      <c r="P689" s="83"/>
      <c r="Q689" s="83"/>
      <c r="R689" s="83"/>
      <c r="S689" s="82"/>
      <c r="T689" s="83"/>
      <c r="U689" s="83"/>
      <c r="V689" s="84"/>
      <c r="W689" s="85"/>
      <c r="X689" s="82"/>
      <c r="Y689" s="83"/>
      <c r="Z689" s="84"/>
      <c r="AA689" s="85"/>
      <c r="AB689" s="84"/>
      <c r="AC689" s="85"/>
      <c r="AD689" s="89">
        <f t="shared" si="159"/>
        <v>0</v>
      </c>
      <c r="AE689" s="89"/>
      <c r="AF689" s="186"/>
      <c r="AG689" s="85"/>
      <c r="AH689" s="85"/>
      <c r="AI689" s="85"/>
      <c r="AJ689" s="84"/>
      <c r="AK689" s="85"/>
      <c r="AL689" s="84"/>
      <c r="AM689" s="88"/>
      <c r="AN689" s="84"/>
      <c r="AO689" s="85"/>
      <c r="AP689" s="84">
        <v>25.645379999999999</v>
      </c>
      <c r="AQ689" s="83">
        <v>54.291539999999998</v>
      </c>
      <c r="AR689" s="83"/>
      <c r="AS689" s="83"/>
      <c r="AT689" s="85"/>
      <c r="AU689" s="85"/>
      <c r="AV689" s="85"/>
      <c r="AW689" s="88"/>
      <c r="AX689" s="84"/>
      <c r="AY689" s="85"/>
      <c r="AZ689" s="84"/>
      <c r="BA689" s="85"/>
      <c r="BB689" s="88"/>
      <c r="BC689" s="85"/>
      <c r="BD689" s="84"/>
      <c r="BE689" s="88"/>
      <c r="BF689" s="85"/>
      <c r="BG689" s="85"/>
      <c r="BH689" s="85"/>
      <c r="BI689" s="85"/>
      <c r="BJ689" s="85"/>
      <c r="BK689" s="85"/>
      <c r="BL689" s="85"/>
      <c r="BM689" s="85"/>
      <c r="BN689" s="85"/>
      <c r="BO689" s="85"/>
      <c r="BP689" s="85"/>
      <c r="BQ689" s="85"/>
      <c r="BR689" s="84"/>
      <c r="BS689" s="85"/>
      <c r="BT689" s="85"/>
      <c r="BU689" s="198"/>
      <c r="BV689" s="90"/>
      <c r="BW689" s="198"/>
      <c r="BX689" s="90"/>
      <c r="BY689" s="198"/>
      <c r="BZ689" s="90"/>
      <c r="CA689" s="91"/>
    </row>
    <row r="690" spans="1:79" ht="50.1" customHeight="1" outlineLevel="2" x14ac:dyDescent="0.3">
      <c r="A690" s="103" t="s">
        <v>586</v>
      </c>
      <c r="B690" s="96" t="s">
        <v>613</v>
      </c>
      <c r="C690" s="130" t="s">
        <v>55</v>
      </c>
      <c r="D690" s="81">
        <f t="shared" si="156"/>
        <v>1084.6569499999998</v>
      </c>
      <c r="E690" s="82">
        <f t="shared" si="158"/>
        <v>985.00485999999989</v>
      </c>
      <c r="F690" s="83">
        <f t="shared" si="157"/>
        <v>99.652090000000001</v>
      </c>
      <c r="G690" s="84"/>
      <c r="H690" s="85"/>
      <c r="I690" s="85"/>
      <c r="J690" s="84"/>
      <c r="K690" s="85"/>
      <c r="L690" s="85">
        <v>12.19636</v>
      </c>
      <c r="M690" s="85"/>
      <c r="N690" s="85"/>
      <c r="O690" s="82"/>
      <c r="P690" s="83"/>
      <c r="Q690" s="83"/>
      <c r="R690" s="83"/>
      <c r="S690" s="82"/>
      <c r="T690" s="83"/>
      <c r="U690" s="83"/>
      <c r="V690" s="84"/>
      <c r="W690" s="85"/>
      <c r="X690" s="82"/>
      <c r="Y690" s="83"/>
      <c r="Z690" s="84"/>
      <c r="AA690" s="85"/>
      <c r="AB690" s="84"/>
      <c r="AC690" s="85"/>
      <c r="AD690" s="89">
        <f t="shared" si="159"/>
        <v>0</v>
      </c>
      <c r="AE690" s="89"/>
      <c r="AF690" s="186"/>
      <c r="AG690" s="85"/>
      <c r="AH690" s="85"/>
      <c r="AI690" s="85"/>
      <c r="AJ690" s="84"/>
      <c r="AK690" s="85"/>
      <c r="AL690" s="84"/>
      <c r="AM690" s="88"/>
      <c r="AN690" s="84"/>
      <c r="AO690" s="85">
        <v>58.24</v>
      </c>
      <c r="AP690" s="84"/>
      <c r="AQ690" s="83"/>
      <c r="AR690" s="83"/>
      <c r="AS690" s="83"/>
      <c r="AT690" s="85"/>
      <c r="AU690" s="85"/>
      <c r="AV690" s="85"/>
      <c r="AW690" s="88"/>
      <c r="AX690" s="84"/>
      <c r="AY690" s="85"/>
      <c r="AZ690" s="84">
        <v>31.1936</v>
      </c>
      <c r="BA690" s="85">
        <v>28.248380000000001</v>
      </c>
      <c r="BB690" s="88">
        <v>0.96735000000000004</v>
      </c>
      <c r="BC690" s="85"/>
      <c r="BD690" s="84"/>
      <c r="BE690" s="88"/>
      <c r="BF690" s="85"/>
      <c r="BG690" s="85"/>
      <c r="BH690" s="85"/>
      <c r="BI690" s="85"/>
      <c r="BJ690" s="85"/>
      <c r="BK690" s="85"/>
      <c r="BL690" s="85"/>
      <c r="BM690" s="85"/>
      <c r="BN690" s="85"/>
      <c r="BO690" s="85"/>
      <c r="BP690" s="85"/>
      <c r="BQ690" s="85"/>
      <c r="BR690" s="84">
        <v>953.81125999999995</v>
      </c>
      <c r="BS690" s="85"/>
      <c r="BT690" s="85"/>
      <c r="BU690" s="198"/>
      <c r="BV690" s="90"/>
      <c r="BW690" s="198"/>
      <c r="BX690" s="90"/>
      <c r="BY690" s="198"/>
      <c r="BZ690" s="90"/>
      <c r="CA690" s="91"/>
    </row>
    <row r="691" spans="1:79" ht="50.1" customHeight="1" outlineLevel="2" x14ac:dyDescent="0.3">
      <c r="A691" s="103" t="s">
        <v>586</v>
      </c>
      <c r="B691" s="96" t="s">
        <v>614</v>
      </c>
      <c r="C691" s="79" t="s">
        <v>55</v>
      </c>
      <c r="D691" s="81">
        <f t="shared" si="156"/>
        <v>1439.3618300000001</v>
      </c>
      <c r="E691" s="82">
        <f t="shared" si="158"/>
        <v>81.528450000000007</v>
      </c>
      <c r="F691" s="83">
        <f t="shared" si="157"/>
        <v>1357.83338</v>
      </c>
      <c r="G691" s="84"/>
      <c r="H691" s="85"/>
      <c r="I691" s="85"/>
      <c r="J691" s="84"/>
      <c r="K691" s="85"/>
      <c r="L691" s="85"/>
      <c r="M691" s="85"/>
      <c r="N691" s="85"/>
      <c r="O691" s="82"/>
      <c r="P691" s="83"/>
      <c r="Q691" s="83"/>
      <c r="R691" s="83"/>
      <c r="S691" s="82"/>
      <c r="T691" s="83"/>
      <c r="U691" s="83"/>
      <c r="V691" s="84"/>
      <c r="W691" s="85"/>
      <c r="X691" s="82"/>
      <c r="Y691" s="83">
        <v>37.44</v>
      </c>
      <c r="Z691" s="84"/>
      <c r="AA691" s="85"/>
      <c r="AB691" s="84"/>
      <c r="AC691" s="85"/>
      <c r="AD691" s="89">
        <f t="shared" si="159"/>
        <v>29.229559999999999</v>
      </c>
      <c r="AE691" s="89">
        <v>10.7455</v>
      </c>
      <c r="AF691" s="186">
        <v>18.484059999999999</v>
      </c>
      <c r="AG691" s="85"/>
      <c r="AH691" s="85"/>
      <c r="AI691" s="85"/>
      <c r="AJ691" s="84"/>
      <c r="AK691" s="85"/>
      <c r="AL691" s="84"/>
      <c r="AM691" s="88"/>
      <c r="AN691" s="84"/>
      <c r="AO691" s="85"/>
      <c r="AP691" s="84"/>
      <c r="AQ691" s="83"/>
      <c r="AR691" s="83"/>
      <c r="AS691" s="83"/>
      <c r="AT691" s="85"/>
      <c r="AU691" s="85"/>
      <c r="AV691" s="85">
        <v>1217.3331499999999</v>
      </c>
      <c r="AW691" s="88"/>
      <c r="AX691" s="84"/>
      <c r="AY691" s="85"/>
      <c r="AZ691" s="84">
        <v>81.528450000000007</v>
      </c>
      <c r="BA691" s="85">
        <v>73.830669999999998</v>
      </c>
      <c r="BB691" s="88"/>
      <c r="BC691" s="85"/>
      <c r="BD691" s="84"/>
      <c r="BE691" s="88"/>
      <c r="BF691" s="85"/>
      <c r="BG691" s="85"/>
      <c r="BH691" s="85"/>
      <c r="BI691" s="85"/>
      <c r="BJ691" s="85"/>
      <c r="BK691" s="85"/>
      <c r="BL691" s="85"/>
      <c r="BM691" s="85"/>
      <c r="BN691" s="85"/>
      <c r="BO691" s="85"/>
      <c r="BP691" s="85"/>
      <c r="BQ691" s="85"/>
      <c r="BR691" s="84"/>
      <c r="BS691" s="85"/>
      <c r="BT691" s="85"/>
      <c r="BU691" s="198"/>
      <c r="BV691" s="90"/>
      <c r="BW691" s="198"/>
      <c r="BX691" s="90"/>
      <c r="BY691" s="198"/>
      <c r="BZ691" s="90"/>
      <c r="CA691" s="91"/>
    </row>
    <row r="692" spans="1:79" ht="50.1" customHeight="1" outlineLevel="2" x14ac:dyDescent="0.3">
      <c r="A692" s="103" t="s">
        <v>586</v>
      </c>
      <c r="B692" s="96" t="s">
        <v>615</v>
      </c>
      <c r="C692" s="79" t="s">
        <v>55</v>
      </c>
      <c r="D692" s="81">
        <f t="shared" si="156"/>
        <v>1937.1581699999999</v>
      </c>
      <c r="E692" s="82">
        <f t="shared" si="158"/>
        <v>939.41949</v>
      </c>
      <c r="F692" s="83">
        <f t="shared" si="157"/>
        <v>997.73867999999993</v>
      </c>
      <c r="G692" s="84"/>
      <c r="H692" s="85"/>
      <c r="I692" s="85"/>
      <c r="J692" s="84"/>
      <c r="K692" s="85"/>
      <c r="L692" s="85"/>
      <c r="M692" s="85"/>
      <c r="N692" s="85"/>
      <c r="O692" s="82"/>
      <c r="P692" s="83"/>
      <c r="Q692" s="83"/>
      <c r="R692" s="83"/>
      <c r="S692" s="82"/>
      <c r="T692" s="83"/>
      <c r="U692" s="83"/>
      <c r="V692" s="84"/>
      <c r="W692" s="85"/>
      <c r="X692" s="82"/>
      <c r="Y692" s="83"/>
      <c r="Z692" s="84"/>
      <c r="AA692" s="85"/>
      <c r="AB692" s="84"/>
      <c r="AC692" s="85"/>
      <c r="AD692" s="89">
        <f t="shared" si="159"/>
        <v>0</v>
      </c>
      <c r="AE692" s="89"/>
      <c r="AF692" s="186"/>
      <c r="AG692" s="85"/>
      <c r="AH692" s="85"/>
      <c r="AI692" s="85"/>
      <c r="AJ692" s="84"/>
      <c r="AK692" s="85"/>
      <c r="AL692" s="84"/>
      <c r="AM692" s="88"/>
      <c r="AN692" s="84"/>
      <c r="AO692" s="85"/>
      <c r="AP692" s="84">
        <v>226.36259999999999</v>
      </c>
      <c r="AQ692" s="83">
        <v>699.98884999999996</v>
      </c>
      <c r="AR692" s="83"/>
      <c r="AS692" s="83"/>
      <c r="AT692" s="85"/>
      <c r="AU692" s="85"/>
      <c r="AV692" s="85"/>
      <c r="AW692" s="88"/>
      <c r="AX692" s="84"/>
      <c r="AY692" s="85"/>
      <c r="AZ692" s="84">
        <v>254.88768999999999</v>
      </c>
      <c r="BA692" s="85">
        <v>230.82168999999999</v>
      </c>
      <c r="BB692" s="88">
        <v>66.928139999999999</v>
      </c>
      <c r="BC692" s="85"/>
      <c r="BD692" s="84"/>
      <c r="BE692" s="88"/>
      <c r="BF692" s="85"/>
      <c r="BG692" s="85"/>
      <c r="BH692" s="85"/>
      <c r="BI692" s="85"/>
      <c r="BJ692" s="85"/>
      <c r="BK692" s="85"/>
      <c r="BL692" s="85"/>
      <c r="BM692" s="85"/>
      <c r="BN692" s="85"/>
      <c r="BO692" s="85"/>
      <c r="BP692" s="85"/>
      <c r="BQ692" s="85"/>
      <c r="BR692" s="84">
        <v>458.16919999999999</v>
      </c>
      <c r="BS692" s="85"/>
      <c r="BT692" s="85"/>
      <c r="BU692" s="198"/>
      <c r="BV692" s="90"/>
      <c r="BW692" s="198"/>
      <c r="BX692" s="90"/>
      <c r="BY692" s="198"/>
      <c r="BZ692" s="90"/>
      <c r="CA692" s="91"/>
    </row>
    <row r="693" spans="1:79" ht="50.1" customHeight="1" outlineLevel="2" x14ac:dyDescent="0.3">
      <c r="A693" s="103" t="s">
        <v>586</v>
      </c>
      <c r="B693" s="96" t="s">
        <v>616</v>
      </c>
      <c r="C693" s="79" t="s">
        <v>55</v>
      </c>
      <c r="D693" s="81">
        <f t="shared" si="156"/>
        <v>484.56631000000004</v>
      </c>
      <c r="E693" s="82">
        <f t="shared" si="158"/>
        <v>79.104389999999995</v>
      </c>
      <c r="F693" s="83">
        <f t="shared" si="157"/>
        <v>405.46192000000002</v>
      </c>
      <c r="G693" s="84"/>
      <c r="H693" s="85"/>
      <c r="I693" s="85"/>
      <c r="J693" s="84"/>
      <c r="K693" s="85"/>
      <c r="L693" s="85"/>
      <c r="M693" s="85"/>
      <c r="N693" s="85"/>
      <c r="O693" s="82"/>
      <c r="P693" s="83"/>
      <c r="Q693" s="83"/>
      <c r="R693" s="83"/>
      <c r="S693" s="82"/>
      <c r="T693" s="83"/>
      <c r="U693" s="83"/>
      <c r="V693" s="84"/>
      <c r="W693" s="85"/>
      <c r="X693" s="82"/>
      <c r="Y693" s="83"/>
      <c r="Z693" s="84"/>
      <c r="AA693" s="85"/>
      <c r="AB693" s="84"/>
      <c r="AC693" s="85"/>
      <c r="AD693" s="89">
        <f t="shared" si="159"/>
        <v>0</v>
      </c>
      <c r="AE693" s="89"/>
      <c r="AF693" s="186"/>
      <c r="AG693" s="85"/>
      <c r="AH693" s="85"/>
      <c r="AI693" s="85"/>
      <c r="AJ693" s="84"/>
      <c r="AK693" s="85"/>
      <c r="AL693" s="84"/>
      <c r="AM693" s="88"/>
      <c r="AN693" s="84"/>
      <c r="AO693" s="85"/>
      <c r="AP693" s="84"/>
      <c r="AQ693" s="83"/>
      <c r="AR693" s="83"/>
      <c r="AS693" s="83"/>
      <c r="AT693" s="85"/>
      <c r="AU693" s="85"/>
      <c r="AV693" s="85">
        <v>180.39500000000001</v>
      </c>
      <c r="AW693" s="88"/>
      <c r="AX693" s="84"/>
      <c r="AY693" s="85"/>
      <c r="AZ693" s="84">
        <v>79.104389999999995</v>
      </c>
      <c r="BA693" s="85">
        <v>71.635339999999999</v>
      </c>
      <c r="BB693" s="88">
        <v>153.43158</v>
      </c>
      <c r="BC693" s="85"/>
      <c r="BD693" s="84"/>
      <c r="BE693" s="88"/>
      <c r="BF693" s="85"/>
      <c r="BG693" s="85"/>
      <c r="BH693" s="85"/>
      <c r="BI693" s="85"/>
      <c r="BJ693" s="85"/>
      <c r="BK693" s="85"/>
      <c r="BL693" s="85"/>
      <c r="BM693" s="85"/>
      <c r="BN693" s="85"/>
      <c r="BO693" s="85"/>
      <c r="BP693" s="85"/>
      <c r="BQ693" s="85"/>
      <c r="BR693" s="84"/>
      <c r="BS693" s="85"/>
      <c r="BT693" s="85"/>
      <c r="BU693" s="198"/>
      <c r="BV693" s="90"/>
      <c r="BW693" s="198"/>
      <c r="BX693" s="90"/>
      <c r="BY693" s="198"/>
      <c r="BZ693" s="90"/>
      <c r="CA693" s="91"/>
    </row>
    <row r="694" spans="1:79" ht="50.1" customHeight="1" outlineLevel="2" x14ac:dyDescent="0.3">
      <c r="A694" s="103" t="s">
        <v>586</v>
      </c>
      <c r="B694" s="96" t="s">
        <v>617</v>
      </c>
      <c r="C694" s="130" t="s">
        <v>55</v>
      </c>
      <c r="D694" s="81">
        <f t="shared" si="156"/>
        <v>2906.5953</v>
      </c>
      <c r="E694" s="82">
        <f t="shared" si="158"/>
        <v>0</v>
      </c>
      <c r="F694" s="83">
        <f t="shared" si="157"/>
        <v>2906.5953</v>
      </c>
      <c r="G694" s="84"/>
      <c r="H694" s="85"/>
      <c r="I694" s="85"/>
      <c r="J694" s="84"/>
      <c r="K694" s="85"/>
      <c r="L694" s="85"/>
      <c r="M694" s="85"/>
      <c r="N694" s="85">
        <f>1459.6974+1446.8979</f>
        <v>2906.5953</v>
      </c>
      <c r="O694" s="82"/>
      <c r="P694" s="83"/>
      <c r="Q694" s="83"/>
      <c r="R694" s="83"/>
      <c r="S694" s="82"/>
      <c r="T694" s="83"/>
      <c r="U694" s="83"/>
      <c r="V694" s="84"/>
      <c r="W694" s="85"/>
      <c r="X694" s="82"/>
      <c r="Y694" s="83"/>
      <c r="Z694" s="84"/>
      <c r="AA694" s="85"/>
      <c r="AB694" s="84"/>
      <c r="AC694" s="85"/>
      <c r="AD694" s="89">
        <f t="shared" si="159"/>
        <v>0</v>
      </c>
      <c r="AE694" s="89"/>
      <c r="AF694" s="186"/>
      <c r="AG694" s="85"/>
      <c r="AH694" s="85"/>
      <c r="AI694" s="85"/>
      <c r="AJ694" s="84"/>
      <c r="AK694" s="85"/>
      <c r="AL694" s="84"/>
      <c r="AM694" s="88"/>
      <c r="AN694" s="84"/>
      <c r="AO694" s="85"/>
      <c r="AP694" s="84"/>
      <c r="AQ694" s="83"/>
      <c r="AR694" s="83"/>
      <c r="AS694" s="83"/>
      <c r="AT694" s="85"/>
      <c r="AU694" s="85"/>
      <c r="AV694" s="85"/>
      <c r="AW694" s="88"/>
      <c r="AX694" s="84"/>
      <c r="AY694" s="85"/>
      <c r="AZ694" s="84"/>
      <c r="BA694" s="85"/>
      <c r="BB694" s="88"/>
      <c r="BC694" s="85"/>
      <c r="BD694" s="84"/>
      <c r="BE694" s="88"/>
      <c r="BF694" s="85"/>
      <c r="BG694" s="85"/>
      <c r="BH694" s="85"/>
      <c r="BI694" s="85"/>
      <c r="BJ694" s="85"/>
      <c r="BK694" s="85"/>
      <c r="BL694" s="85"/>
      <c r="BM694" s="85"/>
      <c r="BN694" s="85"/>
      <c r="BO694" s="85"/>
      <c r="BP694" s="85"/>
      <c r="BQ694" s="85"/>
      <c r="BR694" s="84"/>
      <c r="BS694" s="85"/>
      <c r="BT694" s="85"/>
      <c r="BU694" s="198"/>
      <c r="BV694" s="90"/>
      <c r="BW694" s="198"/>
      <c r="BX694" s="90"/>
      <c r="BY694" s="198"/>
      <c r="BZ694" s="90"/>
      <c r="CA694" s="91"/>
    </row>
    <row r="695" spans="1:79" ht="50.1" customHeight="1" outlineLevel="2" x14ac:dyDescent="0.3">
      <c r="A695" s="103" t="s">
        <v>586</v>
      </c>
      <c r="B695" s="96" t="s">
        <v>618</v>
      </c>
      <c r="C695" s="79" t="s">
        <v>55</v>
      </c>
      <c r="D695" s="81">
        <f t="shared" si="156"/>
        <v>91.245459999999994</v>
      </c>
      <c r="E695" s="82">
        <f t="shared" si="158"/>
        <v>57.331449999999997</v>
      </c>
      <c r="F695" s="83">
        <f t="shared" si="157"/>
        <v>33.914009999999998</v>
      </c>
      <c r="G695" s="84"/>
      <c r="H695" s="85"/>
      <c r="I695" s="85"/>
      <c r="J695" s="84"/>
      <c r="K695" s="85"/>
      <c r="L695" s="85"/>
      <c r="M695" s="85"/>
      <c r="N695" s="85"/>
      <c r="O695" s="82"/>
      <c r="P695" s="83"/>
      <c r="Q695" s="83"/>
      <c r="R695" s="83"/>
      <c r="S695" s="82"/>
      <c r="T695" s="83"/>
      <c r="U695" s="83"/>
      <c r="V695" s="84"/>
      <c r="W695" s="85"/>
      <c r="X695" s="82"/>
      <c r="Y695" s="83">
        <v>1.56</v>
      </c>
      <c r="Z695" s="84"/>
      <c r="AA695" s="85"/>
      <c r="AB695" s="84"/>
      <c r="AC695" s="85"/>
      <c r="AD695" s="89">
        <f t="shared" si="159"/>
        <v>0</v>
      </c>
      <c r="AE695" s="89"/>
      <c r="AF695" s="186"/>
      <c r="AG695" s="85"/>
      <c r="AH695" s="85"/>
      <c r="AI695" s="85"/>
      <c r="AJ695" s="84"/>
      <c r="AK695" s="85"/>
      <c r="AL695" s="84"/>
      <c r="AM695" s="88"/>
      <c r="AN695" s="84"/>
      <c r="AO695" s="85"/>
      <c r="AP695" s="84"/>
      <c r="AQ695" s="83"/>
      <c r="AR695" s="83"/>
      <c r="AS695" s="83"/>
      <c r="AT695" s="85"/>
      <c r="AU695" s="85"/>
      <c r="AV695" s="85"/>
      <c r="AW695" s="88"/>
      <c r="AX695" s="84"/>
      <c r="AY695" s="85"/>
      <c r="AZ695" s="84">
        <v>57.331449999999997</v>
      </c>
      <c r="BA695" s="88">
        <v>28.8475</v>
      </c>
      <c r="BB695" s="88">
        <v>3.50651</v>
      </c>
      <c r="BC695" s="85"/>
      <c r="BD695" s="84"/>
      <c r="BE695" s="88"/>
      <c r="BF695" s="85"/>
      <c r="BG695" s="85"/>
      <c r="BH695" s="85"/>
      <c r="BI695" s="85"/>
      <c r="BJ695" s="85"/>
      <c r="BK695" s="85"/>
      <c r="BL695" s="85"/>
      <c r="BM695" s="85"/>
      <c r="BN695" s="85"/>
      <c r="BO695" s="85"/>
      <c r="BP695" s="85"/>
      <c r="BQ695" s="85"/>
      <c r="BR695" s="84"/>
      <c r="BS695" s="85"/>
      <c r="BT695" s="85"/>
      <c r="BU695" s="198"/>
      <c r="BV695" s="90"/>
      <c r="BW695" s="198"/>
      <c r="BX695" s="90"/>
      <c r="BY695" s="198"/>
      <c r="BZ695" s="90"/>
      <c r="CA695" s="91"/>
    </row>
    <row r="696" spans="1:79" ht="50.1" customHeight="1" outlineLevel="2" x14ac:dyDescent="0.3">
      <c r="A696" s="103" t="s">
        <v>586</v>
      </c>
      <c r="B696" s="96" t="s">
        <v>619</v>
      </c>
      <c r="C696" s="79" t="s">
        <v>55</v>
      </c>
      <c r="D696" s="81">
        <f t="shared" si="156"/>
        <v>95.123890000000003</v>
      </c>
      <c r="E696" s="82">
        <f t="shared" si="158"/>
        <v>32.999850000000002</v>
      </c>
      <c r="F696" s="83">
        <f t="shared" si="157"/>
        <v>62.124040000000001</v>
      </c>
      <c r="G696" s="84"/>
      <c r="H696" s="85"/>
      <c r="I696" s="85"/>
      <c r="J696" s="84"/>
      <c r="K696" s="85"/>
      <c r="L696" s="85"/>
      <c r="M696" s="85"/>
      <c r="N696" s="85"/>
      <c r="O696" s="82"/>
      <c r="P696" s="83"/>
      <c r="Q696" s="83"/>
      <c r="R696" s="83"/>
      <c r="S696" s="82"/>
      <c r="T696" s="83"/>
      <c r="U696" s="83"/>
      <c r="V696" s="84"/>
      <c r="W696" s="85"/>
      <c r="X696" s="82"/>
      <c r="Y696" s="83">
        <v>15.6</v>
      </c>
      <c r="Z696" s="84"/>
      <c r="AA696" s="85"/>
      <c r="AB696" s="84"/>
      <c r="AC696" s="85"/>
      <c r="AD696" s="89">
        <f t="shared" si="159"/>
        <v>0</v>
      </c>
      <c r="AE696" s="89"/>
      <c r="AF696" s="186"/>
      <c r="AG696" s="85"/>
      <c r="AH696" s="85"/>
      <c r="AI696" s="85"/>
      <c r="AJ696" s="84"/>
      <c r="AK696" s="85"/>
      <c r="AL696" s="84"/>
      <c r="AM696" s="88"/>
      <c r="AN696" s="84"/>
      <c r="AO696" s="85">
        <v>16.64</v>
      </c>
      <c r="AP696" s="84"/>
      <c r="AQ696" s="83"/>
      <c r="AR696" s="83"/>
      <c r="AS696" s="83"/>
      <c r="AT696" s="85"/>
      <c r="AU696" s="85"/>
      <c r="AV696" s="85"/>
      <c r="AW696" s="88"/>
      <c r="AX696" s="84"/>
      <c r="AY696" s="85"/>
      <c r="AZ696" s="84">
        <v>32.999850000000002</v>
      </c>
      <c r="BA696" s="85">
        <v>29.884039999999999</v>
      </c>
      <c r="BB696" s="88"/>
      <c r="BC696" s="85"/>
      <c r="BD696" s="84"/>
      <c r="BE696" s="88"/>
      <c r="BF696" s="85"/>
      <c r="BG696" s="85"/>
      <c r="BH696" s="85"/>
      <c r="BI696" s="85"/>
      <c r="BJ696" s="85"/>
      <c r="BK696" s="85"/>
      <c r="BL696" s="85"/>
      <c r="BM696" s="85"/>
      <c r="BN696" s="85"/>
      <c r="BO696" s="85"/>
      <c r="BP696" s="85"/>
      <c r="BQ696" s="85"/>
      <c r="BR696" s="84"/>
      <c r="BS696" s="85"/>
      <c r="BT696" s="85"/>
      <c r="BU696" s="198"/>
      <c r="BV696" s="90"/>
      <c r="BW696" s="198"/>
      <c r="BX696" s="90"/>
      <c r="BY696" s="198"/>
      <c r="BZ696" s="90"/>
      <c r="CA696" s="91"/>
    </row>
    <row r="697" spans="1:79" ht="50.1" customHeight="1" outlineLevel="2" x14ac:dyDescent="0.3">
      <c r="A697" s="103" t="s">
        <v>586</v>
      </c>
      <c r="B697" s="96" t="s">
        <v>620</v>
      </c>
      <c r="C697" s="79" t="s">
        <v>55</v>
      </c>
      <c r="D697" s="81">
        <f t="shared" si="156"/>
        <v>105.08533</v>
      </c>
      <c r="E697" s="82">
        <f t="shared" si="158"/>
        <v>44.915580000000006</v>
      </c>
      <c r="F697" s="83">
        <f t="shared" si="157"/>
        <v>60.169750000000001</v>
      </c>
      <c r="G697" s="84"/>
      <c r="H697" s="85"/>
      <c r="I697" s="85"/>
      <c r="J697" s="84"/>
      <c r="K697" s="85"/>
      <c r="L697" s="85"/>
      <c r="M697" s="85"/>
      <c r="N697" s="85"/>
      <c r="O697" s="82"/>
      <c r="P697" s="83"/>
      <c r="Q697" s="83"/>
      <c r="R697" s="83"/>
      <c r="S697" s="82"/>
      <c r="T697" s="83"/>
      <c r="U697" s="83"/>
      <c r="V697" s="84">
        <v>23.195</v>
      </c>
      <c r="W697" s="85">
        <v>40.5</v>
      </c>
      <c r="X697" s="82"/>
      <c r="Y697" s="83"/>
      <c r="Z697" s="84"/>
      <c r="AA697" s="85"/>
      <c r="AB697" s="84"/>
      <c r="AC697" s="85"/>
      <c r="AD697" s="89">
        <f t="shared" si="159"/>
        <v>0</v>
      </c>
      <c r="AE697" s="89"/>
      <c r="AF697" s="186"/>
      <c r="AG697" s="85"/>
      <c r="AH697" s="85"/>
      <c r="AI697" s="85"/>
      <c r="AJ697" s="84"/>
      <c r="AK697" s="85"/>
      <c r="AL697" s="84"/>
      <c r="AM697" s="88"/>
      <c r="AN697" s="84"/>
      <c r="AO697" s="85"/>
      <c r="AP697" s="84"/>
      <c r="AQ697" s="83"/>
      <c r="AR697" s="83"/>
      <c r="AS697" s="83"/>
      <c r="AT697" s="85"/>
      <c r="AU697" s="85"/>
      <c r="AV697" s="85"/>
      <c r="AW697" s="88"/>
      <c r="AX697" s="84"/>
      <c r="AY697" s="85"/>
      <c r="AZ697" s="84">
        <v>21.720580000000002</v>
      </c>
      <c r="BA697" s="85">
        <v>19.669750000000001</v>
      </c>
      <c r="BB697" s="88"/>
      <c r="BC697" s="85"/>
      <c r="BD697" s="84"/>
      <c r="BE697" s="88"/>
      <c r="BF697" s="85"/>
      <c r="BG697" s="85"/>
      <c r="BH697" s="85"/>
      <c r="BI697" s="85"/>
      <c r="BJ697" s="85"/>
      <c r="BK697" s="85"/>
      <c r="BL697" s="85"/>
      <c r="BM697" s="85"/>
      <c r="BN697" s="85"/>
      <c r="BO697" s="85"/>
      <c r="BP697" s="85"/>
      <c r="BQ697" s="85"/>
      <c r="BR697" s="84"/>
      <c r="BS697" s="85"/>
      <c r="BT697" s="85"/>
      <c r="BU697" s="198"/>
      <c r="BV697" s="90"/>
      <c r="BW697" s="198"/>
      <c r="BX697" s="90"/>
      <c r="BY697" s="198"/>
      <c r="BZ697" s="90"/>
      <c r="CA697" s="91"/>
    </row>
    <row r="698" spans="1:79" ht="50.1" customHeight="1" outlineLevel="2" x14ac:dyDescent="0.3">
      <c r="A698" s="103" t="s">
        <v>586</v>
      </c>
      <c r="B698" s="96" t="s">
        <v>621</v>
      </c>
      <c r="C698" s="79" t="s">
        <v>55</v>
      </c>
      <c r="D698" s="81">
        <f t="shared" si="156"/>
        <v>90.531560000000013</v>
      </c>
      <c r="E698" s="82">
        <f t="shared" si="158"/>
        <v>47.508540000000004</v>
      </c>
      <c r="F698" s="83">
        <f t="shared" si="157"/>
        <v>43.023020000000002</v>
      </c>
      <c r="G698" s="84"/>
      <c r="H698" s="85"/>
      <c r="I698" s="85"/>
      <c r="J698" s="84"/>
      <c r="K698" s="85"/>
      <c r="L698" s="85"/>
      <c r="M698" s="85"/>
      <c r="N698" s="85"/>
      <c r="O698" s="82"/>
      <c r="P698" s="83"/>
      <c r="Q698" s="83"/>
      <c r="R698" s="83"/>
      <c r="S698" s="82"/>
      <c r="T698" s="83"/>
      <c r="U698" s="83"/>
      <c r="V698" s="84"/>
      <c r="W698" s="85"/>
      <c r="X698" s="82"/>
      <c r="Y698" s="83"/>
      <c r="Z698" s="84"/>
      <c r="AA698" s="85"/>
      <c r="AB698" s="84"/>
      <c r="AC698" s="85"/>
      <c r="AD698" s="89">
        <f t="shared" si="159"/>
        <v>0</v>
      </c>
      <c r="AE698" s="89"/>
      <c r="AF698" s="186"/>
      <c r="AG698" s="85"/>
      <c r="AH698" s="85"/>
      <c r="AI698" s="85"/>
      <c r="AJ698" s="84"/>
      <c r="AK698" s="85"/>
      <c r="AL698" s="84"/>
      <c r="AM698" s="88"/>
      <c r="AN698" s="84"/>
      <c r="AO698" s="85"/>
      <c r="AP698" s="84"/>
      <c r="AQ698" s="83"/>
      <c r="AR698" s="83"/>
      <c r="AS698" s="83"/>
      <c r="AT698" s="85"/>
      <c r="AU698" s="85"/>
      <c r="AV698" s="85"/>
      <c r="AW698" s="88"/>
      <c r="AX698" s="84"/>
      <c r="AY698" s="85"/>
      <c r="AZ698" s="84">
        <v>47.508540000000004</v>
      </c>
      <c r="BA698" s="85">
        <v>43.023020000000002</v>
      </c>
      <c r="BB698" s="88"/>
      <c r="BC698" s="85"/>
      <c r="BD698" s="84"/>
      <c r="BE698" s="88"/>
      <c r="BF698" s="85"/>
      <c r="BG698" s="85"/>
      <c r="BH698" s="85"/>
      <c r="BI698" s="85"/>
      <c r="BJ698" s="85"/>
      <c r="BK698" s="85"/>
      <c r="BL698" s="85"/>
      <c r="BM698" s="85"/>
      <c r="BN698" s="85"/>
      <c r="BO698" s="85"/>
      <c r="BP698" s="85"/>
      <c r="BQ698" s="85"/>
      <c r="BR698" s="84"/>
      <c r="BS698" s="85"/>
      <c r="BT698" s="85"/>
      <c r="BU698" s="198"/>
      <c r="BV698" s="90"/>
      <c r="BW698" s="198"/>
      <c r="BX698" s="90"/>
      <c r="BY698" s="198"/>
      <c r="BZ698" s="90"/>
      <c r="CA698" s="91"/>
    </row>
    <row r="699" spans="1:79" ht="50.1" customHeight="1" outlineLevel="2" x14ac:dyDescent="0.3">
      <c r="A699" s="106" t="s">
        <v>586</v>
      </c>
      <c r="B699" s="96" t="s">
        <v>622</v>
      </c>
      <c r="C699" s="79" t="s">
        <v>55</v>
      </c>
      <c r="D699" s="81">
        <f t="shared" si="156"/>
        <v>141.01508999999999</v>
      </c>
      <c r="E699" s="82">
        <f t="shared" si="158"/>
        <v>85.99718</v>
      </c>
      <c r="F699" s="83">
        <f t="shared" si="157"/>
        <v>55.017909999999993</v>
      </c>
      <c r="G699" s="84"/>
      <c r="H699" s="85"/>
      <c r="I699" s="85"/>
      <c r="J699" s="84"/>
      <c r="K699" s="85"/>
      <c r="L699" s="85"/>
      <c r="M699" s="85"/>
      <c r="N699" s="85"/>
      <c r="O699" s="82"/>
      <c r="P699" s="83"/>
      <c r="Q699" s="83"/>
      <c r="R699" s="83"/>
      <c r="S699" s="82"/>
      <c r="T699" s="83"/>
      <c r="U699" s="83"/>
      <c r="V699" s="84"/>
      <c r="W699" s="85"/>
      <c r="X699" s="82"/>
      <c r="Y699" s="83"/>
      <c r="Z699" s="84"/>
      <c r="AA699" s="85"/>
      <c r="AB699" s="84"/>
      <c r="AC699" s="85"/>
      <c r="AD699" s="89">
        <f t="shared" si="159"/>
        <v>0</v>
      </c>
      <c r="AE699" s="89"/>
      <c r="AF699" s="186"/>
      <c r="AG699" s="85"/>
      <c r="AH699" s="85"/>
      <c r="AI699" s="85"/>
      <c r="AJ699" s="84"/>
      <c r="AK699" s="85"/>
      <c r="AL699" s="84"/>
      <c r="AM699" s="88"/>
      <c r="AN699" s="84"/>
      <c r="AO699" s="85"/>
      <c r="AP699" s="84"/>
      <c r="AQ699" s="83"/>
      <c r="AR699" s="83"/>
      <c r="AS699" s="83"/>
      <c r="AT699" s="85"/>
      <c r="AU699" s="85"/>
      <c r="AV699" s="85"/>
      <c r="AW699" s="88"/>
      <c r="AX699" s="84"/>
      <c r="AY699" s="85"/>
      <c r="AZ699" s="84">
        <v>85.99718</v>
      </c>
      <c r="BA699" s="88">
        <v>54.732819999999997</v>
      </c>
      <c r="BB699" s="88">
        <v>0.28509000000000001</v>
      </c>
      <c r="BC699" s="85"/>
      <c r="BD699" s="84"/>
      <c r="BE699" s="88"/>
      <c r="BF699" s="85"/>
      <c r="BG699" s="85"/>
      <c r="BH699" s="85"/>
      <c r="BI699" s="85"/>
      <c r="BJ699" s="85"/>
      <c r="BK699" s="85"/>
      <c r="BL699" s="85"/>
      <c r="BM699" s="85"/>
      <c r="BN699" s="85"/>
      <c r="BO699" s="85"/>
      <c r="BP699" s="85"/>
      <c r="BQ699" s="85"/>
      <c r="BR699" s="84"/>
      <c r="BS699" s="85"/>
      <c r="BT699" s="85"/>
      <c r="BU699" s="198"/>
      <c r="BV699" s="90"/>
      <c r="BW699" s="198"/>
      <c r="BX699" s="90"/>
      <c r="BY699" s="198"/>
      <c r="BZ699" s="90"/>
      <c r="CA699" s="91"/>
    </row>
    <row r="700" spans="1:79" ht="50.1" customHeight="1" outlineLevel="2" x14ac:dyDescent="0.3">
      <c r="A700" s="106" t="s">
        <v>586</v>
      </c>
      <c r="B700" s="96" t="s">
        <v>623</v>
      </c>
      <c r="C700" s="79" t="s">
        <v>55</v>
      </c>
      <c r="D700" s="81">
        <f t="shared" si="156"/>
        <v>198.92865</v>
      </c>
      <c r="E700" s="82">
        <f t="shared" si="158"/>
        <v>198.92865</v>
      </c>
      <c r="F700" s="83">
        <f t="shared" si="157"/>
        <v>0</v>
      </c>
      <c r="G700" s="84"/>
      <c r="H700" s="85"/>
      <c r="I700" s="85"/>
      <c r="J700" s="84"/>
      <c r="K700" s="85"/>
      <c r="L700" s="85"/>
      <c r="M700" s="85"/>
      <c r="N700" s="85"/>
      <c r="O700" s="82"/>
      <c r="P700" s="83"/>
      <c r="Q700" s="83"/>
      <c r="R700" s="83"/>
      <c r="S700" s="82"/>
      <c r="T700" s="83"/>
      <c r="U700" s="83"/>
      <c r="V700" s="84"/>
      <c r="W700" s="85"/>
      <c r="X700" s="87"/>
      <c r="Y700" s="83"/>
      <c r="Z700" s="84"/>
      <c r="AA700" s="85"/>
      <c r="AB700" s="84"/>
      <c r="AC700" s="85"/>
      <c r="AD700" s="89">
        <f t="shared" si="159"/>
        <v>0</v>
      </c>
      <c r="AE700" s="89"/>
      <c r="AF700" s="186"/>
      <c r="AG700" s="85"/>
      <c r="AH700" s="85"/>
      <c r="AI700" s="85"/>
      <c r="AJ700" s="84"/>
      <c r="AK700" s="85"/>
      <c r="AL700" s="84"/>
      <c r="AM700" s="88"/>
      <c r="AN700" s="84"/>
      <c r="AO700" s="85"/>
      <c r="AP700" s="84"/>
      <c r="AQ700" s="83"/>
      <c r="AR700" s="83"/>
      <c r="AS700" s="83"/>
      <c r="AT700" s="85"/>
      <c r="AU700" s="85"/>
      <c r="AV700" s="85"/>
      <c r="AW700" s="88"/>
      <c r="AX700" s="84"/>
      <c r="AY700" s="85"/>
      <c r="AZ700" s="84"/>
      <c r="BA700" s="85"/>
      <c r="BB700" s="88"/>
      <c r="BC700" s="85"/>
      <c r="BD700" s="84"/>
      <c r="BE700" s="88"/>
      <c r="BF700" s="85"/>
      <c r="BG700" s="85"/>
      <c r="BH700" s="85"/>
      <c r="BI700" s="85"/>
      <c r="BJ700" s="85"/>
      <c r="BK700" s="85"/>
      <c r="BL700" s="85"/>
      <c r="BM700" s="85"/>
      <c r="BN700" s="85"/>
      <c r="BO700" s="85"/>
      <c r="BP700" s="85"/>
      <c r="BQ700" s="85"/>
      <c r="BR700" s="84">
        <v>198.92865</v>
      </c>
      <c r="BS700" s="85"/>
      <c r="BT700" s="85"/>
      <c r="BU700" s="198"/>
      <c r="BV700" s="90"/>
      <c r="BW700" s="198"/>
      <c r="BX700" s="90"/>
      <c r="BY700" s="198"/>
      <c r="BZ700" s="90"/>
      <c r="CA700" s="91"/>
    </row>
    <row r="701" spans="1:79" ht="50.1" customHeight="1" outlineLevel="2" x14ac:dyDescent="0.3">
      <c r="A701" s="106" t="s">
        <v>586</v>
      </c>
      <c r="B701" s="96" t="s">
        <v>624</v>
      </c>
      <c r="C701" s="79" t="s">
        <v>55</v>
      </c>
      <c r="D701" s="81">
        <f t="shared" si="156"/>
        <v>118.92536</v>
      </c>
      <c r="E701" s="82">
        <f t="shared" si="158"/>
        <v>38.035420000000002</v>
      </c>
      <c r="F701" s="83">
        <f t="shared" si="157"/>
        <v>80.889939999999996</v>
      </c>
      <c r="G701" s="84"/>
      <c r="H701" s="85"/>
      <c r="I701" s="85"/>
      <c r="J701" s="84"/>
      <c r="K701" s="85"/>
      <c r="L701" s="85"/>
      <c r="M701" s="85"/>
      <c r="N701" s="85"/>
      <c r="O701" s="82"/>
      <c r="P701" s="83"/>
      <c r="Q701" s="83"/>
      <c r="R701" s="83"/>
      <c r="S701" s="82"/>
      <c r="T701" s="83"/>
      <c r="U701" s="83"/>
      <c r="V701" s="84"/>
      <c r="W701" s="85"/>
      <c r="X701" s="87"/>
      <c r="Y701" s="83"/>
      <c r="Z701" s="84"/>
      <c r="AA701" s="85"/>
      <c r="AB701" s="84"/>
      <c r="AC701" s="85"/>
      <c r="AD701" s="89">
        <f t="shared" si="159"/>
        <v>0</v>
      </c>
      <c r="AE701" s="89"/>
      <c r="AF701" s="186"/>
      <c r="AG701" s="85"/>
      <c r="AH701" s="85"/>
      <c r="AI701" s="85"/>
      <c r="AJ701" s="84"/>
      <c r="AK701" s="85"/>
      <c r="AL701" s="84"/>
      <c r="AM701" s="88"/>
      <c r="AN701" s="84"/>
      <c r="AO701" s="85"/>
      <c r="AP701" s="84">
        <v>38.035420000000002</v>
      </c>
      <c r="AQ701" s="83">
        <v>80.889939999999996</v>
      </c>
      <c r="AR701" s="83"/>
      <c r="AS701" s="83"/>
      <c r="AT701" s="85"/>
      <c r="AU701" s="85"/>
      <c r="AV701" s="85"/>
      <c r="AW701" s="88"/>
      <c r="AX701" s="84"/>
      <c r="AY701" s="85"/>
      <c r="AZ701" s="84"/>
      <c r="BA701" s="85"/>
      <c r="BB701" s="88"/>
      <c r="BC701" s="85"/>
      <c r="BD701" s="84"/>
      <c r="BE701" s="88"/>
      <c r="BF701" s="85"/>
      <c r="BG701" s="85"/>
      <c r="BH701" s="85"/>
      <c r="BI701" s="85"/>
      <c r="BJ701" s="85"/>
      <c r="BK701" s="85"/>
      <c r="BL701" s="85"/>
      <c r="BM701" s="85"/>
      <c r="BN701" s="85"/>
      <c r="BO701" s="85"/>
      <c r="BP701" s="85"/>
      <c r="BQ701" s="85"/>
      <c r="BR701" s="84"/>
      <c r="BS701" s="85"/>
      <c r="BT701" s="85"/>
      <c r="BU701" s="198"/>
      <c r="BV701" s="90"/>
      <c r="BW701" s="198"/>
      <c r="BX701" s="90"/>
      <c r="BY701" s="198"/>
      <c r="BZ701" s="90"/>
      <c r="CA701" s="91"/>
    </row>
    <row r="702" spans="1:79" ht="50.1" customHeight="1" outlineLevel="2" x14ac:dyDescent="0.3">
      <c r="A702" s="106" t="s">
        <v>586</v>
      </c>
      <c r="B702" s="96" t="s">
        <v>1197</v>
      </c>
      <c r="C702" s="112" t="s">
        <v>55</v>
      </c>
      <c r="D702" s="81">
        <f t="shared" si="156"/>
        <v>2995.38</v>
      </c>
      <c r="E702" s="82">
        <f t="shared" si="158"/>
        <v>0</v>
      </c>
      <c r="F702" s="83">
        <f t="shared" si="157"/>
        <v>2995.38</v>
      </c>
      <c r="G702" s="84"/>
      <c r="H702" s="85"/>
      <c r="I702" s="85"/>
      <c r="J702" s="84"/>
      <c r="K702" s="85"/>
      <c r="L702" s="85"/>
      <c r="M702" s="85"/>
      <c r="N702" s="85"/>
      <c r="O702" s="82"/>
      <c r="P702" s="83"/>
      <c r="Q702" s="83"/>
      <c r="R702" s="83"/>
      <c r="S702" s="82"/>
      <c r="T702" s="83"/>
      <c r="U702" s="83"/>
      <c r="V702" s="84"/>
      <c r="W702" s="85"/>
      <c r="X702" s="87"/>
      <c r="Y702" s="83"/>
      <c r="Z702" s="84"/>
      <c r="AA702" s="85"/>
      <c r="AB702" s="84"/>
      <c r="AC702" s="85"/>
      <c r="AD702" s="89"/>
      <c r="AE702" s="89"/>
      <c r="AF702" s="186"/>
      <c r="AG702" s="85"/>
      <c r="AH702" s="85"/>
      <c r="AI702" s="85"/>
      <c r="AJ702" s="84"/>
      <c r="AK702" s="85"/>
      <c r="AL702" s="84"/>
      <c r="AM702" s="88"/>
      <c r="AN702" s="84"/>
      <c r="AO702" s="85"/>
      <c r="AP702" s="84"/>
      <c r="AQ702" s="83"/>
      <c r="AR702" s="83"/>
      <c r="AS702" s="83"/>
      <c r="AT702" s="85"/>
      <c r="AU702" s="85"/>
      <c r="AV702" s="85"/>
      <c r="AW702" s="88"/>
      <c r="AX702" s="84"/>
      <c r="AY702" s="85"/>
      <c r="AZ702" s="84"/>
      <c r="BA702" s="85"/>
      <c r="BB702" s="88"/>
      <c r="BC702" s="85"/>
      <c r="BD702" s="84"/>
      <c r="BE702" s="88"/>
      <c r="BF702" s="85"/>
      <c r="BG702" s="85"/>
      <c r="BH702" s="85"/>
      <c r="BI702" s="85"/>
      <c r="BJ702" s="85"/>
      <c r="BK702" s="85"/>
      <c r="BL702" s="85"/>
      <c r="BM702" s="85"/>
      <c r="BN702" s="85"/>
      <c r="BO702" s="85"/>
      <c r="BP702" s="85"/>
      <c r="BQ702" s="85"/>
      <c r="BR702" s="84"/>
      <c r="BS702" s="85"/>
      <c r="BT702" s="85"/>
      <c r="BU702" s="198"/>
      <c r="BV702" s="90"/>
      <c r="BW702" s="198">
        <v>2995.38</v>
      </c>
      <c r="BX702" s="90"/>
      <c r="BY702" s="198"/>
      <c r="BZ702" s="90"/>
      <c r="CA702" s="91"/>
    </row>
    <row r="703" spans="1:79" ht="50.1" customHeight="1" outlineLevel="2" x14ac:dyDescent="0.3">
      <c r="A703" s="106" t="s">
        <v>586</v>
      </c>
      <c r="B703" s="96" t="s">
        <v>625</v>
      </c>
      <c r="C703" s="112" t="s">
        <v>55</v>
      </c>
      <c r="D703" s="81">
        <f t="shared" si="156"/>
        <v>204.24116000000001</v>
      </c>
      <c r="E703" s="82">
        <f t="shared" si="158"/>
        <v>65.321709999999996</v>
      </c>
      <c r="F703" s="83">
        <f t="shared" si="157"/>
        <v>138.91945000000001</v>
      </c>
      <c r="G703" s="84"/>
      <c r="H703" s="85"/>
      <c r="I703" s="85"/>
      <c r="J703" s="84"/>
      <c r="K703" s="85"/>
      <c r="L703" s="85"/>
      <c r="M703" s="85"/>
      <c r="N703" s="85"/>
      <c r="O703" s="82"/>
      <c r="P703" s="83"/>
      <c r="Q703" s="83"/>
      <c r="R703" s="83"/>
      <c r="S703" s="82"/>
      <c r="T703" s="83"/>
      <c r="U703" s="83"/>
      <c r="V703" s="84"/>
      <c r="W703" s="85"/>
      <c r="X703" s="87"/>
      <c r="Y703" s="83"/>
      <c r="Z703" s="84"/>
      <c r="AA703" s="85"/>
      <c r="AB703" s="84"/>
      <c r="AC703" s="85"/>
      <c r="AD703" s="89">
        <f t="shared" si="159"/>
        <v>0</v>
      </c>
      <c r="AE703" s="89"/>
      <c r="AF703" s="186"/>
      <c r="AG703" s="85"/>
      <c r="AH703" s="85"/>
      <c r="AI703" s="85"/>
      <c r="AJ703" s="84"/>
      <c r="AK703" s="85"/>
      <c r="AL703" s="84"/>
      <c r="AM703" s="88"/>
      <c r="AN703" s="84"/>
      <c r="AO703" s="85"/>
      <c r="AP703" s="84">
        <v>65.321709999999996</v>
      </c>
      <c r="AQ703" s="83">
        <v>138.91945000000001</v>
      </c>
      <c r="AR703" s="83"/>
      <c r="AS703" s="83"/>
      <c r="AT703" s="85"/>
      <c r="AU703" s="85"/>
      <c r="AV703" s="85"/>
      <c r="AW703" s="88"/>
      <c r="AX703" s="84"/>
      <c r="AY703" s="85"/>
      <c r="AZ703" s="84"/>
      <c r="BA703" s="85"/>
      <c r="BB703" s="88"/>
      <c r="BC703" s="85"/>
      <c r="BD703" s="84"/>
      <c r="BE703" s="88"/>
      <c r="BF703" s="85"/>
      <c r="BG703" s="85"/>
      <c r="BH703" s="85"/>
      <c r="BI703" s="85"/>
      <c r="BJ703" s="85"/>
      <c r="BK703" s="85"/>
      <c r="BL703" s="85"/>
      <c r="BM703" s="85"/>
      <c r="BN703" s="85"/>
      <c r="BO703" s="85"/>
      <c r="BP703" s="85"/>
      <c r="BQ703" s="85"/>
      <c r="BR703" s="84"/>
      <c r="BS703" s="85"/>
      <c r="BT703" s="85"/>
      <c r="BU703" s="198"/>
      <c r="BV703" s="90"/>
      <c r="BW703" s="198"/>
      <c r="BX703" s="90"/>
      <c r="BY703" s="198"/>
      <c r="BZ703" s="90"/>
      <c r="CA703" s="91"/>
    </row>
    <row r="704" spans="1:79" ht="50.1" customHeight="1" outlineLevel="2" x14ac:dyDescent="0.3">
      <c r="A704" s="106" t="s">
        <v>586</v>
      </c>
      <c r="B704" s="96" t="s">
        <v>626</v>
      </c>
      <c r="C704" s="112" t="s">
        <v>55</v>
      </c>
      <c r="D704" s="81">
        <f t="shared" si="156"/>
        <v>2964.59647</v>
      </c>
      <c r="E704" s="82">
        <f t="shared" si="158"/>
        <v>0</v>
      </c>
      <c r="F704" s="83">
        <f t="shared" si="157"/>
        <v>2964.59647</v>
      </c>
      <c r="G704" s="84"/>
      <c r="H704" s="85"/>
      <c r="I704" s="85"/>
      <c r="J704" s="84"/>
      <c r="K704" s="85"/>
      <c r="L704" s="85"/>
      <c r="M704" s="85"/>
      <c r="N704" s="85">
        <v>2964.59647</v>
      </c>
      <c r="O704" s="82"/>
      <c r="P704" s="83"/>
      <c r="Q704" s="83"/>
      <c r="R704" s="83"/>
      <c r="S704" s="82"/>
      <c r="T704" s="83"/>
      <c r="U704" s="83"/>
      <c r="V704" s="84"/>
      <c r="W704" s="85"/>
      <c r="X704" s="87"/>
      <c r="Y704" s="83"/>
      <c r="Z704" s="84"/>
      <c r="AA704" s="85"/>
      <c r="AB704" s="84"/>
      <c r="AC704" s="85"/>
      <c r="AD704" s="89">
        <f t="shared" si="159"/>
        <v>0</v>
      </c>
      <c r="AE704" s="89"/>
      <c r="AF704" s="186"/>
      <c r="AG704" s="85"/>
      <c r="AH704" s="85"/>
      <c r="AI704" s="85"/>
      <c r="AJ704" s="84"/>
      <c r="AK704" s="85"/>
      <c r="AL704" s="84"/>
      <c r="AM704" s="88"/>
      <c r="AN704" s="84"/>
      <c r="AO704" s="85"/>
      <c r="AQ704" s="83"/>
      <c r="AR704" s="83"/>
      <c r="AS704" s="83"/>
      <c r="AT704" s="85"/>
      <c r="AU704" s="85"/>
      <c r="AV704" s="85"/>
      <c r="AW704" s="88"/>
      <c r="AX704" s="84"/>
      <c r="AY704" s="85"/>
      <c r="AZ704" s="84"/>
      <c r="BA704" s="85"/>
      <c r="BB704" s="88"/>
      <c r="BC704" s="85"/>
      <c r="BD704" s="84"/>
      <c r="BE704" s="88"/>
      <c r="BF704" s="85"/>
      <c r="BG704" s="85"/>
      <c r="BH704" s="85"/>
      <c r="BI704" s="85"/>
      <c r="BJ704" s="85"/>
      <c r="BK704" s="85"/>
      <c r="BL704" s="85"/>
      <c r="BM704" s="85"/>
      <c r="BN704" s="85"/>
      <c r="BO704" s="85"/>
      <c r="BP704" s="85"/>
      <c r="BQ704" s="85"/>
      <c r="BR704" s="84"/>
      <c r="BS704" s="85"/>
      <c r="BT704" s="85"/>
      <c r="BU704" s="198"/>
      <c r="BV704" s="90"/>
      <c r="BW704" s="198"/>
      <c r="BX704" s="90"/>
      <c r="BY704" s="198"/>
      <c r="BZ704" s="90"/>
      <c r="CA704" s="91"/>
    </row>
    <row r="705" spans="1:79" ht="50.1" customHeight="1" outlineLevel="2" x14ac:dyDescent="0.3">
      <c r="A705" s="106" t="s">
        <v>586</v>
      </c>
      <c r="B705" s="96" t="s">
        <v>628</v>
      </c>
      <c r="C705" s="112" t="s">
        <v>55</v>
      </c>
      <c r="D705" s="81">
        <f t="shared" ref="D705:D732" si="160">E705+F705</f>
        <v>201.93207999999998</v>
      </c>
      <c r="E705" s="82">
        <f t="shared" si="158"/>
        <v>55.579549999999998</v>
      </c>
      <c r="F705" s="83">
        <f t="shared" ref="F705:F732" si="161">H705+I705+K705+L705+M705+N705+P705+Q705+R705+T705+U705+W705+Y705+AA705+AC705+AD705+AG705+AH705+AI705+AK705+AM705+AO705+AQ705+AR705+AS705+AT705+AU705+AV705+AW705+AY705+BA705+BB705+BC705+BE705+BF705+BG705+BH705+BI705+BJ705+BK705+BL705+BO705+BP705+BQ705+BS705+BT705+BU705+BW705+BY705+CA705+BM705+BN705</f>
        <v>146.35253</v>
      </c>
      <c r="G705" s="84"/>
      <c r="H705" s="85"/>
      <c r="I705" s="85"/>
      <c r="J705" s="84"/>
      <c r="K705" s="85"/>
      <c r="L705" s="85"/>
      <c r="M705" s="85"/>
      <c r="N705" s="85"/>
      <c r="O705" s="82"/>
      <c r="P705" s="83"/>
      <c r="Q705" s="83"/>
      <c r="R705" s="83"/>
      <c r="S705" s="82"/>
      <c r="T705" s="83"/>
      <c r="U705" s="83"/>
      <c r="V705" s="84">
        <v>11.210039999999999</v>
      </c>
      <c r="W705" s="85">
        <v>18.812339999999999</v>
      </c>
      <c r="X705" s="87"/>
      <c r="Y705" s="83">
        <v>87.36</v>
      </c>
      <c r="Z705" s="84"/>
      <c r="AA705" s="85"/>
      <c r="AB705" s="84"/>
      <c r="AC705" s="85"/>
      <c r="AD705" s="89">
        <f t="shared" si="159"/>
        <v>0</v>
      </c>
      <c r="AE705" s="89"/>
      <c r="AF705" s="186"/>
      <c r="AG705" s="85"/>
      <c r="AH705" s="85"/>
      <c r="AI705" s="85"/>
      <c r="AJ705" s="84"/>
      <c r="AK705" s="85"/>
      <c r="AL705" s="84"/>
      <c r="AM705" s="88"/>
      <c r="AN705" s="84"/>
      <c r="AO705" s="85"/>
      <c r="AP705" s="84"/>
      <c r="AQ705" s="83"/>
      <c r="AR705" s="83"/>
      <c r="AS705" s="83"/>
      <c r="AT705" s="85"/>
      <c r="AU705" s="85"/>
      <c r="AV705" s="85"/>
      <c r="AW705" s="88"/>
      <c r="AX705" s="84"/>
      <c r="AY705" s="85"/>
      <c r="AZ705" s="84">
        <v>44.369509999999998</v>
      </c>
      <c r="BA705" s="85">
        <v>40.180190000000003</v>
      </c>
      <c r="BB705" s="88"/>
      <c r="BC705" s="85"/>
      <c r="BD705" s="84"/>
      <c r="BE705" s="88"/>
      <c r="BF705" s="85"/>
      <c r="BG705" s="85"/>
      <c r="BH705" s="85"/>
      <c r="BI705" s="85"/>
      <c r="BJ705" s="85"/>
      <c r="BK705" s="85"/>
      <c r="BL705" s="85"/>
      <c r="BM705" s="85"/>
      <c r="BN705" s="85"/>
      <c r="BO705" s="85"/>
      <c r="BP705" s="85"/>
      <c r="BQ705" s="85"/>
      <c r="BR705" s="84"/>
      <c r="BS705" s="85"/>
      <c r="BT705" s="85"/>
      <c r="BU705" s="198"/>
      <c r="BV705" s="90"/>
      <c r="BW705" s="198"/>
      <c r="BX705" s="90"/>
      <c r="BY705" s="198"/>
      <c r="BZ705" s="90"/>
      <c r="CA705" s="91"/>
    </row>
    <row r="706" spans="1:79" ht="50.1" customHeight="1" outlineLevel="2" x14ac:dyDescent="0.3">
      <c r="A706" s="106" t="s">
        <v>586</v>
      </c>
      <c r="B706" s="96" t="s">
        <v>629</v>
      </c>
      <c r="C706" s="79" t="s">
        <v>55</v>
      </c>
      <c r="D706" s="81">
        <f t="shared" si="160"/>
        <v>443.83623999999998</v>
      </c>
      <c r="E706" s="82">
        <f t="shared" si="158"/>
        <v>161.20439999999999</v>
      </c>
      <c r="F706" s="83">
        <f t="shared" si="161"/>
        <v>282.63184000000001</v>
      </c>
      <c r="G706" s="84"/>
      <c r="H706" s="85"/>
      <c r="I706" s="85"/>
      <c r="J706" s="84"/>
      <c r="K706" s="85"/>
      <c r="L706" s="85"/>
      <c r="M706" s="85"/>
      <c r="N706" s="85"/>
      <c r="O706" s="82"/>
      <c r="P706" s="83"/>
      <c r="Q706" s="83"/>
      <c r="R706" s="83"/>
      <c r="S706" s="82"/>
      <c r="T706" s="83"/>
      <c r="U706" s="83"/>
      <c r="V706" s="84"/>
      <c r="W706" s="85"/>
      <c r="X706" s="87"/>
      <c r="Y706" s="83">
        <v>83.46</v>
      </c>
      <c r="Z706" s="84"/>
      <c r="AA706" s="85"/>
      <c r="AB706" s="84"/>
      <c r="AC706" s="85"/>
      <c r="AD706" s="89">
        <f t="shared" si="159"/>
        <v>53.18806</v>
      </c>
      <c r="AE706" s="89">
        <v>17.192799999999998</v>
      </c>
      <c r="AF706" s="186">
        <v>35.995260000000002</v>
      </c>
      <c r="AG706" s="85"/>
      <c r="AH706" s="85"/>
      <c r="AI706" s="85"/>
      <c r="AJ706" s="84"/>
      <c r="AK706" s="85"/>
      <c r="AL706" s="84"/>
      <c r="AM706" s="88"/>
      <c r="AN706" s="84"/>
      <c r="AO706" s="85"/>
      <c r="AP706" s="84"/>
      <c r="AQ706" s="83"/>
      <c r="AR706" s="83"/>
      <c r="AS706" s="83"/>
      <c r="AT706" s="85"/>
      <c r="AU706" s="85"/>
      <c r="AV706" s="85"/>
      <c r="AW706" s="88"/>
      <c r="AX706" s="84"/>
      <c r="AY706" s="85"/>
      <c r="AZ706" s="84">
        <v>161.20439999999999</v>
      </c>
      <c r="BA706" s="85">
        <v>145.98378</v>
      </c>
      <c r="BB706" s="88"/>
      <c r="BC706" s="85"/>
      <c r="BD706" s="84"/>
      <c r="BE706" s="88"/>
      <c r="BF706" s="85"/>
      <c r="BG706" s="85"/>
      <c r="BH706" s="85"/>
      <c r="BI706" s="85"/>
      <c r="BJ706" s="85"/>
      <c r="BK706" s="85"/>
      <c r="BL706" s="85"/>
      <c r="BM706" s="85"/>
      <c r="BN706" s="85"/>
      <c r="BO706" s="85"/>
      <c r="BP706" s="85"/>
      <c r="BQ706" s="85"/>
      <c r="BR706" s="84"/>
      <c r="BS706" s="85"/>
      <c r="BT706" s="85"/>
      <c r="BU706" s="198"/>
      <c r="BV706" s="90"/>
      <c r="BW706" s="198"/>
      <c r="BX706" s="90"/>
      <c r="BY706" s="198"/>
      <c r="BZ706" s="90"/>
      <c r="CA706" s="91"/>
    </row>
    <row r="707" spans="1:79" ht="50.1" customHeight="1" outlineLevel="2" x14ac:dyDescent="0.3">
      <c r="A707" s="103" t="s">
        <v>586</v>
      </c>
      <c r="B707" s="96" t="s">
        <v>630</v>
      </c>
      <c r="C707" s="79" t="s">
        <v>53</v>
      </c>
      <c r="D707" s="81">
        <f t="shared" si="160"/>
        <v>172.15996000000001</v>
      </c>
      <c r="E707" s="82">
        <f t="shared" si="158"/>
        <v>90.345100000000002</v>
      </c>
      <c r="F707" s="83">
        <f t="shared" si="161"/>
        <v>81.814859999999996</v>
      </c>
      <c r="G707" s="84"/>
      <c r="H707" s="85"/>
      <c r="I707" s="85"/>
      <c r="J707" s="84"/>
      <c r="K707" s="85"/>
      <c r="L707" s="85"/>
      <c r="M707" s="85"/>
      <c r="N707" s="85"/>
      <c r="O707" s="82"/>
      <c r="P707" s="83"/>
      <c r="Q707" s="83"/>
      <c r="R707" s="83"/>
      <c r="S707" s="82"/>
      <c r="T707" s="83"/>
      <c r="U707" s="83"/>
      <c r="V707" s="84"/>
      <c r="W707" s="85"/>
      <c r="X707" s="87"/>
      <c r="Y707" s="83"/>
      <c r="Z707" s="84"/>
      <c r="AA707" s="85"/>
      <c r="AB707" s="84"/>
      <c r="AC707" s="85"/>
      <c r="AD707" s="89">
        <f t="shared" si="159"/>
        <v>0</v>
      </c>
      <c r="AE707" s="89"/>
      <c r="AF707" s="186"/>
      <c r="AG707" s="85"/>
      <c r="AH707" s="85"/>
      <c r="AI707" s="85"/>
      <c r="AJ707" s="84"/>
      <c r="AK707" s="85"/>
      <c r="AL707" s="84"/>
      <c r="AM707" s="88"/>
      <c r="AN707" s="84"/>
      <c r="AO707" s="85"/>
      <c r="AP707" s="84"/>
      <c r="AQ707" s="83"/>
      <c r="AR707" s="83"/>
      <c r="AS707" s="83"/>
      <c r="AT707" s="85"/>
      <c r="AU707" s="85"/>
      <c r="AV707" s="85"/>
      <c r="AW707" s="88"/>
      <c r="AX707" s="84"/>
      <c r="AY707" s="85"/>
      <c r="AZ707" s="84">
        <v>90.345100000000002</v>
      </c>
      <c r="BA707" s="85">
        <v>81.814859999999996</v>
      </c>
      <c r="BB707" s="88"/>
      <c r="BC707" s="85"/>
      <c r="BD707" s="84"/>
      <c r="BE707" s="88"/>
      <c r="BF707" s="85"/>
      <c r="BG707" s="85"/>
      <c r="BH707" s="85"/>
      <c r="BI707" s="85"/>
      <c r="BJ707" s="85"/>
      <c r="BK707" s="85"/>
      <c r="BL707" s="85"/>
      <c r="BM707" s="85"/>
      <c r="BN707" s="85"/>
      <c r="BO707" s="85"/>
      <c r="BP707" s="85"/>
      <c r="BQ707" s="85"/>
      <c r="BR707" s="84"/>
      <c r="BS707" s="85"/>
      <c r="BT707" s="85"/>
      <c r="BU707" s="198"/>
      <c r="BV707" s="90"/>
      <c r="BW707" s="198"/>
      <c r="BX707" s="90"/>
      <c r="BY707" s="198"/>
      <c r="BZ707" s="90"/>
      <c r="CA707" s="91"/>
    </row>
    <row r="708" spans="1:79" ht="50.1" customHeight="1" outlineLevel="2" x14ac:dyDescent="0.3">
      <c r="A708" s="103" t="s">
        <v>586</v>
      </c>
      <c r="B708" s="96" t="s">
        <v>631</v>
      </c>
      <c r="C708" s="79" t="s">
        <v>53</v>
      </c>
      <c r="D708" s="81">
        <f t="shared" si="160"/>
        <v>1170.9420700000001</v>
      </c>
      <c r="E708" s="82">
        <f t="shared" si="158"/>
        <v>0</v>
      </c>
      <c r="F708" s="83">
        <f t="shared" si="161"/>
        <v>1170.9420700000001</v>
      </c>
      <c r="G708" s="84"/>
      <c r="H708" s="85"/>
      <c r="I708" s="85"/>
      <c r="J708" s="84"/>
      <c r="K708" s="85"/>
      <c r="L708" s="85"/>
      <c r="M708" s="85"/>
      <c r="N708" s="85">
        <v>1170.9420700000001</v>
      </c>
      <c r="O708" s="82"/>
      <c r="P708" s="83"/>
      <c r="Q708" s="83"/>
      <c r="R708" s="83"/>
      <c r="S708" s="82"/>
      <c r="T708" s="83"/>
      <c r="U708" s="83"/>
      <c r="V708" s="84"/>
      <c r="W708" s="85"/>
      <c r="X708" s="87"/>
      <c r="Y708" s="83"/>
      <c r="Z708" s="84"/>
      <c r="AA708" s="85"/>
      <c r="AB708" s="84"/>
      <c r="AC708" s="85"/>
      <c r="AD708" s="89">
        <f t="shared" si="159"/>
        <v>0</v>
      </c>
      <c r="AE708" s="89"/>
      <c r="AF708" s="186"/>
      <c r="AG708" s="85"/>
      <c r="AH708" s="85"/>
      <c r="AI708" s="85"/>
      <c r="AJ708" s="84"/>
      <c r="AK708" s="85"/>
      <c r="AL708" s="84"/>
      <c r="AM708" s="88"/>
      <c r="AN708" s="84"/>
      <c r="AO708" s="85"/>
      <c r="AP708" s="84"/>
      <c r="AQ708" s="83"/>
      <c r="AR708" s="83"/>
      <c r="AS708" s="83"/>
      <c r="AT708" s="85"/>
      <c r="AU708" s="85"/>
      <c r="AV708" s="85"/>
      <c r="AW708" s="88"/>
      <c r="AX708" s="84"/>
      <c r="AY708" s="85"/>
      <c r="AZ708" s="84"/>
      <c r="BA708" s="85"/>
      <c r="BB708" s="88"/>
      <c r="BC708" s="85"/>
      <c r="BD708" s="84"/>
      <c r="BE708" s="88"/>
      <c r="BF708" s="85"/>
      <c r="BG708" s="85"/>
      <c r="BH708" s="85"/>
      <c r="BI708" s="85"/>
      <c r="BJ708" s="85"/>
      <c r="BK708" s="85"/>
      <c r="BL708" s="85"/>
      <c r="BM708" s="85"/>
      <c r="BN708" s="85"/>
      <c r="BO708" s="85"/>
      <c r="BP708" s="85"/>
      <c r="BQ708" s="85"/>
      <c r="BR708" s="84"/>
      <c r="BS708" s="85"/>
      <c r="BT708" s="85"/>
      <c r="BU708" s="198"/>
      <c r="BV708" s="90"/>
      <c r="BW708" s="198"/>
      <c r="BX708" s="90"/>
      <c r="BY708" s="198"/>
      <c r="BZ708" s="90"/>
      <c r="CA708" s="91"/>
    </row>
    <row r="709" spans="1:79" ht="50.1" customHeight="1" outlineLevel="2" x14ac:dyDescent="0.3">
      <c r="A709" s="106" t="s">
        <v>586</v>
      </c>
      <c r="B709" s="96" t="s">
        <v>632</v>
      </c>
      <c r="C709" s="79" t="s">
        <v>53</v>
      </c>
      <c r="D709" s="81">
        <f t="shared" si="160"/>
        <v>2874.9736600000001</v>
      </c>
      <c r="E709" s="82">
        <f t="shared" si="158"/>
        <v>512.70512000000008</v>
      </c>
      <c r="F709" s="83">
        <f t="shared" si="161"/>
        <v>2362.26854</v>
      </c>
      <c r="G709" s="84"/>
      <c r="H709" s="85"/>
      <c r="I709" s="85"/>
      <c r="J709" s="84"/>
      <c r="K709" s="85"/>
      <c r="L709" s="85"/>
      <c r="M709" s="85"/>
      <c r="N709" s="85"/>
      <c r="O709" s="82"/>
      <c r="P709" s="83"/>
      <c r="Q709" s="83"/>
      <c r="R709" s="83"/>
      <c r="S709" s="82"/>
      <c r="T709" s="83"/>
      <c r="U709" s="83"/>
      <c r="V709" s="84">
        <v>81.182500000000005</v>
      </c>
      <c r="W709" s="85">
        <v>141.75</v>
      </c>
      <c r="X709" s="87"/>
      <c r="Y709" s="83">
        <v>87.983999999999995</v>
      </c>
      <c r="Z709" s="84"/>
      <c r="AA709" s="85"/>
      <c r="AB709" s="84"/>
      <c r="AC709" s="85"/>
      <c r="AD709" s="89">
        <f t="shared" si="159"/>
        <v>233.64641</v>
      </c>
      <c r="AE709" s="89">
        <v>148.3083</v>
      </c>
      <c r="AF709" s="186">
        <f>6.53767+78.80044</f>
        <v>85.33811</v>
      </c>
      <c r="AG709" s="85"/>
      <c r="AH709" s="85"/>
      <c r="AI709" s="85"/>
      <c r="AJ709" s="84"/>
      <c r="AK709" s="85"/>
      <c r="AL709" s="84"/>
      <c r="AM709" s="88"/>
      <c r="AN709" s="84"/>
      <c r="AO709" s="85">
        <v>765.44</v>
      </c>
      <c r="AP709" s="84"/>
      <c r="AQ709" s="83"/>
      <c r="AR709" s="83"/>
      <c r="AS709" s="83"/>
      <c r="AT709" s="85"/>
      <c r="AU709" s="85"/>
      <c r="AV709" s="85"/>
      <c r="AW709" s="88"/>
      <c r="AX709" s="84"/>
      <c r="AY709" s="85"/>
      <c r="AZ709" s="84">
        <v>431.52262000000002</v>
      </c>
      <c r="BA709" s="85">
        <v>390.77924999999999</v>
      </c>
      <c r="BB709" s="88"/>
      <c r="BC709" s="85"/>
      <c r="BD709" s="84"/>
      <c r="BE709" s="88"/>
      <c r="BF709" s="85"/>
      <c r="BG709" s="85">
        <v>742.66887999999994</v>
      </c>
      <c r="BH709" s="85"/>
      <c r="BI709" s="85"/>
      <c r="BJ709" s="85"/>
      <c r="BK709" s="85"/>
      <c r="BL709" s="85"/>
      <c r="BM709" s="85"/>
      <c r="BN709" s="85"/>
      <c r="BO709" s="85"/>
      <c r="BP709" s="85"/>
      <c r="BQ709" s="85"/>
      <c r="BR709" s="84"/>
      <c r="BS709" s="85"/>
      <c r="BT709" s="85"/>
      <c r="BU709" s="198"/>
      <c r="BV709" s="90"/>
      <c r="BW709" s="198"/>
      <c r="BX709" s="90"/>
      <c r="BY709" s="198"/>
      <c r="BZ709" s="90"/>
      <c r="CA709" s="91"/>
    </row>
    <row r="710" spans="1:79" ht="50.1" customHeight="1" outlineLevel="2" x14ac:dyDescent="0.3">
      <c r="A710" s="106" t="s">
        <v>586</v>
      </c>
      <c r="B710" s="96" t="s">
        <v>633</v>
      </c>
      <c r="C710" s="79" t="s">
        <v>53</v>
      </c>
      <c r="D710" s="81">
        <f t="shared" si="160"/>
        <v>2517.42274</v>
      </c>
      <c r="E710" s="82">
        <f t="shared" si="158"/>
        <v>157.11545000000001</v>
      </c>
      <c r="F710" s="83">
        <f t="shared" si="161"/>
        <v>2360.3072899999997</v>
      </c>
      <c r="G710" s="84"/>
      <c r="H710" s="85"/>
      <c r="I710" s="85"/>
      <c r="J710" s="84"/>
      <c r="K710" s="85"/>
      <c r="L710" s="85"/>
      <c r="M710" s="85"/>
      <c r="N710" s="85"/>
      <c r="O710" s="82"/>
      <c r="P710" s="83"/>
      <c r="Q710" s="83"/>
      <c r="R710" s="83"/>
      <c r="S710" s="82"/>
      <c r="T710" s="83"/>
      <c r="U710" s="83"/>
      <c r="V710" s="84"/>
      <c r="W710" s="85"/>
      <c r="X710" s="82"/>
      <c r="Y710" s="83"/>
      <c r="Z710" s="84"/>
      <c r="AA710" s="85"/>
      <c r="AB710" s="84"/>
      <c r="AC710" s="85"/>
      <c r="AD710" s="89">
        <f t="shared" si="159"/>
        <v>0</v>
      </c>
      <c r="AE710" s="89"/>
      <c r="AF710" s="186"/>
      <c r="AG710" s="85"/>
      <c r="AH710" s="85"/>
      <c r="AI710" s="85"/>
      <c r="AJ710" s="84"/>
      <c r="AK710" s="85"/>
      <c r="AL710" s="84"/>
      <c r="AM710" s="88"/>
      <c r="AN710" s="84"/>
      <c r="AO710" s="85"/>
      <c r="AP710" s="84"/>
      <c r="AQ710" s="83"/>
      <c r="AR710" s="83"/>
      <c r="AS710" s="83"/>
      <c r="AT710" s="85"/>
      <c r="AU710" s="85"/>
      <c r="AV710" s="85">
        <f>581.773+1431.16537</f>
        <v>2012.9383699999998</v>
      </c>
      <c r="AW710" s="88"/>
      <c r="AX710" s="84"/>
      <c r="AY710" s="85"/>
      <c r="AZ710" s="84">
        <v>157.11545000000001</v>
      </c>
      <c r="BA710" s="85">
        <v>142.28061</v>
      </c>
      <c r="BB710" s="88">
        <v>205.08831000000001</v>
      </c>
      <c r="BC710" s="85"/>
      <c r="BD710" s="84"/>
      <c r="BE710" s="88"/>
      <c r="BF710" s="85"/>
      <c r="BG710" s="85"/>
      <c r="BH710" s="85"/>
      <c r="BI710" s="85"/>
      <c r="BJ710" s="85"/>
      <c r="BK710" s="85"/>
      <c r="BL710" s="85"/>
      <c r="BM710" s="85"/>
      <c r="BN710" s="85"/>
      <c r="BO710" s="85"/>
      <c r="BP710" s="85"/>
      <c r="BQ710" s="85"/>
      <c r="BR710" s="84"/>
      <c r="BS710" s="85"/>
      <c r="BT710" s="85"/>
      <c r="BU710" s="198"/>
      <c r="BV710" s="90"/>
      <c r="BW710" s="198"/>
      <c r="BX710" s="90"/>
      <c r="BY710" s="198"/>
      <c r="BZ710" s="90"/>
      <c r="CA710" s="91"/>
    </row>
    <row r="711" spans="1:79" ht="50.1" customHeight="1" outlineLevel="2" x14ac:dyDescent="0.3">
      <c r="A711" s="106" t="s">
        <v>586</v>
      </c>
      <c r="B711" s="96" t="s">
        <v>634</v>
      </c>
      <c r="C711" s="79" t="s">
        <v>1268</v>
      </c>
      <c r="D711" s="81">
        <f t="shared" si="160"/>
        <v>1487.3456900000001</v>
      </c>
      <c r="E711" s="82">
        <f t="shared" si="158"/>
        <v>0</v>
      </c>
      <c r="F711" s="83">
        <f t="shared" si="161"/>
        <v>1487.3456900000001</v>
      </c>
      <c r="G711" s="84"/>
      <c r="H711" s="85"/>
      <c r="I711" s="85"/>
      <c r="J711" s="84"/>
      <c r="K711" s="85"/>
      <c r="L711" s="85"/>
      <c r="M711" s="85"/>
      <c r="N711" s="85"/>
      <c r="O711" s="82"/>
      <c r="P711" s="83"/>
      <c r="Q711" s="83"/>
      <c r="R711" s="83"/>
      <c r="S711" s="82"/>
      <c r="T711" s="83"/>
      <c r="U711" s="83"/>
      <c r="V711" s="84"/>
      <c r="W711" s="85"/>
      <c r="X711" s="82"/>
      <c r="Y711" s="83"/>
      <c r="Z711" s="84"/>
      <c r="AA711" s="85"/>
      <c r="AB711" s="84"/>
      <c r="AC711" s="85"/>
      <c r="AD711" s="89">
        <f t="shared" si="159"/>
        <v>0</v>
      </c>
      <c r="AE711" s="89"/>
      <c r="AF711" s="186"/>
      <c r="AG711" s="85"/>
      <c r="AH711" s="85"/>
      <c r="AI711" s="85"/>
      <c r="AJ711" s="84"/>
      <c r="AK711" s="85"/>
      <c r="AL711" s="84"/>
      <c r="AM711" s="88"/>
      <c r="AN711" s="84"/>
      <c r="AO711" s="85"/>
      <c r="AP711" s="84"/>
      <c r="AQ711" s="83"/>
      <c r="AR711" s="83"/>
      <c r="AS711" s="83"/>
      <c r="AT711" s="85"/>
      <c r="AU711" s="85"/>
      <c r="AV711" s="85">
        <v>1487.3456900000001</v>
      </c>
      <c r="AW711" s="88"/>
      <c r="AX711" s="84"/>
      <c r="AY711" s="85"/>
      <c r="AZ711" s="84"/>
      <c r="BA711" s="85"/>
      <c r="BB711" s="88"/>
      <c r="BC711" s="85"/>
      <c r="BD711" s="84"/>
      <c r="BE711" s="88"/>
      <c r="BF711" s="85"/>
      <c r="BG711" s="85"/>
      <c r="BH711" s="85"/>
      <c r="BI711" s="85"/>
      <c r="BJ711" s="85"/>
      <c r="BK711" s="85"/>
      <c r="BL711" s="85"/>
      <c r="BM711" s="85"/>
      <c r="BN711" s="85"/>
      <c r="BO711" s="85"/>
      <c r="BP711" s="85"/>
      <c r="BQ711" s="85"/>
      <c r="BR711" s="84"/>
      <c r="BS711" s="85"/>
      <c r="BT711" s="85"/>
      <c r="BU711" s="198"/>
      <c r="BV711" s="90"/>
      <c r="BW711" s="198"/>
      <c r="BX711" s="90"/>
      <c r="BY711" s="198"/>
      <c r="BZ711" s="90"/>
      <c r="CA711" s="91"/>
    </row>
    <row r="712" spans="1:79" ht="50.1" customHeight="1" outlineLevel="2" x14ac:dyDescent="0.3">
      <c r="A712" s="106" t="s">
        <v>586</v>
      </c>
      <c r="B712" s="96" t="s">
        <v>635</v>
      </c>
      <c r="C712" s="79" t="s">
        <v>1268</v>
      </c>
      <c r="D712" s="81">
        <f t="shared" si="160"/>
        <v>610.93290000000002</v>
      </c>
      <c r="E712" s="82">
        <f t="shared" si="158"/>
        <v>0</v>
      </c>
      <c r="F712" s="83">
        <f t="shared" si="161"/>
        <v>610.93290000000002</v>
      </c>
      <c r="G712" s="84"/>
      <c r="H712" s="85"/>
      <c r="I712" s="85"/>
      <c r="J712" s="84"/>
      <c r="K712" s="85"/>
      <c r="L712" s="85"/>
      <c r="M712" s="85"/>
      <c r="N712" s="85"/>
      <c r="O712" s="82"/>
      <c r="P712" s="83"/>
      <c r="Q712" s="83"/>
      <c r="R712" s="83"/>
      <c r="S712" s="82"/>
      <c r="T712" s="83"/>
      <c r="U712" s="83"/>
      <c r="V712" s="84"/>
      <c r="W712" s="85"/>
      <c r="X712" s="82"/>
      <c r="Y712" s="83"/>
      <c r="Z712" s="84"/>
      <c r="AA712" s="85"/>
      <c r="AB712" s="84"/>
      <c r="AC712" s="85"/>
      <c r="AD712" s="89">
        <f t="shared" si="159"/>
        <v>0</v>
      </c>
      <c r="AE712" s="89"/>
      <c r="AF712" s="186"/>
      <c r="AG712" s="85"/>
      <c r="AH712" s="85"/>
      <c r="AI712" s="85"/>
      <c r="AJ712" s="84"/>
      <c r="AK712" s="85"/>
      <c r="AL712" s="84"/>
      <c r="AM712" s="88"/>
      <c r="AN712" s="84"/>
      <c r="AO712" s="85"/>
      <c r="AP712" s="84"/>
      <c r="AQ712" s="83"/>
      <c r="AR712" s="83"/>
      <c r="AS712" s="83"/>
      <c r="AT712" s="85"/>
      <c r="AU712" s="85"/>
      <c r="AV712" s="85"/>
      <c r="AW712" s="88"/>
      <c r="AX712" s="84"/>
      <c r="AY712" s="85"/>
      <c r="AZ712" s="84"/>
      <c r="BA712" s="85"/>
      <c r="BB712" s="88"/>
      <c r="BC712" s="85"/>
      <c r="BD712" s="84"/>
      <c r="BE712" s="88"/>
      <c r="BF712" s="85"/>
      <c r="BG712" s="85">
        <v>610.93290000000002</v>
      </c>
      <c r="BH712" s="85"/>
      <c r="BI712" s="85"/>
      <c r="BJ712" s="85"/>
      <c r="BK712" s="85"/>
      <c r="BL712" s="85"/>
      <c r="BM712" s="85"/>
      <c r="BN712" s="85"/>
      <c r="BO712" s="85"/>
      <c r="BP712" s="85"/>
      <c r="BQ712" s="85"/>
      <c r="BR712" s="84"/>
      <c r="BS712" s="85"/>
      <c r="BT712" s="85"/>
      <c r="BU712" s="198"/>
      <c r="BV712" s="90"/>
      <c r="BW712" s="198"/>
      <c r="BX712" s="90"/>
      <c r="BY712" s="198"/>
      <c r="BZ712" s="90"/>
      <c r="CA712" s="91"/>
    </row>
    <row r="713" spans="1:79" ht="50.1" customHeight="1" outlineLevel="2" x14ac:dyDescent="0.3">
      <c r="A713" s="106" t="s">
        <v>586</v>
      </c>
      <c r="B713" s="96" t="s">
        <v>636</v>
      </c>
      <c r="C713" s="79" t="s">
        <v>53</v>
      </c>
      <c r="D713" s="81">
        <f t="shared" si="160"/>
        <v>4224.6239800000003</v>
      </c>
      <c r="E713" s="82">
        <f t="shared" si="158"/>
        <v>3707.8802700000001</v>
      </c>
      <c r="F713" s="83">
        <f t="shared" si="161"/>
        <v>516.74370999999996</v>
      </c>
      <c r="G713" s="84"/>
      <c r="H713" s="85"/>
      <c r="I713" s="85"/>
      <c r="J713" s="84"/>
      <c r="K713" s="85"/>
      <c r="L713" s="85"/>
      <c r="M713" s="85"/>
      <c r="N713" s="85"/>
      <c r="O713" s="82"/>
      <c r="P713" s="83"/>
      <c r="Q713" s="83"/>
      <c r="R713" s="83"/>
      <c r="S713" s="82"/>
      <c r="T713" s="83"/>
      <c r="U713" s="83"/>
      <c r="V713" s="84">
        <v>10.0761</v>
      </c>
      <c r="W713" s="85">
        <v>17.55</v>
      </c>
      <c r="X713" s="87"/>
      <c r="Y713" s="83">
        <v>109.2</v>
      </c>
      <c r="Z713" s="84"/>
      <c r="AA713" s="85"/>
      <c r="AB713" s="84"/>
      <c r="AC713" s="85"/>
      <c r="AD713" s="89">
        <f t="shared" si="159"/>
        <v>134.85007999999999</v>
      </c>
      <c r="AE713" s="83">
        <f>26.2845+56.4984</f>
        <v>82.782899999999998</v>
      </c>
      <c r="AF713" s="123">
        <f>22.88183+29.18535</f>
        <v>52.06718</v>
      </c>
      <c r="AG713" s="85"/>
      <c r="AH713" s="85"/>
      <c r="AI713" s="85"/>
      <c r="AJ713" s="84"/>
      <c r="AK713" s="85"/>
      <c r="AL713" s="84"/>
      <c r="AM713" s="85"/>
      <c r="AN713" s="84"/>
      <c r="AO713" s="85"/>
      <c r="AP713" s="84"/>
      <c r="AQ713" s="83"/>
      <c r="AR713" s="83"/>
      <c r="AS713" s="83"/>
      <c r="AT713" s="85"/>
      <c r="AU713" s="85"/>
      <c r="AV713" s="85"/>
      <c r="AW713" s="85"/>
      <c r="AX713" s="84"/>
      <c r="AY713" s="85"/>
      <c r="AZ713" s="84">
        <v>184.57694000000001</v>
      </c>
      <c r="BA713" s="85">
        <v>167.14948999999999</v>
      </c>
      <c r="BB713" s="85">
        <v>87.994140000000002</v>
      </c>
      <c r="BC713" s="85"/>
      <c r="BD713" s="84"/>
      <c r="BE713" s="85"/>
      <c r="BF713" s="85"/>
      <c r="BG713" s="85"/>
      <c r="BH713" s="85"/>
      <c r="BI713" s="85"/>
      <c r="BJ713" s="85"/>
      <c r="BK713" s="85"/>
      <c r="BL713" s="85"/>
      <c r="BM713" s="85"/>
      <c r="BN713" s="85"/>
      <c r="BO713" s="85"/>
      <c r="BP713" s="85"/>
      <c r="BQ713" s="85"/>
      <c r="BR713" s="84">
        <v>3513.22723</v>
      </c>
      <c r="BS713" s="85"/>
      <c r="BT713" s="85"/>
      <c r="BU713" s="198"/>
      <c r="BV713" s="90"/>
      <c r="BW713" s="198"/>
      <c r="BX713" s="90"/>
      <c r="BY713" s="198"/>
      <c r="BZ713" s="90"/>
      <c r="CA713" s="91"/>
    </row>
    <row r="714" spans="1:79" ht="50.1" customHeight="1" outlineLevel="2" x14ac:dyDescent="0.3">
      <c r="A714" s="106" t="s">
        <v>586</v>
      </c>
      <c r="B714" s="96" t="s">
        <v>1099</v>
      </c>
      <c r="C714" s="79" t="s">
        <v>55</v>
      </c>
      <c r="D714" s="81">
        <f t="shared" si="160"/>
        <v>22.29325</v>
      </c>
      <c r="E714" s="82">
        <f t="shared" si="158"/>
        <v>8.1182499999999997</v>
      </c>
      <c r="F714" s="83">
        <f t="shared" si="161"/>
        <v>14.175000000000001</v>
      </c>
      <c r="G714" s="84"/>
      <c r="H714" s="85"/>
      <c r="I714" s="85"/>
      <c r="J714" s="84"/>
      <c r="K714" s="85"/>
      <c r="L714" s="85"/>
      <c r="M714" s="85"/>
      <c r="N714" s="85"/>
      <c r="O714" s="82"/>
      <c r="P714" s="83"/>
      <c r="Q714" s="83"/>
      <c r="R714" s="83"/>
      <c r="S714" s="82"/>
      <c r="T714" s="83"/>
      <c r="U714" s="83"/>
      <c r="V714" s="84">
        <v>8.1182499999999997</v>
      </c>
      <c r="W714" s="85">
        <v>14.175000000000001</v>
      </c>
      <c r="X714" s="87"/>
      <c r="Y714" s="83"/>
      <c r="Z714" s="84"/>
      <c r="AA714" s="85"/>
      <c r="AB714" s="84"/>
      <c r="AC714" s="85"/>
      <c r="AD714" s="89">
        <f>AE714+AF714</f>
        <v>0</v>
      </c>
      <c r="AE714" s="83"/>
      <c r="AF714" s="123"/>
      <c r="AG714" s="85"/>
      <c r="AH714" s="85"/>
      <c r="AI714" s="85"/>
      <c r="AJ714" s="84"/>
      <c r="AK714" s="85"/>
      <c r="AL714" s="84"/>
      <c r="AM714" s="85"/>
      <c r="AN714" s="84"/>
      <c r="AO714" s="85"/>
      <c r="AP714" s="84"/>
      <c r="AQ714" s="83"/>
      <c r="AR714" s="83"/>
      <c r="AS714" s="83"/>
      <c r="AT714" s="85"/>
      <c r="AU714" s="85"/>
      <c r="AV714" s="85"/>
      <c r="AW714" s="85"/>
      <c r="AX714" s="84"/>
      <c r="AY714" s="85"/>
      <c r="AZ714" s="84"/>
      <c r="BA714" s="85"/>
      <c r="BB714" s="85"/>
      <c r="BC714" s="85"/>
      <c r="BD714" s="84"/>
      <c r="BE714" s="85"/>
      <c r="BF714" s="85"/>
      <c r="BG714" s="85"/>
      <c r="BH714" s="85"/>
      <c r="BI714" s="85"/>
      <c r="BJ714" s="85"/>
      <c r="BK714" s="85"/>
      <c r="BL714" s="85"/>
      <c r="BM714" s="85"/>
      <c r="BN714" s="85"/>
      <c r="BO714" s="85"/>
      <c r="BP714" s="85"/>
      <c r="BQ714" s="85"/>
      <c r="BR714" s="84"/>
      <c r="BS714" s="85"/>
      <c r="BT714" s="85"/>
      <c r="BU714" s="198"/>
      <c r="BV714" s="90"/>
      <c r="BW714" s="198"/>
      <c r="BX714" s="90"/>
      <c r="BY714" s="198"/>
      <c r="BZ714" s="90"/>
      <c r="CA714" s="91"/>
    </row>
    <row r="715" spans="1:79" ht="50.1" customHeight="1" outlineLevel="2" x14ac:dyDescent="0.3">
      <c r="A715" s="106" t="s">
        <v>586</v>
      </c>
      <c r="B715" s="96" t="s">
        <v>1192</v>
      </c>
      <c r="C715" s="79" t="s">
        <v>55</v>
      </c>
      <c r="D715" s="81">
        <f t="shared" si="160"/>
        <v>2981.7</v>
      </c>
      <c r="E715" s="82">
        <f t="shared" si="158"/>
        <v>0</v>
      </c>
      <c r="F715" s="83">
        <f t="shared" si="161"/>
        <v>2981.7</v>
      </c>
      <c r="G715" s="84"/>
      <c r="H715" s="85"/>
      <c r="I715" s="85"/>
      <c r="J715" s="84"/>
      <c r="K715" s="85"/>
      <c r="L715" s="85"/>
      <c r="M715" s="85"/>
      <c r="N715" s="85"/>
      <c r="O715" s="82"/>
      <c r="P715" s="83"/>
      <c r="Q715" s="83"/>
      <c r="R715" s="83"/>
      <c r="S715" s="82"/>
      <c r="T715" s="83"/>
      <c r="U715" s="83"/>
      <c r="V715" s="84"/>
      <c r="W715" s="85"/>
      <c r="X715" s="87"/>
      <c r="Y715" s="83"/>
      <c r="Z715" s="84"/>
      <c r="AA715" s="85"/>
      <c r="AB715" s="84"/>
      <c r="AC715" s="85"/>
      <c r="AD715" s="89"/>
      <c r="AE715" s="83"/>
      <c r="AF715" s="123"/>
      <c r="AG715" s="85"/>
      <c r="AH715" s="85"/>
      <c r="AI715" s="85"/>
      <c r="AJ715" s="84"/>
      <c r="AK715" s="85"/>
      <c r="AL715" s="84"/>
      <c r="AM715" s="85"/>
      <c r="AN715" s="84"/>
      <c r="AO715" s="85"/>
      <c r="AP715" s="84"/>
      <c r="AQ715" s="83"/>
      <c r="AR715" s="83"/>
      <c r="AS715" s="83"/>
      <c r="AT715" s="85"/>
      <c r="AU715" s="85"/>
      <c r="AV715" s="85"/>
      <c r="AW715" s="85"/>
      <c r="AX715" s="84"/>
      <c r="AY715" s="85"/>
      <c r="AZ715" s="84"/>
      <c r="BA715" s="85"/>
      <c r="BB715" s="85"/>
      <c r="BC715" s="85"/>
      <c r="BD715" s="84"/>
      <c r="BE715" s="85"/>
      <c r="BF715" s="85"/>
      <c r="BG715" s="85"/>
      <c r="BH715" s="85"/>
      <c r="BI715" s="85"/>
      <c r="BJ715" s="85"/>
      <c r="BK715" s="85"/>
      <c r="BL715" s="85"/>
      <c r="BM715" s="85"/>
      <c r="BN715" s="85"/>
      <c r="BO715" s="85"/>
      <c r="BP715" s="85"/>
      <c r="BQ715" s="85"/>
      <c r="BR715" s="84"/>
      <c r="BS715" s="85"/>
      <c r="BT715" s="85"/>
      <c r="BU715" s="198"/>
      <c r="BV715" s="90"/>
      <c r="BW715" s="198">
        <v>2981.7</v>
      </c>
      <c r="BX715" s="90"/>
      <c r="BY715" s="198"/>
      <c r="BZ715" s="90"/>
      <c r="CA715" s="91"/>
    </row>
    <row r="716" spans="1:79" ht="50.1" customHeight="1" outlineLevel="2" x14ac:dyDescent="0.3">
      <c r="A716" s="103" t="s">
        <v>586</v>
      </c>
      <c r="B716" s="102" t="s">
        <v>637</v>
      </c>
      <c r="C716" s="79" t="s">
        <v>89</v>
      </c>
      <c r="D716" s="81">
        <f t="shared" si="160"/>
        <v>923.06964999999991</v>
      </c>
      <c r="E716" s="82">
        <f t="shared" si="158"/>
        <v>0</v>
      </c>
      <c r="F716" s="83">
        <f t="shared" si="161"/>
        <v>923.06964999999991</v>
      </c>
      <c r="G716" s="84"/>
      <c r="H716" s="85"/>
      <c r="I716" s="85"/>
      <c r="J716" s="84"/>
      <c r="K716" s="85"/>
      <c r="L716" s="85"/>
      <c r="M716" s="85"/>
      <c r="N716" s="85"/>
      <c r="O716" s="82"/>
      <c r="P716" s="83"/>
      <c r="Q716" s="83"/>
      <c r="R716" s="83"/>
      <c r="S716" s="82"/>
      <c r="T716" s="83"/>
      <c r="U716" s="83"/>
      <c r="V716" s="84"/>
      <c r="W716" s="85"/>
      <c r="X716" s="82"/>
      <c r="Y716" s="83"/>
      <c r="Z716" s="84"/>
      <c r="AA716" s="85"/>
      <c r="AB716" s="84"/>
      <c r="AC716" s="85"/>
      <c r="AD716" s="89">
        <f t="shared" si="159"/>
        <v>0</v>
      </c>
      <c r="AE716" s="89"/>
      <c r="AF716" s="186"/>
      <c r="AG716" s="85"/>
      <c r="AH716" s="85"/>
      <c r="AI716" s="85"/>
      <c r="AJ716" s="84"/>
      <c r="AK716" s="85"/>
      <c r="AL716" s="84"/>
      <c r="AM716" s="88"/>
      <c r="AN716" s="84"/>
      <c r="AO716" s="85"/>
      <c r="AP716" s="84"/>
      <c r="AQ716" s="83"/>
      <c r="AR716" s="83"/>
      <c r="AS716" s="83"/>
      <c r="AT716" s="85"/>
      <c r="AU716" s="85"/>
      <c r="AV716" s="85"/>
      <c r="AW716" s="88"/>
      <c r="AX716" s="84"/>
      <c r="AY716" s="85"/>
      <c r="AZ716" s="84"/>
      <c r="BA716" s="85"/>
      <c r="BB716" s="88"/>
      <c r="BC716" s="85"/>
      <c r="BD716" s="84"/>
      <c r="BE716" s="88"/>
      <c r="BF716" s="85"/>
      <c r="BG716" s="85">
        <v>234.44184999999999</v>
      </c>
      <c r="BH716" s="85"/>
      <c r="BI716" s="85"/>
      <c r="BJ716" s="85"/>
      <c r="BK716" s="85"/>
      <c r="BL716" s="85"/>
      <c r="BM716" s="85"/>
      <c r="BN716" s="85"/>
      <c r="BO716" s="85"/>
      <c r="BP716" s="85">
        <v>688.62779999999998</v>
      </c>
      <c r="BQ716" s="85"/>
      <c r="BR716" s="84"/>
      <c r="BS716" s="85"/>
      <c r="BT716" s="85"/>
      <c r="BU716" s="198"/>
      <c r="BV716" s="90"/>
      <c r="BW716" s="198"/>
      <c r="BX716" s="90"/>
      <c r="BY716" s="198"/>
      <c r="BZ716" s="90"/>
      <c r="CA716" s="91"/>
    </row>
    <row r="717" spans="1:79" ht="50.1" customHeight="1" outlineLevel="2" x14ac:dyDescent="0.3">
      <c r="A717" s="106" t="s">
        <v>586</v>
      </c>
      <c r="B717" s="102" t="s">
        <v>638</v>
      </c>
      <c r="C717" s="79" t="s">
        <v>89</v>
      </c>
      <c r="D717" s="81">
        <f t="shared" si="160"/>
        <v>6356.2182299999995</v>
      </c>
      <c r="E717" s="82">
        <f t="shared" si="158"/>
        <v>0</v>
      </c>
      <c r="F717" s="83">
        <f t="shared" si="161"/>
        <v>6356.2182299999995</v>
      </c>
      <c r="G717" s="84"/>
      <c r="H717" s="85"/>
      <c r="I717" s="85"/>
      <c r="J717" s="84"/>
      <c r="K717" s="85"/>
      <c r="L717" s="85"/>
      <c r="M717" s="85"/>
      <c r="N717" s="85"/>
      <c r="O717" s="82"/>
      <c r="P717" s="83"/>
      <c r="Q717" s="83"/>
      <c r="R717" s="83"/>
      <c r="S717" s="82"/>
      <c r="T717" s="83"/>
      <c r="U717" s="83"/>
      <c r="V717" s="84"/>
      <c r="W717" s="85"/>
      <c r="X717" s="82"/>
      <c r="Y717" s="83"/>
      <c r="Z717" s="84"/>
      <c r="AA717" s="85"/>
      <c r="AB717" s="84"/>
      <c r="AC717" s="85"/>
      <c r="AD717" s="89">
        <f t="shared" si="159"/>
        <v>0</v>
      </c>
      <c r="AE717" s="89"/>
      <c r="AF717" s="186"/>
      <c r="AG717" s="85"/>
      <c r="AH717" s="85"/>
      <c r="AI717" s="85"/>
      <c r="AJ717" s="84"/>
      <c r="AK717" s="85"/>
      <c r="AL717" s="84"/>
      <c r="AM717" s="88"/>
      <c r="AN717" s="84"/>
      <c r="AO717" s="85"/>
      <c r="AP717" s="84"/>
      <c r="AQ717" s="83"/>
      <c r="AR717" s="83"/>
      <c r="AS717" s="83"/>
      <c r="AT717" s="85"/>
      <c r="AU717" s="85"/>
      <c r="AV717" s="85">
        <v>109.3946</v>
      </c>
      <c r="AW717" s="88"/>
      <c r="AX717" s="84"/>
      <c r="AY717" s="85"/>
      <c r="AZ717" s="84"/>
      <c r="BA717" s="85"/>
      <c r="BB717" s="88"/>
      <c r="BC717" s="85"/>
      <c r="BD717" s="84"/>
      <c r="BE717" s="88"/>
      <c r="BF717" s="85"/>
      <c r="BG717" s="85"/>
      <c r="BH717" s="85"/>
      <c r="BI717" s="85"/>
      <c r="BJ717" s="85"/>
      <c r="BK717" s="85"/>
      <c r="BL717" s="85"/>
      <c r="BM717" s="85"/>
      <c r="BN717" s="85"/>
      <c r="BO717" s="85"/>
      <c r="BP717" s="85">
        <v>6246.8236299999999</v>
      </c>
      <c r="BQ717" s="85"/>
      <c r="BR717" s="84"/>
      <c r="BS717" s="85"/>
      <c r="BT717" s="85"/>
      <c r="BU717" s="198"/>
      <c r="BV717" s="90"/>
      <c r="BW717" s="198"/>
      <c r="BX717" s="90"/>
      <c r="BY717" s="198"/>
      <c r="BZ717" s="90"/>
      <c r="CA717" s="91"/>
    </row>
    <row r="718" spans="1:79" ht="50.1" customHeight="1" outlineLevel="2" x14ac:dyDescent="0.3">
      <c r="A718" s="106" t="s">
        <v>586</v>
      </c>
      <c r="B718" s="102" t="s">
        <v>639</v>
      </c>
      <c r="C718" s="79" t="s">
        <v>89</v>
      </c>
      <c r="D718" s="81">
        <f t="shared" si="160"/>
        <v>1713.0989099999999</v>
      </c>
      <c r="E718" s="82">
        <f t="shared" si="158"/>
        <v>0</v>
      </c>
      <c r="F718" s="83">
        <f t="shared" si="161"/>
        <v>1713.0989099999999</v>
      </c>
      <c r="G718" s="84"/>
      <c r="H718" s="85"/>
      <c r="I718" s="85"/>
      <c r="J718" s="84"/>
      <c r="K718" s="85"/>
      <c r="L718" s="85"/>
      <c r="M718" s="85"/>
      <c r="N718" s="85"/>
      <c r="O718" s="82"/>
      <c r="P718" s="83"/>
      <c r="Q718" s="83"/>
      <c r="R718" s="83"/>
      <c r="S718" s="82"/>
      <c r="T718" s="83"/>
      <c r="U718" s="83"/>
      <c r="V718" s="84"/>
      <c r="W718" s="85"/>
      <c r="X718" s="82"/>
      <c r="Y718" s="83"/>
      <c r="Z718" s="84"/>
      <c r="AA718" s="85"/>
      <c r="AB718" s="84"/>
      <c r="AC718" s="85"/>
      <c r="AD718" s="89">
        <f t="shared" si="159"/>
        <v>0</v>
      </c>
      <c r="AE718" s="89"/>
      <c r="AF718" s="186"/>
      <c r="AG718" s="85"/>
      <c r="AH718" s="85"/>
      <c r="AI718" s="85"/>
      <c r="AJ718" s="84"/>
      <c r="AK718" s="85"/>
      <c r="AL718" s="84"/>
      <c r="AM718" s="88"/>
      <c r="AN718" s="84"/>
      <c r="AO718" s="85"/>
      <c r="AP718" s="84"/>
      <c r="AQ718" s="83"/>
      <c r="AR718" s="83"/>
      <c r="AS718" s="83"/>
      <c r="AT718" s="85"/>
      <c r="AU718" s="85"/>
      <c r="AV718" s="85"/>
      <c r="AW718" s="88"/>
      <c r="AX718" s="84"/>
      <c r="AY718" s="85"/>
      <c r="AZ718" s="84"/>
      <c r="BA718" s="85"/>
      <c r="BB718" s="88"/>
      <c r="BC718" s="85"/>
      <c r="BD718" s="84"/>
      <c r="BE718" s="88"/>
      <c r="BF718" s="85"/>
      <c r="BG718" s="85"/>
      <c r="BH718" s="85"/>
      <c r="BI718" s="85"/>
      <c r="BJ718" s="85"/>
      <c r="BK718" s="85"/>
      <c r="BL718" s="85"/>
      <c r="BM718" s="85"/>
      <c r="BN718" s="85"/>
      <c r="BO718" s="85"/>
      <c r="BP718" s="85">
        <v>1713.0989099999999</v>
      </c>
      <c r="BQ718" s="85"/>
      <c r="BR718" s="84"/>
      <c r="BS718" s="85"/>
      <c r="BT718" s="85"/>
      <c r="BU718" s="198"/>
      <c r="BV718" s="90"/>
      <c r="BW718" s="198"/>
      <c r="BX718" s="90"/>
      <c r="BY718" s="198"/>
      <c r="BZ718" s="90"/>
      <c r="CA718" s="91"/>
    </row>
    <row r="719" spans="1:79" ht="50.1" customHeight="1" outlineLevel="2" x14ac:dyDescent="0.3">
      <c r="A719" s="106" t="s">
        <v>586</v>
      </c>
      <c r="B719" s="102" t="s">
        <v>640</v>
      </c>
      <c r="C719" s="79" t="s">
        <v>89</v>
      </c>
      <c r="D719" s="81">
        <f t="shared" si="160"/>
        <v>5564.8472000000002</v>
      </c>
      <c r="E719" s="82">
        <f t="shared" si="158"/>
        <v>0</v>
      </c>
      <c r="F719" s="83">
        <f t="shared" si="161"/>
        <v>5564.8472000000002</v>
      </c>
      <c r="G719" s="84"/>
      <c r="H719" s="85"/>
      <c r="I719" s="85"/>
      <c r="J719" s="84"/>
      <c r="K719" s="85"/>
      <c r="L719" s="85"/>
      <c r="M719" s="85"/>
      <c r="N719" s="85"/>
      <c r="O719" s="82"/>
      <c r="P719" s="83"/>
      <c r="Q719" s="83"/>
      <c r="R719" s="83"/>
      <c r="S719" s="82"/>
      <c r="T719" s="83"/>
      <c r="U719" s="83"/>
      <c r="V719" s="84"/>
      <c r="W719" s="85"/>
      <c r="X719" s="82"/>
      <c r="Y719" s="83"/>
      <c r="Z719" s="84"/>
      <c r="AA719" s="85"/>
      <c r="AB719" s="84"/>
      <c r="AC719" s="85"/>
      <c r="AD719" s="89">
        <f t="shared" si="159"/>
        <v>0</v>
      </c>
      <c r="AE719" s="89"/>
      <c r="AF719" s="186"/>
      <c r="AG719" s="85"/>
      <c r="AH719" s="85"/>
      <c r="AI719" s="85"/>
      <c r="AJ719" s="84"/>
      <c r="AK719" s="85"/>
      <c r="AL719" s="84"/>
      <c r="AM719" s="88"/>
      <c r="AN719" s="84"/>
      <c r="AO719" s="85"/>
      <c r="AP719" s="84"/>
      <c r="AQ719" s="83"/>
      <c r="AR719" s="83"/>
      <c r="AS719" s="83"/>
      <c r="AT719" s="85"/>
      <c r="AU719" s="85"/>
      <c r="AV719" s="85"/>
      <c r="AW719" s="88"/>
      <c r="AX719" s="84"/>
      <c r="AY719" s="85"/>
      <c r="AZ719" s="84"/>
      <c r="BA719" s="85"/>
      <c r="BB719" s="88"/>
      <c r="BC719" s="85"/>
      <c r="BD719" s="84"/>
      <c r="BE719" s="88"/>
      <c r="BF719" s="85"/>
      <c r="BG719" s="85"/>
      <c r="BH719" s="85"/>
      <c r="BI719" s="85"/>
      <c r="BJ719" s="85"/>
      <c r="BK719" s="85"/>
      <c r="BL719" s="85"/>
      <c r="BM719" s="85"/>
      <c r="BN719" s="85"/>
      <c r="BO719" s="85"/>
      <c r="BP719" s="85">
        <v>5564.8472000000002</v>
      </c>
      <c r="BQ719" s="85"/>
      <c r="BR719" s="84"/>
      <c r="BS719" s="85"/>
      <c r="BT719" s="85"/>
      <c r="BU719" s="198"/>
      <c r="BV719" s="90"/>
      <c r="BW719" s="198"/>
      <c r="BX719" s="90"/>
      <c r="BY719" s="198"/>
      <c r="BZ719" s="90"/>
      <c r="CA719" s="91"/>
    </row>
    <row r="720" spans="1:79" ht="50.1" customHeight="1" outlineLevel="2" x14ac:dyDescent="0.3">
      <c r="A720" s="106" t="s">
        <v>586</v>
      </c>
      <c r="B720" s="102" t="s">
        <v>641</v>
      </c>
      <c r="C720" s="79" t="s">
        <v>89</v>
      </c>
      <c r="D720" s="81">
        <f t="shared" si="160"/>
        <v>319.58753999999999</v>
      </c>
      <c r="E720" s="82">
        <f t="shared" si="158"/>
        <v>296.94945000000001</v>
      </c>
      <c r="F720" s="83">
        <f t="shared" si="161"/>
        <v>22.638089999999998</v>
      </c>
      <c r="G720" s="84"/>
      <c r="H720" s="85"/>
      <c r="I720" s="85"/>
      <c r="J720" s="84"/>
      <c r="K720" s="85"/>
      <c r="L720" s="85"/>
      <c r="M720" s="85"/>
      <c r="N720" s="85"/>
      <c r="O720" s="82">
        <v>296.94945000000001</v>
      </c>
      <c r="P720" s="83">
        <v>22.638089999999998</v>
      </c>
      <c r="Q720" s="83"/>
      <c r="R720" s="83"/>
      <c r="S720" s="82"/>
      <c r="T720" s="83"/>
      <c r="U720" s="83"/>
      <c r="V720" s="84"/>
      <c r="W720" s="85"/>
      <c r="X720" s="82"/>
      <c r="Y720" s="83"/>
      <c r="Z720" s="84"/>
      <c r="AA720" s="85"/>
      <c r="AB720" s="84"/>
      <c r="AC720" s="85"/>
      <c r="AD720" s="89">
        <f t="shared" si="159"/>
        <v>0</v>
      </c>
      <c r="AE720" s="89"/>
      <c r="AF720" s="186"/>
      <c r="AG720" s="85"/>
      <c r="AH720" s="85"/>
      <c r="AI720" s="85"/>
      <c r="AJ720" s="84"/>
      <c r="AK720" s="85"/>
      <c r="AL720" s="84"/>
      <c r="AM720" s="88"/>
      <c r="AN720" s="84"/>
      <c r="AO720" s="85"/>
      <c r="AP720" s="84"/>
      <c r="AQ720" s="83"/>
      <c r="AR720" s="83"/>
      <c r="AS720" s="83"/>
      <c r="AT720" s="85"/>
      <c r="AU720" s="85"/>
      <c r="AV720" s="85"/>
      <c r="AW720" s="88"/>
      <c r="AX720" s="84"/>
      <c r="AY720" s="85"/>
      <c r="AZ720" s="84"/>
      <c r="BA720" s="85"/>
      <c r="BB720" s="88"/>
      <c r="BC720" s="85"/>
      <c r="BD720" s="84"/>
      <c r="BE720" s="88"/>
      <c r="BF720" s="85"/>
      <c r="BG720" s="85"/>
      <c r="BH720" s="85"/>
      <c r="BI720" s="85"/>
      <c r="BJ720" s="85"/>
      <c r="BK720" s="85"/>
      <c r="BL720" s="85"/>
      <c r="BM720" s="85"/>
      <c r="BN720" s="85"/>
      <c r="BO720" s="85"/>
      <c r="BP720" s="85"/>
      <c r="BQ720" s="85"/>
      <c r="BR720" s="84"/>
      <c r="BS720" s="85"/>
      <c r="BT720" s="85"/>
      <c r="BU720" s="198"/>
      <c r="BV720" s="90"/>
      <c r="BW720" s="198"/>
      <c r="BX720" s="90"/>
      <c r="BY720" s="198"/>
      <c r="BZ720" s="90"/>
      <c r="CA720" s="91"/>
    </row>
    <row r="721" spans="1:1199" ht="50.1" customHeight="1" outlineLevel="2" x14ac:dyDescent="0.3">
      <c r="A721" s="103" t="s">
        <v>586</v>
      </c>
      <c r="B721" s="102" t="s">
        <v>642</v>
      </c>
      <c r="C721" s="79" t="s">
        <v>99</v>
      </c>
      <c r="D721" s="81">
        <f t="shared" si="160"/>
        <v>998.16764000000001</v>
      </c>
      <c r="E721" s="82">
        <f t="shared" si="158"/>
        <v>0</v>
      </c>
      <c r="F721" s="83">
        <f t="shared" si="161"/>
        <v>998.16764000000001</v>
      </c>
      <c r="G721" s="84"/>
      <c r="H721" s="85"/>
      <c r="I721" s="85"/>
      <c r="J721" s="84"/>
      <c r="K721" s="85"/>
      <c r="L721" s="85">
        <v>910.10438999999997</v>
      </c>
      <c r="M721" s="85"/>
      <c r="N721" s="85"/>
      <c r="O721" s="82"/>
      <c r="P721" s="83"/>
      <c r="Q721" s="83"/>
      <c r="R721" s="83">
        <v>88.063249999999996</v>
      </c>
      <c r="S721" s="82"/>
      <c r="T721" s="83"/>
      <c r="U721" s="83"/>
      <c r="V721" s="84"/>
      <c r="W721" s="85"/>
      <c r="X721" s="82"/>
      <c r="Y721" s="83"/>
      <c r="Z721" s="84"/>
      <c r="AA721" s="85"/>
      <c r="AB721" s="84"/>
      <c r="AC721" s="85"/>
      <c r="AD721" s="89">
        <f t="shared" si="159"/>
        <v>0</v>
      </c>
      <c r="AE721" s="89"/>
      <c r="AF721" s="186"/>
      <c r="AG721" s="85"/>
      <c r="AH721" s="85"/>
      <c r="AI721" s="85"/>
      <c r="AJ721" s="84"/>
      <c r="AK721" s="85"/>
      <c r="AL721" s="84"/>
      <c r="AM721" s="88"/>
      <c r="AN721" s="84"/>
      <c r="AO721" s="85"/>
      <c r="AP721" s="84"/>
      <c r="AQ721" s="83"/>
      <c r="AR721" s="83"/>
      <c r="AS721" s="83"/>
      <c r="AT721" s="85"/>
      <c r="AU721" s="85"/>
      <c r="AV721" s="85"/>
      <c r="AW721" s="88"/>
      <c r="AX721" s="84"/>
      <c r="AY721" s="85"/>
      <c r="AZ721" s="84"/>
      <c r="BA721" s="85"/>
      <c r="BB721" s="88"/>
      <c r="BC721" s="85"/>
      <c r="BD721" s="84"/>
      <c r="BE721" s="88"/>
      <c r="BF721" s="85"/>
      <c r="BG721" s="85"/>
      <c r="BH721" s="85"/>
      <c r="BI721" s="85"/>
      <c r="BJ721" s="85"/>
      <c r="BK721" s="85"/>
      <c r="BL721" s="85"/>
      <c r="BM721" s="85"/>
      <c r="BN721" s="85"/>
      <c r="BO721" s="85"/>
      <c r="BP721" s="85"/>
      <c r="BQ721" s="85"/>
      <c r="BR721" s="84"/>
      <c r="BS721" s="85"/>
      <c r="BT721" s="85"/>
      <c r="BU721" s="198"/>
      <c r="BV721" s="90"/>
      <c r="BW721" s="198"/>
      <c r="BX721" s="90"/>
      <c r="BY721" s="198"/>
      <c r="BZ721" s="90"/>
      <c r="CA721" s="91"/>
    </row>
    <row r="722" spans="1:1199" ht="50.1" customHeight="1" outlineLevel="2" x14ac:dyDescent="0.3">
      <c r="A722" s="103" t="s">
        <v>586</v>
      </c>
      <c r="B722" s="96" t="s">
        <v>643</v>
      </c>
      <c r="C722" s="79" t="s">
        <v>99</v>
      </c>
      <c r="D722" s="81">
        <f t="shared" si="160"/>
        <v>10314.379239999998</v>
      </c>
      <c r="E722" s="82">
        <f t="shared" si="158"/>
        <v>0</v>
      </c>
      <c r="F722" s="83">
        <f t="shared" si="161"/>
        <v>10314.379239999998</v>
      </c>
      <c r="G722" s="84"/>
      <c r="H722" s="85"/>
      <c r="I722" s="85"/>
      <c r="J722" s="84"/>
      <c r="K722" s="85"/>
      <c r="L722" s="85">
        <v>4862.3029399999996</v>
      </c>
      <c r="M722" s="85"/>
      <c r="N722" s="85"/>
      <c r="O722" s="82"/>
      <c r="P722" s="83"/>
      <c r="Q722" s="83"/>
      <c r="R722" s="83">
        <v>2478.4894599999998</v>
      </c>
      <c r="S722" s="82"/>
      <c r="T722" s="83"/>
      <c r="U722" s="83"/>
      <c r="V722" s="84"/>
      <c r="W722" s="85"/>
      <c r="X722" s="82"/>
      <c r="Y722" s="83"/>
      <c r="Z722" s="84"/>
      <c r="AA722" s="85"/>
      <c r="AB722" s="84"/>
      <c r="AC722" s="85"/>
      <c r="AD722" s="89">
        <f t="shared" si="159"/>
        <v>0</v>
      </c>
      <c r="AE722" s="89"/>
      <c r="AF722" s="186"/>
      <c r="AG722" s="85"/>
      <c r="AH722" s="85"/>
      <c r="AI722" s="85"/>
      <c r="AJ722" s="84"/>
      <c r="AK722" s="85"/>
      <c r="AL722" s="84"/>
      <c r="AM722" s="88"/>
      <c r="AN722" s="84"/>
      <c r="AO722" s="85"/>
      <c r="AP722" s="84"/>
      <c r="AQ722" s="83"/>
      <c r="AR722" s="83"/>
      <c r="AS722" s="83"/>
      <c r="AT722" s="85"/>
      <c r="AU722" s="85"/>
      <c r="AV722" s="85">
        <v>2973.5868399999999</v>
      </c>
      <c r="AW722" s="88"/>
      <c r="AX722" s="84"/>
      <c r="AY722" s="85"/>
      <c r="AZ722" s="84"/>
      <c r="BA722" s="85"/>
      <c r="BB722" s="88"/>
      <c r="BC722" s="85"/>
      <c r="BD722" s="84"/>
      <c r="BE722" s="88"/>
      <c r="BF722" s="85"/>
      <c r="BG722" s="85"/>
      <c r="BH722" s="85"/>
      <c r="BI722" s="85"/>
      <c r="BJ722" s="85"/>
      <c r="BK722" s="85"/>
      <c r="BL722" s="85"/>
      <c r="BM722" s="85"/>
      <c r="BN722" s="85"/>
      <c r="BO722" s="85"/>
      <c r="BP722" s="85"/>
      <c r="BQ722" s="85"/>
      <c r="BR722" s="84"/>
      <c r="BS722" s="85"/>
      <c r="BT722" s="85"/>
      <c r="BU722" s="198"/>
      <c r="BV722" s="90"/>
      <c r="BW722" s="198"/>
      <c r="BX722" s="90"/>
      <c r="BY722" s="198"/>
      <c r="BZ722" s="90"/>
      <c r="CA722" s="91"/>
    </row>
    <row r="723" spans="1:1199" ht="50.1" customHeight="1" outlineLevel="2" x14ac:dyDescent="0.3">
      <c r="A723" s="103" t="s">
        <v>586</v>
      </c>
      <c r="B723" s="102" t="s">
        <v>644</v>
      </c>
      <c r="C723" s="79" t="s">
        <v>1268</v>
      </c>
      <c r="D723" s="81">
        <f t="shared" si="160"/>
        <v>171.88729000000001</v>
      </c>
      <c r="E723" s="82">
        <f t="shared" si="158"/>
        <v>0</v>
      </c>
      <c r="F723" s="83">
        <f t="shared" si="161"/>
        <v>171.88729000000001</v>
      </c>
      <c r="G723" s="84"/>
      <c r="H723" s="85"/>
      <c r="I723" s="85"/>
      <c r="J723" s="84"/>
      <c r="K723" s="85"/>
      <c r="L723" s="85"/>
      <c r="M723" s="85"/>
      <c r="N723" s="85"/>
      <c r="O723" s="82"/>
      <c r="P723" s="83"/>
      <c r="Q723" s="83"/>
      <c r="R723" s="83"/>
      <c r="S723" s="82"/>
      <c r="T723" s="83"/>
      <c r="U723" s="83"/>
      <c r="V723" s="84"/>
      <c r="W723" s="85"/>
      <c r="X723" s="82"/>
      <c r="Y723" s="83"/>
      <c r="Z723" s="84"/>
      <c r="AA723" s="85"/>
      <c r="AB723" s="84"/>
      <c r="AC723" s="85"/>
      <c r="AD723" s="89">
        <f t="shared" si="159"/>
        <v>171.88729000000001</v>
      </c>
      <c r="AE723" s="89">
        <f>70.623+21.491</f>
        <v>92.114000000000004</v>
      </c>
      <c r="AF723" s="186">
        <v>79.773290000000003</v>
      </c>
      <c r="AG723" s="85"/>
      <c r="AH723" s="85"/>
      <c r="AI723" s="85"/>
      <c r="AJ723" s="84"/>
      <c r="AK723" s="85"/>
      <c r="AL723" s="84"/>
      <c r="AM723" s="88"/>
      <c r="AN723" s="84"/>
      <c r="AO723" s="85"/>
      <c r="AP723" s="84"/>
      <c r="AQ723" s="83"/>
      <c r="AR723" s="83"/>
      <c r="AS723" s="83"/>
      <c r="AT723" s="85"/>
      <c r="AU723" s="85"/>
      <c r="AV723" s="85"/>
      <c r="AW723" s="88"/>
      <c r="AX723" s="84"/>
      <c r="AY723" s="85"/>
      <c r="AZ723" s="84"/>
      <c r="BA723" s="85"/>
      <c r="BB723" s="88"/>
      <c r="BC723" s="85"/>
      <c r="BD723" s="84"/>
      <c r="BE723" s="88"/>
      <c r="BF723" s="85"/>
      <c r="BG723" s="85"/>
      <c r="BH723" s="85"/>
      <c r="BI723" s="85"/>
      <c r="BJ723" s="85"/>
      <c r="BK723" s="85"/>
      <c r="BL723" s="85"/>
      <c r="BM723" s="85"/>
      <c r="BN723" s="85"/>
      <c r="BO723" s="85"/>
      <c r="BP723" s="85"/>
      <c r="BQ723" s="85"/>
      <c r="BR723" s="84"/>
      <c r="BS723" s="85"/>
      <c r="BT723" s="85"/>
      <c r="BU723" s="198"/>
      <c r="BV723" s="90"/>
      <c r="BW723" s="198"/>
      <c r="BX723" s="90"/>
      <c r="BY723" s="198"/>
      <c r="BZ723" s="90"/>
      <c r="CA723" s="91"/>
    </row>
    <row r="724" spans="1:1199" ht="50.1" customHeight="1" outlineLevel="2" x14ac:dyDescent="0.3">
      <c r="A724" s="103" t="s">
        <v>586</v>
      </c>
      <c r="B724" s="102" t="s">
        <v>645</v>
      </c>
      <c r="C724" s="79" t="s">
        <v>1268</v>
      </c>
      <c r="D724" s="81">
        <f t="shared" si="160"/>
        <v>30.915350000000004</v>
      </c>
      <c r="E724" s="82">
        <f t="shared" si="158"/>
        <v>0</v>
      </c>
      <c r="F724" s="83">
        <f t="shared" si="161"/>
        <v>30.915350000000004</v>
      </c>
      <c r="G724" s="84"/>
      <c r="H724" s="85"/>
      <c r="I724" s="85"/>
      <c r="J724" s="84"/>
      <c r="K724" s="85"/>
      <c r="L724" s="85"/>
      <c r="M724" s="85"/>
      <c r="N724" s="85"/>
      <c r="O724" s="82"/>
      <c r="P724" s="83"/>
      <c r="Q724" s="83"/>
      <c r="R724" s="83"/>
      <c r="S724" s="82"/>
      <c r="T724" s="83"/>
      <c r="U724" s="83"/>
      <c r="V724" s="84"/>
      <c r="W724" s="85"/>
      <c r="X724" s="82"/>
      <c r="Y724" s="83"/>
      <c r="Z724" s="84"/>
      <c r="AA724" s="85"/>
      <c r="AB724" s="84"/>
      <c r="AC724" s="85"/>
      <c r="AD724" s="89">
        <f t="shared" si="159"/>
        <v>30.915350000000004</v>
      </c>
      <c r="AE724" s="89">
        <v>21.186900000000001</v>
      </c>
      <c r="AF724" s="186">
        <v>9.7284500000000005</v>
      </c>
      <c r="AG724" s="85"/>
      <c r="AH724" s="85"/>
      <c r="AI724" s="85"/>
      <c r="AJ724" s="84"/>
      <c r="AK724" s="85"/>
      <c r="AL724" s="84"/>
      <c r="AM724" s="88"/>
      <c r="AN724" s="84"/>
      <c r="AO724" s="85"/>
      <c r="AP724" s="84"/>
      <c r="AQ724" s="83"/>
      <c r="AR724" s="83"/>
      <c r="AS724" s="83"/>
      <c r="AT724" s="85"/>
      <c r="AU724" s="85"/>
      <c r="AV724" s="85"/>
      <c r="AW724" s="88"/>
      <c r="AX724" s="84"/>
      <c r="AY724" s="85"/>
      <c r="AZ724" s="84"/>
      <c r="BA724" s="85"/>
      <c r="BB724" s="88"/>
      <c r="BC724" s="85"/>
      <c r="BD724" s="84"/>
      <c r="BE724" s="88"/>
      <c r="BF724" s="85"/>
      <c r="BG724" s="85"/>
      <c r="BH724" s="85"/>
      <c r="BI724" s="85"/>
      <c r="BJ724" s="85"/>
      <c r="BK724" s="85"/>
      <c r="BL724" s="85"/>
      <c r="BM724" s="85"/>
      <c r="BN724" s="85"/>
      <c r="BO724" s="85"/>
      <c r="BP724" s="85"/>
      <c r="BQ724" s="85"/>
      <c r="BR724" s="84"/>
      <c r="BS724" s="85"/>
      <c r="BT724" s="85"/>
      <c r="BU724" s="198"/>
      <c r="BV724" s="90"/>
      <c r="BW724" s="198"/>
      <c r="BX724" s="90"/>
      <c r="BY724" s="198"/>
      <c r="BZ724" s="90"/>
      <c r="CA724" s="91"/>
    </row>
    <row r="725" spans="1:1199" ht="50.1" customHeight="1" outlineLevel="2" x14ac:dyDescent="0.3">
      <c r="A725" s="103" t="s">
        <v>586</v>
      </c>
      <c r="B725" s="102" t="s">
        <v>646</v>
      </c>
      <c r="C725" s="79" t="s">
        <v>99</v>
      </c>
      <c r="D725" s="81">
        <f t="shared" si="160"/>
        <v>7943.4529600000005</v>
      </c>
      <c r="E725" s="82">
        <f t="shared" si="158"/>
        <v>0</v>
      </c>
      <c r="F725" s="83">
        <f t="shared" si="161"/>
        <v>7943.4529600000005</v>
      </c>
      <c r="G725" s="84"/>
      <c r="H725" s="85"/>
      <c r="I725" s="85"/>
      <c r="J725" s="84"/>
      <c r="K725" s="85"/>
      <c r="L725" s="85"/>
      <c r="M725" s="85"/>
      <c r="N725" s="85"/>
      <c r="O725" s="82"/>
      <c r="P725" s="83"/>
      <c r="Q725" s="83"/>
      <c r="R725" s="83">
        <v>2711.2471399999999</v>
      </c>
      <c r="S725" s="83"/>
      <c r="T725" s="83"/>
      <c r="U725" s="83"/>
      <c r="V725" s="85"/>
      <c r="W725" s="85"/>
      <c r="X725" s="83"/>
      <c r="Y725" s="83"/>
      <c r="Z725" s="85"/>
      <c r="AA725" s="85"/>
      <c r="AB725" s="84"/>
      <c r="AC725" s="85"/>
      <c r="AD725" s="89">
        <f t="shared" si="159"/>
        <v>0</v>
      </c>
      <c r="AE725" s="83"/>
      <c r="AF725" s="123"/>
      <c r="AG725" s="85"/>
      <c r="AH725" s="85"/>
      <c r="AI725" s="85"/>
      <c r="AJ725" s="84"/>
      <c r="AK725" s="85"/>
      <c r="AL725" s="85"/>
      <c r="AM725" s="85"/>
      <c r="AN725" s="84"/>
      <c r="AO725" s="85"/>
      <c r="AP725" s="85"/>
      <c r="AQ725" s="83"/>
      <c r="AR725" s="83"/>
      <c r="AS725" s="83"/>
      <c r="AT725" s="85"/>
      <c r="AU725" s="85"/>
      <c r="AV725" s="85">
        <f>5232.20582</f>
        <v>5232.2058200000001</v>
      </c>
      <c r="AW725" s="85"/>
      <c r="AX725" s="84"/>
      <c r="AY725" s="85"/>
      <c r="AZ725" s="85"/>
      <c r="BA725" s="85"/>
      <c r="BB725" s="85"/>
      <c r="BC725" s="85"/>
      <c r="BD725" s="85"/>
      <c r="BE725" s="85"/>
      <c r="BF725" s="85"/>
      <c r="BG725" s="85"/>
      <c r="BH725" s="85"/>
      <c r="BI725" s="85"/>
      <c r="BJ725" s="85"/>
      <c r="BK725" s="85"/>
      <c r="BL725" s="85"/>
      <c r="BM725" s="85"/>
      <c r="BN725" s="85"/>
      <c r="BO725" s="85"/>
      <c r="BP725" s="85"/>
      <c r="BQ725" s="85"/>
      <c r="BR725" s="84"/>
      <c r="BS725" s="85"/>
      <c r="BT725" s="85"/>
      <c r="BU725" s="198"/>
      <c r="BV725" s="90"/>
      <c r="BW725" s="198"/>
      <c r="BX725" s="90"/>
      <c r="BY725" s="198"/>
      <c r="BZ725" s="90"/>
      <c r="CA725" s="91"/>
    </row>
    <row r="726" spans="1:1199" ht="50.1" customHeight="1" outlineLevel="2" x14ac:dyDescent="0.3">
      <c r="A726" s="103" t="s">
        <v>586</v>
      </c>
      <c r="B726" s="108" t="s">
        <v>647</v>
      </c>
      <c r="C726" s="79"/>
      <c r="D726" s="81">
        <f t="shared" si="160"/>
        <v>300</v>
      </c>
      <c r="E726" s="82">
        <f t="shared" ref="E726:E770" si="162">G726+J726+O726+S726+V726+X726+Z726+AB726+AJ726+AL726+AN726+AP726+AX726+AZ726+BD726+BV726+BX726+BZ726+BR726</f>
        <v>0</v>
      </c>
      <c r="F726" s="83">
        <f t="shared" si="161"/>
        <v>300</v>
      </c>
      <c r="G726" s="84"/>
      <c r="H726" s="85"/>
      <c r="I726" s="85"/>
      <c r="J726" s="84"/>
      <c r="K726" s="85"/>
      <c r="L726" s="85"/>
      <c r="M726" s="85"/>
      <c r="N726" s="85"/>
      <c r="O726" s="82"/>
      <c r="P726" s="83"/>
      <c r="Q726" s="83"/>
      <c r="R726" s="83"/>
      <c r="S726" s="82"/>
      <c r="T726" s="83"/>
      <c r="U726" s="83"/>
      <c r="V726" s="84"/>
      <c r="W726" s="85"/>
      <c r="X726" s="82"/>
      <c r="Y726" s="83"/>
      <c r="Z726" s="84"/>
      <c r="AA726" s="85"/>
      <c r="AB726" s="84"/>
      <c r="AC726" s="85"/>
      <c r="AD726" s="89">
        <f t="shared" si="159"/>
        <v>0</v>
      </c>
      <c r="AE726" s="89"/>
      <c r="AF726" s="186"/>
      <c r="AG726" s="85"/>
      <c r="AH726" s="85"/>
      <c r="AI726" s="85"/>
      <c r="AJ726" s="84"/>
      <c r="AK726" s="85"/>
      <c r="AL726" s="84"/>
      <c r="AM726" s="88"/>
      <c r="AN726" s="84"/>
      <c r="AO726" s="85"/>
      <c r="AP726" s="84"/>
      <c r="AQ726" s="83"/>
      <c r="AR726" s="83"/>
      <c r="AS726" s="83"/>
      <c r="AT726" s="85"/>
      <c r="AU726" s="85"/>
      <c r="AV726" s="85"/>
      <c r="AW726" s="88"/>
      <c r="AX726" s="84"/>
      <c r="AY726" s="85"/>
      <c r="AZ726" s="84"/>
      <c r="BA726" s="85"/>
      <c r="BB726" s="88"/>
      <c r="BC726" s="85"/>
      <c r="BD726" s="84"/>
      <c r="BE726" s="88"/>
      <c r="BF726" s="85"/>
      <c r="BG726" s="85"/>
      <c r="BH726" s="85">
        <v>300</v>
      </c>
      <c r="BI726" s="85"/>
      <c r="BJ726" s="85"/>
      <c r="BK726" s="85"/>
      <c r="BL726" s="85"/>
      <c r="BM726" s="85"/>
      <c r="BN726" s="85"/>
      <c r="BO726" s="85"/>
      <c r="BP726" s="85"/>
      <c r="BQ726" s="85"/>
      <c r="BR726" s="84"/>
      <c r="BS726" s="85"/>
      <c r="BT726" s="85"/>
      <c r="BU726" s="198"/>
      <c r="BV726" s="90"/>
      <c r="BW726" s="198"/>
      <c r="BX726" s="90"/>
      <c r="BY726" s="198"/>
      <c r="BZ726" s="90"/>
      <c r="CA726" s="91"/>
    </row>
    <row r="727" spans="1:1199" ht="50.1" customHeight="1" outlineLevel="2" x14ac:dyDescent="0.3">
      <c r="A727" s="103" t="s">
        <v>586</v>
      </c>
      <c r="B727" s="108" t="s">
        <v>648</v>
      </c>
      <c r="C727" s="79"/>
      <c r="D727" s="81">
        <f t="shared" si="160"/>
        <v>300</v>
      </c>
      <c r="E727" s="82">
        <f t="shared" si="162"/>
        <v>0</v>
      </c>
      <c r="F727" s="83">
        <f t="shared" si="161"/>
        <v>300</v>
      </c>
      <c r="G727" s="84"/>
      <c r="H727" s="85"/>
      <c r="I727" s="85"/>
      <c r="J727" s="84"/>
      <c r="K727" s="85"/>
      <c r="L727" s="85"/>
      <c r="M727" s="85"/>
      <c r="N727" s="85"/>
      <c r="O727" s="82"/>
      <c r="P727" s="83"/>
      <c r="Q727" s="83"/>
      <c r="R727" s="83"/>
      <c r="S727" s="82"/>
      <c r="T727" s="83"/>
      <c r="U727" s="83"/>
      <c r="V727" s="84"/>
      <c r="W727" s="85"/>
      <c r="X727" s="82"/>
      <c r="Y727" s="83"/>
      <c r="Z727" s="84"/>
      <c r="AA727" s="85"/>
      <c r="AB727" s="84"/>
      <c r="AC727" s="85"/>
      <c r="AD727" s="89">
        <f t="shared" si="159"/>
        <v>0</v>
      </c>
      <c r="AE727" s="89"/>
      <c r="AF727" s="186"/>
      <c r="AG727" s="85"/>
      <c r="AH727" s="85"/>
      <c r="AI727" s="85"/>
      <c r="AJ727" s="84"/>
      <c r="AK727" s="85"/>
      <c r="AL727" s="84"/>
      <c r="AM727" s="88"/>
      <c r="AN727" s="84"/>
      <c r="AO727" s="85"/>
      <c r="AP727" s="84"/>
      <c r="AQ727" s="83"/>
      <c r="AR727" s="83"/>
      <c r="AS727" s="83"/>
      <c r="AT727" s="85"/>
      <c r="AU727" s="85"/>
      <c r="AV727" s="85"/>
      <c r="AW727" s="88"/>
      <c r="AX727" s="84"/>
      <c r="AY727" s="85"/>
      <c r="AZ727" s="84"/>
      <c r="BA727" s="85"/>
      <c r="BB727" s="88"/>
      <c r="BC727" s="85"/>
      <c r="BD727" s="84"/>
      <c r="BE727" s="88"/>
      <c r="BF727" s="85"/>
      <c r="BG727" s="85"/>
      <c r="BH727" s="85">
        <v>300</v>
      </c>
      <c r="BI727" s="85"/>
      <c r="BJ727" s="85"/>
      <c r="BK727" s="85"/>
      <c r="BL727" s="85"/>
      <c r="BM727" s="85"/>
      <c r="BN727" s="85"/>
      <c r="BO727" s="85"/>
      <c r="BP727" s="85"/>
      <c r="BQ727" s="85"/>
      <c r="BR727" s="84"/>
      <c r="BS727" s="85"/>
      <c r="BT727" s="85"/>
      <c r="BU727" s="198"/>
      <c r="BV727" s="90"/>
      <c r="BW727" s="198"/>
      <c r="BX727" s="90"/>
      <c r="BY727" s="198"/>
      <c r="BZ727" s="90"/>
      <c r="CA727" s="91"/>
    </row>
    <row r="728" spans="1:1199" ht="50.1" customHeight="1" outlineLevel="2" x14ac:dyDescent="0.3">
      <c r="A728" s="103" t="s">
        <v>586</v>
      </c>
      <c r="B728" s="108" t="s">
        <v>1004</v>
      </c>
      <c r="C728" s="79"/>
      <c r="D728" s="81">
        <f t="shared" si="160"/>
        <v>300</v>
      </c>
      <c r="E728" s="82">
        <f t="shared" si="162"/>
        <v>0</v>
      </c>
      <c r="F728" s="83">
        <f t="shared" si="161"/>
        <v>300</v>
      </c>
      <c r="G728" s="84"/>
      <c r="H728" s="85"/>
      <c r="I728" s="85"/>
      <c r="J728" s="84"/>
      <c r="K728" s="85"/>
      <c r="L728" s="85"/>
      <c r="M728" s="85"/>
      <c r="N728" s="85"/>
      <c r="O728" s="82"/>
      <c r="P728" s="83"/>
      <c r="Q728" s="83"/>
      <c r="R728" s="83"/>
      <c r="S728" s="82"/>
      <c r="T728" s="83"/>
      <c r="U728" s="83"/>
      <c r="V728" s="84"/>
      <c r="W728" s="85"/>
      <c r="X728" s="82"/>
      <c r="Y728" s="83"/>
      <c r="Z728" s="84"/>
      <c r="AA728" s="85"/>
      <c r="AB728" s="84"/>
      <c r="AC728" s="85"/>
      <c r="AD728" s="89">
        <f t="shared" si="159"/>
        <v>0</v>
      </c>
      <c r="AE728" s="89"/>
      <c r="AF728" s="186"/>
      <c r="AG728" s="85"/>
      <c r="AH728" s="85"/>
      <c r="AI728" s="85"/>
      <c r="AJ728" s="84"/>
      <c r="AK728" s="85"/>
      <c r="AL728" s="84"/>
      <c r="AM728" s="88"/>
      <c r="AN728" s="84"/>
      <c r="AO728" s="85"/>
      <c r="AP728" s="84"/>
      <c r="AQ728" s="83"/>
      <c r="AR728" s="83"/>
      <c r="AS728" s="83"/>
      <c r="AT728" s="85"/>
      <c r="AU728" s="85"/>
      <c r="AV728" s="85"/>
      <c r="AW728" s="88"/>
      <c r="AX728" s="84"/>
      <c r="AY728" s="85"/>
      <c r="AZ728" s="84"/>
      <c r="BA728" s="85"/>
      <c r="BB728" s="88"/>
      <c r="BC728" s="85"/>
      <c r="BD728" s="84"/>
      <c r="BE728" s="88"/>
      <c r="BF728" s="85"/>
      <c r="BG728" s="85"/>
      <c r="BH728" s="85">
        <v>300</v>
      </c>
      <c r="BI728" s="85"/>
      <c r="BJ728" s="85"/>
      <c r="BK728" s="85"/>
      <c r="BL728" s="85"/>
      <c r="BM728" s="85"/>
      <c r="BN728" s="85"/>
      <c r="BO728" s="85"/>
      <c r="BP728" s="85"/>
      <c r="BQ728" s="85"/>
      <c r="BR728" s="84"/>
      <c r="BS728" s="85"/>
      <c r="BT728" s="85"/>
      <c r="BU728" s="198"/>
      <c r="BV728" s="90"/>
      <c r="BW728" s="198"/>
      <c r="BX728" s="90"/>
      <c r="BY728" s="198"/>
      <c r="BZ728" s="90"/>
      <c r="CA728" s="91"/>
    </row>
    <row r="729" spans="1:1199" ht="50.1" customHeight="1" outlineLevel="2" x14ac:dyDescent="0.3">
      <c r="A729" s="103" t="s">
        <v>586</v>
      </c>
      <c r="B729" s="108" t="s">
        <v>1005</v>
      </c>
      <c r="C729" s="79"/>
      <c r="D729" s="81">
        <f t="shared" si="160"/>
        <v>300</v>
      </c>
      <c r="E729" s="82">
        <f t="shared" si="162"/>
        <v>0</v>
      </c>
      <c r="F729" s="83">
        <f t="shared" si="161"/>
        <v>300</v>
      </c>
      <c r="G729" s="84"/>
      <c r="H729" s="85"/>
      <c r="I729" s="85"/>
      <c r="J729" s="84"/>
      <c r="K729" s="85"/>
      <c r="L729" s="85"/>
      <c r="M729" s="85"/>
      <c r="N729" s="85"/>
      <c r="O729" s="82"/>
      <c r="P729" s="83"/>
      <c r="Q729" s="83"/>
      <c r="R729" s="83"/>
      <c r="S729" s="82"/>
      <c r="T729" s="83"/>
      <c r="U729" s="83"/>
      <c r="V729" s="84"/>
      <c r="W729" s="85"/>
      <c r="X729" s="82"/>
      <c r="Y729" s="83"/>
      <c r="Z729" s="84"/>
      <c r="AA729" s="85"/>
      <c r="AB729" s="84"/>
      <c r="AC729" s="85"/>
      <c r="AD729" s="89">
        <f t="shared" si="159"/>
        <v>0</v>
      </c>
      <c r="AE729" s="89"/>
      <c r="AF729" s="186"/>
      <c r="AG729" s="85"/>
      <c r="AH729" s="85"/>
      <c r="AI729" s="85"/>
      <c r="AJ729" s="84"/>
      <c r="AK729" s="85"/>
      <c r="AL729" s="84"/>
      <c r="AM729" s="88"/>
      <c r="AN729" s="84"/>
      <c r="AO729" s="85"/>
      <c r="AP729" s="84"/>
      <c r="AQ729" s="83"/>
      <c r="AR729" s="83"/>
      <c r="AS729" s="83"/>
      <c r="AT729" s="85"/>
      <c r="AU729" s="85"/>
      <c r="AV729" s="85"/>
      <c r="AW729" s="88"/>
      <c r="AX729" s="84"/>
      <c r="AY729" s="85"/>
      <c r="AZ729" s="84"/>
      <c r="BA729" s="85"/>
      <c r="BB729" s="88"/>
      <c r="BC729" s="85"/>
      <c r="BD729" s="84"/>
      <c r="BE729" s="88"/>
      <c r="BF729" s="85"/>
      <c r="BG729" s="85"/>
      <c r="BH729" s="85">
        <v>300</v>
      </c>
      <c r="BI729" s="85"/>
      <c r="BJ729" s="85"/>
      <c r="BK729" s="85"/>
      <c r="BL729" s="85"/>
      <c r="BM729" s="85"/>
      <c r="BN729" s="85"/>
      <c r="BO729" s="85"/>
      <c r="BP729" s="85"/>
      <c r="BQ729" s="85"/>
      <c r="BR729" s="84"/>
      <c r="BS729" s="85"/>
      <c r="BT729" s="85"/>
      <c r="BU729" s="198"/>
      <c r="BV729" s="90"/>
      <c r="BW729" s="198"/>
      <c r="BX729" s="90"/>
      <c r="BY729" s="198"/>
      <c r="BZ729" s="90"/>
      <c r="CA729" s="91"/>
    </row>
    <row r="730" spans="1:1199" ht="50.1" customHeight="1" outlineLevel="2" x14ac:dyDescent="0.3">
      <c r="A730" s="103" t="s">
        <v>586</v>
      </c>
      <c r="B730" s="108" t="s">
        <v>345</v>
      </c>
      <c r="C730" s="79"/>
      <c r="D730" s="81">
        <f t="shared" si="160"/>
        <v>30.66</v>
      </c>
      <c r="E730" s="82">
        <f t="shared" si="162"/>
        <v>0</v>
      </c>
      <c r="F730" s="83">
        <f t="shared" si="161"/>
        <v>30.66</v>
      </c>
      <c r="G730" s="84"/>
      <c r="H730" s="85"/>
      <c r="I730" s="85"/>
      <c r="J730" s="84"/>
      <c r="K730" s="85"/>
      <c r="L730" s="85"/>
      <c r="M730" s="85"/>
      <c r="N730" s="85"/>
      <c r="O730" s="82"/>
      <c r="P730" s="83"/>
      <c r="Q730" s="83"/>
      <c r="R730" s="83"/>
      <c r="S730" s="82"/>
      <c r="T730" s="83"/>
      <c r="U730" s="83"/>
      <c r="V730" s="84"/>
      <c r="W730" s="85"/>
      <c r="X730" s="82"/>
      <c r="Y730" s="83"/>
      <c r="Z730" s="84"/>
      <c r="AA730" s="85"/>
      <c r="AB730" s="84"/>
      <c r="AC730" s="85"/>
      <c r="AD730" s="89">
        <f t="shared" si="159"/>
        <v>0</v>
      </c>
      <c r="AE730" s="89"/>
      <c r="AF730" s="186"/>
      <c r="AG730" s="85"/>
      <c r="AH730" s="85"/>
      <c r="AI730" s="85"/>
      <c r="AJ730" s="84"/>
      <c r="AK730" s="85"/>
      <c r="AL730" s="84"/>
      <c r="AM730" s="88"/>
      <c r="AN730" s="84"/>
      <c r="AO730" s="85"/>
      <c r="AP730" s="84"/>
      <c r="AQ730" s="83"/>
      <c r="AR730" s="83"/>
      <c r="AS730" s="83"/>
      <c r="AT730" s="85"/>
      <c r="AU730" s="85"/>
      <c r="AV730" s="85"/>
      <c r="AW730" s="88"/>
      <c r="AX730" s="84"/>
      <c r="AY730" s="85"/>
      <c r="AZ730" s="84"/>
      <c r="BA730" s="85"/>
      <c r="BB730" s="88"/>
      <c r="BC730" s="85"/>
      <c r="BD730" s="84"/>
      <c r="BE730" s="88"/>
      <c r="BF730" s="85"/>
      <c r="BG730" s="85"/>
      <c r="BH730" s="85"/>
      <c r="BI730" s="85">
        <v>30.66</v>
      </c>
      <c r="BJ730" s="85"/>
      <c r="BK730" s="85"/>
      <c r="BL730" s="85"/>
      <c r="BM730" s="85"/>
      <c r="BN730" s="85"/>
      <c r="BO730" s="85"/>
      <c r="BP730" s="85"/>
      <c r="BQ730" s="85"/>
      <c r="BR730" s="84"/>
      <c r="BS730" s="85"/>
      <c r="BT730" s="85"/>
      <c r="BU730" s="198"/>
      <c r="BV730" s="90"/>
      <c r="BW730" s="198"/>
      <c r="BX730" s="90"/>
      <c r="BY730" s="198"/>
      <c r="BZ730" s="90"/>
      <c r="CA730" s="91"/>
    </row>
    <row r="731" spans="1:1199" ht="50.1" customHeight="1" outlineLevel="2" x14ac:dyDescent="0.3">
      <c r="A731" s="103" t="s">
        <v>586</v>
      </c>
      <c r="B731" s="108" t="s">
        <v>649</v>
      </c>
      <c r="C731" s="79"/>
      <c r="D731" s="81">
        <f t="shared" si="160"/>
        <v>34.994999999999997</v>
      </c>
      <c r="E731" s="82">
        <f t="shared" si="162"/>
        <v>0</v>
      </c>
      <c r="F731" s="83">
        <f t="shared" si="161"/>
        <v>34.994999999999997</v>
      </c>
      <c r="G731" s="84"/>
      <c r="H731" s="85"/>
      <c r="I731" s="85"/>
      <c r="J731" s="84"/>
      <c r="K731" s="85"/>
      <c r="L731" s="85"/>
      <c r="M731" s="85"/>
      <c r="N731" s="85"/>
      <c r="O731" s="82"/>
      <c r="P731" s="83"/>
      <c r="Q731" s="83"/>
      <c r="R731" s="83"/>
      <c r="S731" s="82"/>
      <c r="T731" s="83"/>
      <c r="U731" s="83"/>
      <c r="V731" s="84"/>
      <c r="W731" s="85"/>
      <c r="X731" s="82"/>
      <c r="Y731" s="83"/>
      <c r="Z731" s="84"/>
      <c r="AA731" s="85"/>
      <c r="AB731" s="84"/>
      <c r="AC731" s="85"/>
      <c r="AD731" s="89">
        <f t="shared" si="159"/>
        <v>0</v>
      </c>
      <c r="AE731" s="89"/>
      <c r="AF731" s="186"/>
      <c r="AG731" s="85"/>
      <c r="AH731" s="85"/>
      <c r="AI731" s="85"/>
      <c r="AJ731" s="84"/>
      <c r="AK731" s="85"/>
      <c r="AL731" s="84"/>
      <c r="AM731" s="88"/>
      <c r="AN731" s="84"/>
      <c r="AO731" s="85"/>
      <c r="AP731" s="84"/>
      <c r="AQ731" s="83"/>
      <c r="AR731" s="83"/>
      <c r="AS731" s="83"/>
      <c r="AT731" s="85"/>
      <c r="AU731" s="85"/>
      <c r="AV731" s="85"/>
      <c r="AW731" s="88"/>
      <c r="AX731" s="84"/>
      <c r="AY731" s="85"/>
      <c r="AZ731" s="84"/>
      <c r="BA731" s="85"/>
      <c r="BB731" s="88"/>
      <c r="BC731" s="85"/>
      <c r="BD731" s="84"/>
      <c r="BE731" s="88"/>
      <c r="BF731" s="85"/>
      <c r="BG731" s="85"/>
      <c r="BH731" s="85"/>
      <c r="BI731" s="85">
        <v>34.994999999999997</v>
      </c>
      <c r="BJ731" s="85"/>
      <c r="BK731" s="85"/>
      <c r="BL731" s="85"/>
      <c r="BM731" s="85"/>
      <c r="BN731" s="85"/>
      <c r="BO731" s="85"/>
      <c r="BP731" s="85"/>
      <c r="BQ731" s="85"/>
      <c r="BR731" s="84"/>
      <c r="BS731" s="85"/>
      <c r="BT731" s="85"/>
      <c r="BU731" s="198"/>
      <c r="BV731" s="90"/>
      <c r="BW731" s="198"/>
      <c r="BX731" s="90"/>
      <c r="BY731" s="198"/>
      <c r="BZ731" s="90"/>
      <c r="CA731" s="91"/>
    </row>
    <row r="732" spans="1:1199" ht="50.1" customHeight="1" outlineLevel="2" x14ac:dyDescent="0.3">
      <c r="A732" s="103" t="s">
        <v>586</v>
      </c>
      <c r="B732" s="108" t="s">
        <v>1123</v>
      </c>
      <c r="C732" s="79"/>
      <c r="D732" s="81">
        <f t="shared" si="160"/>
        <v>18.190000000000001</v>
      </c>
      <c r="E732" s="82">
        <f t="shared" si="162"/>
        <v>0</v>
      </c>
      <c r="F732" s="83">
        <f t="shared" si="161"/>
        <v>18.190000000000001</v>
      </c>
      <c r="G732" s="84"/>
      <c r="H732" s="85"/>
      <c r="I732" s="85"/>
      <c r="J732" s="84"/>
      <c r="K732" s="85"/>
      <c r="L732" s="85"/>
      <c r="M732" s="85"/>
      <c r="N732" s="85"/>
      <c r="O732" s="82"/>
      <c r="P732" s="83"/>
      <c r="Q732" s="83"/>
      <c r="R732" s="83"/>
      <c r="S732" s="82"/>
      <c r="T732" s="83"/>
      <c r="U732" s="83"/>
      <c r="V732" s="84"/>
      <c r="W732" s="85"/>
      <c r="X732" s="82"/>
      <c r="Y732" s="83"/>
      <c r="Z732" s="84"/>
      <c r="AA732" s="85"/>
      <c r="AB732" s="84"/>
      <c r="AC732" s="85"/>
      <c r="AD732" s="89">
        <f t="shared" ref="AD732:AD782" si="163">AE732+AF732</f>
        <v>0</v>
      </c>
      <c r="AE732" s="89"/>
      <c r="AF732" s="186"/>
      <c r="AG732" s="85"/>
      <c r="AH732" s="85"/>
      <c r="AI732" s="85"/>
      <c r="AJ732" s="84"/>
      <c r="AK732" s="85"/>
      <c r="AL732" s="84"/>
      <c r="AM732" s="88"/>
      <c r="AN732" s="84"/>
      <c r="AO732" s="85"/>
      <c r="AP732" s="84"/>
      <c r="AQ732" s="83"/>
      <c r="AR732" s="83"/>
      <c r="AS732" s="83"/>
      <c r="AT732" s="85"/>
      <c r="AU732" s="85"/>
      <c r="AV732" s="85"/>
      <c r="AW732" s="88"/>
      <c r="AX732" s="84"/>
      <c r="AY732" s="85"/>
      <c r="AZ732" s="84"/>
      <c r="BA732" s="85"/>
      <c r="BB732" s="88"/>
      <c r="BC732" s="85"/>
      <c r="BD732" s="84"/>
      <c r="BE732" s="88"/>
      <c r="BF732" s="85"/>
      <c r="BG732" s="85"/>
      <c r="BH732" s="85"/>
      <c r="BI732" s="85">
        <v>18.190000000000001</v>
      </c>
      <c r="BJ732" s="85"/>
      <c r="BK732" s="85"/>
      <c r="BL732" s="85"/>
      <c r="BM732" s="85"/>
      <c r="BN732" s="85"/>
      <c r="BO732" s="85"/>
      <c r="BP732" s="85"/>
      <c r="BQ732" s="85"/>
      <c r="BR732" s="84"/>
      <c r="BS732" s="85"/>
      <c r="BT732" s="85"/>
      <c r="BU732" s="198"/>
      <c r="BV732" s="90"/>
      <c r="BW732" s="198"/>
      <c r="BX732" s="90"/>
      <c r="BY732" s="198"/>
      <c r="BZ732" s="90"/>
      <c r="CA732" s="91"/>
    </row>
    <row r="733" spans="1:1199" s="101" customFormat="1" ht="50.1" customHeight="1" outlineLevel="1" x14ac:dyDescent="0.3">
      <c r="A733" s="132" t="s">
        <v>650</v>
      </c>
      <c r="B733" s="133"/>
      <c r="C733" s="134" t="s">
        <v>94</v>
      </c>
      <c r="D733" s="114">
        <f t="shared" ref="D733:AI733" si="164">SUBTOTAL(9,D658:D732)</f>
        <v>216929.44854000001</v>
      </c>
      <c r="E733" s="114">
        <f t="shared" si="164"/>
        <v>83985.569049999991</v>
      </c>
      <c r="F733" s="114">
        <f t="shared" si="164"/>
        <v>132943.87948999999</v>
      </c>
      <c r="G733" s="114">
        <f t="shared" si="164"/>
        <v>309.50142</v>
      </c>
      <c r="H733" s="114">
        <f t="shared" si="164"/>
        <v>112.54595999999999</v>
      </c>
      <c r="I733" s="114">
        <f t="shared" si="164"/>
        <v>0</v>
      </c>
      <c r="J733" s="114">
        <f t="shared" si="164"/>
        <v>1425.7003599999998</v>
      </c>
      <c r="K733" s="114">
        <f t="shared" si="164"/>
        <v>391.07214999999997</v>
      </c>
      <c r="L733" s="114">
        <f t="shared" si="164"/>
        <v>8616.53802</v>
      </c>
      <c r="M733" s="114">
        <f t="shared" si="164"/>
        <v>0</v>
      </c>
      <c r="N733" s="114">
        <f t="shared" si="164"/>
        <v>12359.220290000001</v>
      </c>
      <c r="O733" s="114">
        <f t="shared" si="164"/>
        <v>296.94945000000001</v>
      </c>
      <c r="P733" s="114">
        <f t="shared" si="164"/>
        <v>22.638089999999998</v>
      </c>
      <c r="Q733" s="114">
        <f t="shared" si="164"/>
        <v>700.44386999999995</v>
      </c>
      <c r="R733" s="114">
        <f t="shared" si="164"/>
        <v>5277.7998499999994</v>
      </c>
      <c r="S733" s="114">
        <f t="shared" si="164"/>
        <v>1581.31024</v>
      </c>
      <c r="T733" s="114">
        <f t="shared" si="164"/>
        <v>1269.6404399999999</v>
      </c>
      <c r="U733" s="114">
        <f t="shared" si="164"/>
        <v>231.4726</v>
      </c>
      <c r="V733" s="114">
        <f t="shared" si="164"/>
        <v>1277.0859699999999</v>
      </c>
      <c r="W733" s="114">
        <f t="shared" si="164"/>
        <v>2950.206560000001</v>
      </c>
      <c r="X733" s="114">
        <f t="shared" si="164"/>
        <v>0</v>
      </c>
      <c r="Y733" s="114">
        <f t="shared" si="164"/>
        <v>3856.1639999999998</v>
      </c>
      <c r="Z733" s="114">
        <f t="shared" si="164"/>
        <v>0</v>
      </c>
      <c r="AA733" s="114">
        <f t="shared" si="164"/>
        <v>619.72631999999999</v>
      </c>
      <c r="AB733" s="114">
        <f t="shared" si="164"/>
        <v>1200.16768</v>
      </c>
      <c r="AC733" s="114">
        <f t="shared" si="164"/>
        <v>840.86434999999994</v>
      </c>
      <c r="AD733" s="114">
        <f t="shared" si="164"/>
        <v>6628.7597899999992</v>
      </c>
      <c r="AE733" s="114">
        <f t="shared" si="164"/>
        <v>1808.5691999999997</v>
      </c>
      <c r="AF733" s="114">
        <f t="shared" si="164"/>
        <v>4820.1905899999992</v>
      </c>
      <c r="AG733" s="114">
        <f t="shared" si="164"/>
        <v>0</v>
      </c>
      <c r="AH733" s="114">
        <f t="shared" si="164"/>
        <v>0</v>
      </c>
      <c r="AI733" s="114">
        <f t="shared" si="164"/>
        <v>0</v>
      </c>
      <c r="AJ733" s="114">
        <f t="shared" ref="AJ733:BO733" si="165">SUBTOTAL(9,AJ658:AJ732)</f>
        <v>7636</v>
      </c>
      <c r="AK733" s="114">
        <f t="shared" si="165"/>
        <v>2822</v>
      </c>
      <c r="AL733" s="114">
        <f t="shared" si="165"/>
        <v>0</v>
      </c>
      <c r="AM733" s="114">
        <f t="shared" si="165"/>
        <v>0</v>
      </c>
      <c r="AN733" s="114">
        <f t="shared" si="165"/>
        <v>0</v>
      </c>
      <c r="AO733" s="114">
        <f t="shared" si="165"/>
        <v>2604.16</v>
      </c>
      <c r="AP733" s="114">
        <f t="shared" si="165"/>
        <v>7061.2014600000002</v>
      </c>
      <c r="AQ733" s="114">
        <f t="shared" si="165"/>
        <v>13181.329820000001</v>
      </c>
      <c r="AR733" s="114">
        <f t="shared" si="165"/>
        <v>0</v>
      </c>
      <c r="AS733" s="114">
        <f t="shared" si="165"/>
        <v>0</v>
      </c>
      <c r="AT733" s="114">
        <f t="shared" si="165"/>
        <v>0</v>
      </c>
      <c r="AU733" s="114">
        <f t="shared" si="165"/>
        <v>0</v>
      </c>
      <c r="AV733" s="114">
        <f t="shared" si="165"/>
        <v>22100.672490000001</v>
      </c>
      <c r="AW733" s="114">
        <f t="shared" si="165"/>
        <v>0</v>
      </c>
      <c r="AX733" s="114">
        <f t="shared" si="165"/>
        <v>0</v>
      </c>
      <c r="AY733" s="114">
        <f t="shared" si="165"/>
        <v>0</v>
      </c>
      <c r="AZ733" s="114">
        <f t="shared" si="165"/>
        <v>11923.87967</v>
      </c>
      <c r="BA733" s="114">
        <f t="shared" si="165"/>
        <v>10729.73898</v>
      </c>
      <c r="BB733" s="114">
        <f t="shared" si="165"/>
        <v>1661.7040000000002</v>
      </c>
      <c r="BC733" s="114">
        <f t="shared" si="165"/>
        <v>0</v>
      </c>
      <c r="BD733" s="114">
        <f t="shared" si="165"/>
        <v>0</v>
      </c>
      <c r="BE733" s="114">
        <f t="shared" si="165"/>
        <v>0</v>
      </c>
      <c r="BF733" s="114">
        <f t="shared" si="165"/>
        <v>4682.0559999999996</v>
      </c>
      <c r="BG733" s="114">
        <f t="shared" si="165"/>
        <v>7327.8755700000002</v>
      </c>
      <c r="BH733" s="114">
        <f t="shared" si="165"/>
        <v>1200</v>
      </c>
      <c r="BI733" s="114">
        <f t="shared" si="165"/>
        <v>83.844999999999999</v>
      </c>
      <c r="BJ733" s="114">
        <f t="shared" si="165"/>
        <v>338.11023999999998</v>
      </c>
      <c r="BK733" s="114">
        <f t="shared" si="165"/>
        <v>547.59425999999996</v>
      </c>
      <c r="BL733" s="114">
        <f t="shared" si="165"/>
        <v>0</v>
      </c>
      <c r="BM733" s="114">
        <f t="shared" si="165"/>
        <v>0</v>
      </c>
      <c r="BN733" s="114">
        <f t="shared" si="165"/>
        <v>0</v>
      </c>
      <c r="BO733" s="114">
        <f t="shared" si="165"/>
        <v>0</v>
      </c>
      <c r="BP733" s="114">
        <f t="shared" ref="BP733:CU733" si="166">SUBTOTAL(9,BP658:BP732)</f>
        <v>14213.39754</v>
      </c>
      <c r="BQ733" s="114">
        <f t="shared" si="166"/>
        <v>0</v>
      </c>
      <c r="BR733" s="114">
        <f t="shared" si="166"/>
        <v>39894.230100000001</v>
      </c>
      <c r="BS733" s="114">
        <f t="shared" si="166"/>
        <v>998.3</v>
      </c>
      <c r="BT733" s="114">
        <f t="shared" si="166"/>
        <v>0</v>
      </c>
      <c r="BU733" s="114">
        <f t="shared" si="166"/>
        <v>0</v>
      </c>
      <c r="BV733" s="114">
        <f t="shared" si="166"/>
        <v>11379.5427</v>
      </c>
      <c r="BW733" s="114">
        <f t="shared" si="166"/>
        <v>6576.0033000000003</v>
      </c>
      <c r="BX733" s="114">
        <f t="shared" si="166"/>
        <v>0</v>
      </c>
      <c r="BY733" s="114">
        <f t="shared" si="166"/>
        <v>0</v>
      </c>
      <c r="BZ733" s="114">
        <f t="shared" si="166"/>
        <v>0</v>
      </c>
      <c r="CA733" s="114">
        <f t="shared" si="166"/>
        <v>0</v>
      </c>
      <c r="CB733" s="176"/>
      <c r="CC733" s="176"/>
      <c r="CD733" s="176"/>
      <c r="CE733" s="176"/>
      <c r="CF733" s="176"/>
      <c r="CG733" s="176"/>
      <c r="CH733" s="176"/>
      <c r="CI733" s="176"/>
      <c r="CJ733" s="176"/>
      <c r="CK733" s="176"/>
      <c r="CL733" s="176"/>
      <c r="CM733" s="176"/>
      <c r="CN733" s="176"/>
      <c r="CO733" s="176"/>
      <c r="CP733" s="176"/>
      <c r="CQ733" s="176"/>
      <c r="CR733" s="176"/>
      <c r="CS733" s="176"/>
      <c r="CT733" s="176"/>
      <c r="CU733" s="176"/>
      <c r="CV733" s="176"/>
      <c r="CW733" s="176"/>
      <c r="CX733" s="176"/>
      <c r="CY733" s="176"/>
      <c r="CZ733" s="176"/>
      <c r="DA733" s="176"/>
      <c r="DB733" s="176"/>
      <c r="DC733" s="176"/>
      <c r="DD733" s="176"/>
      <c r="DE733" s="176"/>
      <c r="DF733" s="176"/>
      <c r="DG733" s="176"/>
      <c r="DH733" s="176"/>
      <c r="DI733" s="176"/>
      <c r="DJ733" s="176"/>
      <c r="DK733" s="176"/>
      <c r="DL733" s="176"/>
      <c r="DM733" s="176"/>
      <c r="DN733" s="176"/>
      <c r="DO733" s="176"/>
      <c r="DP733" s="176"/>
      <c r="DQ733" s="176"/>
      <c r="DR733" s="176"/>
      <c r="DS733" s="176"/>
      <c r="DT733" s="176"/>
      <c r="DU733" s="176"/>
      <c r="DV733" s="176"/>
      <c r="DW733" s="176"/>
      <c r="DX733" s="176"/>
      <c r="DY733" s="176"/>
      <c r="DZ733" s="176"/>
      <c r="EA733" s="176"/>
      <c r="EB733" s="176"/>
      <c r="EC733" s="176"/>
      <c r="ED733" s="176"/>
      <c r="EE733" s="176"/>
      <c r="EF733" s="176"/>
      <c r="EG733" s="176"/>
      <c r="EH733" s="176"/>
      <c r="EI733" s="176"/>
      <c r="EJ733" s="176"/>
      <c r="EK733" s="176"/>
      <c r="EL733" s="176"/>
      <c r="EM733" s="176"/>
      <c r="EN733" s="176"/>
      <c r="EO733" s="176"/>
      <c r="EP733" s="176"/>
      <c r="EQ733" s="176"/>
      <c r="ER733" s="176"/>
      <c r="ES733" s="176"/>
      <c r="ET733" s="176"/>
      <c r="EU733" s="176"/>
      <c r="EV733" s="176"/>
      <c r="EW733" s="176"/>
      <c r="EX733" s="176"/>
      <c r="EY733" s="176"/>
      <c r="EZ733" s="176"/>
      <c r="FA733" s="176"/>
      <c r="FB733" s="176"/>
      <c r="FC733" s="176"/>
      <c r="FD733" s="176"/>
      <c r="FE733" s="176"/>
      <c r="FF733" s="176"/>
      <c r="FG733" s="176"/>
      <c r="FH733" s="176"/>
      <c r="FI733" s="176"/>
      <c r="FJ733" s="176"/>
      <c r="FK733" s="176"/>
      <c r="FL733" s="176"/>
      <c r="FM733" s="176"/>
      <c r="FN733" s="176"/>
      <c r="FO733" s="176"/>
      <c r="FP733" s="176"/>
      <c r="FQ733" s="176"/>
      <c r="FR733" s="176"/>
      <c r="FS733" s="176"/>
      <c r="FT733" s="176"/>
      <c r="FU733" s="176"/>
      <c r="FV733" s="176"/>
      <c r="FW733" s="176"/>
      <c r="FX733" s="176"/>
      <c r="FY733" s="176"/>
      <c r="FZ733" s="176"/>
      <c r="GA733" s="176"/>
      <c r="GB733" s="176"/>
      <c r="GC733" s="176"/>
      <c r="GD733" s="176"/>
      <c r="GE733" s="176"/>
      <c r="GF733" s="176"/>
      <c r="GG733" s="176"/>
      <c r="GH733" s="176"/>
      <c r="GI733" s="176"/>
      <c r="GJ733" s="176"/>
      <c r="GK733" s="176"/>
      <c r="GL733" s="176"/>
      <c r="GM733" s="176"/>
      <c r="GN733" s="176"/>
      <c r="GO733" s="176"/>
      <c r="GP733" s="176"/>
      <c r="GQ733" s="176"/>
      <c r="GR733" s="176"/>
      <c r="GS733" s="176"/>
      <c r="GT733" s="176"/>
      <c r="GU733" s="176"/>
      <c r="GV733" s="176"/>
      <c r="GW733" s="176"/>
      <c r="GX733" s="176"/>
      <c r="GY733" s="176"/>
      <c r="GZ733" s="176"/>
      <c r="HA733" s="176"/>
      <c r="HB733" s="176"/>
      <c r="HC733" s="176"/>
      <c r="HD733" s="176"/>
      <c r="HE733" s="176"/>
      <c r="HF733" s="176"/>
      <c r="HG733" s="176"/>
      <c r="HH733" s="176"/>
      <c r="HI733" s="176"/>
      <c r="HJ733" s="176"/>
      <c r="HK733" s="176"/>
      <c r="HL733" s="176"/>
      <c r="HM733" s="176"/>
      <c r="HN733" s="176"/>
      <c r="HO733" s="176"/>
      <c r="HP733" s="176"/>
      <c r="HQ733" s="176"/>
      <c r="HR733" s="176"/>
      <c r="HS733" s="176"/>
      <c r="HT733" s="176"/>
      <c r="HU733" s="176"/>
      <c r="HV733" s="176"/>
      <c r="HW733" s="176"/>
      <c r="HX733" s="176"/>
      <c r="HY733" s="176"/>
      <c r="HZ733" s="176"/>
      <c r="IA733" s="176"/>
      <c r="IB733" s="176"/>
      <c r="IC733" s="176"/>
      <c r="ID733" s="176"/>
      <c r="IE733" s="176"/>
      <c r="IF733" s="176"/>
      <c r="IG733" s="176"/>
      <c r="IH733" s="176"/>
      <c r="II733" s="176"/>
      <c r="IJ733" s="176"/>
      <c r="IK733" s="176"/>
      <c r="IL733" s="176"/>
      <c r="IM733" s="176"/>
      <c r="IN733" s="176"/>
      <c r="IO733" s="176"/>
      <c r="IP733" s="176"/>
      <c r="IQ733" s="176"/>
      <c r="IR733" s="176"/>
      <c r="IS733" s="176"/>
      <c r="IT733" s="176"/>
      <c r="IU733" s="176"/>
      <c r="IV733" s="176"/>
      <c r="IW733" s="176"/>
      <c r="IX733" s="176"/>
      <c r="IY733" s="176"/>
      <c r="IZ733" s="176"/>
      <c r="JA733" s="176"/>
      <c r="JB733" s="176"/>
      <c r="JC733" s="176"/>
      <c r="JD733" s="176"/>
      <c r="JE733" s="176"/>
      <c r="JF733" s="176"/>
      <c r="JG733" s="176"/>
      <c r="JH733" s="176"/>
      <c r="JI733" s="176"/>
      <c r="JJ733" s="176"/>
      <c r="JK733" s="176"/>
      <c r="JL733" s="176"/>
      <c r="JM733" s="176"/>
      <c r="JN733" s="176"/>
      <c r="JO733" s="176"/>
      <c r="JP733" s="176"/>
      <c r="JQ733" s="176"/>
      <c r="JR733" s="176"/>
      <c r="JS733" s="176"/>
      <c r="JT733" s="176"/>
      <c r="JU733" s="176"/>
      <c r="JV733" s="176"/>
      <c r="JW733" s="131"/>
      <c r="JX733" s="131"/>
      <c r="JY733" s="131"/>
      <c r="JZ733" s="131"/>
      <c r="KA733" s="131"/>
      <c r="KB733" s="131"/>
      <c r="KC733" s="131"/>
      <c r="KD733" s="131"/>
      <c r="KE733" s="131"/>
      <c r="KF733" s="131"/>
      <c r="KG733" s="131"/>
      <c r="KH733" s="131"/>
      <c r="KI733" s="131"/>
      <c r="KJ733" s="131"/>
      <c r="KK733" s="131"/>
      <c r="KL733" s="131"/>
      <c r="KM733" s="131"/>
      <c r="KN733" s="131"/>
      <c r="KO733" s="131"/>
      <c r="KP733" s="131"/>
      <c r="KQ733" s="131"/>
      <c r="KR733" s="131"/>
      <c r="KS733" s="131"/>
      <c r="KT733" s="131"/>
      <c r="KU733" s="131"/>
      <c r="KV733" s="131"/>
      <c r="KW733" s="131"/>
      <c r="KX733" s="131"/>
      <c r="KY733" s="131"/>
      <c r="KZ733" s="131"/>
      <c r="LA733" s="131"/>
      <c r="LB733" s="131"/>
      <c r="LC733" s="131"/>
      <c r="LD733" s="131"/>
      <c r="LE733" s="131"/>
      <c r="LF733" s="131"/>
      <c r="LG733" s="131"/>
      <c r="LH733" s="131"/>
      <c r="LI733" s="131"/>
      <c r="LJ733" s="131"/>
      <c r="LK733" s="131"/>
      <c r="LL733" s="131"/>
      <c r="LM733" s="131"/>
      <c r="LN733" s="131"/>
      <c r="LO733" s="131"/>
      <c r="LP733" s="131"/>
      <c r="LQ733" s="131"/>
      <c r="LR733" s="131"/>
      <c r="LS733" s="131"/>
      <c r="LT733" s="131"/>
      <c r="LU733" s="131"/>
      <c r="LV733" s="131"/>
      <c r="LW733" s="131"/>
      <c r="LX733" s="131"/>
      <c r="LY733" s="131"/>
      <c r="LZ733" s="131"/>
      <c r="MA733" s="131"/>
      <c r="MB733" s="131"/>
      <c r="MC733" s="131"/>
      <c r="MD733" s="131"/>
      <c r="ME733" s="131"/>
      <c r="MF733" s="131"/>
      <c r="MG733" s="131"/>
      <c r="MH733" s="131"/>
      <c r="MI733" s="131"/>
      <c r="MJ733" s="131"/>
      <c r="MK733" s="131"/>
      <c r="ML733" s="131"/>
      <c r="MM733" s="131"/>
      <c r="MN733" s="131"/>
      <c r="MO733" s="131"/>
      <c r="MP733" s="131"/>
      <c r="MQ733" s="131"/>
      <c r="MR733" s="131"/>
      <c r="MS733" s="131"/>
      <c r="MT733" s="131"/>
      <c r="MU733" s="131"/>
      <c r="MV733" s="131"/>
      <c r="MW733" s="131"/>
      <c r="MX733" s="131"/>
      <c r="MY733" s="131"/>
      <c r="MZ733" s="131"/>
      <c r="NA733" s="131"/>
      <c r="NB733" s="131"/>
      <c r="NC733" s="131"/>
      <c r="ND733" s="131"/>
      <c r="NE733" s="131"/>
      <c r="NF733" s="131"/>
      <c r="NG733" s="131"/>
      <c r="NH733" s="131"/>
      <c r="NI733" s="131"/>
      <c r="NJ733" s="131"/>
      <c r="NK733" s="131"/>
      <c r="NL733" s="131"/>
      <c r="NM733" s="131"/>
      <c r="NN733" s="131"/>
      <c r="NO733" s="131"/>
      <c r="NP733" s="131"/>
      <c r="NQ733" s="131"/>
      <c r="NR733" s="131"/>
      <c r="NS733" s="131"/>
      <c r="NT733" s="131"/>
      <c r="NU733" s="131"/>
      <c r="NV733" s="131"/>
      <c r="NW733" s="131"/>
      <c r="NX733" s="131"/>
      <c r="NY733" s="131"/>
      <c r="NZ733" s="131"/>
      <c r="OA733" s="131"/>
      <c r="OB733" s="131"/>
      <c r="OC733" s="131"/>
      <c r="OD733" s="131"/>
      <c r="OE733" s="131"/>
      <c r="OF733" s="131"/>
      <c r="OG733" s="131"/>
      <c r="OH733" s="131"/>
      <c r="OI733" s="131"/>
      <c r="OJ733" s="131"/>
      <c r="OK733" s="131"/>
      <c r="OL733" s="131"/>
      <c r="OM733" s="131"/>
      <c r="ON733" s="131"/>
      <c r="OO733" s="131"/>
      <c r="OP733" s="131"/>
      <c r="OQ733" s="131"/>
      <c r="OR733" s="131"/>
      <c r="OS733" s="131"/>
      <c r="OT733" s="131"/>
      <c r="OU733" s="131"/>
      <c r="OV733" s="131"/>
      <c r="OW733" s="131"/>
      <c r="OX733" s="131"/>
      <c r="OY733" s="131"/>
      <c r="OZ733" s="131"/>
      <c r="PA733" s="131"/>
      <c r="PB733" s="131"/>
      <c r="PC733" s="131"/>
      <c r="PD733" s="131"/>
      <c r="PE733" s="131"/>
      <c r="PF733" s="131"/>
      <c r="PG733" s="131"/>
      <c r="PH733" s="131"/>
      <c r="PI733" s="131"/>
      <c r="PJ733" s="131"/>
      <c r="PK733" s="131"/>
      <c r="PL733" s="131"/>
      <c r="PM733" s="131"/>
      <c r="PN733" s="131"/>
      <c r="PO733" s="131"/>
      <c r="PP733" s="131"/>
      <c r="PQ733" s="131"/>
      <c r="PR733" s="131"/>
      <c r="PS733" s="131"/>
      <c r="PT733" s="131"/>
      <c r="PU733" s="131"/>
      <c r="PV733" s="131"/>
      <c r="PW733" s="131"/>
      <c r="PX733" s="131"/>
      <c r="PY733" s="131"/>
      <c r="PZ733" s="131"/>
      <c r="QA733" s="131"/>
      <c r="QB733" s="131"/>
      <c r="QC733" s="131"/>
      <c r="QD733" s="131"/>
      <c r="QE733" s="131"/>
      <c r="QF733" s="131"/>
      <c r="QG733" s="131"/>
      <c r="QH733" s="131"/>
      <c r="QI733" s="131"/>
      <c r="QJ733" s="131"/>
      <c r="QK733" s="131"/>
      <c r="QL733" s="131"/>
      <c r="QM733" s="131"/>
      <c r="QN733" s="131"/>
      <c r="QO733" s="131"/>
      <c r="QP733" s="131"/>
      <c r="QQ733" s="131"/>
      <c r="QR733" s="131"/>
      <c r="QS733" s="131"/>
      <c r="QT733" s="131"/>
      <c r="QU733" s="131"/>
      <c r="QV733" s="131"/>
      <c r="QW733" s="131"/>
      <c r="QX733" s="131"/>
      <c r="QY733" s="131"/>
      <c r="QZ733" s="131"/>
      <c r="RA733" s="131"/>
      <c r="RB733" s="131"/>
      <c r="RC733" s="131"/>
      <c r="RD733" s="131"/>
      <c r="RE733" s="131"/>
      <c r="RF733" s="131"/>
      <c r="RG733" s="131"/>
      <c r="RH733" s="131"/>
      <c r="RI733" s="131"/>
      <c r="RJ733" s="131"/>
      <c r="RK733" s="131"/>
      <c r="RL733" s="131"/>
      <c r="RM733" s="131"/>
      <c r="RN733" s="131"/>
      <c r="RO733" s="131"/>
      <c r="RP733" s="131"/>
      <c r="RQ733" s="131"/>
      <c r="RR733" s="131"/>
      <c r="RS733" s="131"/>
      <c r="RT733" s="131"/>
      <c r="RU733" s="131"/>
      <c r="RV733" s="131"/>
      <c r="RW733" s="131"/>
      <c r="RX733" s="131"/>
      <c r="RY733" s="131"/>
      <c r="RZ733" s="131"/>
      <c r="SA733" s="131"/>
      <c r="SB733" s="131"/>
      <c r="SC733" s="131"/>
      <c r="SD733" s="131"/>
      <c r="SE733" s="131"/>
      <c r="SF733" s="131"/>
      <c r="SG733" s="131"/>
      <c r="SH733" s="131"/>
      <c r="SI733" s="131"/>
      <c r="SJ733" s="131"/>
      <c r="SK733" s="131"/>
      <c r="SL733" s="131"/>
      <c r="SM733" s="131"/>
      <c r="SN733" s="131"/>
      <c r="SO733" s="131"/>
      <c r="SP733" s="131"/>
      <c r="SQ733" s="131"/>
      <c r="SR733" s="131"/>
      <c r="SS733" s="131"/>
      <c r="ST733" s="131"/>
      <c r="SU733" s="131"/>
      <c r="SV733" s="131"/>
      <c r="SW733" s="131"/>
      <c r="SX733" s="131"/>
      <c r="SY733" s="131"/>
      <c r="SZ733" s="131"/>
      <c r="TA733" s="131"/>
      <c r="TB733" s="131"/>
      <c r="TC733" s="131"/>
      <c r="TD733" s="131"/>
      <c r="TE733" s="131"/>
      <c r="TF733" s="131"/>
      <c r="TG733" s="131"/>
      <c r="TH733" s="131"/>
      <c r="TI733" s="131"/>
      <c r="TJ733" s="131"/>
      <c r="TK733" s="131"/>
      <c r="TL733" s="131"/>
      <c r="TM733" s="131"/>
      <c r="TN733" s="131"/>
      <c r="TO733" s="131"/>
      <c r="TP733" s="131"/>
      <c r="TQ733" s="131"/>
      <c r="TR733" s="131"/>
      <c r="TS733" s="131"/>
      <c r="TT733" s="131"/>
      <c r="TU733" s="131"/>
      <c r="TV733" s="131"/>
      <c r="TW733" s="131"/>
      <c r="TX733" s="131"/>
      <c r="TY733" s="131"/>
      <c r="TZ733" s="131"/>
      <c r="UA733" s="131"/>
      <c r="UB733" s="131"/>
      <c r="UC733" s="131"/>
      <c r="UD733" s="131"/>
      <c r="UE733" s="131"/>
      <c r="UF733" s="131"/>
      <c r="UG733" s="131"/>
      <c r="UH733" s="131"/>
      <c r="UI733" s="131"/>
      <c r="UJ733" s="131"/>
      <c r="UK733" s="131"/>
      <c r="UL733" s="131"/>
      <c r="UM733" s="131"/>
      <c r="UN733" s="131"/>
      <c r="UO733" s="131"/>
      <c r="UP733" s="131"/>
      <c r="UQ733" s="131"/>
      <c r="UR733" s="131"/>
      <c r="US733" s="131"/>
      <c r="UT733" s="131"/>
      <c r="UU733" s="131"/>
      <c r="UV733" s="131"/>
      <c r="UW733" s="131"/>
      <c r="UX733" s="131"/>
      <c r="UY733" s="131"/>
      <c r="UZ733" s="131"/>
      <c r="VA733" s="131"/>
      <c r="VB733" s="131"/>
      <c r="VC733" s="131"/>
      <c r="VD733" s="131"/>
      <c r="VE733" s="131"/>
      <c r="VF733" s="131"/>
      <c r="VG733" s="131"/>
      <c r="VH733" s="131"/>
      <c r="VI733" s="131"/>
      <c r="VJ733" s="131"/>
      <c r="VK733" s="131"/>
      <c r="VL733" s="131"/>
      <c r="VM733" s="131"/>
      <c r="VN733" s="131"/>
      <c r="VO733" s="131"/>
      <c r="VP733" s="131"/>
      <c r="VQ733" s="131"/>
      <c r="VR733" s="131"/>
      <c r="VS733" s="131"/>
      <c r="VT733" s="131"/>
      <c r="VU733" s="131"/>
      <c r="VV733" s="131"/>
      <c r="VW733" s="131"/>
      <c r="VX733" s="131"/>
      <c r="VY733" s="131"/>
      <c r="VZ733" s="131"/>
      <c r="WA733" s="131"/>
      <c r="WB733" s="131"/>
      <c r="WC733" s="131"/>
      <c r="WD733" s="131"/>
      <c r="WE733" s="131"/>
      <c r="WF733" s="131"/>
      <c r="WG733" s="131"/>
      <c r="WH733" s="131"/>
      <c r="WI733" s="131"/>
      <c r="WJ733" s="131"/>
      <c r="WK733" s="131"/>
      <c r="WL733" s="131"/>
      <c r="WM733" s="131"/>
      <c r="WN733" s="131"/>
      <c r="WO733" s="131"/>
      <c r="WP733" s="131"/>
      <c r="WQ733" s="131"/>
      <c r="WR733" s="131"/>
      <c r="WS733" s="131"/>
      <c r="WT733" s="131"/>
      <c r="WU733" s="131"/>
      <c r="WV733" s="131"/>
      <c r="WW733" s="131"/>
      <c r="WX733" s="131"/>
      <c r="WY733" s="131"/>
      <c r="WZ733" s="131"/>
      <c r="XA733" s="131"/>
      <c r="XB733" s="131"/>
      <c r="XC733" s="131"/>
      <c r="XD733" s="131"/>
      <c r="XE733" s="131"/>
      <c r="XF733" s="131"/>
      <c r="XG733" s="131"/>
      <c r="XH733" s="131"/>
      <c r="XI733" s="131"/>
      <c r="XJ733" s="131"/>
      <c r="XK733" s="131"/>
      <c r="XL733" s="131"/>
      <c r="XM733" s="131"/>
      <c r="XN733" s="131"/>
      <c r="XO733" s="131"/>
      <c r="XP733" s="131"/>
      <c r="XQ733" s="131"/>
      <c r="XR733" s="131"/>
      <c r="XS733" s="131"/>
      <c r="XT733" s="131"/>
      <c r="XU733" s="131"/>
      <c r="XV733" s="131"/>
      <c r="XW733" s="131"/>
      <c r="XX733" s="131"/>
      <c r="XY733" s="131"/>
      <c r="XZ733" s="131"/>
      <c r="YA733" s="131"/>
      <c r="YB733" s="131"/>
      <c r="YC733" s="131"/>
      <c r="YD733" s="131"/>
      <c r="YE733" s="131"/>
      <c r="YF733" s="131"/>
      <c r="YG733" s="131"/>
      <c r="YH733" s="131"/>
      <c r="YI733" s="131"/>
      <c r="YJ733" s="131"/>
      <c r="YK733" s="131"/>
      <c r="YL733" s="131"/>
      <c r="YM733" s="131"/>
      <c r="YN733" s="131"/>
      <c r="YO733" s="131"/>
      <c r="YP733" s="131"/>
      <c r="YQ733" s="131"/>
      <c r="YR733" s="131"/>
      <c r="YS733" s="131"/>
      <c r="YT733" s="131"/>
      <c r="YU733" s="131"/>
      <c r="YV733" s="131"/>
      <c r="YW733" s="131"/>
      <c r="YX733" s="131"/>
      <c r="YY733" s="131"/>
      <c r="YZ733" s="131"/>
      <c r="ZA733" s="131"/>
      <c r="ZB733" s="131"/>
      <c r="ZC733" s="131"/>
      <c r="ZD733" s="131"/>
      <c r="ZE733" s="131"/>
      <c r="ZF733" s="131"/>
      <c r="ZG733" s="131"/>
      <c r="ZH733" s="131"/>
      <c r="ZI733" s="131"/>
      <c r="ZJ733" s="131"/>
      <c r="ZK733" s="131"/>
      <c r="ZL733" s="131"/>
      <c r="ZM733" s="131"/>
      <c r="ZN733" s="131"/>
      <c r="ZO733" s="131"/>
      <c r="ZP733" s="131"/>
      <c r="ZQ733" s="131"/>
      <c r="ZR733" s="131"/>
      <c r="ZS733" s="131"/>
      <c r="ZT733" s="131"/>
      <c r="ZU733" s="131"/>
      <c r="ZV733" s="131"/>
      <c r="ZW733" s="131"/>
      <c r="ZX733" s="131"/>
      <c r="ZY733" s="131"/>
      <c r="ZZ733" s="131"/>
      <c r="AAA733" s="131"/>
      <c r="AAB733" s="131"/>
      <c r="AAC733" s="131"/>
      <c r="AAD733" s="131"/>
      <c r="AAE733" s="131"/>
      <c r="AAF733" s="131"/>
      <c r="AAG733" s="131"/>
      <c r="AAH733" s="131"/>
      <c r="AAI733" s="131"/>
      <c r="AAJ733" s="131"/>
      <c r="AAK733" s="131"/>
      <c r="AAL733" s="131"/>
      <c r="AAM733" s="131"/>
      <c r="AAN733" s="131"/>
      <c r="AAO733" s="131"/>
      <c r="AAP733" s="131"/>
      <c r="AAQ733" s="131"/>
      <c r="AAR733" s="131"/>
      <c r="AAS733" s="131"/>
      <c r="AAT733" s="131"/>
      <c r="AAU733" s="131"/>
      <c r="AAV733" s="131"/>
      <c r="AAW733" s="131"/>
      <c r="AAX733" s="131"/>
      <c r="AAY733" s="131"/>
      <c r="AAZ733" s="131"/>
      <c r="ABA733" s="131"/>
      <c r="ABB733" s="131"/>
      <c r="ABC733" s="131"/>
      <c r="ABD733" s="131"/>
      <c r="ABE733" s="131"/>
      <c r="ABF733" s="131"/>
      <c r="ABG733" s="131"/>
      <c r="ABH733" s="131"/>
      <c r="ABI733" s="131"/>
      <c r="ABJ733" s="131"/>
      <c r="ABK733" s="131"/>
      <c r="ABL733" s="131"/>
      <c r="ABM733" s="131"/>
      <c r="ABN733" s="131"/>
      <c r="ABO733" s="131"/>
      <c r="ABP733" s="131"/>
      <c r="ABQ733" s="131"/>
      <c r="ABR733" s="131"/>
      <c r="ABS733" s="131"/>
      <c r="ABT733" s="131"/>
      <c r="ABU733" s="131"/>
      <c r="ABV733" s="131"/>
      <c r="ABW733" s="131"/>
      <c r="ABX733" s="131"/>
      <c r="ABY733" s="131"/>
      <c r="ABZ733" s="131"/>
      <c r="ACA733" s="131"/>
      <c r="ACB733" s="131"/>
      <c r="ACC733" s="131"/>
      <c r="ACD733" s="131"/>
      <c r="ACE733" s="131"/>
      <c r="ACF733" s="131"/>
      <c r="ACG733" s="131"/>
      <c r="ACH733" s="131"/>
      <c r="ACI733" s="131"/>
      <c r="ACJ733" s="131"/>
      <c r="ACK733" s="131"/>
      <c r="ACL733" s="131"/>
      <c r="ACM733" s="131"/>
      <c r="ACN733" s="131"/>
      <c r="ACO733" s="131"/>
      <c r="ACP733" s="131"/>
      <c r="ACQ733" s="131"/>
      <c r="ACR733" s="131"/>
      <c r="ACS733" s="131"/>
      <c r="ACT733" s="131"/>
      <c r="ACU733" s="131"/>
      <c r="ACV733" s="131"/>
      <c r="ACW733" s="131"/>
      <c r="ACX733" s="131"/>
      <c r="ACY733" s="131"/>
      <c r="ACZ733" s="131"/>
      <c r="ADA733" s="131"/>
      <c r="ADB733" s="131"/>
      <c r="ADC733" s="131"/>
      <c r="ADD733" s="131"/>
      <c r="ADE733" s="131"/>
      <c r="ADF733" s="131"/>
      <c r="ADG733" s="131"/>
      <c r="ADH733" s="131"/>
      <c r="ADI733" s="131"/>
      <c r="ADJ733" s="131"/>
      <c r="ADK733" s="131"/>
      <c r="ADL733" s="131"/>
      <c r="ADM733" s="131"/>
      <c r="ADN733" s="131"/>
      <c r="ADO733" s="131"/>
      <c r="ADP733" s="131"/>
      <c r="ADQ733" s="131"/>
      <c r="ADR733" s="131"/>
      <c r="ADS733" s="131"/>
      <c r="ADT733" s="131"/>
      <c r="ADU733" s="131"/>
      <c r="ADV733" s="131"/>
      <c r="ADW733" s="131"/>
      <c r="ADX733" s="131"/>
      <c r="ADY733" s="131"/>
      <c r="ADZ733" s="131"/>
      <c r="AEA733" s="131"/>
      <c r="AEB733" s="131"/>
      <c r="AEC733" s="131"/>
      <c r="AED733" s="131"/>
      <c r="AEE733" s="131"/>
      <c r="AEF733" s="131"/>
      <c r="AEG733" s="131"/>
      <c r="AEH733" s="131"/>
      <c r="AEI733" s="131"/>
      <c r="AEJ733" s="131"/>
      <c r="AEK733" s="131"/>
      <c r="AEL733" s="131"/>
      <c r="AEM733" s="131"/>
      <c r="AEN733" s="131"/>
      <c r="AEO733" s="131"/>
      <c r="AEP733" s="131"/>
      <c r="AEQ733" s="131"/>
      <c r="AER733" s="131"/>
      <c r="AES733" s="131"/>
      <c r="AET733" s="131"/>
      <c r="AEU733" s="131"/>
      <c r="AEV733" s="131"/>
      <c r="AEW733" s="131"/>
      <c r="AEX733" s="131"/>
      <c r="AEY733" s="131"/>
      <c r="AEZ733" s="131"/>
      <c r="AFA733" s="131"/>
      <c r="AFB733" s="131"/>
      <c r="AFC733" s="131"/>
      <c r="AFD733" s="131"/>
      <c r="AFE733" s="131"/>
      <c r="AFF733" s="131"/>
      <c r="AFG733" s="131"/>
      <c r="AFH733" s="131"/>
      <c r="AFI733" s="131"/>
      <c r="AFJ733" s="131"/>
      <c r="AFK733" s="131"/>
      <c r="AFL733" s="131"/>
      <c r="AFM733" s="131"/>
      <c r="AFN733" s="131"/>
      <c r="AFO733" s="131"/>
      <c r="AFP733" s="131"/>
      <c r="AFQ733" s="131"/>
      <c r="AFR733" s="131"/>
      <c r="AFS733" s="131"/>
      <c r="AFT733" s="131"/>
      <c r="AFU733" s="131"/>
      <c r="AFV733" s="131"/>
      <c r="AFW733" s="131"/>
      <c r="AFX733" s="131"/>
      <c r="AFY733" s="131"/>
      <c r="AFZ733" s="131"/>
      <c r="AGA733" s="131"/>
      <c r="AGB733" s="131"/>
      <c r="AGC733" s="131"/>
      <c r="AGD733" s="131"/>
      <c r="AGE733" s="131"/>
      <c r="AGF733" s="131"/>
      <c r="AGG733" s="131"/>
      <c r="AGH733" s="131"/>
      <c r="AGI733" s="131"/>
      <c r="AGJ733" s="131"/>
      <c r="AGK733" s="131"/>
      <c r="AGL733" s="131"/>
      <c r="AGM733" s="131"/>
      <c r="AGN733" s="131"/>
      <c r="AGO733" s="131"/>
      <c r="AGP733" s="131"/>
      <c r="AGQ733" s="131"/>
      <c r="AGR733" s="131"/>
      <c r="AGS733" s="131"/>
      <c r="AGT733" s="131"/>
      <c r="AGU733" s="131"/>
      <c r="AGV733" s="131"/>
      <c r="AGW733" s="131"/>
      <c r="AGX733" s="131"/>
      <c r="AGY733" s="131"/>
      <c r="AGZ733" s="131"/>
      <c r="AHA733" s="131"/>
      <c r="AHB733" s="131"/>
      <c r="AHC733" s="131"/>
      <c r="AHD733" s="131"/>
      <c r="AHE733" s="131"/>
      <c r="AHF733" s="131"/>
      <c r="AHG733" s="131"/>
      <c r="AHH733" s="131"/>
      <c r="AHI733" s="131"/>
      <c r="AHJ733" s="131"/>
      <c r="AHK733" s="131"/>
      <c r="AHL733" s="131"/>
      <c r="AHM733" s="131"/>
      <c r="AHN733" s="131"/>
      <c r="AHO733" s="131"/>
      <c r="AHP733" s="131"/>
      <c r="AHQ733" s="131"/>
      <c r="AHR733" s="131"/>
      <c r="AHS733" s="131"/>
      <c r="AHT733" s="131"/>
      <c r="AHU733" s="131"/>
      <c r="AHV733" s="131"/>
      <c r="AHW733" s="131"/>
      <c r="AHX733" s="131"/>
      <c r="AHY733" s="131"/>
      <c r="AHZ733" s="131"/>
      <c r="AIA733" s="131"/>
      <c r="AIB733" s="131"/>
      <c r="AIC733" s="131"/>
      <c r="AID733" s="131"/>
      <c r="AIE733" s="131"/>
      <c r="AIF733" s="131"/>
      <c r="AIG733" s="131"/>
      <c r="AIH733" s="131"/>
      <c r="AII733" s="131"/>
      <c r="AIJ733" s="131"/>
      <c r="AIK733" s="131"/>
      <c r="AIL733" s="131"/>
      <c r="AIM733" s="131"/>
      <c r="AIN733" s="131"/>
      <c r="AIO733" s="131"/>
      <c r="AIP733" s="131"/>
      <c r="AIQ733" s="131"/>
      <c r="AIR733" s="131"/>
      <c r="AIS733" s="131"/>
      <c r="AIT733" s="131"/>
      <c r="AIU733" s="131"/>
      <c r="AIV733" s="131"/>
      <c r="AIW733" s="131"/>
      <c r="AIX733" s="131"/>
      <c r="AIY733" s="131"/>
      <c r="AIZ733" s="131"/>
      <c r="AJA733" s="131"/>
      <c r="AJB733" s="131"/>
      <c r="AJC733" s="131"/>
      <c r="AJD733" s="131"/>
      <c r="AJE733" s="131"/>
      <c r="AJF733" s="131"/>
      <c r="AJG733" s="131"/>
      <c r="AJH733" s="131"/>
      <c r="AJI733" s="131"/>
      <c r="AJJ733" s="131"/>
      <c r="AJK733" s="131"/>
      <c r="AJL733" s="131"/>
      <c r="AJM733" s="131"/>
      <c r="AJN733" s="131"/>
      <c r="AJO733" s="131"/>
      <c r="AJP733" s="131"/>
      <c r="AJQ733" s="131"/>
      <c r="AJR733" s="131"/>
      <c r="AJS733" s="131"/>
      <c r="AJT733" s="131"/>
      <c r="AJU733" s="131"/>
      <c r="AJV733" s="131"/>
      <c r="AJW733" s="131"/>
      <c r="AJX733" s="131"/>
      <c r="AJY733" s="131"/>
      <c r="AJZ733" s="131"/>
      <c r="AKA733" s="131"/>
      <c r="AKB733" s="131"/>
      <c r="AKC733" s="131"/>
      <c r="AKD733" s="131"/>
      <c r="AKE733" s="131"/>
      <c r="AKF733" s="131"/>
      <c r="AKG733" s="131"/>
      <c r="AKH733" s="131"/>
      <c r="AKI733" s="131"/>
      <c r="AKJ733" s="131"/>
      <c r="AKK733" s="131"/>
      <c r="AKL733" s="131"/>
      <c r="AKM733" s="131"/>
      <c r="AKN733" s="131"/>
      <c r="AKO733" s="131"/>
      <c r="AKP733" s="131"/>
      <c r="AKQ733" s="131"/>
      <c r="AKR733" s="131"/>
      <c r="AKS733" s="131"/>
      <c r="AKT733" s="131"/>
      <c r="AKU733" s="131"/>
      <c r="AKV733" s="131"/>
      <c r="AKW733" s="131"/>
      <c r="AKX733" s="131"/>
      <c r="AKY733" s="131"/>
      <c r="AKZ733" s="131"/>
      <c r="ALA733" s="131"/>
      <c r="ALB733" s="131"/>
      <c r="ALC733" s="131"/>
      <c r="ALD733" s="131"/>
      <c r="ALE733" s="131"/>
      <c r="ALF733" s="131"/>
      <c r="ALG733" s="131"/>
      <c r="ALH733" s="131"/>
      <c r="ALI733" s="131"/>
      <c r="ALJ733" s="131"/>
      <c r="ALK733" s="131"/>
      <c r="ALL733" s="131"/>
      <c r="ALM733" s="131"/>
      <c r="ALN733" s="131"/>
      <c r="ALO733" s="131"/>
      <c r="ALP733" s="131"/>
      <c r="ALQ733" s="131"/>
      <c r="ALR733" s="131"/>
      <c r="ALS733" s="131"/>
      <c r="ALT733" s="131"/>
      <c r="ALU733" s="131"/>
      <c r="ALV733" s="131"/>
      <c r="ALW733" s="131"/>
      <c r="ALX733" s="131"/>
      <c r="ALY733" s="131"/>
      <c r="ALZ733" s="131"/>
      <c r="AMA733" s="131"/>
      <c r="AMB733" s="131"/>
      <c r="AMC733" s="131"/>
      <c r="AMD733" s="131"/>
      <c r="AME733" s="131"/>
      <c r="AMF733" s="131"/>
      <c r="AMG733" s="131"/>
      <c r="AMH733" s="131"/>
      <c r="AMI733" s="131"/>
      <c r="AMJ733" s="131"/>
      <c r="AMK733" s="131"/>
      <c r="AML733" s="131"/>
      <c r="AMM733" s="131"/>
      <c r="AMN733" s="131"/>
      <c r="AMO733" s="131"/>
      <c r="AMP733" s="131"/>
      <c r="AMQ733" s="131"/>
      <c r="AMR733" s="131"/>
      <c r="AMS733" s="131"/>
      <c r="AMT733" s="131"/>
      <c r="AMU733" s="131"/>
      <c r="AMV733" s="131"/>
      <c r="AMW733" s="131"/>
      <c r="AMX733" s="131"/>
      <c r="AMY733" s="131"/>
      <c r="AMZ733" s="131"/>
      <c r="ANA733" s="131"/>
      <c r="ANB733" s="131"/>
      <c r="ANC733" s="131"/>
      <c r="AND733" s="131"/>
      <c r="ANE733" s="131"/>
      <c r="ANF733" s="131"/>
      <c r="ANG733" s="131"/>
      <c r="ANH733" s="131"/>
      <c r="ANI733" s="131"/>
      <c r="ANJ733" s="131"/>
      <c r="ANK733" s="131"/>
      <c r="ANL733" s="131"/>
      <c r="ANM733" s="131"/>
      <c r="ANN733" s="131"/>
      <c r="ANO733" s="131"/>
      <c r="ANP733" s="131"/>
      <c r="ANQ733" s="131"/>
      <c r="ANR733" s="131"/>
      <c r="ANS733" s="131"/>
      <c r="ANT733" s="131"/>
      <c r="ANU733" s="131"/>
      <c r="ANV733" s="131"/>
      <c r="ANW733" s="131"/>
      <c r="ANX733" s="131"/>
      <c r="ANY733" s="131"/>
      <c r="ANZ733" s="131"/>
      <c r="AOA733" s="131"/>
      <c r="AOB733" s="131"/>
      <c r="AOC733" s="131"/>
      <c r="AOD733" s="131"/>
      <c r="AOE733" s="131"/>
      <c r="AOF733" s="131"/>
      <c r="AOG733" s="131"/>
      <c r="AOH733" s="131"/>
      <c r="AOI733" s="131"/>
      <c r="AOJ733" s="131"/>
      <c r="AOK733" s="131"/>
      <c r="AOL733" s="131"/>
      <c r="AOM733" s="131"/>
      <c r="AON733" s="131"/>
      <c r="AOO733" s="131"/>
      <c r="AOP733" s="131"/>
      <c r="AOQ733" s="131"/>
      <c r="AOR733" s="131"/>
      <c r="AOS733" s="131"/>
      <c r="AOT733" s="131"/>
      <c r="AOU733" s="131"/>
      <c r="AOV733" s="131"/>
      <c r="AOW733" s="131"/>
      <c r="AOX733" s="131"/>
      <c r="AOY733" s="131"/>
      <c r="AOZ733" s="131"/>
      <c r="APA733" s="131"/>
      <c r="APB733" s="131"/>
      <c r="APC733" s="131"/>
      <c r="APD733" s="131"/>
      <c r="APE733" s="131"/>
      <c r="APF733" s="131"/>
      <c r="APG733" s="131"/>
      <c r="APH733" s="131"/>
      <c r="API733" s="131"/>
      <c r="APJ733" s="131"/>
      <c r="APK733" s="131"/>
      <c r="APL733" s="131"/>
      <c r="APM733" s="131"/>
      <c r="APN733" s="131"/>
      <c r="APO733" s="131"/>
      <c r="APP733" s="131"/>
      <c r="APQ733" s="131"/>
      <c r="APR733" s="131"/>
      <c r="APS733" s="131"/>
      <c r="APT733" s="131"/>
      <c r="APU733" s="131"/>
      <c r="APV733" s="131"/>
      <c r="APW733" s="131"/>
      <c r="APX733" s="131"/>
      <c r="APY733" s="131"/>
      <c r="APZ733" s="131"/>
      <c r="AQA733" s="131"/>
      <c r="AQB733" s="131"/>
      <c r="AQC733" s="131"/>
      <c r="AQD733" s="131"/>
      <c r="AQE733" s="131"/>
      <c r="AQF733" s="131"/>
      <c r="AQG733" s="131"/>
      <c r="AQH733" s="131"/>
      <c r="AQI733" s="131"/>
      <c r="AQJ733" s="131"/>
      <c r="AQK733" s="131"/>
      <c r="AQL733" s="131"/>
      <c r="AQM733" s="131"/>
      <c r="AQN733" s="131"/>
      <c r="AQO733" s="131"/>
      <c r="AQP733" s="131"/>
      <c r="AQQ733" s="131"/>
      <c r="AQR733" s="131"/>
      <c r="AQS733" s="131"/>
      <c r="AQT733" s="131"/>
      <c r="AQU733" s="131"/>
      <c r="AQV733" s="131"/>
      <c r="AQW733" s="131"/>
      <c r="AQX733" s="131"/>
      <c r="AQY733" s="131"/>
      <c r="AQZ733" s="131"/>
      <c r="ARA733" s="131"/>
      <c r="ARB733" s="131"/>
      <c r="ARC733" s="131"/>
      <c r="ARD733" s="131"/>
      <c r="ARE733" s="131"/>
      <c r="ARF733" s="131"/>
      <c r="ARG733" s="131"/>
      <c r="ARH733" s="131"/>
      <c r="ARI733" s="131"/>
      <c r="ARJ733" s="131"/>
      <c r="ARK733" s="131"/>
      <c r="ARL733" s="131"/>
      <c r="ARM733" s="131"/>
      <c r="ARN733" s="131"/>
      <c r="ARO733" s="131"/>
      <c r="ARP733" s="131"/>
      <c r="ARQ733" s="131"/>
      <c r="ARR733" s="131"/>
      <c r="ARS733" s="131"/>
      <c r="ART733" s="131"/>
      <c r="ARU733" s="131"/>
      <c r="ARV733" s="131"/>
      <c r="ARW733" s="131"/>
      <c r="ARX733" s="131"/>
      <c r="ARY733" s="131"/>
      <c r="ARZ733" s="131"/>
      <c r="ASA733" s="131"/>
      <c r="ASB733" s="131"/>
      <c r="ASC733" s="131"/>
      <c r="ASD733" s="131"/>
      <c r="ASE733" s="131"/>
      <c r="ASF733" s="131"/>
      <c r="ASG733" s="131"/>
      <c r="ASH733" s="131"/>
      <c r="ASI733" s="131"/>
      <c r="ASJ733" s="131"/>
      <c r="ASK733" s="131"/>
      <c r="ASL733" s="131"/>
      <c r="ASM733" s="131"/>
      <c r="ASN733" s="131"/>
      <c r="ASO733" s="131"/>
      <c r="ASP733" s="131"/>
      <c r="ASQ733" s="131"/>
      <c r="ASR733" s="131"/>
      <c r="ASS733" s="131"/>
      <c r="AST733" s="131"/>
      <c r="ASU733" s="131"/>
      <c r="ASV733" s="131"/>
      <c r="ASW733" s="131"/>
      <c r="ASX733" s="131"/>
      <c r="ASY733" s="131"/>
      <c r="ASZ733" s="131"/>
      <c r="ATA733" s="131"/>
      <c r="ATB733" s="131"/>
      <c r="ATC733" s="131"/>
    </row>
    <row r="734" spans="1:1199" ht="50.1" customHeight="1" outlineLevel="2" x14ac:dyDescent="0.3">
      <c r="A734" s="103" t="s">
        <v>651</v>
      </c>
      <c r="B734" s="102" t="s">
        <v>652</v>
      </c>
      <c r="C734" s="79" t="s">
        <v>37</v>
      </c>
      <c r="D734" s="81">
        <f t="shared" ref="D734" si="167">E734+F734</f>
        <v>16079.069019999999</v>
      </c>
      <c r="E734" s="82">
        <f t="shared" si="162"/>
        <v>6118.9663700000001</v>
      </c>
      <c r="F734" s="83">
        <f t="shared" ref="F734:F782" si="168">H734+I734+K734+L734+M734+N734+P734+Q734+R734+T734+U734+W734+Y734+AA734+AC734+AD734+AG734+AH734+AI734+AK734+AM734+AO734+AQ734+AR734+AS734+AT734+AU734+AV734+AW734+AY734+BA734+BB734+BC734+BE734+BF734+BG734+BH734+BI734+BJ734+BK734+BL734+BO734+BP734+BQ734+BS734+BT734+BU734+BW734+BY734+CA734+BM734+BN734</f>
        <v>9960.1026499999989</v>
      </c>
      <c r="G734" s="84"/>
      <c r="H734" s="85"/>
      <c r="I734" s="85"/>
      <c r="J734" s="84"/>
      <c r="K734" s="85"/>
      <c r="L734" s="85"/>
      <c r="M734" s="85"/>
      <c r="N734" s="85"/>
      <c r="O734" s="82"/>
      <c r="P734" s="83"/>
      <c r="Q734" s="83"/>
      <c r="R734" s="83"/>
      <c r="S734" s="82"/>
      <c r="T734" s="83"/>
      <c r="U734" s="83"/>
      <c r="V734" s="84"/>
      <c r="W734" s="85"/>
      <c r="X734" s="87"/>
      <c r="Y734" s="83"/>
      <c r="Z734" s="84"/>
      <c r="AA734" s="85"/>
      <c r="AB734" s="84"/>
      <c r="AC734" s="85"/>
      <c r="AD734" s="89">
        <f t="shared" si="163"/>
        <v>613.73224000000005</v>
      </c>
      <c r="AE734" s="89">
        <v>204.1645</v>
      </c>
      <c r="AF734" s="186">
        <v>409.56774000000001</v>
      </c>
      <c r="AG734" s="85"/>
      <c r="AH734" s="85"/>
      <c r="AI734" s="85"/>
      <c r="AJ734" s="84"/>
      <c r="AK734" s="85"/>
      <c r="AL734" s="84"/>
      <c r="AM734" s="88"/>
      <c r="AN734" s="84"/>
      <c r="AO734" s="85"/>
      <c r="AP734" s="84">
        <v>2639.6960100000001</v>
      </c>
      <c r="AQ734" s="83">
        <v>5555.4972799999996</v>
      </c>
      <c r="AR734" s="83"/>
      <c r="AS734" s="83"/>
      <c r="AT734" s="85"/>
      <c r="AU734" s="85"/>
      <c r="AV734" s="85"/>
      <c r="AW734" s="88"/>
      <c r="AX734" s="84"/>
      <c r="AY734" s="85"/>
      <c r="AZ734" s="84">
        <v>3479.27036</v>
      </c>
      <c r="BA734" s="85">
        <v>3150.7564499999999</v>
      </c>
      <c r="BB734" s="88"/>
      <c r="BC734" s="85"/>
      <c r="BD734" s="84"/>
      <c r="BE734" s="88"/>
      <c r="BF734" s="85"/>
      <c r="BG734" s="85"/>
      <c r="BH734" s="85"/>
      <c r="BI734" s="85"/>
      <c r="BJ734" s="85"/>
      <c r="BK734" s="85">
        <v>365.62625000000003</v>
      </c>
      <c r="BL734" s="85"/>
      <c r="BM734" s="85"/>
      <c r="BN734" s="85"/>
      <c r="BO734" s="85"/>
      <c r="BP734" s="85"/>
      <c r="BQ734" s="85"/>
      <c r="BR734" s="84"/>
      <c r="BS734" s="85"/>
      <c r="BT734" s="85">
        <v>271.5</v>
      </c>
      <c r="BU734" s="97">
        <v>2.9904299999999999</v>
      </c>
      <c r="BV734" s="90"/>
      <c r="BW734" s="198"/>
      <c r="BX734" s="90"/>
      <c r="BY734" s="198"/>
      <c r="BZ734" s="90"/>
      <c r="CA734" s="91"/>
    </row>
    <row r="735" spans="1:1199" ht="50.1" customHeight="1" outlineLevel="2" x14ac:dyDescent="0.3">
      <c r="A735" s="103" t="s">
        <v>651</v>
      </c>
      <c r="B735" s="102" t="s">
        <v>653</v>
      </c>
      <c r="C735" s="79" t="s">
        <v>37</v>
      </c>
      <c r="D735" s="81">
        <f t="shared" ref="D735:D754" si="169">E735+F735</f>
        <v>115447.17629999999</v>
      </c>
      <c r="E735" s="82">
        <f t="shared" si="162"/>
        <v>33712.115530000003</v>
      </c>
      <c r="F735" s="83">
        <f t="shared" si="168"/>
        <v>81735.060769999996</v>
      </c>
      <c r="G735" s="84"/>
      <c r="H735" s="85"/>
      <c r="I735" s="85"/>
      <c r="J735" s="84">
        <f>3298.91271+200.75561+282.97143+46.64945+91.64685+39.00984+87.02974+242.64428+181.2503</f>
        <v>4470.87021</v>
      </c>
      <c r="K735" s="85">
        <f>1034.02251+38.23917+72.96101+11.91056+23.63312+9.77051+22.21714+62.45237+49.49578</f>
        <v>1324.70217</v>
      </c>
      <c r="L735" s="85"/>
      <c r="M735" s="85"/>
      <c r="N735" s="85"/>
      <c r="O735" s="82"/>
      <c r="P735" s="83"/>
      <c r="Q735" s="83">
        <v>15254.426509999999</v>
      </c>
      <c r="R735" s="83"/>
      <c r="S735" s="82">
        <v>10970.04104</v>
      </c>
      <c r="T735" s="83">
        <v>10771.89185</v>
      </c>
      <c r="U735" s="83"/>
      <c r="V735" s="84">
        <v>695.85</v>
      </c>
      <c r="W735" s="85">
        <v>1215</v>
      </c>
      <c r="X735" s="87"/>
      <c r="Y735" s="83">
        <v>3400.8</v>
      </c>
      <c r="Z735" s="84"/>
      <c r="AA735" s="85"/>
      <c r="AB735" s="84"/>
      <c r="AC735" s="85"/>
      <c r="AD735" s="89">
        <f t="shared" si="163"/>
        <v>4653.0907399999996</v>
      </c>
      <c r="AE735" s="89">
        <f>157.707+2288.1852+214.91</f>
        <v>2660.8021999999996</v>
      </c>
      <c r="AF735" s="186">
        <f>91.52732+1678.15762+222.6036</f>
        <v>1992.2885399999998</v>
      </c>
      <c r="AG735" s="85"/>
      <c r="AH735" s="85"/>
      <c r="AI735" s="85"/>
      <c r="AJ735" s="84"/>
      <c r="AK735" s="85"/>
      <c r="AL735" s="84"/>
      <c r="AM735" s="88"/>
      <c r="AN735" s="84"/>
      <c r="AO735" s="85"/>
      <c r="AP735" s="84">
        <v>6569.4491399999997</v>
      </c>
      <c r="AQ735" s="83">
        <v>8231.2339400000001</v>
      </c>
      <c r="AR735" s="83"/>
      <c r="AS735" s="83"/>
      <c r="AT735" s="85"/>
      <c r="AU735" s="85"/>
      <c r="AV735" s="85">
        <v>22645.228920000001</v>
      </c>
      <c r="AW735" s="88"/>
      <c r="AX735" s="84"/>
      <c r="AY735" s="85"/>
      <c r="AZ735" s="84">
        <v>11005.905140000001</v>
      </c>
      <c r="BA735" s="85">
        <v>9966.7273700000005</v>
      </c>
      <c r="BB735" s="88">
        <v>237.87237999999999</v>
      </c>
      <c r="BC735" s="85"/>
      <c r="BD735" s="84"/>
      <c r="BE735" s="88"/>
      <c r="BF735" s="85"/>
      <c r="BG735" s="85">
        <v>2047.5</v>
      </c>
      <c r="BH735" s="85"/>
      <c r="BI735" s="85"/>
      <c r="BJ735" s="85"/>
      <c r="BK735" s="85">
        <v>626.75689</v>
      </c>
      <c r="BL735" s="85"/>
      <c r="BM735" s="85"/>
      <c r="BN735" s="85"/>
      <c r="BO735" s="85"/>
      <c r="BP735" s="85"/>
      <c r="BQ735" s="85"/>
      <c r="BR735" s="84"/>
      <c r="BS735" s="85"/>
      <c r="BT735" s="85">
        <v>1359.83</v>
      </c>
      <c r="BU735" s="198"/>
      <c r="BV735" s="90"/>
      <c r="BW735" s="198"/>
      <c r="BX735" s="90"/>
      <c r="BY735" s="198"/>
      <c r="BZ735" s="90"/>
      <c r="CA735" s="91"/>
    </row>
    <row r="736" spans="1:1199" ht="50.1" customHeight="1" outlineLevel="2" x14ac:dyDescent="0.3">
      <c r="A736" s="103" t="s">
        <v>651</v>
      </c>
      <c r="B736" s="102" t="s">
        <v>654</v>
      </c>
      <c r="C736" s="79" t="s">
        <v>37</v>
      </c>
      <c r="D736" s="81">
        <f t="shared" si="169"/>
        <v>420838.45399000001</v>
      </c>
      <c r="E736" s="82">
        <f t="shared" si="162"/>
        <v>84252.965640000009</v>
      </c>
      <c r="F736" s="83">
        <f t="shared" si="168"/>
        <v>336585.48835</v>
      </c>
      <c r="G736" s="84"/>
      <c r="H736" s="85"/>
      <c r="I736" s="85"/>
      <c r="J736" s="84"/>
      <c r="K736" s="85"/>
      <c r="L736" s="85"/>
      <c r="M736" s="85"/>
      <c r="N736" s="85">
        <v>184486.75179000001</v>
      </c>
      <c r="O736" s="82"/>
      <c r="P736" s="83"/>
      <c r="Q736" s="83">
        <v>17760.882969999999</v>
      </c>
      <c r="R736" s="83"/>
      <c r="S736" s="82">
        <v>39298.843260000001</v>
      </c>
      <c r="T736" s="83">
        <v>30200.820680000001</v>
      </c>
      <c r="U736" s="83">
        <v>13175.040279999999</v>
      </c>
      <c r="V736" s="84">
        <v>10733.880150000001</v>
      </c>
      <c r="W736" s="85">
        <v>20021.985000000001</v>
      </c>
      <c r="X736" s="87"/>
      <c r="Y736" s="83">
        <v>7302.36</v>
      </c>
      <c r="Z736" s="84"/>
      <c r="AA736" s="85"/>
      <c r="AB736" s="84"/>
      <c r="AC736" s="85"/>
      <c r="AD736" s="89">
        <f t="shared" si="163"/>
        <v>11914.349539999999</v>
      </c>
      <c r="AE736" s="89">
        <f>394.2675+3856.0158+21.491</f>
        <v>4271.7743</v>
      </c>
      <c r="AF736" s="186">
        <f>3611.00444+596.844+143.82865+1902.88482+1388.01333</f>
        <v>7642.5752400000001</v>
      </c>
      <c r="AG736" s="85"/>
      <c r="AH736" s="85"/>
      <c r="AI736" s="85"/>
      <c r="AJ736" s="84"/>
      <c r="AK736" s="85"/>
      <c r="AL736" s="84"/>
      <c r="AM736" s="88"/>
      <c r="AN736" s="84"/>
      <c r="AO736" s="85">
        <v>4243.2</v>
      </c>
      <c r="AP736" s="82">
        <v>13136.2508</v>
      </c>
      <c r="AQ736" s="83">
        <v>19345.10482</v>
      </c>
      <c r="AR736" s="83"/>
      <c r="AS736" s="83"/>
      <c r="AT736" s="85"/>
      <c r="AU736" s="85">
        <v>4156.3999999999996</v>
      </c>
      <c r="AV736" s="85"/>
      <c r="AW736" s="88"/>
      <c r="AX736" s="84"/>
      <c r="AY736" s="85"/>
      <c r="AZ736" s="84">
        <v>21083.991429999998</v>
      </c>
      <c r="BA736" s="85">
        <v>19093.210569999999</v>
      </c>
      <c r="BB736" s="88">
        <v>541.66033000000004</v>
      </c>
      <c r="BC736" s="85"/>
      <c r="BD736" s="84"/>
      <c r="BE736" s="88"/>
      <c r="BF736" s="85"/>
      <c r="BG736" s="85">
        <v>4343.7223700000004</v>
      </c>
      <c r="BH736" s="85"/>
      <c r="BI736" s="85"/>
      <c r="BJ736" s="85"/>
      <c r="BK736" s="85"/>
      <c r="BL736" s="85"/>
      <c r="BM736" s="85"/>
      <c r="BN736" s="85"/>
      <c r="BO736" s="85"/>
      <c r="BP736" s="85"/>
      <c r="BQ736" s="85"/>
      <c r="BR736" s="84"/>
      <c r="BS736" s="85"/>
      <c r="BT736" s="85"/>
      <c r="BU736" s="198"/>
      <c r="BV736" s="90"/>
      <c r="BW736" s="198"/>
      <c r="BX736" s="90"/>
      <c r="BY736" s="198"/>
      <c r="BZ736" s="90"/>
      <c r="CA736" s="91"/>
    </row>
    <row r="737" spans="1:79" ht="50.1" customHeight="1" outlineLevel="2" x14ac:dyDescent="0.3">
      <c r="A737" s="103" t="s">
        <v>651</v>
      </c>
      <c r="B737" s="102" t="s">
        <v>656</v>
      </c>
      <c r="C737" s="79" t="s">
        <v>55</v>
      </c>
      <c r="D737" s="81">
        <f t="shared" si="169"/>
        <v>35.323779999999999</v>
      </c>
      <c r="E737" s="82">
        <f t="shared" si="162"/>
        <v>18.537009999999999</v>
      </c>
      <c r="F737" s="83">
        <f t="shared" si="168"/>
        <v>16.786770000000001</v>
      </c>
      <c r="G737" s="84"/>
      <c r="H737" s="85"/>
      <c r="I737" s="85"/>
      <c r="J737" s="84"/>
      <c r="K737" s="85"/>
      <c r="L737" s="85"/>
      <c r="M737" s="85"/>
      <c r="N737" s="85"/>
      <c r="O737" s="82"/>
      <c r="P737" s="83"/>
      <c r="Q737" s="83"/>
      <c r="R737" s="83"/>
      <c r="S737" s="82"/>
      <c r="T737" s="83"/>
      <c r="U737" s="83"/>
      <c r="V737" s="84"/>
      <c r="W737" s="85"/>
      <c r="X737" s="87"/>
      <c r="Y737" s="83"/>
      <c r="Z737" s="84"/>
      <c r="AA737" s="85"/>
      <c r="AB737" s="84"/>
      <c r="AC737" s="85"/>
      <c r="AD737" s="89">
        <f t="shared" si="163"/>
        <v>0</v>
      </c>
      <c r="AE737" s="89"/>
      <c r="AF737" s="186"/>
      <c r="AG737" s="85"/>
      <c r="AH737" s="85"/>
      <c r="AI737" s="85"/>
      <c r="AJ737" s="84"/>
      <c r="AK737" s="85"/>
      <c r="AL737" s="84"/>
      <c r="AM737" s="88"/>
      <c r="AN737" s="84"/>
      <c r="AO737" s="85"/>
      <c r="AP737" s="84"/>
      <c r="AQ737" s="83"/>
      <c r="AR737" s="83"/>
      <c r="AS737" s="83"/>
      <c r="AT737" s="85"/>
      <c r="AU737" s="85"/>
      <c r="AV737" s="85"/>
      <c r="AW737" s="88"/>
      <c r="AX737" s="84"/>
      <c r="AY737" s="85"/>
      <c r="AZ737" s="84">
        <v>18.537009999999999</v>
      </c>
      <c r="BA737" s="85">
        <v>16.786770000000001</v>
      </c>
      <c r="BB737" s="88"/>
      <c r="BC737" s="85"/>
      <c r="BD737" s="84"/>
      <c r="BE737" s="88"/>
      <c r="BF737" s="85"/>
      <c r="BG737" s="85"/>
      <c r="BH737" s="85"/>
      <c r="BI737" s="85"/>
      <c r="BJ737" s="85"/>
      <c r="BK737" s="85"/>
      <c r="BL737" s="85"/>
      <c r="BM737" s="85"/>
      <c r="BN737" s="85"/>
      <c r="BO737" s="85"/>
      <c r="BP737" s="85"/>
      <c r="BQ737" s="85"/>
      <c r="BR737" s="84"/>
      <c r="BS737" s="85"/>
      <c r="BT737" s="85"/>
      <c r="BU737" s="198"/>
      <c r="BV737" s="90"/>
      <c r="BW737" s="198"/>
      <c r="BX737" s="90"/>
      <c r="BY737" s="198"/>
      <c r="BZ737" s="90"/>
      <c r="CA737" s="91"/>
    </row>
    <row r="738" spans="1:79" ht="50.1" customHeight="1" outlineLevel="2" x14ac:dyDescent="0.3">
      <c r="A738" s="103" t="s">
        <v>651</v>
      </c>
      <c r="B738" s="102" t="s">
        <v>1199</v>
      </c>
      <c r="C738" s="79" t="s">
        <v>55</v>
      </c>
      <c r="D738" s="81">
        <f t="shared" si="169"/>
        <v>3000</v>
      </c>
      <c r="E738" s="82">
        <f t="shared" si="162"/>
        <v>0</v>
      </c>
      <c r="F738" s="83">
        <f t="shared" si="168"/>
        <v>3000</v>
      </c>
      <c r="G738" s="84"/>
      <c r="H738" s="85"/>
      <c r="I738" s="85"/>
      <c r="J738" s="84"/>
      <c r="K738" s="85"/>
      <c r="L738" s="85"/>
      <c r="M738" s="85"/>
      <c r="N738" s="85"/>
      <c r="O738" s="82"/>
      <c r="P738" s="83"/>
      <c r="Q738" s="83"/>
      <c r="R738" s="83"/>
      <c r="S738" s="82"/>
      <c r="T738" s="83"/>
      <c r="U738" s="83"/>
      <c r="V738" s="84"/>
      <c r="W738" s="85"/>
      <c r="X738" s="82"/>
      <c r="Y738" s="83"/>
      <c r="Z738" s="84"/>
      <c r="AA738" s="85"/>
      <c r="AB738" s="84"/>
      <c r="AC738" s="85"/>
      <c r="AD738" s="89"/>
      <c r="AE738" s="89"/>
      <c r="AF738" s="186"/>
      <c r="AG738" s="85"/>
      <c r="AH738" s="85"/>
      <c r="AI738" s="85"/>
      <c r="AJ738" s="84"/>
      <c r="AK738" s="85"/>
      <c r="AL738" s="84"/>
      <c r="AM738" s="88"/>
      <c r="AN738" s="84"/>
      <c r="AO738" s="85"/>
      <c r="AP738" s="84"/>
      <c r="AQ738" s="83"/>
      <c r="AR738" s="83"/>
      <c r="AS738" s="83"/>
      <c r="AT738" s="85"/>
      <c r="AU738" s="85"/>
      <c r="AV738" s="85"/>
      <c r="AW738" s="88"/>
      <c r="AX738" s="84"/>
      <c r="AY738" s="85"/>
      <c r="AZ738" s="84"/>
      <c r="BA738" s="85"/>
      <c r="BB738" s="88"/>
      <c r="BC738" s="85"/>
      <c r="BD738" s="84"/>
      <c r="BE738" s="88"/>
      <c r="BF738" s="85"/>
      <c r="BG738" s="85"/>
      <c r="BH738" s="85"/>
      <c r="BI738" s="85"/>
      <c r="BJ738" s="85"/>
      <c r="BK738" s="85"/>
      <c r="BL738" s="85"/>
      <c r="BM738" s="85"/>
      <c r="BN738" s="85"/>
      <c r="BO738" s="85"/>
      <c r="BP738" s="85"/>
      <c r="BQ738" s="85"/>
      <c r="BR738" s="84"/>
      <c r="BS738" s="85"/>
      <c r="BT738" s="85"/>
      <c r="BU738" s="198"/>
      <c r="BV738" s="90"/>
      <c r="BW738" s="198">
        <v>3000</v>
      </c>
      <c r="BX738" s="90"/>
      <c r="BY738" s="198"/>
      <c r="BZ738" s="90"/>
      <c r="CA738" s="91"/>
    </row>
    <row r="739" spans="1:79" ht="50.1" customHeight="1" outlineLevel="2" x14ac:dyDescent="0.3">
      <c r="A739" s="103" t="s">
        <v>651</v>
      </c>
      <c r="B739" s="111" t="s">
        <v>657</v>
      </c>
      <c r="C739" s="79"/>
      <c r="D739" s="81">
        <f t="shared" si="169"/>
        <v>300</v>
      </c>
      <c r="E739" s="82">
        <f t="shared" si="162"/>
        <v>0</v>
      </c>
      <c r="F739" s="83">
        <f t="shared" si="168"/>
        <v>300</v>
      </c>
      <c r="G739" s="84"/>
      <c r="H739" s="85"/>
      <c r="I739" s="85"/>
      <c r="J739" s="84"/>
      <c r="K739" s="85"/>
      <c r="L739" s="85"/>
      <c r="M739" s="85"/>
      <c r="N739" s="85"/>
      <c r="O739" s="82"/>
      <c r="P739" s="83"/>
      <c r="Q739" s="83"/>
      <c r="R739" s="83"/>
      <c r="S739" s="82"/>
      <c r="T739" s="83"/>
      <c r="U739" s="83"/>
      <c r="V739" s="84"/>
      <c r="W739" s="85"/>
      <c r="X739" s="82"/>
      <c r="Y739" s="83"/>
      <c r="Z739" s="84"/>
      <c r="AA739" s="85"/>
      <c r="AB739" s="84"/>
      <c r="AC739" s="85"/>
      <c r="AD739" s="89">
        <f t="shared" si="163"/>
        <v>0</v>
      </c>
      <c r="AE739" s="89"/>
      <c r="AF739" s="186"/>
      <c r="AG739" s="85"/>
      <c r="AH739" s="85"/>
      <c r="AI739" s="85"/>
      <c r="AJ739" s="84"/>
      <c r="AK739" s="85"/>
      <c r="AL739" s="84"/>
      <c r="AM739" s="88"/>
      <c r="AN739" s="84"/>
      <c r="AO739" s="85"/>
      <c r="AP739" s="84"/>
      <c r="AQ739" s="83"/>
      <c r="AR739" s="83"/>
      <c r="AS739" s="83"/>
      <c r="AT739" s="85"/>
      <c r="AU739" s="85"/>
      <c r="AV739" s="85"/>
      <c r="AW739" s="88"/>
      <c r="AX739" s="84"/>
      <c r="AY739" s="85"/>
      <c r="AZ739" s="84"/>
      <c r="BA739" s="85"/>
      <c r="BB739" s="88"/>
      <c r="BC739" s="85"/>
      <c r="BD739" s="84"/>
      <c r="BE739" s="88"/>
      <c r="BF739" s="85"/>
      <c r="BG739" s="85"/>
      <c r="BH739" s="85">
        <v>300</v>
      </c>
      <c r="BI739" s="85"/>
      <c r="BJ739" s="85"/>
      <c r="BK739" s="85"/>
      <c r="BL739" s="85"/>
      <c r="BM739" s="85"/>
      <c r="BN739" s="85"/>
      <c r="BO739" s="85"/>
      <c r="BP739" s="85"/>
      <c r="BQ739" s="85"/>
      <c r="BR739" s="84"/>
      <c r="BS739" s="85"/>
      <c r="BT739" s="85"/>
      <c r="BU739" s="198"/>
      <c r="BV739" s="90"/>
      <c r="BW739" s="198"/>
      <c r="BX739" s="90"/>
      <c r="BY739" s="198"/>
      <c r="BZ739" s="90"/>
      <c r="CA739" s="91"/>
    </row>
    <row r="740" spans="1:79" ht="50.1" customHeight="1" outlineLevel="2" x14ac:dyDescent="0.3">
      <c r="A740" s="103" t="s">
        <v>651</v>
      </c>
      <c r="B740" s="111" t="s">
        <v>658</v>
      </c>
      <c r="C740" s="79"/>
      <c r="D740" s="81">
        <f t="shared" si="169"/>
        <v>300</v>
      </c>
      <c r="E740" s="82">
        <f t="shared" si="162"/>
        <v>0</v>
      </c>
      <c r="F740" s="83">
        <f t="shared" si="168"/>
        <v>300</v>
      </c>
      <c r="G740" s="84"/>
      <c r="H740" s="85"/>
      <c r="I740" s="85"/>
      <c r="J740" s="84"/>
      <c r="K740" s="85"/>
      <c r="L740" s="85"/>
      <c r="M740" s="85"/>
      <c r="N740" s="85"/>
      <c r="O740" s="82"/>
      <c r="P740" s="83"/>
      <c r="Q740" s="83"/>
      <c r="R740" s="83"/>
      <c r="S740" s="82"/>
      <c r="T740" s="83"/>
      <c r="U740" s="83"/>
      <c r="V740" s="84"/>
      <c r="W740" s="85"/>
      <c r="X740" s="82"/>
      <c r="Y740" s="83"/>
      <c r="Z740" s="84"/>
      <c r="AA740" s="85"/>
      <c r="AB740" s="84"/>
      <c r="AC740" s="85"/>
      <c r="AD740" s="89">
        <f t="shared" si="163"/>
        <v>0</v>
      </c>
      <c r="AE740" s="89"/>
      <c r="AF740" s="186"/>
      <c r="AG740" s="85"/>
      <c r="AH740" s="85"/>
      <c r="AI740" s="85"/>
      <c r="AJ740" s="84"/>
      <c r="AK740" s="85"/>
      <c r="AL740" s="84"/>
      <c r="AM740" s="88"/>
      <c r="AN740" s="84"/>
      <c r="AO740" s="85"/>
      <c r="AP740" s="84"/>
      <c r="AQ740" s="83"/>
      <c r="AR740" s="83"/>
      <c r="AS740" s="83"/>
      <c r="AT740" s="85"/>
      <c r="AU740" s="85"/>
      <c r="AV740" s="85"/>
      <c r="AW740" s="88"/>
      <c r="AX740" s="84"/>
      <c r="AY740" s="85"/>
      <c r="AZ740" s="84"/>
      <c r="BA740" s="85"/>
      <c r="BB740" s="88"/>
      <c r="BC740" s="85"/>
      <c r="BD740" s="84"/>
      <c r="BE740" s="88"/>
      <c r="BF740" s="85"/>
      <c r="BG740" s="85"/>
      <c r="BH740" s="85">
        <v>300</v>
      </c>
      <c r="BI740" s="85"/>
      <c r="BJ740" s="85"/>
      <c r="BK740" s="85"/>
      <c r="BL740" s="85"/>
      <c r="BM740" s="85"/>
      <c r="BN740" s="85"/>
      <c r="BO740" s="85"/>
      <c r="BP740" s="85"/>
      <c r="BQ740" s="85"/>
      <c r="BR740" s="84"/>
      <c r="BS740" s="85"/>
      <c r="BT740" s="85"/>
      <c r="BU740" s="198"/>
      <c r="BV740" s="90"/>
      <c r="BW740" s="198"/>
      <c r="BX740" s="90"/>
      <c r="BY740" s="198"/>
      <c r="BZ740" s="90"/>
      <c r="CA740" s="91"/>
    </row>
    <row r="741" spans="1:79" ht="50.1" customHeight="1" outlineLevel="2" x14ac:dyDescent="0.3">
      <c r="A741" s="103" t="s">
        <v>651</v>
      </c>
      <c r="B741" s="111" t="s">
        <v>659</v>
      </c>
      <c r="C741" s="79"/>
      <c r="D741" s="81">
        <f t="shared" si="169"/>
        <v>300</v>
      </c>
      <c r="E741" s="82">
        <f t="shared" si="162"/>
        <v>0</v>
      </c>
      <c r="F741" s="83">
        <f t="shared" si="168"/>
        <v>300</v>
      </c>
      <c r="G741" s="84"/>
      <c r="H741" s="85"/>
      <c r="I741" s="85"/>
      <c r="J741" s="84"/>
      <c r="K741" s="85"/>
      <c r="L741" s="85"/>
      <c r="M741" s="85"/>
      <c r="N741" s="85"/>
      <c r="O741" s="82"/>
      <c r="P741" s="83"/>
      <c r="Q741" s="83"/>
      <c r="R741" s="83"/>
      <c r="S741" s="82"/>
      <c r="T741" s="83"/>
      <c r="U741" s="83"/>
      <c r="V741" s="84"/>
      <c r="W741" s="85"/>
      <c r="X741" s="82"/>
      <c r="Y741" s="83"/>
      <c r="Z741" s="84"/>
      <c r="AA741" s="85"/>
      <c r="AB741" s="84"/>
      <c r="AC741" s="85"/>
      <c r="AD741" s="89">
        <f t="shared" si="163"/>
        <v>0</v>
      </c>
      <c r="AE741" s="89"/>
      <c r="AF741" s="186"/>
      <c r="AG741" s="85"/>
      <c r="AH741" s="85"/>
      <c r="AI741" s="85"/>
      <c r="AJ741" s="84"/>
      <c r="AK741" s="85"/>
      <c r="AL741" s="84"/>
      <c r="AM741" s="88"/>
      <c r="AN741" s="84"/>
      <c r="AO741" s="85"/>
      <c r="AP741" s="84"/>
      <c r="AQ741" s="83"/>
      <c r="AR741" s="83"/>
      <c r="AS741" s="83"/>
      <c r="AT741" s="85"/>
      <c r="AU741" s="85"/>
      <c r="AV741" s="85"/>
      <c r="AW741" s="88"/>
      <c r="AX741" s="84"/>
      <c r="AY741" s="85"/>
      <c r="AZ741" s="84"/>
      <c r="BA741" s="85"/>
      <c r="BB741" s="88"/>
      <c r="BC741" s="85"/>
      <c r="BD741" s="84"/>
      <c r="BE741" s="88"/>
      <c r="BF741" s="85"/>
      <c r="BG741" s="85"/>
      <c r="BH741" s="85">
        <v>300</v>
      </c>
      <c r="BI741" s="85"/>
      <c r="BJ741" s="85"/>
      <c r="BK741" s="85"/>
      <c r="BL741" s="85"/>
      <c r="BM741" s="85"/>
      <c r="BN741" s="85"/>
      <c r="BO741" s="85"/>
      <c r="BP741" s="85"/>
      <c r="BQ741" s="85"/>
      <c r="BR741" s="84"/>
      <c r="BS741" s="85"/>
      <c r="BT741" s="85"/>
      <c r="BU741" s="198"/>
      <c r="BV741" s="90"/>
      <c r="BW741" s="198"/>
      <c r="BX741" s="90"/>
      <c r="BY741" s="198"/>
      <c r="BZ741" s="90"/>
      <c r="CA741" s="91"/>
    </row>
    <row r="742" spans="1:79" ht="50.1" customHeight="1" outlineLevel="2" x14ac:dyDescent="0.3">
      <c r="A742" s="103" t="s">
        <v>651</v>
      </c>
      <c r="B742" s="111" t="s">
        <v>660</v>
      </c>
      <c r="C742" s="79"/>
      <c r="D742" s="81">
        <f t="shared" si="169"/>
        <v>300</v>
      </c>
      <c r="E742" s="82">
        <f t="shared" si="162"/>
        <v>0</v>
      </c>
      <c r="F742" s="83">
        <f t="shared" si="168"/>
        <v>300</v>
      </c>
      <c r="G742" s="84"/>
      <c r="H742" s="85"/>
      <c r="I742" s="85"/>
      <c r="J742" s="84"/>
      <c r="K742" s="85"/>
      <c r="L742" s="85"/>
      <c r="M742" s="85"/>
      <c r="N742" s="85"/>
      <c r="O742" s="82"/>
      <c r="P742" s="83"/>
      <c r="Q742" s="83"/>
      <c r="R742" s="83"/>
      <c r="S742" s="82"/>
      <c r="T742" s="83"/>
      <c r="U742" s="83"/>
      <c r="V742" s="84"/>
      <c r="W742" s="85"/>
      <c r="X742" s="82"/>
      <c r="Y742" s="83"/>
      <c r="Z742" s="84"/>
      <c r="AA742" s="85"/>
      <c r="AB742" s="84"/>
      <c r="AC742" s="85"/>
      <c r="AD742" s="89">
        <f t="shared" si="163"/>
        <v>0</v>
      </c>
      <c r="AE742" s="89"/>
      <c r="AF742" s="186"/>
      <c r="AG742" s="85"/>
      <c r="AH742" s="85"/>
      <c r="AI742" s="85"/>
      <c r="AJ742" s="84"/>
      <c r="AK742" s="85"/>
      <c r="AL742" s="84"/>
      <c r="AM742" s="88"/>
      <c r="AN742" s="84"/>
      <c r="AO742" s="85"/>
      <c r="AP742" s="84"/>
      <c r="AQ742" s="83"/>
      <c r="AR742" s="83"/>
      <c r="AS742" s="83"/>
      <c r="AT742" s="85"/>
      <c r="AU742" s="85"/>
      <c r="AV742" s="85"/>
      <c r="AW742" s="88"/>
      <c r="AX742" s="84"/>
      <c r="AY742" s="85"/>
      <c r="AZ742" s="84"/>
      <c r="BA742" s="85"/>
      <c r="BB742" s="88"/>
      <c r="BC742" s="85"/>
      <c r="BD742" s="84"/>
      <c r="BE742" s="88"/>
      <c r="BF742" s="85"/>
      <c r="BG742" s="85"/>
      <c r="BH742" s="85">
        <v>300</v>
      </c>
      <c r="BI742" s="85"/>
      <c r="BJ742" s="85"/>
      <c r="BK742" s="85"/>
      <c r="BL742" s="85"/>
      <c r="BM742" s="85"/>
      <c r="BN742" s="85"/>
      <c r="BO742" s="85"/>
      <c r="BP742" s="85"/>
      <c r="BQ742" s="85"/>
      <c r="BR742" s="84"/>
      <c r="BS742" s="85"/>
      <c r="BT742" s="85"/>
      <c r="BU742" s="198"/>
      <c r="BV742" s="90"/>
      <c r="BW742" s="198"/>
      <c r="BX742" s="90"/>
      <c r="BY742" s="198"/>
      <c r="BZ742" s="90"/>
      <c r="CA742" s="91"/>
    </row>
    <row r="743" spans="1:79" ht="50.1" customHeight="1" outlineLevel="2" x14ac:dyDescent="0.3">
      <c r="A743" s="103" t="s">
        <v>651</v>
      </c>
      <c r="B743" s="111" t="s">
        <v>661</v>
      </c>
      <c r="C743" s="79"/>
      <c r="D743" s="81">
        <f t="shared" si="169"/>
        <v>300</v>
      </c>
      <c r="E743" s="82">
        <f t="shared" si="162"/>
        <v>0</v>
      </c>
      <c r="F743" s="83">
        <f t="shared" si="168"/>
        <v>300</v>
      </c>
      <c r="G743" s="84"/>
      <c r="H743" s="85"/>
      <c r="I743" s="85"/>
      <c r="J743" s="84"/>
      <c r="K743" s="85"/>
      <c r="L743" s="85"/>
      <c r="M743" s="85"/>
      <c r="N743" s="85"/>
      <c r="O743" s="82"/>
      <c r="P743" s="83"/>
      <c r="Q743" s="83"/>
      <c r="R743" s="83"/>
      <c r="S743" s="82"/>
      <c r="T743" s="83"/>
      <c r="U743" s="83"/>
      <c r="V743" s="84"/>
      <c r="W743" s="85"/>
      <c r="X743" s="82"/>
      <c r="Y743" s="83"/>
      <c r="Z743" s="84"/>
      <c r="AA743" s="85"/>
      <c r="AB743" s="84"/>
      <c r="AC743" s="85"/>
      <c r="AD743" s="89">
        <f t="shared" si="163"/>
        <v>0</v>
      </c>
      <c r="AE743" s="89"/>
      <c r="AF743" s="186"/>
      <c r="AG743" s="85"/>
      <c r="AH743" s="85"/>
      <c r="AI743" s="85"/>
      <c r="AJ743" s="84"/>
      <c r="AK743" s="85"/>
      <c r="AL743" s="84"/>
      <c r="AM743" s="88"/>
      <c r="AN743" s="84"/>
      <c r="AO743" s="85"/>
      <c r="AP743" s="84"/>
      <c r="AQ743" s="83"/>
      <c r="AR743" s="83"/>
      <c r="AS743" s="83"/>
      <c r="AT743" s="85"/>
      <c r="AU743" s="85"/>
      <c r="AV743" s="85"/>
      <c r="AW743" s="88"/>
      <c r="AX743" s="84"/>
      <c r="AY743" s="85"/>
      <c r="AZ743" s="84"/>
      <c r="BA743" s="85"/>
      <c r="BB743" s="88"/>
      <c r="BC743" s="85"/>
      <c r="BD743" s="84"/>
      <c r="BE743" s="88"/>
      <c r="BF743" s="85"/>
      <c r="BG743" s="85"/>
      <c r="BH743" s="85">
        <v>300</v>
      </c>
      <c r="BI743" s="85"/>
      <c r="BJ743" s="85"/>
      <c r="BK743" s="85"/>
      <c r="BL743" s="85"/>
      <c r="BM743" s="85"/>
      <c r="BN743" s="85"/>
      <c r="BO743" s="85"/>
      <c r="BP743" s="85"/>
      <c r="BQ743" s="85"/>
      <c r="BR743" s="84"/>
      <c r="BS743" s="85"/>
      <c r="BT743" s="85"/>
      <c r="BU743" s="198"/>
      <c r="BV743" s="90"/>
      <c r="BW743" s="198"/>
      <c r="BX743" s="90"/>
      <c r="BY743" s="198"/>
      <c r="BZ743" s="90"/>
      <c r="CA743" s="91"/>
    </row>
    <row r="744" spans="1:79" ht="50.1" customHeight="1" outlineLevel="2" x14ac:dyDescent="0.3">
      <c r="A744" s="103" t="s">
        <v>651</v>
      </c>
      <c r="B744" s="111" t="s">
        <v>662</v>
      </c>
      <c r="C744" s="79"/>
      <c r="D744" s="81">
        <f t="shared" si="169"/>
        <v>300</v>
      </c>
      <c r="E744" s="82">
        <f t="shared" si="162"/>
        <v>0</v>
      </c>
      <c r="F744" s="83">
        <f t="shared" si="168"/>
        <v>300</v>
      </c>
      <c r="G744" s="84"/>
      <c r="H744" s="85"/>
      <c r="I744" s="85"/>
      <c r="J744" s="84"/>
      <c r="K744" s="85"/>
      <c r="L744" s="85"/>
      <c r="M744" s="85"/>
      <c r="N744" s="85"/>
      <c r="O744" s="82"/>
      <c r="P744" s="83"/>
      <c r="Q744" s="83"/>
      <c r="R744" s="83"/>
      <c r="S744" s="82"/>
      <c r="T744" s="83"/>
      <c r="U744" s="83"/>
      <c r="V744" s="84"/>
      <c r="W744" s="85"/>
      <c r="X744" s="87"/>
      <c r="Y744" s="83"/>
      <c r="Z744" s="84"/>
      <c r="AA744" s="85"/>
      <c r="AB744" s="84"/>
      <c r="AC744" s="85"/>
      <c r="AD744" s="89">
        <f t="shared" si="163"/>
        <v>0</v>
      </c>
      <c r="AE744" s="89"/>
      <c r="AF744" s="186"/>
      <c r="AG744" s="85"/>
      <c r="AH744" s="85"/>
      <c r="AI744" s="85"/>
      <c r="AJ744" s="84"/>
      <c r="AK744" s="85"/>
      <c r="AL744" s="84"/>
      <c r="AM744" s="88"/>
      <c r="AN744" s="84"/>
      <c r="AO744" s="85"/>
      <c r="AP744" s="84"/>
      <c r="AQ744" s="83"/>
      <c r="AR744" s="83"/>
      <c r="AS744" s="83"/>
      <c r="AT744" s="85"/>
      <c r="AU744" s="85"/>
      <c r="AV744" s="85"/>
      <c r="AW744" s="88"/>
      <c r="AX744" s="84"/>
      <c r="AY744" s="85"/>
      <c r="AZ744" s="84"/>
      <c r="BA744" s="85"/>
      <c r="BB744" s="88"/>
      <c r="BC744" s="85"/>
      <c r="BD744" s="84"/>
      <c r="BE744" s="88"/>
      <c r="BF744" s="85"/>
      <c r="BG744" s="85"/>
      <c r="BH744" s="85">
        <v>300</v>
      </c>
      <c r="BI744" s="85"/>
      <c r="BJ744" s="85"/>
      <c r="BK744" s="85"/>
      <c r="BL744" s="85"/>
      <c r="BM744" s="85"/>
      <c r="BN744" s="85"/>
      <c r="BO744" s="85"/>
      <c r="BP744" s="85"/>
      <c r="BQ744" s="85"/>
      <c r="BR744" s="84"/>
      <c r="BS744" s="85"/>
      <c r="BT744" s="85"/>
      <c r="BU744" s="198"/>
      <c r="BV744" s="90"/>
      <c r="BW744" s="198"/>
      <c r="BX744" s="90"/>
      <c r="BY744" s="198"/>
      <c r="BZ744" s="90"/>
      <c r="CA744" s="91"/>
    </row>
    <row r="745" spans="1:79" ht="50.1" customHeight="1" outlineLevel="2" x14ac:dyDescent="0.3">
      <c r="A745" s="103" t="s">
        <v>651</v>
      </c>
      <c r="B745" s="111" t="s">
        <v>1012</v>
      </c>
      <c r="C745" s="79"/>
      <c r="D745" s="81">
        <f t="shared" si="169"/>
        <v>300</v>
      </c>
      <c r="E745" s="82">
        <f t="shared" si="162"/>
        <v>0</v>
      </c>
      <c r="F745" s="83">
        <f t="shared" si="168"/>
        <v>300</v>
      </c>
      <c r="G745" s="84"/>
      <c r="H745" s="85"/>
      <c r="I745" s="85"/>
      <c r="J745" s="84"/>
      <c r="K745" s="85"/>
      <c r="L745" s="85"/>
      <c r="M745" s="85"/>
      <c r="N745" s="85"/>
      <c r="O745" s="82"/>
      <c r="P745" s="83"/>
      <c r="Q745" s="83"/>
      <c r="R745" s="83"/>
      <c r="S745" s="82"/>
      <c r="T745" s="83"/>
      <c r="U745" s="83"/>
      <c r="V745" s="84"/>
      <c r="W745" s="85"/>
      <c r="X745" s="87"/>
      <c r="Y745" s="83"/>
      <c r="Z745" s="84"/>
      <c r="AA745" s="85"/>
      <c r="AB745" s="84"/>
      <c r="AC745" s="85"/>
      <c r="AD745" s="89">
        <f t="shared" si="163"/>
        <v>0</v>
      </c>
      <c r="AE745" s="89"/>
      <c r="AF745" s="186"/>
      <c r="AG745" s="85"/>
      <c r="AH745" s="85"/>
      <c r="AI745" s="85"/>
      <c r="AJ745" s="84"/>
      <c r="AK745" s="85"/>
      <c r="AL745" s="84"/>
      <c r="AM745" s="88"/>
      <c r="AN745" s="84"/>
      <c r="AO745" s="85"/>
      <c r="AP745" s="84"/>
      <c r="AQ745" s="83"/>
      <c r="AR745" s="83"/>
      <c r="AS745" s="83"/>
      <c r="AT745" s="85"/>
      <c r="AU745" s="85"/>
      <c r="AV745" s="85"/>
      <c r="AW745" s="88"/>
      <c r="AX745" s="84"/>
      <c r="AY745" s="85"/>
      <c r="AZ745" s="84"/>
      <c r="BA745" s="85"/>
      <c r="BB745" s="88"/>
      <c r="BC745" s="85"/>
      <c r="BD745" s="84"/>
      <c r="BE745" s="88"/>
      <c r="BF745" s="85"/>
      <c r="BG745" s="85"/>
      <c r="BH745" s="85">
        <v>300</v>
      </c>
      <c r="BI745" s="85"/>
      <c r="BJ745" s="85"/>
      <c r="BK745" s="85"/>
      <c r="BL745" s="85"/>
      <c r="BM745" s="85"/>
      <c r="BN745" s="85"/>
      <c r="BO745" s="85"/>
      <c r="BP745" s="85"/>
      <c r="BQ745" s="85"/>
      <c r="BR745" s="84"/>
      <c r="BS745" s="85"/>
      <c r="BT745" s="85"/>
      <c r="BU745" s="198"/>
      <c r="BV745" s="90"/>
      <c r="BW745" s="198"/>
      <c r="BX745" s="90"/>
      <c r="BY745" s="198"/>
      <c r="BZ745" s="90"/>
      <c r="CA745" s="91"/>
    </row>
    <row r="746" spans="1:79" ht="50.1" customHeight="1" outlineLevel="2" x14ac:dyDescent="0.3">
      <c r="A746" s="103" t="s">
        <v>651</v>
      </c>
      <c r="B746" s="111" t="s">
        <v>1013</v>
      </c>
      <c r="C746" s="79"/>
      <c r="D746" s="81">
        <f t="shared" si="169"/>
        <v>300</v>
      </c>
      <c r="E746" s="82">
        <f t="shared" si="162"/>
        <v>0</v>
      </c>
      <c r="F746" s="83">
        <f t="shared" si="168"/>
        <v>300</v>
      </c>
      <c r="G746" s="84"/>
      <c r="H746" s="85"/>
      <c r="I746" s="85"/>
      <c r="J746" s="84"/>
      <c r="K746" s="85"/>
      <c r="L746" s="85"/>
      <c r="M746" s="85"/>
      <c r="N746" s="85"/>
      <c r="O746" s="82"/>
      <c r="P746" s="83"/>
      <c r="Q746" s="83"/>
      <c r="R746" s="83"/>
      <c r="S746" s="82"/>
      <c r="T746" s="83"/>
      <c r="U746" s="83"/>
      <c r="V746" s="84"/>
      <c r="W746" s="85"/>
      <c r="X746" s="87"/>
      <c r="Y746" s="83"/>
      <c r="Z746" s="84"/>
      <c r="AA746" s="85"/>
      <c r="AB746" s="84"/>
      <c r="AC746" s="85"/>
      <c r="AD746" s="89">
        <f t="shared" si="163"/>
        <v>0</v>
      </c>
      <c r="AE746" s="89"/>
      <c r="AF746" s="186"/>
      <c r="AG746" s="85"/>
      <c r="AH746" s="85"/>
      <c r="AI746" s="85"/>
      <c r="AJ746" s="84"/>
      <c r="AK746" s="85"/>
      <c r="AL746" s="84"/>
      <c r="AM746" s="88"/>
      <c r="AN746" s="84"/>
      <c r="AO746" s="85"/>
      <c r="AP746" s="82"/>
      <c r="AQ746" s="83"/>
      <c r="AR746" s="83"/>
      <c r="AS746" s="83"/>
      <c r="AT746" s="85"/>
      <c r="AU746" s="85"/>
      <c r="AV746" s="85"/>
      <c r="AW746" s="88"/>
      <c r="AX746" s="84"/>
      <c r="AY746" s="85"/>
      <c r="AZ746" s="84"/>
      <c r="BA746" s="85"/>
      <c r="BB746" s="88"/>
      <c r="BC746" s="85"/>
      <c r="BD746" s="84"/>
      <c r="BE746" s="88"/>
      <c r="BF746" s="85"/>
      <c r="BG746" s="85"/>
      <c r="BH746" s="85">
        <v>300</v>
      </c>
      <c r="BI746" s="85"/>
      <c r="BJ746" s="85"/>
      <c r="BK746" s="85"/>
      <c r="BL746" s="85"/>
      <c r="BM746" s="85"/>
      <c r="BN746" s="85"/>
      <c r="BO746" s="85"/>
      <c r="BP746" s="85"/>
      <c r="BQ746" s="85"/>
      <c r="BR746" s="84"/>
      <c r="BS746" s="85"/>
      <c r="BT746" s="85"/>
      <c r="BU746" s="198"/>
      <c r="BV746" s="90"/>
      <c r="BW746" s="198"/>
      <c r="BX746" s="90"/>
      <c r="BY746" s="198"/>
      <c r="BZ746" s="90"/>
      <c r="CA746" s="91"/>
    </row>
    <row r="747" spans="1:79" ht="50.1" customHeight="1" outlineLevel="2" x14ac:dyDescent="0.3">
      <c r="A747" s="103" t="s">
        <v>651</v>
      </c>
      <c r="B747" s="111" t="s">
        <v>1014</v>
      </c>
      <c r="C747" s="79"/>
      <c r="D747" s="81">
        <f t="shared" si="169"/>
        <v>300</v>
      </c>
      <c r="E747" s="82">
        <f t="shared" si="162"/>
        <v>0</v>
      </c>
      <c r="F747" s="83">
        <f t="shared" si="168"/>
        <v>300</v>
      </c>
      <c r="G747" s="84"/>
      <c r="H747" s="85"/>
      <c r="I747" s="85"/>
      <c r="J747" s="84"/>
      <c r="K747" s="85"/>
      <c r="L747" s="85"/>
      <c r="M747" s="85"/>
      <c r="N747" s="85"/>
      <c r="O747" s="82"/>
      <c r="P747" s="83"/>
      <c r="Q747" s="83"/>
      <c r="R747" s="83"/>
      <c r="S747" s="82"/>
      <c r="T747" s="83"/>
      <c r="U747" s="83"/>
      <c r="V747" s="84"/>
      <c r="W747" s="85"/>
      <c r="X747" s="87"/>
      <c r="Y747" s="83"/>
      <c r="Z747" s="84"/>
      <c r="AA747" s="85"/>
      <c r="AB747" s="84"/>
      <c r="AC747" s="85"/>
      <c r="AD747" s="89">
        <f t="shared" si="163"/>
        <v>0</v>
      </c>
      <c r="AE747" s="89"/>
      <c r="AF747" s="186"/>
      <c r="AG747" s="85"/>
      <c r="AH747" s="85"/>
      <c r="AI747" s="85"/>
      <c r="AJ747" s="84"/>
      <c r="AK747" s="85"/>
      <c r="AL747" s="84"/>
      <c r="AM747" s="88"/>
      <c r="AN747" s="84"/>
      <c r="AO747" s="85"/>
      <c r="AP747" s="84"/>
      <c r="AQ747" s="83"/>
      <c r="AR747" s="83"/>
      <c r="AS747" s="83"/>
      <c r="AT747" s="85"/>
      <c r="AU747" s="85"/>
      <c r="AV747" s="85"/>
      <c r="AW747" s="88"/>
      <c r="AX747" s="84"/>
      <c r="AY747" s="85"/>
      <c r="AZ747" s="84"/>
      <c r="BA747" s="85"/>
      <c r="BB747" s="88"/>
      <c r="BC747" s="85"/>
      <c r="BD747" s="84"/>
      <c r="BE747" s="88"/>
      <c r="BF747" s="85"/>
      <c r="BG747" s="85"/>
      <c r="BH747" s="85">
        <v>300</v>
      </c>
      <c r="BI747" s="85"/>
      <c r="BJ747" s="85"/>
      <c r="BK747" s="85"/>
      <c r="BL747" s="85"/>
      <c r="BM747" s="85"/>
      <c r="BN747" s="85"/>
      <c r="BO747" s="85"/>
      <c r="BP747" s="85"/>
      <c r="BQ747" s="85"/>
      <c r="BR747" s="84"/>
      <c r="BS747" s="85"/>
      <c r="BT747" s="85"/>
      <c r="BU747" s="198"/>
      <c r="BV747" s="90"/>
      <c r="BW747" s="198"/>
      <c r="BX747" s="90"/>
      <c r="BY747" s="198"/>
      <c r="BZ747" s="90"/>
      <c r="CA747" s="91"/>
    </row>
    <row r="748" spans="1:79" ht="50.1" customHeight="1" outlineLevel="2" x14ac:dyDescent="0.3">
      <c r="A748" s="103" t="s">
        <v>651</v>
      </c>
      <c r="B748" s="111" t="s">
        <v>1015</v>
      </c>
      <c r="C748" s="79"/>
      <c r="D748" s="81">
        <f t="shared" si="169"/>
        <v>300</v>
      </c>
      <c r="E748" s="82">
        <f t="shared" si="162"/>
        <v>0</v>
      </c>
      <c r="F748" s="83">
        <f t="shared" si="168"/>
        <v>300</v>
      </c>
      <c r="G748" s="84"/>
      <c r="H748" s="85"/>
      <c r="I748" s="85"/>
      <c r="J748" s="84"/>
      <c r="K748" s="85"/>
      <c r="L748" s="85"/>
      <c r="M748" s="85"/>
      <c r="N748" s="85"/>
      <c r="O748" s="82"/>
      <c r="P748" s="83"/>
      <c r="Q748" s="83"/>
      <c r="R748" s="83"/>
      <c r="S748" s="82"/>
      <c r="T748" s="83"/>
      <c r="U748" s="83"/>
      <c r="V748" s="84"/>
      <c r="W748" s="85"/>
      <c r="X748" s="87"/>
      <c r="Y748" s="83"/>
      <c r="Z748" s="84"/>
      <c r="AA748" s="85"/>
      <c r="AB748" s="84"/>
      <c r="AC748" s="85"/>
      <c r="AD748" s="89">
        <f t="shared" si="163"/>
        <v>0</v>
      </c>
      <c r="AE748" s="89"/>
      <c r="AF748" s="186"/>
      <c r="AG748" s="85"/>
      <c r="AH748" s="85"/>
      <c r="AI748" s="85"/>
      <c r="AJ748" s="84"/>
      <c r="AK748" s="85"/>
      <c r="AL748" s="84"/>
      <c r="AM748" s="88"/>
      <c r="AN748" s="84"/>
      <c r="AO748" s="85"/>
      <c r="AP748" s="84"/>
      <c r="AQ748" s="83"/>
      <c r="AR748" s="83"/>
      <c r="AS748" s="83"/>
      <c r="AT748" s="85"/>
      <c r="AU748" s="85"/>
      <c r="AV748" s="85"/>
      <c r="AW748" s="88"/>
      <c r="AX748" s="84"/>
      <c r="AY748" s="85"/>
      <c r="AZ748" s="84"/>
      <c r="BA748" s="85"/>
      <c r="BB748" s="88"/>
      <c r="BC748" s="85"/>
      <c r="BD748" s="84"/>
      <c r="BE748" s="88"/>
      <c r="BF748" s="85"/>
      <c r="BG748" s="85"/>
      <c r="BH748" s="85">
        <v>300</v>
      </c>
      <c r="BI748" s="85"/>
      <c r="BJ748" s="85"/>
      <c r="BK748" s="85"/>
      <c r="BL748" s="85"/>
      <c r="BM748" s="85"/>
      <c r="BN748" s="85"/>
      <c r="BO748" s="85"/>
      <c r="BP748" s="85"/>
      <c r="BQ748" s="85"/>
      <c r="BR748" s="84"/>
      <c r="BS748" s="85"/>
      <c r="BT748" s="85"/>
      <c r="BU748" s="198"/>
      <c r="BV748" s="90"/>
      <c r="BW748" s="198"/>
      <c r="BX748" s="90"/>
      <c r="BY748" s="198"/>
      <c r="BZ748" s="90"/>
      <c r="CA748" s="91"/>
    </row>
    <row r="749" spans="1:79" ht="50.1" customHeight="1" outlineLevel="2" x14ac:dyDescent="0.3">
      <c r="A749" s="103" t="s">
        <v>651</v>
      </c>
      <c r="B749" s="111" t="s">
        <v>1082</v>
      </c>
      <c r="C749" s="79"/>
      <c r="D749" s="81">
        <f t="shared" si="169"/>
        <v>300</v>
      </c>
      <c r="E749" s="82">
        <f t="shared" si="162"/>
        <v>0</v>
      </c>
      <c r="F749" s="83">
        <f t="shared" si="168"/>
        <v>300</v>
      </c>
      <c r="G749" s="84"/>
      <c r="H749" s="85"/>
      <c r="I749" s="85"/>
      <c r="J749" s="84"/>
      <c r="K749" s="85"/>
      <c r="L749" s="85"/>
      <c r="M749" s="85"/>
      <c r="N749" s="85"/>
      <c r="O749" s="82"/>
      <c r="P749" s="83"/>
      <c r="Q749" s="83"/>
      <c r="R749" s="83"/>
      <c r="S749" s="82"/>
      <c r="T749" s="83"/>
      <c r="U749" s="83"/>
      <c r="V749" s="84"/>
      <c r="W749" s="85"/>
      <c r="X749" s="87"/>
      <c r="Y749" s="83"/>
      <c r="Z749" s="84"/>
      <c r="AA749" s="85"/>
      <c r="AB749" s="84"/>
      <c r="AC749" s="85"/>
      <c r="AD749" s="89">
        <f t="shared" si="163"/>
        <v>0</v>
      </c>
      <c r="AE749" s="89"/>
      <c r="AF749" s="186"/>
      <c r="AG749" s="85"/>
      <c r="AH749" s="85"/>
      <c r="AI749" s="85"/>
      <c r="AJ749" s="84"/>
      <c r="AK749" s="85"/>
      <c r="AL749" s="84"/>
      <c r="AM749" s="88"/>
      <c r="AN749" s="84"/>
      <c r="AO749" s="85"/>
      <c r="AP749" s="84"/>
      <c r="AQ749" s="83"/>
      <c r="AR749" s="83"/>
      <c r="AS749" s="83"/>
      <c r="AT749" s="85"/>
      <c r="AU749" s="85"/>
      <c r="AV749" s="85"/>
      <c r="AW749" s="88"/>
      <c r="AX749" s="84"/>
      <c r="AY749" s="85"/>
      <c r="AZ749" s="84"/>
      <c r="BA749" s="85"/>
      <c r="BB749" s="88"/>
      <c r="BC749" s="85"/>
      <c r="BD749" s="84"/>
      <c r="BE749" s="88"/>
      <c r="BF749" s="85"/>
      <c r="BG749" s="85"/>
      <c r="BH749" s="85">
        <v>300</v>
      </c>
      <c r="BI749" s="85"/>
      <c r="BJ749" s="85"/>
      <c r="BK749" s="85"/>
      <c r="BL749" s="85"/>
      <c r="BM749" s="85"/>
      <c r="BN749" s="85"/>
      <c r="BO749" s="85"/>
      <c r="BP749" s="85"/>
      <c r="BQ749" s="85"/>
      <c r="BR749" s="84"/>
      <c r="BS749" s="85"/>
      <c r="BT749" s="85"/>
      <c r="BU749" s="198"/>
      <c r="BV749" s="90"/>
      <c r="BW749" s="198"/>
      <c r="BX749" s="90"/>
      <c r="BY749" s="198"/>
      <c r="BZ749" s="90"/>
      <c r="CA749" s="91"/>
    </row>
    <row r="750" spans="1:79" ht="50.1" customHeight="1" outlineLevel="2" x14ac:dyDescent="0.3">
      <c r="A750" s="103" t="s">
        <v>651</v>
      </c>
      <c r="B750" s="111" t="s">
        <v>663</v>
      </c>
      <c r="C750" s="79"/>
      <c r="D750" s="81">
        <f t="shared" si="169"/>
        <v>29.7</v>
      </c>
      <c r="E750" s="82">
        <f t="shared" si="162"/>
        <v>0</v>
      </c>
      <c r="F750" s="83">
        <f t="shared" si="168"/>
        <v>29.7</v>
      </c>
      <c r="G750" s="84"/>
      <c r="H750" s="85"/>
      <c r="I750" s="85"/>
      <c r="J750" s="84"/>
      <c r="K750" s="85"/>
      <c r="L750" s="85"/>
      <c r="M750" s="85"/>
      <c r="N750" s="85"/>
      <c r="O750" s="82"/>
      <c r="P750" s="83"/>
      <c r="Q750" s="83"/>
      <c r="R750" s="83"/>
      <c r="S750" s="82"/>
      <c r="T750" s="83"/>
      <c r="U750" s="83"/>
      <c r="V750" s="84"/>
      <c r="W750" s="85"/>
      <c r="X750" s="87"/>
      <c r="Y750" s="83"/>
      <c r="Z750" s="84"/>
      <c r="AA750" s="85"/>
      <c r="AB750" s="84"/>
      <c r="AC750" s="85"/>
      <c r="AD750" s="89">
        <f t="shared" si="163"/>
        <v>0</v>
      </c>
      <c r="AE750" s="89"/>
      <c r="AF750" s="186"/>
      <c r="AG750" s="85"/>
      <c r="AH750" s="85"/>
      <c r="AI750" s="85"/>
      <c r="AJ750" s="84"/>
      <c r="AK750" s="85"/>
      <c r="AL750" s="84"/>
      <c r="AM750" s="88"/>
      <c r="AN750" s="84"/>
      <c r="AO750" s="85"/>
      <c r="AP750" s="84"/>
      <c r="AQ750" s="83"/>
      <c r="AR750" s="83"/>
      <c r="AS750" s="83"/>
      <c r="AT750" s="85"/>
      <c r="AU750" s="85"/>
      <c r="AV750" s="85"/>
      <c r="AW750" s="88"/>
      <c r="AX750" s="84"/>
      <c r="AY750" s="85"/>
      <c r="AZ750" s="84"/>
      <c r="BA750" s="85"/>
      <c r="BB750" s="88"/>
      <c r="BC750" s="85"/>
      <c r="BD750" s="84"/>
      <c r="BE750" s="88"/>
      <c r="BF750" s="85"/>
      <c r="BG750" s="85"/>
      <c r="BH750" s="85"/>
      <c r="BI750" s="85">
        <v>29.7</v>
      </c>
      <c r="BJ750" s="85"/>
      <c r="BK750" s="85"/>
      <c r="BL750" s="85"/>
      <c r="BM750" s="85"/>
      <c r="BN750" s="85"/>
      <c r="BO750" s="85"/>
      <c r="BP750" s="85"/>
      <c r="BQ750" s="85"/>
      <c r="BR750" s="84"/>
      <c r="BS750" s="85"/>
      <c r="BT750" s="85"/>
      <c r="BU750" s="198"/>
      <c r="BV750" s="90"/>
      <c r="BW750" s="198"/>
      <c r="BX750" s="90"/>
      <c r="BY750" s="198"/>
      <c r="BZ750" s="90"/>
      <c r="CA750" s="91"/>
    </row>
    <row r="751" spans="1:79" ht="50.1" customHeight="1" outlineLevel="2" x14ac:dyDescent="0.3">
      <c r="A751" s="103" t="s">
        <v>651</v>
      </c>
      <c r="B751" s="111" t="s">
        <v>664</v>
      </c>
      <c r="C751" s="79"/>
      <c r="D751" s="81">
        <f t="shared" si="169"/>
        <v>18.925000000000001</v>
      </c>
      <c r="E751" s="82">
        <f t="shared" si="162"/>
        <v>0</v>
      </c>
      <c r="F751" s="83">
        <f t="shared" si="168"/>
        <v>18.925000000000001</v>
      </c>
      <c r="G751" s="84"/>
      <c r="H751" s="85"/>
      <c r="I751" s="85"/>
      <c r="J751" s="84"/>
      <c r="K751" s="85"/>
      <c r="L751" s="85"/>
      <c r="M751" s="85"/>
      <c r="N751" s="85"/>
      <c r="O751" s="82"/>
      <c r="P751" s="83"/>
      <c r="Q751" s="83"/>
      <c r="R751" s="83"/>
      <c r="S751" s="82"/>
      <c r="T751" s="83"/>
      <c r="U751" s="83"/>
      <c r="V751" s="84"/>
      <c r="W751" s="85"/>
      <c r="X751" s="87"/>
      <c r="Y751" s="83"/>
      <c r="Z751" s="84"/>
      <c r="AA751" s="85"/>
      <c r="AB751" s="84"/>
      <c r="AC751" s="85"/>
      <c r="AD751" s="89">
        <f t="shared" si="163"/>
        <v>0</v>
      </c>
      <c r="AE751" s="89"/>
      <c r="AF751" s="186"/>
      <c r="AG751" s="85"/>
      <c r="AH751" s="85"/>
      <c r="AI751" s="85"/>
      <c r="AJ751" s="84"/>
      <c r="AK751" s="85"/>
      <c r="AL751" s="84"/>
      <c r="AM751" s="88"/>
      <c r="AN751" s="84"/>
      <c r="AO751" s="85"/>
      <c r="AP751" s="84"/>
      <c r="AQ751" s="83"/>
      <c r="AR751" s="83"/>
      <c r="AS751" s="83"/>
      <c r="AT751" s="85"/>
      <c r="AU751" s="85"/>
      <c r="AV751" s="85"/>
      <c r="AW751" s="88"/>
      <c r="AX751" s="84"/>
      <c r="AY751" s="85"/>
      <c r="AZ751" s="84"/>
      <c r="BA751" s="85"/>
      <c r="BB751" s="88"/>
      <c r="BC751" s="85"/>
      <c r="BD751" s="84"/>
      <c r="BE751" s="88"/>
      <c r="BF751" s="85"/>
      <c r="BG751" s="85"/>
      <c r="BH751" s="85"/>
      <c r="BI751" s="135">
        <v>18.925000000000001</v>
      </c>
      <c r="BJ751" s="85"/>
      <c r="BK751" s="85"/>
      <c r="BL751" s="85"/>
      <c r="BM751" s="85"/>
      <c r="BN751" s="85"/>
      <c r="BO751" s="85"/>
      <c r="BP751" s="85"/>
      <c r="BQ751" s="85"/>
      <c r="BR751" s="84"/>
      <c r="BS751" s="85"/>
      <c r="BT751" s="85"/>
      <c r="BU751" s="198"/>
      <c r="BV751" s="90"/>
      <c r="BW751" s="198"/>
      <c r="BX751" s="90"/>
      <c r="BY751" s="198"/>
      <c r="BZ751" s="90"/>
      <c r="CA751" s="91"/>
    </row>
    <row r="752" spans="1:79" ht="50.1" customHeight="1" outlineLevel="2" x14ac:dyDescent="0.3">
      <c r="A752" s="103" t="s">
        <v>651</v>
      </c>
      <c r="B752" s="111" t="s">
        <v>1136</v>
      </c>
      <c r="C752" s="79"/>
      <c r="D752" s="81">
        <f t="shared" si="169"/>
        <v>300</v>
      </c>
      <c r="E752" s="82">
        <f t="shared" si="162"/>
        <v>0</v>
      </c>
      <c r="F752" s="83">
        <f t="shared" si="168"/>
        <v>300</v>
      </c>
      <c r="G752" s="84"/>
      <c r="H752" s="85"/>
      <c r="I752" s="85"/>
      <c r="J752" s="84"/>
      <c r="K752" s="85"/>
      <c r="L752" s="85"/>
      <c r="M752" s="85"/>
      <c r="N752" s="85"/>
      <c r="O752" s="82"/>
      <c r="P752" s="83"/>
      <c r="Q752" s="83"/>
      <c r="R752" s="83"/>
      <c r="S752" s="82"/>
      <c r="T752" s="83"/>
      <c r="U752" s="83"/>
      <c r="V752" s="84"/>
      <c r="W752" s="85"/>
      <c r="X752" s="87"/>
      <c r="Y752" s="83"/>
      <c r="Z752" s="84"/>
      <c r="AA752" s="85"/>
      <c r="AB752" s="84"/>
      <c r="AC752" s="85"/>
      <c r="AD752" s="89"/>
      <c r="AE752" s="89"/>
      <c r="AF752" s="186"/>
      <c r="AG752" s="85"/>
      <c r="AH752" s="85"/>
      <c r="AI752" s="85"/>
      <c r="AJ752" s="84"/>
      <c r="AK752" s="85"/>
      <c r="AL752" s="84"/>
      <c r="AM752" s="88"/>
      <c r="AN752" s="84"/>
      <c r="AO752" s="85"/>
      <c r="AP752" s="84"/>
      <c r="AQ752" s="83"/>
      <c r="AR752" s="83"/>
      <c r="AS752" s="83"/>
      <c r="AT752" s="85"/>
      <c r="AU752" s="85"/>
      <c r="AV752" s="85"/>
      <c r="AW752" s="88"/>
      <c r="AX752" s="84"/>
      <c r="AY752" s="85"/>
      <c r="AZ752" s="84"/>
      <c r="BA752" s="85"/>
      <c r="BB752" s="88"/>
      <c r="BC752" s="85"/>
      <c r="BD752" s="84"/>
      <c r="BE752" s="88"/>
      <c r="BF752" s="85"/>
      <c r="BG752" s="85"/>
      <c r="BH752" s="85">
        <v>300</v>
      </c>
      <c r="BI752" s="135"/>
      <c r="BJ752" s="85"/>
      <c r="BK752" s="85"/>
      <c r="BL752" s="85"/>
      <c r="BM752" s="85"/>
      <c r="BN752" s="85"/>
      <c r="BO752" s="85"/>
      <c r="BP752" s="85"/>
      <c r="BQ752" s="85"/>
      <c r="BR752" s="84"/>
      <c r="BS752" s="85"/>
      <c r="BT752" s="85"/>
      <c r="BU752" s="198"/>
      <c r="BV752" s="90"/>
      <c r="BW752" s="198"/>
      <c r="BX752" s="90"/>
      <c r="BY752" s="198"/>
      <c r="BZ752" s="90"/>
      <c r="CA752" s="91"/>
    </row>
    <row r="753" spans="1:1199" ht="50.1" customHeight="1" outlineLevel="2" x14ac:dyDescent="0.3">
      <c r="A753" s="103" t="s">
        <v>651</v>
      </c>
      <c r="B753" s="111" t="s">
        <v>1109</v>
      </c>
      <c r="C753" s="79"/>
      <c r="D753" s="81">
        <f t="shared" si="169"/>
        <v>300</v>
      </c>
      <c r="E753" s="82">
        <f t="shared" si="162"/>
        <v>0</v>
      </c>
      <c r="F753" s="83">
        <f t="shared" si="168"/>
        <v>300</v>
      </c>
      <c r="G753" s="84"/>
      <c r="H753" s="85"/>
      <c r="I753" s="85"/>
      <c r="J753" s="84"/>
      <c r="K753" s="85"/>
      <c r="L753" s="85"/>
      <c r="M753" s="85"/>
      <c r="N753" s="85"/>
      <c r="O753" s="82"/>
      <c r="P753" s="83"/>
      <c r="Q753" s="83"/>
      <c r="R753" s="83"/>
      <c r="S753" s="82"/>
      <c r="T753" s="83"/>
      <c r="U753" s="83"/>
      <c r="V753" s="84"/>
      <c r="W753" s="85"/>
      <c r="X753" s="87"/>
      <c r="Y753" s="83"/>
      <c r="Z753" s="84"/>
      <c r="AA753" s="85"/>
      <c r="AB753" s="84"/>
      <c r="AC753" s="85"/>
      <c r="AD753" s="89"/>
      <c r="AE753" s="89"/>
      <c r="AF753" s="186"/>
      <c r="AG753" s="85"/>
      <c r="AH753" s="85"/>
      <c r="AI753" s="85"/>
      <c r="AJ753" s="84"/>
      <c r="AK753" s="85"/>
      <c r="AL753" s="84"/>
      <c r="AM753" s="88"/>
      <c r="AN753" s="84"/>
      <c r="AO753" s="85"/>
      <c r="AP753" s="84"/>
      <c r="AQ753" s="83"/>
      <c r="AR753" s="83"/>
      <c r="AS753" s="83"/>
      <c r="AT753" s="85"/>
      <c r="AU753" s="85"/>
      <c r="AV753" s="85"/>
      <c r="AW753" s="88"/>
      <c r="AX753" s="84"/>
      <c r="AY753" s="85"/>
      <c r="AZ753" s="84"/>
      <c r="BA753" s="85"/>
      <c r="BB753" s="88"/>
      <c r="BC753" s="85"/>
      <c r="BD753" s="84"/>
      <c r="BE753" s="88"/>
      <c r="BF753" s="85"/>
      <c r="BG753" s="85"/>
      <c r="BH753" s="85">
        <v>300</v>
      </c>
      <c r="BI753" s="135"/>
      <c r="BJ753" s="85"/>
      <c r="BK753" s="85"/>
      <c r="BL753" s="85"/>
      <c r="BM753" s="85"/>
      <c r="BN753" s="85"/>
      <c r="BO753" s="85"/>
      <c r="BP753" s="85"/>
      <c r="BQ753" s="85"/>
      <c r="BR753" s="84"/>
      <c r="BS753" s="85"/>
      <c r="BT753" s="85"/>
      <c r="BU753" s="198"/>
      <c r="BV753" s="90"/>
      <c r="BW753" s="198"/>
      <c r="BX753" s="90"/>
      <c r="BY753" s="198"/>
      <c r="BZ753" s="90"/>
      <c r="CA753" s="91"/>
    </row>
    <row r="754" spans="1:1199" ht="50.1" customHeight="1" outlineLevel="2" x14ac:dyDescent="0.3">
      <c r="A754" s="103" t="s">
        <v>651</v>
      </c>
      <c r="B754" s="111" t="s">
        <v>1083</v>
      </c>
      <c r="C754" s="79"/>
      <c r="D754" s="81">
        <f t="shared" si="169"/>
        <v>300</v>
      </c>
      <c r="E754" s="82">
        <f t="shared" si="162"/>
        <v>0</v>
      </c>
      <c r="F754" s="83">
        <f t="shared" si="168"/>
        <v>300</v>
      </c>
      <c r="G754" s="84"/>
      <c r="H754" s="85"/>
      <c r="I754" s="85"/>
      <c r="J754" s="84"/>
      <c r="K754" s="85"/>
      <c r="L754" s="85"/>
      <c r="M754" s="85"/>
      <c r="N754" s="85"/>
      <c r="O754" s="82"/>
      <c r="P754" s="83"/>
      <c r="Q754" s="83"/>
      <c r="R754" s="83"/>
      <c r="S754" s="82"/>
      <c r="T754" s="83"/>
      <c r="U754" s="83"/>
      <c r="V754" s="84"/>
      <c r="W754" s="85"/>
      <c r="X754" s="87"/>
      <c r="Y754" s="83"/>
      <c r="Z754" s="84"/>
      <c r="AA754" s="85"/>
      <c r="AB754" s="84"/>
      <c r="AC754" s="85"/>
      <c r="AD754" s="89">
        <f t="shared" si="163"/>
        <v>0</v>
      </c>
      <c r="AE754" s="89"/>
      <c r="AF754" s="186"/>
      <c r="AG754" s="85"/>
      <c r="AH754" s="85"/>
      <c r="AI754" s="85"/>
      <c r="AJ754" s="84"/>
      <c r="AK754" s="85"/>
      <c r="AL754" s="84"/>
      <c r="AM754" s="88"/>
      <c r="AN754" s="84"/>
      <c r="AO754" s="85"/>
      <c r="AP754" s="84"/>
      <c r="AQ754" s="83"/>
      <c r="AR754" s="83"/>
      <c r="AS754" s="83"/>
      <c r="AT754" s="85"/>
      <c r="AU754" s="85"/>
      <c r="AV754" s="85"/>
      <c r="AW754" s="88"/>
      <c r="AX754" s="84"/>
      <c r="AY754" s="85"/>
      <c r="AZ754" s="84"/>
      <c r="BA754" s="85"/>
      <c r="BB754" s="88"/>
      <c r="BC754" s="85"/>
      <c r="BD754" s="84"/>
      <c r="BE754" s="88"/>
      <c r="BF754" s="85"/>
      <c r="BG754" s="85"/>
      <c r="BH754" s="85">
        <v>300</v>
      </c>
      <c r="BI754" s="85"/>
      <c r="BJ754" s="85"/>
      <c r="BK754" s="85"/>
      <c r="BL754" s="85"/>
      <c r="BM754" s="85"/>
      <c r="BN754" s="85"/>
      <c r="BO754" s="85"/>
      <c r="BP754" s="85"/>
      <c r="BQ754" s="85"/>
      <c r="BR754" s="84"/>
      <c r="BS754" s="85"/>
      <c r="BT754" s="85"/>
      <c r="BU754" s="198"/>
      <c r="BV754" s="90"/>
      <c r="BW754" s="198"/>
      <c r="BX754" s="90"/>
      <c r="BY754" s="198"/>
      <c r="BZ754" s="90"/>
      <c r="CA754" s="91"/>
    </row>
    <row r="755" spans="1:1199" s="101" customFormat="1" ht="50.1" customHeight="1" outlineLevel="1" x14ac:dyDescent="0.3">
      <c r="A755" s="132" t="s">
        <v>665</v>
      </c>
      <c r="B755" s="133"/>
      <c r="C755" s="134" t="s">
        <v>94</v>
      </c>
      <c r="D755" s="114">
        <f t="shared" ref="D755:AI755" si="170">SUBTOTAL(9,D734:D754)</f>
        <v>559648.64809000003</v>
      </c>
      <c r="E755" s="114">
        <f t="shared" si="170"/>
        <v>124102.58455000001</v>
      </c>
      <c r="F755" s="114">
        <f t="shared" si="170"/>
        <v>435546.06354</v>
      </c>
      <c r="G755" s="114">
        <f t="shared" si="170"/>
        <v>0</v>
      </c>
      <c r="H755" s="114">
        <f t="shared" si="170"/>
        <v>0</v>
      </c>
      <c r="I755" s="114">
        <f t="shared" si="170"/>
        <v>0</v>
      </c>
      <c r="J755" s="114">
        <f t="shared" si="170"/>
        <v>4470.87021</v>
      </c>
      <c r="K755" s="114">
        <f t="shared" si="170"/>
        <v>1324.70217</v>
      </c>
      <c r="L755" s="114">
        <f t="shared" si="170"/>
        <v>0</v>
      </c>
      <c r="M755" s="114">
        <f t="shared" si="170"/>
        <v>0</v>
      </c>
      <c r="N755" s="114">
        <f t="shared" si="170"/>
        <v>184486.75179000001</v>
      </c>
      <c r="O755" s="114">
        <f t="shared" si="170"/>
        <v>0</v>
      </c>
      <c r="P755" s="114">
        <f t="shared" si="170"/>
        <v>0</v>
      </c>
      <c r="Q755" s="114">
        <f t="shared" si="170"/>
        <v>33015.309479999996</v>
      </c>
      <c r="R755" s="114">
        <f t="shared" si="170"/>
        <v>0</v>
      </c>
      <c r="S755" s="114">
        <f t="shared" si="170"/>
        <v>50268.884300000005</v>
      </c>
      <c r="T755" s="114">
        <f t="shared" si="170"/>
        <v>40972.712530000004</v>
      </c>
      <c r="U755" s="114">
        <f t="shared" si="170"/>
        <v>13175.040279999999</v>
      </c>
      <c r="V755" s="114">
        <f t="shared" si="170"/>
        <v>11429.730150000001</v>
      </c>
      <c r="W755" s="114">
        <f t="shared" si="170"/>
        <v>21236.985000000001</v>
      </c>
      <c r="X755" s="114">
        <f t="shared" si="170"/>
        <v>0</v>
      </c>
      <c r="Y755" s="114">
        <f t="shared" si="170"/>
        <v>10703.16</v>
      </c>
      <c r="Z755" s="114">
        <f t="shared" si="170"/>
        <v>0</v>
      </c>
      <c r="AA755" s="114">
        <f t="shared" si="170"/>
        <v>0</v>
      </c>
      <c r="AB755" s="114">
        <f t="shared" si="170"/>
        <v>0</v>
      </c>
      <c r="AC755" s="114">
        <f t="shared" si="170"/>
        <v>0</v>
      </c>
      <c r="AD755" s="114">
        <f t="shared" si="170"/>
        <v>17181.17252</v>
      </c>
      <c r="AE755" s="114">
        <f t="shared" si="170"/>
        <v>7136.741</v>
      </c>
      <c r="AF755" s="191">
        <f t="shared" si="170"/>
        <v>10044.43152</v>
      </c>
      <c r="AG755" s="114">
        <f t="shared" si="170"/>
        <v>0</v>
      </c>
      <c r="AH755" s="114">
        <f t="shared" si="170"/>
        <v>0</v>
      </c>
      <c r="AI755" s="114">
        <f t="shared" si="170"/>
        <v>0</v>
      </c>
      <c r="AJ755" s="114">
        <f t="shared" ref="AJ755:BO755" si="171">SUBTOTAL(9,AJ734:AJ754)</f>
        <v>0</v>
      </c>
      <c r="AK755" s="114">
        <f t="shared" si="171"/>
        <v>0</v>
      </c>
      <c r="AL755" s="114">
        <f t="shared" si="171"/>
        <v>0</v>
      </c>
      <c r="AM755" s="114">
        <f t="shared" si="171"/>
        <v>0</v>
      </c>
      <c r="AN755" s="114">
        <f t="shared" si="171"/>
        <v>0</v>
      </c>
      <c r="AO755" s="114">
        <f t="shared" si="171"/>
        <v>4243.2</v>
      </c>
      <c r="AP755" s="114">
        <f t="shared" si="171"/>
        <v>22345.395949999998</v>
      </c>
      <c r="AQ755" s="114">
        <f t="shared" si="171"/>
        <v>33131.836040000002</v>
      </c>
      <c r="AR755" s="114">
        <f t="shared" si="171"/>
        <v>0</v>
      </c>
      <c r="AS755" s="114">
        <f t="shared" si="171"/>
        <v>0</v>
      </c>
      <c r="AT755" s="114">
        <f t="shared" si="171"/>
        <v>0</v>
      </c>
      <c r="AU755" s="114">
        <f t="shared" si="171"/>
        <v>4156.3999999999996</v>
      </c>
      <c r="AV755" s="114">
        <f t="shared" si="171"/>
        <v>22645.228920000001</v>
      </c>
      <c r="AW755" s="114">
        <f t="shared" si="171"/>
        <v>0</v>
      </c>
      <c r="AX755" s="114">
        <f t="shared" si="171"/>
        <v>0</v>
      </c>
      <c r="AY755" s="114">
        <f t="shared" si="171"/>
        <v>0</v>
      </c>
      <c r="AZ755" s="114">
        <f t="shared" si="171"/>
        <v>35587.703939999999</v>
      </c>
      <c r="BA755" s="114">
        <f t="shared" si="171"/>
        <v>32227.481159999999</v>
      </c>
      <c r="BB755" s="114">
        <f t="shared" si="171"/>
        <v>779.53271000000007</v>
      </c>
      <c r="BC755" s="114">
        <f t="shared" si="171"/>
        <v>0</v>
      </c>
      <c r="BD755" s="114">
        <f t="shared" si="171"/>
        <v>0</v>
      </c>
      <c r="BE755" s="114">
        <f t="shared" si="171"/>
        <v>0</v>
      </c>
      <c r="BF755" s="114">
        <f t="shared" si="171"/>
        <v>0</v>
      </c>
      <c r="BG755" s="114">
        <f t="shared" si="171"/>
        <v>6391.2223700000004</v>
      </c>
      <c r="BH755" s="114">
        <f t="shared" si="171"/>
        <v>4200</v>
      </c>
      <c r="BI755" s="114">
        <f t="shared" si="171"/>
        <v>48.625</v>
      </c>
      <c r="BJ755" s="114">
        <f t="shared" si="171"/>
        <v>0</v>
      </c>
      <c r="BK755" s="114">
        <f t="shared" si="171"/>
        <v>992.38314000000003</v>
      </c>
      <c r="BL755" s="114">
        <f t="shared" si="171"/>
        <v>0</v>
      </c>
      <c r="BM755" s="114">
        <f t="shared" si="171"/>
        <v>0</v>
      </c>
      <c r="BN755" s="114">
        <f t="shared" si="171"/>
        <v>0</v>
      </c>
      <c r="BO755" s="114">
        <f t="shared" si="171"/>
        <v>0</v>
      </c>
      <c r="BP755" s="114">
        <f t="shared" ref="BP755:CU755" si="172">SUBTOTAL(9,BP734:BP754)</f>
        <v>0</v>
      </c>
      <c r="BQ755" s="114">
        <f t="shared" si="172"/>
        <v>0</v>
      </c>
      <c r="BR755" s="114">
        <f t="shared" si="172"/>
        <v>0</v>
      </c>
      <c r="BS755" s="114">
        <f t="shared" si="172"/>
        <v>0</v>
      </c>
      <c r="BT755" s="114">
        <f t="shared" si="172"/>
        <v>1631.33</v>
      </c>
      <c r="BU755" s="114">
        <f t="shared" si="172"/>
        <v>2.9904299999999999</v>
      </c>
      <c r="BV755" s="114">
        <f t="shared" si="172"/>
        <v>0</v>
      </c>
      <c r="BW755" s="114">
        <f t="shared" si="172"/>
        <v>3000</v>
      </c>
      <c r="BX755" s="114">
        <f t="shared" si="172"/>
        <v>0</v>
      </c>
      <c r="BY755" s="114">
        <f t="shared" si="172"/>
        <v>0</v>
      </c>
      <c r="BZ755" s="114">
        <f t="shared" si="172"/>
        <v>0</v>
      </c>
      <c r="CA755" s="114">
        <f t="shared" si="172"/>
        <v>0</v>
      </c>
      <c r="CB755" s="176"/>
      <c r="CC755" s="176"/>
      <c r="CD755" s="176"/>
      <c r="CE755" s="176"/>
      <c r="CF755" s="176"/>
      <c r="CG755" s="176"/>
      <c r="CH755" s="176"/>
      <c r="CI755" s="176"/>
      <c r="CJ755" s="176"/>
      <c r="CK755" s="176"/>
      <c r="CL755" s="176"/>
      <c r="CM755" s="176"/>
      <c r="CN755" s="176"/>
      <c r="CO755" s="176"/>
      <c r="CP755" s="176"/>
      <c r="CQ755" s="176"/>
      <c r="CR755" s="176"/>
      <c r="CS755" s="176"/>
      <c r="CT755" s="176"/>
      <c r="CU755" s="176"/>
      <c r="CV755" s="176"/>
      <c r="CW755" s="176"/>
      <c r="CX755" s="176"/>
      <c r="CY755" s="176"/>
      <c r="CZ755" s="176"/>
      <c r="DA755" s="176"/>
      <c r="DB755" s="176"/>
      <c r="DC755" s="176"/>
      <c r="DD755" s="176"/>
      <c r="DE755" s="176"/>
      <c r="DF755" s="176"/>
      <c r="DG755" s="176"/>
      <c r="DH755" s="176"/>
      <c r="DI755" s="176"/>
      <c r="DJ755" s="176"/>
      <c r="DK755" s="176"/>
      <c r="DL755" s="176"/>
      <c r="DM755" s="176"/>
      <c r="DN755" s="176"/>
      <c r="DO755" s="176"/>
      <c r="DP755" s="176"/>
      <c r="DQ755" s="176"/>
      <c r="DR755" s="176"/>
      <c r="DS755" s="176"/>
      <c r="DT755" s="176"/>
      <c r="DU755" s="176"/>
      <c r="DV755" s="176"/>
      <c r="DW755" s="176"/>
      <c r="DX755" s="176"/>
      <c r="DY755" s="176"/>
      <c r="DZ755" s="176"/>
      <c r="EA755" s="176"/>
      <c r="EB755" s="176"/>
      <c r="EC755" s="176"/>
      <c r="ED755" s="176"/>
      <c r="EE755" s="176"/>
      <c r="EF755" s="176"/>
      <c r="EG755" s="176"/>
      <c r="EH755" s="176"/>
      <c r="EI755" s="176"/>
      <c r="EJ755" s="176"/>
      <c r="EK755" s="176"/>
      <c r="EL755" s="176"/>
      <c r="EM755" s="176"/>
      <c r="EN755" s="176"/>
      <c r="EO755" s="176"/>
      <c r="EP755" s="176"/>
      <c r="EQ755" s="176"/>
      <c r="ER755" s="176"/>
      <c r="ES755" s="176"/>
      <c r="ET755" s="176"/>
      <c r="EU755" s="176"/>
      <c r="EV755" s="176"/>
      <c r="EW755" s="176"/>
      <c r="EX755" s="176"/>
      <c r="EY755" s="176"/>
      <c r="EZ755" s="176"/>
      <c r="FA755" s="176"/>
      <c r="FB755" s="176"/>
      <c r="FC755" s="176"/>
      <c r="FD755" s="176"/>
      <c r="FE755" s="176"/>
      <c r="FF755" s="176"/>
      <c r="FG755" s="176"/>
      <c r="FH755" s="176"/>
      <c r="FI755" s="176"/>
      <c r="FJ755" s="176"/>
      <c r="FK755" s="176"/>
      <c r="FL755" s="176"/>
      <c r="FM755" s="176"/>
      <c r="FN755" s="176"/>
      <c r="FO755" s="176"/>
      <c r="FP755" s="176"/>
      <c r="FQ755" s="176"/>
      <c r="FR755" s="176"/>
      <c r="FS755" s="176"/>
      <c r="FT755" s="176"/>
      <c r="FU755" s="176"/>
      <c r="FV755" s="176"/>
      <c r="FW755" s="176"/>
      <c r="FX755" s="176"/>
      <c r="FY755" s="176"/>
      <c r="FZ755" s="176"/>
      <c r="GA755" s="176"/>
      <c r="GB755" s="176"/>
      <c r="GC755" s="176"/>
      <c r="GD755" s="176"/>
      <c r="GE755" s="176"/>
      <c r="GF755" s="176"/>
      <c r="GG755" s="176"/>
      <c r="GH755" s="176"/>
      <c r="GI755" s="176"/>
      <c r="GJ755" s="176"/>
      <c r="GK755" s="176"/>
      <c r="GL755" s="176"/>
      <c r="GM755" s="176"/>
      <c r="GN755" s="176"/>
      <c r="GO755" s="176"/>
      <c r="GP755" s="176"/>
      <c r="GQ755" s="176"/>
      <c r="GR755" s="176"/>
      <c r="GS755" s="176"/>
      <c r="GT755" s="176"/>
      <c r="GU755" s="176"/>
      <c r="GV755" s="176"/>
      <c r="GW755" s="176"/>
      <c r="GX755" s="176"/>
      <c r="GY755" s="176"/>
      <c r="GZ755" s="176"/>
      <c r="HA755" s="176"/>
      <c r="HB755" s="176"/>
      <c r="HC755" s="176"/>
      <c r="HD755" s="176"/>
      <c r="HE755" s="176"/>
      <c r="HF755" s="176"/>
      <c r="HG755" s="176"/>
      <c r="HH755" s="176"/>
      <c r="HI755" s="176"/>
      <c r="HJ755" s="176"/>
      <c r="HK755" s="176"/>
      <c r="HL755" s="176"/>
      <c r="HM755" s="176"/>
      <c r="HN755" s="176"/>
      <c r="HO755" s="176"/>
      <c r="HP755" s="176"/>
      <c r="HQ755" s="176"/>
      <c r="HR755" s="176"/>
      <c r="HS755" s="176"/>
      <c r="HT755" s="176"/>
      <c r="HU755" s="176"/>
      <c r="HV755" s="176"/>
      <c r="HW755" s="176"/>
      <c r="HX755" s="176"/>
      <c r="HY755" s="176"/>
      <c r="HZ755" s="176"/>
      <c r="IA755" s="176"/>
      <c r="IB755" s="176"/>
      <c r="IC755" s="176"/>
      <c r="ID755" s="176"/>
      <c r="IE755" s="176"/>
      <c r="IF755" s="176"/>
      <c r="IG755" s="176"/>
      <c r="IH755" s="176"/>
      <c r="II755" s="176"/>
      <c r="IJ755" s="176"/>
      <c r="IK755" s="176"/>
      <c r="IL755" s="176"/>
      <c r="IM755" s="176"/>
      <c r="IN755" s="176"/>
      <c r="IO755" s="176"/>
      <c r="IP755" s="176"/>
      <c r="IQ755" s="176"/>
      <c r="IR755" s="176"/>
      <c r="IS755" s="176"/>
      <c r="IT755" s="176"/>
      <c r="IU755" s="176"/>
      <c r="IV755" s="176"/>
      <c r="IW755" s="176"/>
      <c r="IX755" s="176"/>
      <c r="IY755" s="176"/>
      <c r="IZ755" s="176"/>
      <c r="JA755" s="176"/>
      <c r="JB755" s="176"/>
      <c r="JC755" s="176"/>
      <c r="JD755" s="176"/>
      <c r="JE755" s="176"/>
      <c r="JF755" s="176"/>
      <c r="JG755" s="176"/>
      <c r="JH755" s="176"/>
      <c r="JI755" s="176"/>
      <c r="JJ755" s="176"/>
      <c r="JK755" s="176"/>
      <c r="JL755" s="176"/>
      <c r="JM755" s="176"/>
      <c r="JN755" s="176"/>
      <c r="JO755" s="176"/>
      <c r="JP755" s="176"/>
      <c r="JQ755" s="176"/>
      <c r="JR755" s="176"/>
      <c r="JS755" s="176"/>
      <c r="JT755" s="176"/>
      <c r="JU755" s="176"/>
      <c r="JV755" s="176"/>
      <c r="JW755" s="131"/>
      <c r="JX755" s="131"/>
      <c r="JY755" s="131"/>
      <c r="JZ755" s="131"/>
      <c r="KA755" s="131"/>
      <c r="KB755" s="131"/>
      <c r="KC755" s="131"/>
      <c r="KD755" s="131"/>
      <c r="KE755" s="131"/>
      <c r="KF755" s="131"/>
      <c r="KG755" s="131"/>
      <c r="KH755" s="131"/>
      <c r="KI755" s="131"/>
      <c r="KJ755" s="131"/>
      <c r="KK755" s="131"/>
      <c r="KL755" s="131"/>
      <c r="KM755" s="131"/>
      <c r="KN755" s="131"/>
      <c r="KO755" s="131"/>
      <c r="KP755" s="131"/>
      <c r="KQ755" s="131"/>
      <c r="KR755" s="131"/>
      <c r="KS755" s="131"/>
      <c r="KT755" s="131"/>
      <c r="KU755" s="131"/>
      <c r="KV755" s="131"/>
      <c r="KW755" s="131"/>
      <c r="KX755" s="131"/>
      <c r="KY755" s="131"/>
      <c r="KZ755" s="131"/>
      <c r="LA755" s="131"/>
      <c r="LB755" s="131"/>
      <c r="LC755" s="131"/>
      <c r="LD755" s="131"/>
      <c r="LE755" s="131"/>
      <c r="LF755" s="131"/>
      <c r="LG755" s="131"/>
      <c r="LH755" s="131"/>
      <c r="LI755" s="131"/>
      <c r="LJ755" s="131"/>
      <c r="LK755" s="131"/>
      <c r="LL755" s="131"/>
      <c r="LM755" s="131"/>
      <c r="LN755" s="131"/>
      <c r="LO755" s="131"/>
      <c r="LP755" s="131"/>
      <c r="LQ755" s="131"/>
      <c r="LR755" s="131"/>
      <c r="LS755" s="131"/>
      <c r="LT755" s="131"/>
      <c r="LU755" s="131"/>
      <c r="LV755" s="131"/>
      <c r="LW755" s="131"/>
      <c r="LX755" s="131"/>
      <c r="LY755" s="131"/>
      <c r="LZ755" s="131"/>
      <c r="MA755" s="131"/>
      <c r="MB755" s="131"/>
      <c r="MC755" s="131"/>
      <c r="MD755" s="131"/>
      <c r="ME755" s="131"/>
      <c r="MF755" s="131"/>
      <c r="MG755" s="131"/>
      <c r="MH755" s="131"/>
      <c r="MI755" s="131"/>
      <c r="MJ755" s="131"/>
      <c r="MK755" s="131"/>
      <c r="ML755" s="131"/>
      <c r="MM755" s="131"/>
      <c r="MN755" s="131"/>
      <c r="MO755" s="131"/>
      <c r="MP755" s="131"/>
      <c r="MQ755" s="131"/>
      <c r="MR755" s="131"/>
      <c r="MS755" s="131"/>
      <c r="MT755" s="131"/>
      <c r="MU755" s="131"/>
      <c r="MV755" s="131"/>
      <c r="MW755" s="131"/>
      <c r="MX755" s="131"/>
      <c r="MY755" s="131"/>
      <c r="MZ755" s="131"/>
      <c r="NA755" s="131"/>
      <c r="NB755" s="131"/>
      <c r="NC755" s="131"/>
      <c r="ND755" s="131"/>
      <c r="NE755" s="131"/>
      <c r="NF755" s="131"/>
      <c r="NG755" s="131"/>
      <c r="NH755" s="131"/>
      <c r="NI755" s="131"/>
      <c r="NJ755" s="131"/>
      <c r="NK755" s="131"/>
      <c r="NL755" s="131"/>
      <c r="NM755" s="131"/>
      <c r="NN755" s="131"/>
      <c r="NO755" s="131"/>
      <c r="NP755" s="131"/>
      <c r="NQ755" s="131"/>
      <c r="NR755" s="131"/>
      <c r="NS755" s="131"/>
      <c r="NT755" s="131"/>
      <c r="NU755" s="131"/>
      <c r="NV755" s="131"/>
      <c r="NW755" s="131"/>
      <c r="NX755" s="131"/>
      <c r="NY755" s="131"/>
      <c r="NZ755" s="131"/>
      <c r="OA755" s="131"/>
      <c r="OB755" s="131"/>
      <c r="OC755" s="131"/>
      <c r="OD755" s="131"/>
      <c r="OE755" s="131"/>
      <c r="OF755" s="131"/>
      <c r="OG755" s="131"/>
      <c r="OH755" s="131"/>
      <c r="OI755" s="131"/>
      <c r="OJ755" s="131"/>
      <c r="OK755" s="131"/>
      <c r="OL755" s="131"/>
      <c r="OM755" s="131"/>
      <c r="ON755" s="131"/>
      <c r="OO755" s="131"/>
      <c r="OP755" s="131"/>
      <c r="OQ755" s="131"/>
      <c r="OR755" s="131"/>
      <c r="OS755" s="131"/>
      <c r="OT755" s="131"/>
      <c r="OU755" s="131"/>
      <c r="OV755" s="131"/>
      <c r="OW755" s="131"/>
      <c r="OX755" s="131"/>
      <c r="OY755" s="131"/>
      <c r="OZ755" s="131"/>
      <c r="PA755" s="131"/>
      <c r="PB755" s="131"/>
      <c r="PC755" s="131"/>
      <c r="PD755" s="131"/>
      <c r="PE755" s="131"/>
      <c r="PF755" s="131"/>
      <c r="PG755" s="131"/>
      <c r="PH755" s="131"/>
      <c r="PI755" s="131"/>
      <c r="PJ755" s="131"/>
      <c r="PK755" s="131"/>
      <c r="PL755" s="131"/>
      <c r="PM755" s="131"/>
      <c r="PN755" s="131"/>
      <c r="PO755" s="131"/>
      <c r="PP755" s="131"/>
      <c r="PQ755" s="131"/>
      <c r="PR755" s="131"/>
      <c r="PS755" s="131"/>
      <c r="PT755" s="131"/>
      <c r="PU755" s="131"/>
      <c r="PV755" s="131"/>
      <c r="PW755" s="131"/>
      <c r="PX755" s="131"/>
      <c r="PY755" s="131"/>
      <c r="PZ755" s="131"/>
      <c r="QA755" s="131"/>
      <c r="QB755" s="131"/>
      <c r="QC755" s="131"/>
      <c r="QD755" s="131"/>
      <c r="QE755" s="131"/>
      <c r="QF755" s="131"/>
      <c r="QG755" s="131"/>
      <c r="QH755" s="131"/>
      <c r="QI755" s="131"/>
      <c r="QJ755" s="131"/>
      <c r="QK755" s="131"/>
      <c r="QL755" s="131"/>
      <c r="QM755" s="131"/>
      <c r="QN755" s="131"/>
      <c r="QO755" s="131"/>
      <c r="QP755" s="131"/>
      <c r="QQ755" s="131"/>
      <c r="QR755" s="131"/>
      <c r="QS755" s="131"/>
      <c r="QT755" s="131"/>
      <c r="QU755" s="131"/>
      <c r="QV755" s="131"/>
      <c r="QW755" s="131"/>
      <c r="QX755" s="131"/>
      <c r="QY755" s="131"/>
      <c r="QZ755" s="131"/>
      <c r="RA755" s="131"/>
      <c r="RB755" s="131"/>
      <c r="RC755" s="131"/>
      <c r="RD755" s="131"/>
      <c r="RE755" s="131"/>
      <c r="RF755" s="131"/>
      <c r="RG755" s="131"/>
      <c r="RH755" s="131"/>
      <c r="RI755" s="131"/>
      <c r="RJ755" s="131"/>
      <c r="RK755" s="131"/>
      <c r="RL755" s="131"/>
      <c r="RM755" s="131"/>
      <c r="RN755" s="131"/>
      <c r="RO755" s="131"/>
      <c r="RP755" s="131"/>
      <c r="RQ755" s="131"/>
      <c r="RR755" s="131"/>
      <c r="RS755" s="131"/>
      <c r="RT755" s="131"/>
      <c r="RU755" s="131"/>
      <c r="RV755" s="131"/>
      <c r="RW755" s="131"/>
      <c r="RX755" s="131"/>
      <c r="RY755" s="131"/>
      <c r="RZ755" s="131"/>
      <c r="SA755" s="131"/>
      <c r="SB755" s="131"/>
      <c r="SC755" s="131"/>
      <c r="SD755" s="131"/>
      <c r="SE755" s="131"/>
      <c r="SF755" s="131"/>
      <c r="SG755" s="131"/>
      <c r="SH755" s="131"/>
      <c r="SI755" s="131"/>
      <c r="SJ755" s="131"/>
      <c r="SK755" s="131"/>
      <c r="SL755" s="131"/>
      <c r="SM755" s="131"/>
      <c r="SN755" s="131"/>
      <c r="SO755" s="131"/>
      <c r="SP755" s="131"/>
      <c r="SQ755" s="131"/>
      <c r="SR755" s="131"/>
      <c r="SS755" s="131"/>
      <c r="ST755" s="131"/>
      <c r="SU755" s="131"/>
      <c r="SV755" s="131"/>
      <c r="SW755" s="131"/>
      <c r="SX755" s="131"/>
      <c r="SY755" s="131"/>
      <c r="SZ755" s="131"/>
      <c r="TA755" s="131"/>
      <c r="TB755" s="131"/>
      <c r="TC755" s="131"/>
      <c r="TD755" s="131"/>
      <c r="TE755" s="131"/>
      <c r="TF755" s="131"/>
      <c r="TG755" s="131"/>
      <c r="TH755" s="131"/>
      <c r="TI755" s="131"/>
      <c r="TJ755" s="131"/>
      <c r="TK755" s="131"/>
      <c r="TL755" s="131"/>
      <c r="TM755" s="131"/>
      <c r="TN755" s="131"/>
      <c r="TO755" s="131"/>
      <c r="TP755" s="131"/>
      <c r="TQ755" s="131"/>
      <c r="TR755" s="131"/>
      <c r="TS755" s="131"/>
      <c r="TT755" s="131"/>
      <c r="TU755" s="131"/>
      <c r="TV755" s="131"/>
      <c r="TW755" s="131"/>
      <c r="TX755" s="131"/>
      <c r="TY755" s="131"/>
      <c r="TZ755" s="131"/>
      <c r="UA755" s="131"/>
      <c r="UB755" s="131"/>
      <c r="UC755" s="131"/>
      <c r="UD755" s="131"/>
      <c r="UE755" s="131"/>
      <c r="UF755" s="131"/>
      <c r="UG755" s="131"/>
      <c r="UH755" s="131"/>
      <c r="UI755" s="131"/>
      <c r="UJ755" s="131"/>
      <c r="UK755" s="131"/>
      <c r="UL755" s="131"/>
      <c r="UM755" s="131"/>
      <c r="UN755" s="131"/>
      <c r="UO755" s="131"/>
      <c r="UP755" s="131"/>
      <c r="UQ755" s="131"/>
      <c r="UR755" s="131"/>
      <c r="US755" s="131"/>
      <c r="UT755" s="131"/>
      <c r="UU755" s="131"/>
      <c r="UV755" s="131"/>
      <c r="UW755" s="131"/>
      <c r="UX755" s="131"/>
      <c r="UY755" s="131"/>
      <c r="UZ755" s="131"/>
      <c r="VA755" s="131"/>
      <c r="VB755" s="131"/>
      <c r="VC755" s="131"/>
      <c r="VD755" s="131"/>
      <c r="VE755" s="131"/>
      <c r="VF755" s="131"/>
      <c r="VG755" s="131"/>
      <c r="VH755" s="131"/>
      <c r="VI755" s="131"/>
      <c r="VJ755" s="131"/>
      <c r="VK755" s="131"/>
      <c r="VL755" s="131"/>
      <c r="VM755" s="131"/>
      <c r="VN755" s="131"/>
      <c r="VO755" s="131"/>
      <c r="VP755" s="131"/>
      <c r="VQ755" s="131"/>
      <c r="VR755" s="131"/>
      <c r="VS755" s="131"/>
      <c r="VT755" s="131"/>
      <c r="VU755" s="131"/>
      <c r="VV755" s="131"/>
      <c r="VW755" s="131"/>
      <c r="VX755" s="131"/>
      <c r="VY755" s="131"/>
      <c r="VZ755" s="131"/>
      <c r="WA755" s="131"/>
      <c r="WB755" s="131"/>
      <c r="WC755" s="131"/>
      <c r="WD755" s="131"/>
      <c r="WE755" s="131"/>
      <c r="WF755" s="131"/>
      <c r="WG755" s="131"/>
      <c r="WH755" s="131"/>
      <c r="WI755" s="131"/>
      <c r="WJ755" s="131"/>
      <c r="WK755" s="131"/>
      <c r="WL755" s="131"/>
      <c r="WM755" s="131"/>
      <c r="WN755" s="131"/>
      <c r="WO755" s="131"/>
      <c r="WP755" s="131"/>
      <c r="WQ755" s="131"/>
      <c r="WR755" s="131"/>
      <c r="WS755" s="131"/>
      <c r="WT755" s="131"/>
      <c r="WU755" s="131"/>
      <c r="WV755" s="131"/>
      <c r="WW755" s="131"/>
      <c r="WX755" s="131"/>
      <c r="WY755" s="131"/>
      <c r="WZ755" s="131"/>
      <c r="XA755" s="131"/>
      <c r="XB755" s="131"/>
      <c r="XC755" s="131"/>
      <c r="XD755" s="131"/>
      <c r="XE755" s="131"/>
      <c r="XF755" s="131"/>
      <c r="XG755" s="131"/>
      <c r="XH755" s="131"/>
      <c r="XI755" s="131"/>
      <c r="XJ755" s="131"/>
      <c r="XK755" s="131"/>
      <c r="XL755" s="131"/>
      <c r="XM755" s="131"/>
      <c r="XN755" s="131"/>
      <c r="XO755" s="131"/>
      <c r="XP755" s="131"/>
      <c r="XQ755" s="131"/>
      <c r="XR755" s="131"/>
      <c r="XS755" s="131"/>
      <c r="XT755" s="131"/>
      <c r="XU755" s="131"/>
      <c r="XV755" s="131"/>
      <c r="XW755" s="131"/>
      <c r="XX755" s="131"/>
      <c r="XY755" s="131"/>
      <c r="XZ755" s="131"/>
      <c r="YA755" s="131"/>
      <c r="YB755" s="131"/>
      <c r="YC755" s="131"/>
      <c r="YD755" s="131"/>
      <c r="YE755" s="131"/>
      <c r="YF755" s="131"/>
      <c r="YG755" s="131"/>
      <c r="YH755" s="131"/>
      <c r="YI755" s="131"/>
      <c r="YJ755" s="131"/>
      <c r="YK755" s="131"/>
      <c r="YL755" s="131"/>
      <c r="YM755" s="131"/>
      <c r="YN755" s="131"/>
      <c r="YO755" s="131"/>
      <c r="YP755" s="131"/>
      <c r="YQ755" s="131"/>
      <c r="YR755" s="131"/>
      <c r="YS755" s="131"/>
      <c r="YT755" s="131"/>
      <c r="YU755" s="131"/>
      <c r="YV755" s="131"/>
      <c r="YW755" s="131"/>
      <c r="YX755" s="131"/>
      <c r="YY755" s="131"/>
      <c r="YZ755" s="131"/>
      <c r="ZA755" s="131"/>
      <c r="ZB755" s="131"/>
      <c r="ZC755" s="131"/>
      <c r="ZD755" s="131"/>
      <c r="ZE755" s="131"/>
      <c r="ZF755" s="131"/>
      <c r="ZG755" s="131"/>
      <c r="ZH755" s="131"/>
      <c r="ZI755" s="131"/>
      <c r="ZJ755" s="131"/>
      <c r="ZK755" s="131"/>
      <c r="ZL755" s="131"/>
      <c r="ZM755" s="131"/>
      <c r="ZN755" s="131"/>
      <c r="ZO755" s="131"/>
      <c r="ZP755" s="131"/>
      <c r="ZQ755" s="131"/>
      <c r="ZR755" s="131"/>
      <c r="ZS755" s="131"/>
      <c r="ZT755" s="131"/>
      <c r="ZU755" s="131"/>
      <c r="ZV755" s="131"/>
      <c r="ZW755" s="131"/>
      <c r="ZX755" s="131"/>
      <c r="ZY755" s="131"/>
      <c r="ZZ755" s="131"/>
      <c r="AAA755" s="131"/>
      <c r="AAB755" s="131"/>
      <c r="AAC755" s="131"/>
      <c r="AAD755" s="131"/>
      <c r="AAE755" s="131"/>
      <c r="AAF755" s="131"/>
      <c r="AAG755" s="131"/>
      <c r="AAH755" s="131"/>
      <c r="AAI755" s="131"/>
      <c r="AAJ755" s="131"/>
      <c r="AAK755" s="131"/>
      <c r="AAL755" s="131"/>
      <c r="AAM755" s="131"/>
      <c r="AAN755" s="131"/>
      <c r="AAO755" s="131"/>
      <c r="AAP755" s="131"/>
      <c r="AAQ755" s="131"/>
      <c r="AAR755" s="131"/>
      <c r="AAS755" s="131"/>
      <c r="AAT755" s="131"/>
      <c r="AAU755" s="131"/>
      <c r="AAV755" s="131"/>
      <c r="AAW755" s="131"/>
      <c r="AAX755" s="131"/>
      <c r="AAY755" s="131"/>
      <c r="AAZ755" s="131"/>
      <c r="ABA755" s="131"/>
      <c r="ABB755" s="131"/>
      <c r="ABC755" s="131"/>
      <c r="ABD755" s="131"/>
      <c r="ABE755" s="131"/>
      <c r="ABF755" s="131"/>
      <c r="ABG755" s="131"/>
      <c r="ABH755" s="131"/>
      <c r="ABI755" s="131"/>
      <c r="ABJ755" s="131"/>
      <c r="ABK755" s="131"/>
      <c r="ABL755" s="131"/>
      <c r="ABM755" s="131"/>
      <c r="ABN755" s="131"/>
      <c r="ABO755" s="131"/>
      <c r="ABP755" s="131"/>
      <c r="ABQ755" s="131"/>
      <c r="ABR755" s="131"/>
      <c r="ABS755" s="131"/>
      <c r="ABT755" s="131"/>
      <c r="ABU755" s="131"/>
      <c r="ABV755" s="131"/>
      <c r="ABW755" s="131"/>
      <c r="ABX755" s="131"/>
      <c r="ABY755" s="131"/>
      <c r="ABZ755" s="131"/>
      <c r="ACA755" s="131"/>
      <c r="ACB755" s="131"/>
      <c r="ACC755" s="131"/>
      <c r="ACD755" s="131"/>
      <c r="ACE755" s="131"/>
      <c r="ACF755" s="131"/>
      <c r="ACG755" s="131"/>
      <c r="ACH755" s="131"/>
      <c r="ACI755" s="131"/>
      <c r="ACJ755" s="131"/>
      <c r="ACK755" s="131"/>
      <c r="ACL755" s="131"/>
      <c r="ACM755" s="131"/>
      <c r="ACN755" s="131"/>
      <c r="ACO755" s="131"/>
      <c r="ACP755" s="131"/>
      <c r="ACQ755" s="131"/>
      <c r="ACR755" s="131"/>
      <c r="ACS755" s="131"/>
      <c r="ACT755" s="131"/>
      <c r="ACU755" s="131"/>
      <c r="ACV755" s="131"/>
      <c r="ACW755" s="131"/>
      <c r="ACX755" s="131"/>
      <c r="ACY755" s="131"/>
      <c r="ACZ755" s="131"/>
      <c r="ADA755" s="131"/>
      <c r="ADB755" s="131"/>
      <c r="ADC755" s="131"/>
      <c r="ADD755" s="131"/>
      <c r="ADE755" s="131"/>
      <c r="ADF755" s="131"/>
      <c r="ADG755" s="131"/>
      <c r="ADH755" s="131"/>
      <c r="ADI755" s="131"/>
      <c r="ADJ755" s="131"/>
      <c r="ADK755" s="131"/>
      <c r="ADL755" s="131"/>
      <c r="ADM755" s="131"/>
      <c r="ADN755" s="131"/>
      <c r="ADO755" s="131"/>
      <c r="ADP755" s="131"/>
      <c r="ADQ755" s="131"/>
      <c r="ADR755" s="131"/>
      <c r="ADS755" s="131"/>
      <c r="ADT755" s="131"/>
      <c r="ADU755" s="131"/>
      <c r="ADV755" s="131"/>
      <c r="ADW755" s="131"/>
      <c r="ADX755" s="131"/>
      <c r="ADY755" s="131"/>
      <c r="ADZ755" s="131"/>
      <c r="AEA755" s="131"/>
      <c r="AEB755" s="131"/>
      <c r="AEC755" s="131"/>
      <c r="AED755" s="131"/>
      <c r="AEE755" s="131"/>
      <c r="AEF755" s="131"/>
      <c r="AEG755" s="131"/>
      <c r="AEH755" s="131"/>
      <c r="AEI755" s="131"/>
      <c r="AEJ755" s="131"/>
      <c r="AEK755" s="131"/>
      <c r="AEL755" s="131"/>
      <c r="AEM755" s="131"/>
      <c r="AEN755" s="131"/>
      <c r="AEO755" s="131"/>
      <c r="AEP755" s="131"/>
      <c r="AEQ755" s="131"/>
      <c r="AER755" s="131"/>
      <c r="AES755" s="131"/>
      <c r="AET755" s="131"/>
      <c r="AEU755" s="131"/>
      <c r="AEV755" s="131"/>
      <c r="AEW755" s="131"/>
      <c r="AEX755" s="131"/>
      <c r="AEY755" s="131"/>
      <c r="AEZ755" s="131"/>
      <c r="AFA755" s="131"/>
      <c r="AFB755" s="131"/>
      <c r="AFC755" s="131"/>
      <c r="AFD755" s="131"/>
      <c r="AFE755" s="131"/>
      <c r="AFF755" s="131"/>
      <c r="AFG755" s="131"/>
      <c r="AFH755" s="131"/>
      <c r="AFI755" s="131"/>
      <c r="AFJ755" s="131"/>
      <c r="AFK755" s="131"/>
      <c r="AFL755" s="131"/>
      <c r="AFM755" s="131"/>
      <c r="AFN755" s="131"/>
      <c r="AFO755" s="131"/>
      <c r="AFP755" s="131"/>
      <c r="AFQ755" s="131"/>
      <c r="AFR755" s="131"/>
      <c r="AFS755" s="131"/>
      <c r="AFT755" s="131"/>
      <c r="AFU755" s="131"/>
      <c r="AFV755" s="131"/>
      <c r="AFW755" s="131"/>
      <c r="AFX755" s="131"/>
      <c r="AFY755" s="131"/>
      <c r="AFZ755" s="131"/>
      <c r="AGA755" s="131"/>
      <c r="AGB755" s="131"/>
      <c r="AGC755" s="131"/>
      <c r="AGD755" s="131"/>
      <c r="AGE755" s="131"/>
      <c r="AGF755" s="131"/>
      <c r="AGG755" s="131"/>
      <c r="AGH755" s="131"/>
      <c r="AGI755" s="131"/>
      <c r="AGJ755" s="131"/>
      <c r="AGK755" s="131"/>
      <c r="AGL755" s="131"/>
      <c r="AGM755" s="131"/>
      <c r="AGN755" s="131"/>
      <c r="AGO755" s="131"/>
      <c r="AGP755" s="131"/>
      <c r="AGQ755" s="131"/>
      <c r="AGR755" s="131"/>
      <c r="AGS755" s="131"/>
      <c r="AGT755" s="131"/>
      <c r="AGU755" s="131"/>
      <c r="AGV755" s="131"/>
      <c r="AGW755" s="131"/>
      <c r="AGX755" s="131"/>
      <c r="AGY755" s="131"/>
      <c r="AGZ755" s="131"/>
      <c r="AHA755" s="131"/>
      <c r="AHB755" s="131"/>
      <c r="AHC755" s="131"/>
      <c r="AHD755" s="131"/>
      <c r="AHE755" s="131"/>
      <c r="AHF755" s="131"/>
      <c r="AHG755" s="131"/>
      <c r="AHH755" s="131"/>
      <c r="AHI755" s="131"/>
      <c r="AHJ755" s="131"/>
      <c r="AHK755" s="131"/>
      <c r="AHL755" s="131"/>
      <c r="AHM755" s="131"/>
      <c r="AHN755" s="131"/>
      <c r="AHO755" s="131"/>
      <c r="AHP755" s="131"/>
      <c r="AHQ755" s="131"/>
      <c r="AHR755" s="131"/>
      <c r="AHS755" s="131"/>
      <c r="AHT755" s="131"/>
      <c r="AHU755" s="131"/>
      <c r="AHV755" s="131"/>
      <c r="AHW755" s="131"/>
      <c r="AHX755" s="131"/>
      <c r="AHY755" s="131"/>
      <c r="AHZ755" s="131"/>
      <c r="AIA755" s="131"/>
      <c r="AIB755" s="131"/>
      <c r="AIC755" s="131"/>
      <c r="AID755" s="131"/>
      <c r="AIE755" s="131"/>
      <c r="AIF755" s="131"/>
      <c r="AIG755" s="131"/>
      <c r="AIH755" s="131"/>
      <c r="AII755" s="131"/>
      <c r="AIJ755" s="131"/>
      <c r="AIK755" s="131"/>
      <c r="AIL755" s="131"/>
      <c r="AIM755" s="131"/>
      <c r="AIN755" s="131"/>
      <c r="AIO755" s="131"/>
      <c r="AIP755" s="131"/>
      <c r="AIQ755" s="131"/>
      <c r="AIR755" s="131"/>
      <c r="AIS755" s="131"/>
      <c r="AIT755" s="131"/>
      <c r="AIU755" s="131"/>
      <c r="AIV755" s="131"/>
      <c r="AIW755" s="131"/>
      <c r="AIX755" s="131"/>
      <c r="AIY755" s="131"/>
      <c r="AIZ755" s="131"/>
      <c r="AJA755" s="131"/>
      <c r="AJB755" s="131"/>
      <c r="AJC755" s="131"/>
      <c r="AJD755" s="131"/>
      <c r="AJE755" s="131"/>
      <c r="AJF755" s="131"/>
      <c r="AJG755" s="131"/>
      <c r="AJH755" s="131"/>
      <c r="AJI755" s="131"/>
      <c r="AJJ755" s="131"/>
      <c r="AJK755" s="131"/>
      <c r="AJL755" s="131"/>
      <c r="AJM755" s="131"/>
      <c r="AJN755" s="131"/>
      <c r="AJO755" s="131"/>
      <c r="AJP755" s="131"/>
      <c r="AJQ755" s="131"/>
      <c r="AJR755" s="131"/>
      <c r="AJS755" s="131"/>
      <c r="AJT755" s="131"/>
      <c r="AJU755" s="131"/>
      <c r="AJV755" s="131"/>
      <c r="AJW755" s="131"/>
      <c r="AJX755" s="131"/>
      <c r="AJY755" s="131"/>
      <c r="AJZ755" s="131"/>
      <c r="AKA755" s="131"/>
      <c r="AKB755" s="131"/>
      <c r="AKC755" s="131"/>
      <c r="AKD755" s="131"/>
      <c r="AKE755" s="131"/>
      <c r="AKF755" s="131"/>
      <c r="AKG755" s="131"/>
      <c r="AKH755" s="131"/>
      <c r="AKI755" s="131"/>
      <c r="AKJ755" s="131"/>
      <c r="AKK755" s="131"/>
      <c r="AKL755" s="131"/>
      <c r="AKM755" s="131"/>
      <c r="AKN755" s="131"/>
      <c r="AKO755" s="131"/>
      <c r="AKP755" s="131"/>
      <c r="AKQ755" s="131"/>
      <c r="AKR755" s="131"/>
      <c r="AKS755" s="131"/>
      <c r="AKT755" s="131"/>
      <c r="AKU755" s="131"/>
      <c r="AKV755" s="131"/>
      <c r="AKW755" s="131"/>
      <c r="AKX755" s="131"/>
      <c r="AKY755" s="131"/>
      <c r="AKZ755" s="131"/>
      <c r="ALA755" s="131"/>
      <c r="ALB755" s="131"/>
      <c r="ALC755" s="131"/>
      <c r="ALD755" s="131"/>
      <c r="ALE755" s="131"/>
      <c r="ALF755" s="131"/>
      <c r="ALG755" s="131"/>
      <c r="ALH755" s="131"/>
      <c r="ALI755" s="131"/>
      <c r="ALJ755" s="131"/>
      <c r="ALK755" s="131"/>
      <c r="ALL755" s="131"/>
      <c r="ALM755" s="131"/>
      <c r="ALN755" s="131"/>
      <c r="ALO755" s="131"/>
      <c r="ALP755" s="131"/>
      <c r="ALQ755" s="131"/>
      <c r="ALR755" s="131"/>
      <c r="ALS755" s="131"/>
      <c r="ALT755" s="131"/>
      <c r="ALU755" s="131"/>
      <c r="ALV755" s="131"/>
      <c r="ALW755" s="131"/>
      <c r="ALX755" s="131"/>
      <c r="ALY755" s="131"/>
      <c r="ALZ755" s="131"/>
      <c r="AMA755" s="131"/>
      <c r="AMB755" s="131"/>
      <c r="AMC755" s="131"/>
      <c r="AMD755" s="131"/>
      <c r="AME755" s="131"/>
      <c r="AMF755" s="131"/>
      <c r="AMG755" s="131"/>
      <c r="AMH755" s="131"/>
      <c r="AMI755" s="131"/>
      <c r="AMJ755" s="131"/>
      <c r="AMK755" s="131"/>
      <c r="AML755" s="131"/>
      <c r="AMM755" s="131"/>
      <c r="AMN755" s="131"/>
      <c r="AMO755" s="131"/>
      <c r="AMP755" s="131"/>
      <c r="AMQ755" s="131"/>
      <c r="AMR755" s="131"/>
      <c r="AMS755" s="131"/>
      <c r="AMT755" s="131"/>
      <c r="AMU755" s="131"/>
      <c r="AMV755" s="131"/>
      <c r="AMW755" s="131"/>
      <c r="AMX755" s="131"/>
      <c r="AMY755" s="131"/>
      <c r="AMZ755" s="131"/>
      <c r="ANA755" s="131"/>
      <c r="ANB755" s="131"/>
      <c r="ANC755" s="131"/>
      <c r="AND755" s="131"/>
      <c r="ANE755" s="131"/>
      <c r="ANF755" s="131"/>
      <c r="ANG755" s="131"/>
      <c r="ANH755" s="131"/>
      <c r="ANI755" s="131"/>
      <c r="ANJ755" s="131"/>
      <c r="ANK755" s="131"/>
      <c r="ANL755" s="131"/>
      <c r="ANM755" s="131"/>
      <c r="ANN755" s="131"/>
      <c r="ANO755" s="131"/>
      <c r="ANP755" s="131"/>
      <c r="ANQ755" s="131"/>
      <c r="ANR755" s="131"/>
      <c r="ANS755" s="131"/>
      <c r="ANT755" s="131"/>
      <c r="ANU755" s="131"/>
      <c r="ANV755" s="131"/>
      <c r="ANW755" s="131"/>
      <c r="ANX755" s="131"/>
      <c r="ANY755" s="131"/>
      <c r="ANZ755" s="131"/>
      <c r="AOA755" s="131"/>
      <c r="AOB755" s="131"/>
      <c r="AOC755" s="131"/>
      <c r="AOD755" s="131"/>
      <c r="AOE755" s="131"/>
      <c r="AOF755" s="131"/>
      <c r="AOG755" s="131"/>
      <c r="AOH755" s="131"/>
      <c r="AOI755" s="131"/>
      <c r="AOJ755" s="131"/>
      <c r="AOK755" s="131"/>
      <c r="AOL755" s="131"/>
      <c r="AOM755" s="131"/>
      <c r="AON755" s="131"/>
      <c r="AOO755" s="131"/>
      <c r="AOP755" s="131"/>
      <c r="AOQ755" s="131"/>
      <c r="AOR755" s="131"/>
      <c r="AOS755" s="131"/>
      <c r="AOT755" s="131"/>
      <c r="AOU755" s="131"/>
      <c r="AOV755" s="131"/>
      <c r="AOW755" s="131"/>
      <c r="AOX755" s="131"/>
      <c r="AOY755" s="131"/>
      <c r="AOZ755" s="131"/>
      <c r="APA755" s="131"/>
      <c r="APB755" s="131"/>
      <c r="APC755" s="131"/>
      <c r="APD755" s="131"/>
      <c r="APE755" s="131"/>
      <c r="APF755" s="131"/>
      <c r="APG755" s="131"/>
      <c r="APH755" s="131"/>
      <c r="API755" s="131"/>
      <c r="APJ755" s="131"/>
      <c r="APK755" s="131"/>
      <c r="APL755" s="131"/>
      <c r="APM755" s="131"/>
      <c r="APN755" s="131"/>
      <c r="APO755" s="131"/>
      <c r="APP755" s="131"/>
      <c r="APQ755" s="131"/>
      <c r="APR755" s="131"/>
      <c r="APS755" s="131"/>
      <c r="APT755" s="131"/>
      <c r="APU755" s="131"/>
      <c r="APV755" s="131"/>
      <c r="APW755" s="131"/>
      <c r="APX755" s="131"/>
      <c r="APY755" s="131"/>
      <c r="APZ755" s="131"/>
      <c r="AQA755" s="131"/>
      <c r="AQB755" s="131"/>
      <c r="AQC755" s="131"/>
      <c r="AQD755" s="131"/>
      <c r="AQE755" s="131"/>
      <c r="AQF755" s="131"/>
      <c r="AQG755" s="131"/>
      <c r="AQH755" s="131"/>
      <c r="AQI755" s="131"/>
      <c r="AQJ755" s="131"/>
      <c r="AQK755" s="131"/>
      <c r="AQL755" s="131"/>
      <c r="AQM755" s="131"/>
      <c r="AQN755" s="131"/>
      <c r="AQO755" s="131"/>
      <c r="AQP755" s="131"/>
      <c r="AQQ755" s="131"/>
      <c r="AQR755" s="131"/>
      <c r="AQS755" s="131"/>
      <c r="AQT755" s="131"/>
      <c r="AQU755" s="131"/>
      <c r="AQV755" s="131"/>
      <c r="AQW755" s="131"/>
      <c r="AQX755" s="131"/>
      <c r="AQY755" s="131"/>
      <c r="AQZ755" s="131"/>
      <c r="ARA755" s="131"/>
      <c r="ARB755" s="131"/>
      <c r="ARC755" s="131"/>
      <c r="ARD755" s="131"/>
      <c r="ARE755" s="131"/>
      <c r="ARF755" s="131"/>
      <c r="ARG755" s="131"/>
      <c r="ARH755" s="131"/>
      <c r="ARI755" s="131"/>
      <c r="ARJ755" s="131"/>
      <c r="ARK755" s="131"/>
      <c r="ARL755" s="131"/>
      <c r="ARM755" s="131"/>
      <c r="ARN755" s="131"/>
      <c r="ARO755" s="131"/>
      <c r="ARP755" s="131"/>
      <c r="ARQ755" s="131"/>
      <c r="ARR755" s="131"/>
      <c r="ARS755" s="131"/>
      <c r="ART755" s="131"/>
      <c r="ARU755" s="131"/>
      <c r="ARV755" s="131"/>
      <c r="ARW755" s="131"/>
      <c r="ARX755" s="131"/>
      <c r="ARY755" s="131"/>
      <c r="ARZ755" s="131"/>
      <c r="ASA755" s="131"/>
      <c r="ASB755" s="131"/>
      <c r="ASC755" s="131"/>
      <c r="ASD755" s="131"/>
      <c r="ASE755" s="131"/>
      <c r="ASF755" s="131"/>
      <c r="ASG755" s="131"/>
      <c r="ASH755" s="131"/>
      <c r="ASI755" s="131"/>
      <c r="ASJ755" s="131"/>
      <c r="ASK755" s="131"/>
      <c r="ASL755" s="131"/>
      <c r="ASM755" s="131"/>
      <c r="ASN755" s="131"/>
      <c r="ASO755" s="131"/>
      <c r="ASP755" s="131"/>
      <c r="ASQ755" s="131"/>
      <c r="ASR755" s="131"/>
      <c r="ASS755" s="131"/>
      <c r="AST755" s="131"/>
      <c r="ASU755" s="131"/>
      <c r="ASV755" s="131"/>
      <c r="ASW755" s="131"/>
      <c r="ASX755" s="131"/>
      <c r="ASY755" s="131"/>
      <c r="ASZ755" s="131"/>
      <c r="ATA755" s="131"/>
      <c r="ATB755" s="131"/>
      <c r="ATC755" s="131"/>
    </row>
    <row r="756" spans="1:1199" ht="50.1" customHeight="1" outlineLevel="2" x14ac:dyDescent="0.3">
      <c r="A756" s="103" t="s">
        <v>666</v>
      </c>
      <c r="B756" s="102" t="s">
        <v>227</v>
      </c>
      <c r="C756" s="79" t="s">
        <v>37</v>
      </c>
      <c r="D756" s="81">
        <f t="shared" ref="D756" si="173">E756+F756</f>
        <v>1614.4815500000002</v>
      </c>
      <c r="E756" s="82">
        <f t="shared" si="162"/>
        <v>331.91056000000003</v>
      </c>
      <c r="F756" s="83">
        <f t="shared" si="168"/>
        <v>1282.5709900000002</v>
      </c>
      <c r="G756" s="84"/>
      <c r="H756" s="85"/>
      <c r="I756" s="85"/>
      <c r="J756" s="84"/>
      <c r="K756" s="85"/>
      <c r="L756" s="85">
        <v>123.2983</v>
      </c>
      <c r="M756" s="85"/>
      <c r="N756" s="85"/>
      <c r="O756" s="82"/>
      <c r="P756" s="83"/>
      <c r="Q756" s="83"/>
      <c r="R756" s="83"/>
      <c r="S756" s="82"/>
      <c r="T756" s="83"/>
      <c r="U756" s="83"/>
      <c r="V756" s="84">
        <v>34.792499999999997</v>
      </c>
      <c r="W756" s="85">
        <v>60.75</v>
      </c>
      <c r="X756" s="82"/>
      <c r="Y756" s="83">
        <v>405.6</v>
      </c>
      <c r="Z756" s="84"/>
      <c r="AA756" s="85"/>
      <c r="AB756" s="84"/>
      <c r="AC756" s="85"/>
      <c r="AD756" s="89">
        <f t="shared" si="163"/>
        <v>66.445279999999997</v>
      </c>
      <c r="AE756" s="89">
        <v>23.6401</v>
      </c>
      <c r="AF756" s="186">
        <v>42.80518</v>
      </c>
      <c r="AG756" s="85"/>
      <c r="AH756" s="85"/>
      <c r="AI756" s="85"/>
      <c r="AJ756" s="84"/>
      <c r="AK756" s="85"/>
      <c r="AL756" s="84"/>
      <c r="AM756" s="88"/>
      <c r="AN756" s="84"/>
      <c r="AO756" s="85"/>
      <c r="AP756" s="84"/>
      <c r="AQ756" s="83"/>
      <c r="AR756" s="83"/>
      <c r="AS756" s="83"/>
      <c r="AT756" s="85"/>
      <c r="AU756" s="85"/>
      <c r="AV756" s="85">
        <v>357.41264999999999</v>
      </c>
      <c r="AW756" s="88"/>
      <c r="AX756" s="84"/>
      <c r="AY756" s="85"/>
      <c r="AZ756" s="84">
        <v>297.11806000000001</v>
      </c>
      <c r="BA756" s="85">
        <v>269.06475999999998</v>
      </c>
      <c r="BB756" s="88"/>
      <c r="BC756" s="85"/>
      <c r="BD756" s="84"/>
      <c r="BE756" s="88"/>
      <c r="BF756" s="85"/>
      <c r="BG756" s="85"/>
      <c r="BH756" s="85"/>
      <c r="BI756" s="85"/>
      <c r="BJ756" s="85"/>
      <c r="BK756" s="85"/>
      <c r="BL756" s="85"/>
      <c r="BM756" s="85"/>
      <c r="BN756" s="85"/>
      <c r="BO756" s="85"/>
      <c r="BP756" s="85"/>
      <c r="BQ756" s="85"/>
      <c r="BR756" s="84"/>
      <c r="BS756" s="85"/>
      <c r="BT756" s="85"/>
      <c r="BU756" s="198"/>
      <c r="BV756" s="90"/>
      <c r="BW756" s="198"/>
      <c r="BX756" s="90"/>
      <c r="BY756" s="198"/>
      <c r="BZ756" s="90"/>
      <c r="CA756" s="91"/>
    </row>
    <row r="757" spans="1:1199" ht="50.1" customHeight="1" outlineLevel="2" x14ac:dyDescent="0.3">
      <c r="A757" s="103" t="s">
        <v>666</v>
      </c>
      <c r="B757" s="102" t="s">
        <v>667</v>
      </c>
      <c r="C757" s="79" t="s">
        <v>37</v>
      </c>
      <c r="D757" s="81">
        <f t="shared" ref="D757:D767" si="174">E757+F757</f>
        <v>6266.1497699999991</v>
      </c>
      <c r="E757" s="82">
        <f t="shared" si="162"/>
        <v>1140.9949399999998</v>
      </c>
      <c r="F757" s="83">
        <f t="shared" si="168"/>
        <v>5125.1548299999995</v>
      </c>
      <c r="G757" s="84"/>
      <c r="H757" s="85"/>
      <c r="I757" s="85"/>
      <c r="J757" s="84"/>
      <c r="K757" s="85"/>
      <c r="L757" s="91">
        <v>147.17658</v>
      </c>
      <c r="M757" s="91"/>
      <c r="N757" s="85"/>
      <c r="O757" s="82"/>
      <c r="P757" s="83"/>
      <c r="Q757" s="83"/>
      <c r="R757" s="83"/>
      <c r="S757" s="82"/>
      <c r="T757" s="83"/>
      <c r="U757" s="83"/>
      <c r="V757" s="84">
        <v>110.62394999999999</v>
      </c>
      <c r="W757" s="85">
        <v>186.03317000000001</v>
      </c>
      <c r="X757" s="87"/>
      <c r="Y757" s="83">
        <v>812.44799999999998</v>
      </c>
      <c r="Z757" s="84"/>
      <c r="AA757" s="85"/>
      <c r="AB757" s="84"/>
      <c r="AC757" s="85"/>
      <c r="AD757" s="89">
        <f t="shared" si="163"/>
        <v>286.05165999999997</v>
      </c>
      <c r="AE757" s="89">
        <v>103.1568</v>
      </c>
      <c r="AF757" s="186">
        <v>182.89485999999999</v>
      </c>
      <c r="AG757" s="85"/>
      <c r="AH757" s="85"/>
      <c r="AI757" s="85"/>
      <c r="AJ757" s="84"/>
      <c r="AK757" s="85"/>
      <c r="AL757" s="84"/>
      <c r="AM757" s="88"/>
      <c r="AN757" s="84"/>
      <c r="AO757" s="85"/>
      <c r="AP757" s="84"/>
      <c r="AQ757" s="83"/>
      <c r="AR757" s="83"/>
      <c r="AS757" s="83"/>
      <c r="AT757" s="85"/>
      <c r="AU757" s="85"/>
      <c r="AV757" s="85">
        <v>1036.1646499999999</v>
      </c>
      <c r="AW757" s="88"/>
      <c r="AX757" s="84"/>
      <c r="AY757" s="85"/>
      <c r="AZ757" s="84">
        <v>1030.3709899999999</v>
      </c>
      <c r="BA757" s="85">
        <v>933.08378000000005</v>
      </c>
      <c r="BB757" s="88"/>
      <c r="BC757" s="85"/>
      <c r="BD757" s="84"/>
      <c r="BE757" s="88"/>
      <c r="BF757" s="85"/>
      <c r="BG757" s="85">
        <v>1724.1969899999999</v>
      </c>
      <c r="BH757" s="85"/>
      <c r="BI757" s="85"/>
      <c r="BJ757" s="85"/>
      <c r="BK757" s="85"/>
      <c r="BL757" s="85"/>
      <c r="BM757" s="85"/>
      <c r="BN757" s="85"/>
      <c r="BO757" s="85"/>
      <c r="BP757" s="85"/>
      <c r="BQ757" s="85"/>
      <c r="BR757" s="84"/>
      <c r="BS757" s="85"/>
      <c r="BT757" s="85"/>
      <c r="BU757" s="198"/>
      <c r="BV757" s="90"/>
      <c r="BW757" s="198"/>
      <c r="BX757" s="90"/>
      <c r="BY757" s="198"/>
      <c r="BZ757" s="90"/>
      <c r="CA757" s="91"/>
    </row>
    <row r="758" spans="1:1199" ht="50.1" customHeight="1" outlineLevel="2" x14ac:dyDescent="0.3">
      <c r="A758" s="103" t="s">
        <v>666</v>
      </c>
      <c r="B758" s="102" t="s">
        <v>329</v>
      </c>
      <c r="C758" s="79" t="s">
        <v>37</v>
      </c>
      <c r="D758" s="81">
        <f t="shared" si="174"/>
        <v>2613.7208799999999</v>
      </c>
      <c r="E758" s="82">
        <f t="shared" si="162"/>
        <v>838.20234000000005</v>
      </c>
      <c r="F758" s="83">
        <f t="shared" si="168"/>
        <v>1775.51854</v>
      </c>
      <c r="G758" s="84"/>
      <c r="H758" s="85"/>
      <c r="I758" s="85"/>
      <c r="J758" s="84"/>
      <c r="K758" s="85"/>
      <c r="L758" s="85">
        <v>80.584739999999996</v>
      </c>
      <c r="M758" s="85"/>
      <c r="N758" s="85"/>
      <c r="O758" s="82"/>
      <c r="P758" s="83"/>
      <c r="Q758" s="83"/>
      <c r="R758" s="83"/>
      <c r="S758" s="82"/>
      <c r="T758" s="83"/>
      <c r="U758" s="83"/>
      <c r="V758" s="84"/>
      <c r="W758" s="85"/>
      <c r="X758" s="87"/>
      <c r="Y758" s="83">
        <v>485.16</v>
      </c>
      <c r="Z758" s="84"/>
      <c r="AA758" s="85"/>
      <c r="AB758" s="84"/>
      <c r="AC758" s="85"/>
      <c r="AD758" s="89">
        <f t="shared" si="163"/>
        <v>0</v>
      </c>
      <c r="AE758" s="89"/>
      <c r="AF758" s="186"/>
      <c r="AG758" s="85"/>
      <c r="AH758" s="85"/>
      <c r="AI758" s="85"/>
      <c r="AJ758" s="84"/>
      <c r="AK758" s="85"/>
      <c r="AL758" s="84"/>
      <c r="AM758" s="88"/>
      <c r="AN758" s="84"/>
      <c r="AO758" s="85"/>
      <c r="AP758" s="84"/>
      <c r="AQ758" s="83"/>
      <c r="AR758" s="83"/>
      <c r="AS758" s="83"/>
      <c r="AT758" s="85"/>
      <c r="AU758" s="85"/>
      <c r="AV758" s="85"/>
      <c r="AW758" s="88"/>
      <c r="AX758" s="84"/>
      <c r="AY758" s="85"/>
      <c r="AZ758" s="84">
        <v>838.20234000000005</v>
      </c>
      <c r="BA758" s="85">
        <v>759.06092000000001</v>
      </c>
      <c r="BB758" s="88"/>
      <c r="BC758" s="85"/>
      <c r="BD758" s="84"/>
      <c r="BE758" s="88"/>
      <c r="BF758" s="85"/>
      <c r="BG758" s="85">
        <v>43.979109999999999</v>
      </c>
      <c r="BH758" s="85"/>
      <c r="BI758" s="85"/>
      <c r="BJ758" s="85"/>
      <c r="BK758" s="85"/>
      <c r="BL758" s="85"/>
      <c r="BM758" s="85"/>
      <c r="BN758" s="85"/>
      <c r="BO758" s="85"/>
      <c r="BP758" s="85"/>
      <c r="BQ758" s="85"/>
      <c r="BR758" s="84"/>
      <c r="BS758" s="85"/>
      <c r="BT758" s="85">
        <v>406.73376999999999</v>
      </c>
      <c r="BU758" s="198"/>
      <c r="BV758" s="90"/>
      <c r="BW758" s="198"/>
      <c r="BX758" s="90"/>
      <c r="BY758" s="198"/>
      <c r="BZ758" s="90"/>
      <c r="CA758" s="91"/>
    </row>
    <row r="759" spans="1:1199" ht="50.1" customHeight="1" outlineLevel="2" x14ac:dyDescent="0.3">
      <c r="A759" s="103" t="s">
        <v>666</v>
      </c>
      <c r="B759" s="102" t="s">
        <v>668</v>
      </c>
      <c r="C759" s="79" t="s">
        <v>37</v>
      </c>
      <c r="D759" s="81">
        <f t="shared" si="174"/>
        <v>5475.7023200000003</v>
      </c>
      <c r="E759" s="82">
        <f t="shared" si="162"/>
        <v>607.72973000000002</v>
      </c>
      <c r="F759" s="83">
        <f t="shared" si="168"/>
        <v>4867.9725900000003</v>
      </c>
      <c r="G759" s="84"/>
      <c r="H759" s="85"/>
      <c r="I759" s="85"/>
      <c r="J759" s="84"/>
      <c r="K759" s="85"/>
      <c r="L759" s="85"/>
      <c r="M759" s="85"/>
      <c r="N759" s="85"/>
      <c r="O759" s="82"/>
      <c r="P759" s="83"/>
      <c r="Q759" s="83"/>
      <c r="R759" s="83"/>
      <c r="S759" s="82"/>
      <c r="T759" s="83"/>
      <c r="U759" s="83"/>
      <c r="V759" s="84">
        <v>57.987499999999997</v>
      </c>
      <c r="W759" s="85">
        <v>101.25</v>
      </c>
      <c r="X759" s="87"/>
      <c r="Y759" s="83">
        <v>318.24</v>
      </c>
      <c r="Z759" s="84"/>
      <c r="AA759" s="85"/>
      <c r="AB759" s="84"/>
      <c r="AC759" s="85"/>
      <c r="AD759" s="89">
        <f t="shared" si="163"/>
        <v>5.0676399999999999</v>
      </c>
      <c r="AE759" s="89">
        <v>2.1490999999999998</v>
      </c>
      <c r="AF759" s="186">
        <v>2.9185400000000001</v>
      </c>
      <c r="AG759" s="85"/>
      <c r="AH759" s="85"/>
      <c r="AI759" s="85"/>
      <c r="AJ759" s="84"/>
      <c r="AK759" s="85"/>
      <c r="AL759" s="84"/>
      <c r="AM759" s="88"/>
      <c r="AN759" s="84"/>
      <c r="AO759" s="85"/>
      <c r="AP759" s="84">
        <v>364.06267000000003</v>
      </c>
      <c r="AQ759" s="83">
        <v>822.83257000000003</v>
      </c>
      <c r="AR759" s="83"/>
      <c r="AS759" s="83"/>
      <c r="AT759" s="85"/>
      <c r="AU759" s="85"/>
      <c r="AV759" s="85">
        <v>1360.0594000000001</v>
      </c>
      <c r="AW759" s="88"/>
      <c r="AX759" s="84"/>
      <c r="AY759" s="85"/>
      <c r="AZ759" s="84">
        <v>185.67956000000001</v>
      </c>
      <c r="BA759" s="85">
        <v>168.14802</v>
      </c>
      <c r="BB759" s="88"/>
      <c r="BC759" s="85"/>
      <c r="BD759" s="84"/>
      <c r="BE759" s="88"/>
      <c r="BF759" s="85"/>
      <c r="BG759" s="85">
        <v>402.88695999999999</v>
      </c>
      <c r="BH759" s="85"/>
      <c r="BI759" s="85"/>
      <c r="BJ759" s="85"/>
      <c r="BK759" s="85"/>
      <c r="BL759" s="85"/>
      <c r="BM759" s="85"/>
      <c r="BN759" s="85"/>
      <c r="BO759" s="85"/>
      <c r="BP759" s="85"/>
      <c r="BQ759" s="85"/>
      <c r="BR759" s="84"/>
      <c r="BS759" s="85"/>
      <c r="BT759" s="85"/>
      <c r="BU759" s="97">
        <v>1689.4880000000001</v>
      </c>
      <c r="BV759" s="90"/>
      <c r="BW759" s="198"/>
      <c r="BX759" s="90"/>
      <c r="BY759" s="198"/>
      <c r="BZ759" s="90"/>
      <c r="CA759" s="91"/>
    </row>
    <row r="760" spans="1:1199" ht="50.1" customHeight="1" outlineLevel="2" x14ac:dyDescent="0.3">
      <c r="A760" s="103" t="s">
        <v>666</v>
      </c>
      <c r="B760" s="102" t="s">
        <v>669</v>
      </c>
      <c r="C760" s="79" t="s">
        <v>37</v>
      </c>
      <c r="D760" s="81">
        <f t="shared" si="174"/>
        <v>1433.22837</v>
      </c>
      <c r="E760" s="82">
        <f t="shared" si="162"/>
        <v>562.62653</v>
      </c>
      <c r="F760" s="83">
        <f t="shared" si="168"/>
        <v>870.60184000000004</v>
      </c>
      <c r="G760" s="84"/>
      <c r="H760" s="85"/>
      <c r="I760" s="85"/>
      <c r="J760" s="84"/>
      <c r="K760" s="85"/>
      <c r="L760" s="85"/>
      <c r="M760" s="85"/>
      <c r="N760" s="85"/>
      <c r="O760" s="82"/>
      <c r="P760" s="83"/>
      <c r="Q760" s="83"/>
      <c r="R760" s="83"/>
      <c r="S760" s="82"/>
      <c r="T760" s="83"/>
      <c r="U760" s="83"/>
      <c r="V760" s="84"/>
      <c r="W760" s="85"/>
      <c r="X760" s="87"/>
      <c r="Y760" s="83">
        <v>358.02</v>
      </c>
      <c r="Z760" s="84"/>
      <c r="AA760" s="85"/>
      <c r="AB760" s="84"/>
      <c r="AC760" s="85"/>
      <c r="AD760" s="89">
        <f t="shared" si="163"/>
        <v>0</v>
      </c>
      <c r="AE760" s="89"/>
      <c r="AF760" s="186"/>
      <c r="AG760" s="85"/>
      <c r="AH760" s="85"/>
      <c r="AI760" s="85"/>
      <c r="AJ760" s="84"/>
      <c r="AK760" s="85"/>
      <c r="AL760" s="84"/>
      <c r="AM760" s="88"/>
      <c r="AN760" s="84"/>
      <c r="AO760" s="85"/>
      <c r="AP760" s="84">
        <v>28.79993</v>
      </c>
      <c r="AQ760" s="83">
        <v>29.158270000000002</v>
      </c>
      <c r="AR760" s="83"/>
      <c r="AS760" s="83"/>
      <c r="AT760" s="85"/>
      <c r="AU760" s="85"/>
      <c r="AV760" s="85"/>
      <c r="AW760" s="88"/>
      <c r="AX760" s="84"/>
      <c r="AY760" s="85"/>
      <c r="AZ760" s="84">
        <v>533.82659999999998</v>
      </c>
      <c r="BA760" s="85">
        <v>483.42356999999998</v>
      </c>
      <c r="BB760" s="88"/>
      <c r="BC760" s="85"/>
      <c r="BD760" s="84"/>
      <c r="BE760" s="88"/>
      <c r="BF760" s="85"/>
      <c r="BG760" s="85"/>
      <c r="BH760" s="85"/>
      <c r="BI760" s="85"/>
      <c r="BJ760" s="85"/>
      <c r="BK760" s="85"/>
      <c r="BL760" s="85"/>
      <c r="BM760" s="85"/>
      <c r="BN760" s="85"/>
      <c r="BO760" s="85"/>
      <c r="BP760" s="85"/>
      <c r="BQ760" s="85"/>
      <c r="BR760" s="84"/>
      <c r="BS760" s="85"/>
      <c r="BT760" s="85"/>
      <c r="BU760" s="198"/>
      <c r="BV760" s="90"/>
      <c r="BW760" s="198"/>
      <c r="BX760" s="90"/>
      <c r="BY760" s="198"/>
      <c r="BZ760" s="90"/>
      <c r="CA760" s="91"/>
    </row>
    <row r="761" spans="1:1199" ht="50.1" customHeight="1" outlineLevel="2" x14ac:dyDescent="0.3">
      <c r="A761" s="103" t="s">
        <v>666</v>
      </c>
      <c r="B761" s="80" t="s">
        <v>670</v>
      </c>
      <c r="C761" s="79" t="s">
        <v>55</v>
      </c>
      <c r="D761" s="81">
        <f t="shared" si="174"/>
        <v>191.68087</v>
      </c>
      <c r="E761" s="82">
        <f t="shared" si="162"/>
        <v>71.123069999999998</v>
      </c>
      <c r="F761" s="83">
        <f t="shared" si="168"/>
        <v>120.5578</v>
      </c>
      <c r="G761" s="84"/>
      <c r="H761" s="85"/>
      <c r="I761" s="85"/>
      <c r="J761" s="84"/>
      <c r="K761" s="85"/>
      <c r="L761" s="85"/>
      <c r="M761" s="85"/>
      <c r="N761" s="85"/>
      <c r="O761" s="82"/>
      <c r="P761" s="83"/>
      <c r="Q761" s="83"/>
      <c r="R761" s="83"/>
      <c r="S761" s="82"/>
      <c r="T761" s="83"/>
      <c r="U761" s="83"/>
      <c r="V761" s="84">
        <v>46.39</v>
      </c>
      <c r="W761" s="85">
        <v>81</v>
      </c>
      <c r="X761" s="87"/>
      <c r="Y761" s="83">
        <v>17.16</v>
      </c>
      <c r="Z761" s="84"/>
      <c r="AA761" s="85"/>
      <c r="AB761" s="84"/>
      <c r="AC761" s="85"/>
      <c r="AD761" s="89">
        <f t="shared" si="163"/>
        <v>0</v>
      </c>
      <c r="AE761" s="89"/>
      <c r="AF761" s="186"/>
      <c r="AG761" s="85"/>
      <c r="AH761" s="85"/>
      <c r="AI761" s="85"/>
      <c r="AJ761" s="84"/>
      <c r="AK761" s="85"/>
      <c r="AL761" s="84"/>
      <c r="AM761" s="88"/>
      <c r="AN761" s="84"/>
      <c r="AO761" s="85"/>
      <c r="AP761" s="84"/>
      <c r="AQ761" s="83"/>
      <c r="AR761" s="83"/>
      <c r="AS761" s="83"/>
      <c r="AT761" s="85"/>
      <c r="AU761" s="85"/>
      <c r="AV761" s="85"/>
      <c r="AW761" s="88"/>
      <c r="AX761" s="84"/>
      <c r="AY761" s="85"/>
      <c r="AZ761" s="84">
        <v>24.733070000000001</v>
      </c>
      <c r="BA761" s="85">
        <v>22.3978</v>
      </c>
      <c r="BB761" s="88"/>
      <c r="BC761" s="85"/>
      <c r="BD761" s="84"/>
      <c r="BE761" s="88"/>
      <c r="BF761" s="85"/>
      <c r="BG761" s="85"/>
      <c r="BH761" s="85"/>
      <c r="BI761" s="85"/>
      <c r="BJ761" s="85"/>
      <c r="BK761" s="85"/>
      <c r="BL761" s="85"/>
      <c r="BM761" s="85"/>
      <c r="BN761" s="85"/>
      <c r="BO761" s="85"/>
      <c r="BP761" s="85"/>
      <c r="BQ761" s="85"/>
      <c r="BR761" s="84"/>
      <c r="BS761" s="85"/>
      <c r="BT761" s="85"/>
      <c r="BU761" s="198"/>
      <c r="BV761" s="90"/>
      <c r="BW761" s="198"/>
      <c r="BX761" s="90"/>
      <c r="BY761" s="198"/>
      <c r="BZ761" s="90"/>
      <c r="CA761" s="91"/>
    </row>
    <row r="762" spans="1:1199" ht="50.1" customHeight="1" outlineLevel="2" x14ac:dyDescent="0.3">
      <c r="A762" s="103" t="s">
        <v>666</v>
      </c>
      <c r="B762" s="102" t="s">
        <v>671</v>
      </c>
      <c r="C762" s="79" t="s">
        <v>55</v>
      </c>
      <c r="D762" s="81">
        <f t="shared" si="174"/>
        <v>24.995699999999999</v>
      </c>
      <c r="E762" s="82">
        <f t="shared" si="162"/>
        <v>0</v>
      </c>
      <c r="F762" s="83">
        <f t="shared" si="168"/>
        <v>24.995699999999999</v>
      </c>
      <c r="G762" s="84"/>
      <c r="H762" s="85"/>
      <c r="I762" s="85"/>
      <c r="J762" s="84"/>
      <c r="K762" s="85"/>
      <c r="L762" s="85"/>
      <c r="M762" s="85"/>
      <c r="N762" s="85"/>
      <c r="O762" s="82"/>
      <c r="P762" s="83"/>
      <c r="Q762" s="83"/>
      <c r="R762" s="83"/>
      <c r="S762" s="82"/>
      <c r="T762" s="83"/>
      <c r="U762" s="83"/>
      <c r="V762" s="84"/>
      <c r="W762" s="85"/>
      <c r="X762" s="87"/>
      <c r="Y762" s="83"/>
      <c r="Z762" s="84"/>
      <c r="AA762" s="85"/>
      <c r="AB762" s="84"/>
      <c r="AC762" s="85"/>
      <c r="AD762" s="89">
        <f t="shared" si="163"/>
        <v>0</v>
      </c>
      <c r="AE762" s="89"/>
      <c r="AF762" s="186"/>
      <c r="AG762" s="85"/>
      <c r="AH762" s="85"/>
      <c r="AI762" s="85"/>
      <c r="AJ762" s="84"/>
      <c r="AK762" s="85"/>
      <c r="AL762" s="84"/>
      <c r="AM762" s="88"/>
      <c r="AN762" s="84"/>
      <c r="AO762" s="85"/>
      <c r="AP762" s="84"/>
      <c r="AQ762" s="83"/>
      <c r="AR762" s="83"/>
      <c r="AS762" s="83"/>
      <c r="AT762" s="85"/>
      <c r="AU762" s="85"/>
      <c r="AV762" s="85"/>
      <c r="AW762" s="88"/>
      <c r="AX762" s="84"/>
      <c r="AY762" s="85"/>
      <c r="AZ762" s="84"/>
      <c r="BA762" s="85"/>
      <c r="BB762" s="88"/>
      <c r="BC762" s="85"/>
      <c r="BD762" s="84"/>
      <c r="BE762" s="88"/>
      <c r="BF762" s="85"/>
      <c r="BG762" s="85">
        <v>24.995699999999999</v>
      </c>
      <c r="BH762" s="85"/>
      <c r="BI762" s="85"/>
      <c r="BJ762" s="85"/>
      <c r="BK762" s="85"/>
      <c r="BL762" s="85"/>
      <c r="BM762" s="85"/>
      <c r="BN762" s="85"/>
      <c r="BO762" s="85"/>
      <c r="BP762" s="85"/>
      <c r="BQ762" s="85"/>
      <c r="BR762" s="84"/>
      <c r="BS762" s="85"/>
      <c r="BT762" s="85"/>
      <c r="BU762" s="198"/>
      <c r="BV762" s="90"/>
      <c r="BW762" s="198"/>
      <c r="BX762" s="90"/>
      <c r="BY762" s="198"/>
      <c r="BZ762" s="90"/>
      <c r="CA762" s="91"/>
    </row>
    <row r="763" spans="1:1199" ht="50.1" customHeight="1" outlineLevel="2" x14ac:dyDescent="0.3">
      <c r="A763" s="103" t="s">
        <v>666</v>
      </c>
      <c r="B763" s="102" t="s">
        <v>672</v>
      </c>
      <c r="C763" s="79" t="s">
        <v>55</v>
      </c>
      <c r="D763" s="81">
        <f t="shared" si="174"/>
        <v>98.860919999999993</v>
      </c>
      <c r="E763" s="82">
        <f t="shared" si="162"/>
        <v>21.573450000000001</v>
      </c>
      <c r="F763" s="83">
        <f t="shared" si="168"/>
        <v>77.287469999999999</v>
      </c>
      <c r="G763" s="84"/>
      <c r="H763" s="85"/>
      <c r="I763" s="85"/>
      <c r="J763" s="84"/>
      <c r="K763" s="85"/>
      <c r="L763" s="85"/>
      <c r="M763" s="85"/>
      <c r="N763" s="85"/>
      <c r="O763" s="82"/>
      <c r="P763" s="83"/>
      <c r="Q763" s="83"/>
      <c r="R763" s="83"/>
      <c r="S763" s="82"/>
      <c r="T763" s="83"/>
      <c r="U763" s="83"/>
      <c r="V763" s="84"/>
      <c r="W763" s="85"/>
      <c r="X763" s="87"/>
      <c r="Y763" s="83"/>
      <c r="Z763" s="84"/>
      <c r="AA763" s="85"/>
      <c r="AB763" s="84"/>
      <c r="AC763" s="85"/>
      <c r="AD763" s="89">
        <f t="shared" si="163"/>
        <v>0</v>
      </c>
      <c r="AE763" s="89"/>
      <c r="AF763" s="186"/>
      <c r="AG763" s="85"/>
      <c r="AH763" s="85"/>
      <c r="AI763" s="85"/>
      <c r="AJ763" s="84"/>
      <c r="AK763" s="85"/>
      <c r="AL763" s="84"/>
      <c r="AM763" s="88"/>
      <c r="AN763" s="84"/>
      <c r="AO763" s="85"/>
      <c r="AP763" s="84">
        <v>21.573450000000001</v>
      </c>
      <c r="AQ763" s="83">
        <v>57.502609999999997</v>
      </c>
      <c r="AR763" s="83"/>
      <c r="AS763" s="83"/>
      <c r="AT763" s="85"/>
      <c r="AU763" s="85"/>
      <c r="AV763" s="85"/>
      <c r="AW763" s="88"/>
      <c r="AX763" s="84"/>
      <c r="AY763" s="85"/>
      <c r="AZ763" s="84"/>
      <c r="BA763" s="85"/>
      <c r="BB763" s="88"/>
      <c r="BC763" s="85"/>
      <c r="BD763" s="84"/>
      <c r="BE763" s="88"/>
      <c r="BF763" s="85"/>
      <c r="BG763" s="85">
        <v>16</v>
      </c>
      <c r="BH763" s="85"/>
      <c r="BI763" s="85"/>
      <c r="BJ763" s="85"/>
      <c r="BK763" s="85"/>
      <c r="BL763" s="85"/>
      <c r="BM763" s="85"/>
      <c r="BN763" s="85"/>
      <c r="BO763" s="85"/>
      <c r="BP763" s="85"/>
      <c r="BQ763" s="85"/>
      <c r="BR763" s="84"/>
      <c r="BS763" s="85"/>
      <c r="BT763" s="85"/>
      <c r="BU763" s="97">
        <v>3.7848600000000001</v>
      </c>
      <c r="BV763" s="90"/>
      <c r="BW763" s="198"/>
      <c r="BX763" s="90"/>
      <c r="BY763" s="198"/>
      <c r="BZ763" s="90"/>
      <c r="CA763" s="91"/>
    </row>
    <row r="764" spans="1:1199" ht="50.1" customHeight="1" outlineLevel="2" x14ac:dyDescent="0.3">
      <c r="A764" s="103" t="s">
        <v>666</v>
      </c>
      <c r="B764" s="102" t="s">
        <v>673</v>
      </c>
      <c r="C764" s="79" t="s">
        <v>55</v>
      </c>
      <c r="D764" s="81">
        <f t="shared" si="174"/>
        <v>5024.0625100000007</v>
      </c>
      <c r="E764" s="82">
        <f t="shared" si="162"/>
        <v>4682.2896200000005</v>
      </c>
      <c r="F764" s="83">
        <f t="shared" si="168"/>
        <v>341.77288999999996</v>
      </c>
      <c r="G764" s="84"/>
      <c r="H764" s="85"/>
      <c r="I764" s="85"/>
      <c r="J764" s="84"/>
      <c r="K764" s="85"/>
      <c r="L764" s="85"/>
      <c r="M764" s="85"/>
      <c r="N764" s="85"/>
      <c r="O764" s="82"/>
      <c r="P764" s="83"/>
      <c r="Q764" s="83"/>
      <c r="R764" s="83"/>
      <c r="S764" s="82"/>
      <c r="T764" s="83"/>
      <c r="U764" s="83"/>
      <c r="V764" s="84"/>
      <c r="W764" s="85"/>
      <c r="X764" s="87"/>
      <c r="Y764" s="83"/>
      <c r="Z764" s="84"/>
      <c r="AA764" s="85"/>
      <c r="AB764" s="84"/>
      <c r="AC764" s="85"/>
      <c r="AD764" s="89">
        <f t="shared" si="163"/>
        <v>0</v>
      </c>
      <c r="AE764" s="89"/>
      <c r="AF764" s="186"/>
      <c r="AG764" s="85"/>
      <c r="AH764" s="85"/>
      <c r="AI764" s="85"/>
      <c r="AJ764" s="84"/>
      <c r="AK764" s="85"/>
      <c r="AL764" s="84"/>
      <c r="AM764" s="88"/>
      <c r="AN764" s="84"/>
      <c r="AO764" s="85"/>
      <c r="AP764" s="84">
        <v>31.16882</v>
      </c>
      <c r="AQ764" s="83">
        <v>81.000609999999995</v>
      </c>
      <c r="AR764" s="83"/>
      <c r="AS764" s="83"/>
      <c r="AT764" s="85"/>
      <c r="AU764" s="85"/>
      <c r="AV764" s="85"/>
      <c r="AW764" s="88"/>
      <c r="AX764" s="84"/>
      <c r="AY764" s="85"/>
      <c r="AZ764" s="84">
        <v>18.730799999999999</v>
      </c>
      <c r="BA764" s="85">
        <v>16.96228</v>
      </c>
      <c r="BB764" s="88"/>
      <c r="BC764" s="85"/>
      <c r="BD764" s="84"/>
      <c r="BE764" s="88"/>
      <c r="BF764" s="85"/>
      <c r="BG764" s="85"/>
      <c r="BH764" s="85"/>
      <c r="BI764" s="85"/>
      <c r="BJ764" s="85"/>
      <c r="BK764" s="85"/>
      <c r="BL764" s="85"/>
      <c r="BM764" s="85"/>
      <c r="BN764" s="85"/>
      <c r="BO764" s="85"/>
      <c r="BP764" s="85"/>
      <c r="BQ764" s="85"/>
      <c r="BR764" s="84"/>
      <c r="BS764" s="85"/>
      <c r="BT764" s="85"/>
      <c r="BU764" s="198"/>
      <c r="BV764" s="90"/>
      <c r="BW764" s="198"/>
      <c r="BX764" s="90"/>
      <c r="BY764" s="198"/>
      <c r="BZ764" s="90">
        <v>4632.3900000000003</v>
      </c>
      <c r="CA764" s="233">
        <v>243.81</v>
      </c>
    </row>
    <row r="765" spans="1:1199" ht="50.1" customHeight="1" outlineLevel="2" x14ac:dyDescent="0.3">
      <c r="A765" s="103" t="s">
        <v>666</v>
      </c>
      <c r="B765" s="102" t="s">
        <v>1187</v>
      </c>
      <c r="C765" s="79" t="s">
        <v>55</v>
      </c>
      <c r="D765" s="81">
        <f t="shared" si="174"/>
        <v>3000</v>
      </c>
      <c r="E765" s="82">
        <f t="shared" si="162"/>
        <v>2850</v>
      </c>
      <c r="F765" s="83">
        <f t="shared" si="168"/>
        <v>150</v>
      </c>
      <c r="G765" s="84"/>
      <c r="H765" s="85"/>
      <c r="I765" s="85"/>
      <c r="J765" s="84"/>
      <c r="K765" s="85"/>
      <c r="L765" s="85"/>
      <c r="M765" s="85"/>
      <c r="N765" s="85"/>
      <c r="O765" s="82"/>
      <c r="P765" s="83"/>
      <c r="Q765" s="83"/>
      <c r="R765" s="83"/>
      <c r="S765" s="82"/>
      <c r="T765" s="83"/>
      <c r="U765" s="83"/>
      <c r="V765" s="84"/>
      <c r="W765" s="85"/>
      <c r="X765" s="87"/>
      <c r="Y765" s="83"/>
      <c r="Z765" s="84"/>
      <c r="AA765" s="85"/>
      <c r="AB765" s="84"/>
      <c r="AC765" s="85"/>
      <c r="AD765" s="89"/>
      <c r="AE765" s="89"/>
      <c r="AF765" s="186"/>
      <c r="AG765" s="85"/>
      <c r="AH765" s="85"/>
      <c r="AI765" s="85"/>
      <c r="AJ765" s="84"/>
      <c r="AK765" s="85"/>
      <c r="AL765" s="84"/>
      <c r="AM765" s="88"/>
      <c r="AN765" s="84"/>
      <c r="AO765" s="85"/>
      <c r="AP765" s="84"/>
      <c r="AQ765" s="83"/>
      <c r="AR765" s="83"/>
      <c r="AS765" s="83"/>
      <c r="AT765" s="85"/>
      <c r="AU765" s="85"/>
      <c r="AV765" s="85"/>
      <c r="AW765" s="88"/>
      <c r="AX765" s="84"/>
      <c r="AY765" s="85"/>
      <c r="AZ765" s="84"/>
      <c r="BA765" s="85"/>
      <c r="BB765" s="88"/>
      <c r="BC765" s="85"/>
      <c r="BD765" s="84"/>
      <c r="BE765" s="88"/>
      <c r="BF765" s="85"/>
      <c r="BG765" s="85"/>
      <c r="BH765" s="85"/>
      <c r="BI765" s="85"/>
      <c r="BJ765" s="85"/>
      <c r="BK765" s="85"/>
      <c r="BL765" s="85"/>
      <c r="BM765" s="85"/>
      <c r="BN765" s="85"/>
      <c r="BO765" s="85"/>
      <c r="BP765" s="85"/>
      <c r="BQ765" s="85"/>
      <c r="BR765" s="84"/>
      <c r="BS765" s="85"/>
      <c r="BT765" s="85"/>
      <c r="BU765" s="198"/>
      <c r="BV765" s="90">
        <v>2850</v>
      </c>
      <c r="BW765" s="198">
        <v>150</v>
      </c>
      <c r="BX765" s="90"/>
      <c r="BY765" s="198"/>
      <c r="BZ765" s="90"/>
      <c r="CA765" s="233"/>
    </row>
    <row r="766" spans="1:1199" ht="50.1" customHeight="1" outlineLevel="2" x14ac:dyDescent="0.3">
      <c r="A766" s="103" t="s">
        <v>666</v>
      </c>
      <c r="B766" s="102" t="s">
        <v>674</v>
      </c>
      <c r="C766" s="79" t="s">
        <v>89</v>
      </c>
      <c r="D766" s="81">
        <f t="shared" si="174"/>
        <v>1426.8901999999998</v>
      </c>
      <c r="E766" s="82">
        <f t="shared" si="162"/>
        <v>0</v>
      </c>
      <c r="F766" s="83">
        <f t="shared" si="168"/>
        <v>1426.8901999999998</v>
      </c>
      <c r="G766" s="84"/>
      <c r="H766" s="85"/>
      <c r="I766" s="85"/>
      <c r="J766" s="84"/>
      <c r="K766" s="85"/>
      <c r="L766" s="85"/>
      <c r="M766" s="85"/>
      <c r="N766" s="85"/>
      <c r="O766" s="82"/>
      <c r="P766" s="83"/>
      <c r="Q766" s="83"/>
      <c r="R766" s="83"/>
      <c r="S766" s="82"/>
      <c r="T766" s="83"/>
      <c r="U766" s="83"/>
      <c r="V766" s="84"/>
      <c r="W766" s="85"/>
      <c r="X766" s="82"/>
      <c r="Y766" s="83"/>
      <c r="Z766" s="84"/>
      <c r="AA766" s="85"/>
      <c r="AB766" s="84"/>
      <c r="AC766" s="85"/>
      <c r="AD766" s="89">
        <f t="shared" si="163"/>
        <v>0</v>
      </c>
      <c r="AE766" s="89"/>
      <c r="AF766" s="186"/>
      <c r="AG766" s="85"/>
      <c r="AH766" s="85"/>
      <c r="AI766" s="85"/>
      <c r="AJ766" s="84"/>
      <c r="AK766" s="85"/>
      <c r="AL766" s="84"/>
      <c r="AM766" s="88"/>
      <c r="AN766" s="84"/>
      <c r="AO766" s="85"/>
      <c r="AP766" s="84"/>
      <c r="AQ766" s="83"/>
      <c r="AR766" s="83"/>
      <c r="AS766" s="83"/>
      <c r="AT766" s="85"/>
      <c r="AU766" s="85"/>
      <c r="AV766" s="85">
        <v>95.050200000000004</v>
      </c>
      <c r="AW766" s="88"/>
      <c r="AX766" s="84"/>
      <c r="AY766" s="85"/>
      <c r="AZ766" s="84"/>
      <c r="BA766" s="85"/>
      <c r="BB766" s="88"/>
      <c r="BC766" s="85"/>
      <c r="BD766" s="84"/>
      <c r="BE766" s="88"/>
      <c r="BF766" s="85"/>
      <c r="BG766" s="85"/>
      <c r="BH766" s="85"/>
      <c r="BI766" s="85"/>
      <c r="BJ766" s="85"/>
      <c r="BK766" s="85"/>
      <c r="BL766" s="85"/>
      <c r="BM766" s="85"/>
      <c r="BN766" s="85"/>
      <c r="BO766" s="85"/>
      <c r="BP766" s="85">
        <v>1331.84</v>
      </c>
      <c r="BQ766" s="85"/>
      <c r="BR766" s="84"/>
      <c r="BS766" s="85"/>
      <c r="BT766" s="85"/>
      <c r="BU766" s="198"/>
      <c r="BV766" s="90"/>
      <c r="BW766" s="198"/>
      <c r="BX766" s="90"/>
      <c r="BY766" s="198"/>
      <c r="BZ766" s="90"/>
      <c r="CA766" s="91"/>
    </row>
    <row r="767" spans="1:1199" ht="50.1" customHeight="1" outlineLevel="2" x14ac:dyDescent="0.3">
      <c r="A767" s="103" t="s">
        <v>666</v>
      </c>
      <c r="B767" s="102" t="s">
        <v>675</v>
      </c>
      <c r="C767" s="79" t="s">
        <v>1268</v>
      </c>
      <c r="D767" s="81">
        <f t="shared" si="174"/>
        <v>8.3364699999999985</v>
      </c>
      <c r="E767" s="82">
        <f t="shared" si="162"/>
        <v>0</v>
      </c>
      <c r="F767" s="83">
        <f t="shared" si="168"/>
        <v>8.3364699999999985</v>
      </c>
      <c r="G767" s="84"/>
      <c r="H767" s="85"/>
      <c r="I767" s="85"/>
      <c r="J767" s="84"/>
      <c r="K767" s="85"/>
      <c r="L767" s="85"/>
      <c r="M767" s="85"/>
      <c r="N767" s="85"/>
      <c r="O767" s="82"/>
      <c r="P767" s="83"/>
      <c r="Q767" s="83"/>
      <c r="R767" s="83"/>
      <c r="S767" s="82"/>
      <c r="T767" s="83"/>
      <c r="U767" s="83"/>
      <c r="V767" s="84"/>
      <c r="W767" s="85"/>
      <c r="X767" s="82"/>
      <c r="Y767" s="83"/>
      <c r="Z767" s="84"/>
      <c r="AA767" s="85"/>
      <c r="AB767" s="84"/>
      <c r="AC767" s="85"/>
      <c r="AD767" s="89">
        <f t="shared" si="163"/>
        <v>8.3364699999999985</v>
      </c>
      <c r="AE767" s="89">
        <v>2.1490999999999998</v>
      </c>
      <c r="AF767" s="186">
        <f>2.91854+3.26883</f>
        <v>6.1873699999999996</v>
      </c>
      <c r="AG767" s="85"/>
      <c r="AH767" s="85"/>
      <c r="AI767" s="85"/>
      <c r="AJ767" s="84"/>
      <c r="AK767" s="85"/>
      <c r="AL767" s="84"/>
      <c r="AM767" s="88"/>
      <c r="AN767" s="84"/>
      <c r="AO767" s="85"/>
      <c r="AP767" s="84"/>
      <c r="AQ767" s="83"/>
      <c r="AR767" s="83"/>
      <c r="AS767" s="83"/>
      <c r="AT767" s="85"/>
      <c r="AU767" s="85"/>
      <c r="AV767" s="85"/>
      <c r="AW767" s="88"/>
      <c r="AX767" s="84"/>
      <c r="AY767" s="85"/>
      <c r="AZ767" s="84"/>
      <c r="BA767" s="85"/>
      <c r="BB767" s="88"/>
      <c r="BC767" s="85"/>
      <c r="BD767" s="84"/>
      <c r="BE767" s="88"/>
      <c r="BF767" s="85"/>
      <c r="BG767" s="85"/>
      <c r="BH767" s="85"/>
      <c r="BI767" s="85"/>
      <c r="BJ767" s="85"/>
      <c r="BK767" s="85"/>
      <c r="BL767" s="85"/>
      <c r="BM767" s="85"/>
      <c r="BN767" s="85"/>
      <c r="BO767" s="85"/>
      <c r="BP767" s="85"/>
      <c r="BQ767" s="85"/>
      <c r="BR767" s="84"/>
      <c r="BS767" s="85"/>
      <c r="BT767" s="85"/>
      <c r="BU767" s="198"/>
      <c r="BV767" s="90"/>
      <c r="BW767" s="198"/>
      <c r="BX767" s="90"/>
      <c r="BY767" s="198"/>
      <c r="BZ767" s="90"/>
      <c r="CA767" s="91"/>
    </row>
    <row r="768" spans="1:1199" s="101" customFormat="1" ht="50.1" customHeight="1" outlineLevel="1" x14ac:dyDescent="0.3">
      <c r="A768" s="132" t="s">
        <v>676</v>
      </c>
      <c r="B768" s="133"/>
      <c r="C768" s="134" t="s">
        <v>94</v>
      </c>
      <c r="D768" s="114">
        <f t="shared" ref="D768:AI768" si="175">SUBTOTAL(9,D756:D767)</f>
        <v>27178.109559999994</v>
      </c>
      <c r="E768" s="114">
        <f t="shared" si="175"/>
        <v>11106.45024</v>
      </c>
      <c r="F768" s="114">
        <f t="shared" si="175"/>
        <v>16071.659319999999</v>
      </c>
      <c r="G768" s="114">
        <f t="shared" si="175"/>
        <v>0</v>
      </c>
      <c r="H768" s="114">
        <f t="shared" si="175"/>
        <v>0</v>
      </c>
      <c r="I768" s="114">
        <f t="shared" si="175"/>
        <v>0</v>
      </c>
      <c r="J768" s="114">
        <f t="shared" si="175"/>
        <v>0</v>
      </c>
      <c r="K768" s="114">
        <f t="shared" si="175"/>
        <v>0</v>
      </c>
      <c r="L768" s="114">
        <f t="shared" si="175"/>
        <v>351.05962</v>
      </c>
      <c r="M768" s="114">
        <f t="shared" si="175"/>
        <v>0</v>
      </c>
      <c r="N768" s="114">
        <f t="shared" si="175"/>
        <v>0</v>
      </c>
      <c r="O768" s="114">
        <f t="shared" si="175"/>
        <v>0</v>
      </c>
      <c r="P768" s="114">
        <f t="shared" si="175"/>
        <v>0</v>
      </c>
      <c r="Q768" s="114">
        <f t="shared" si="175"/>
        <v>0</v>
      </c>
      <c r="R768" s="114">
        <f t="shared" si="175"/>
        <v>0</v>
      </c>
      <c r="S768" s="114">
        <f t="shared" si="175"/>
        <v>0</v>
      </c>
      <c r="T768" s="114">
        <f t="shared" si="175"/>
        <v>0</v>
      </c>
      <c r="U768" s="114">
        <f t="shared" si="175"/>
        <v>0</v>
      </c>
      <c r="V768" s="114">
        <f t="shared" si="175"/>
        <v>249.79395</v>
      </c>
      <c r="W768" s="114">
        <f t="shared" si="175"/>
        <v>429.03317000000004</v>
      </c>
      <c r="X768" s="114">
        <f t="shared" si="175"/>
        <v>0</v>
      </c>
      <c r="Y768" s="114">
        <f t="shared" si="175"/>
        <v>2396.6279999999997</v>
      </c>
      <c r="Z768" s="114">
        <f t="shared" si="175"/>
        <v>0</v>
      </c>
      <c r="AA768" s="114">
        <f t="shared" si="175"/>
        <v>0</v>
      </c>
      <c r="AB768" s="114">
        <f t="shared" si="175"/>
        <v>0</v>
      </c>
      <c r="AC768" s="114">
        <f t="shared" si="175"/>
        <v>0</v>
      </c>
      <c r="AD768" s="114">
        <f t="shared" si="175"/>
        <v>365.90105</v>
      </c>
      <c r="AE768" s="114">
        <f t="shared" si="175"/>
        <v>131.0951</v>
      </c>
      <c r="AF768" s="191">
        <f t="shared" si="175"/>
        <v>234.80595</v>
      </c>
      <c r="AG768" s="114">
        <f t="shared" si="175"/>
        <v>0</v>
      </c>
      <c r="AH768" s="114">
        <f t="shared" si="175"/>
        <v>0</v>
      </c>
      <c r="AI768" s="114">
        <f t="shared" si="175"/>
        <v>0</v>
      </c>
      <c r="AJ768" s="114">
        <f t="shared" ref="AJ768:BO768" si="176">SUBTOTAL(9,AJ756:AJ767)</f>
        <v>0</v>
      </c>
      <c r="AK768" s="114">
        <f t="shared" si="176"/>
        <v>0</v>
      </c>
      <c r="AL768" s="114">
        <f t="shared" si="176"/>
        <v>0</v>
      </c>
      <c r="AM768" s="114">
        <f t="shared" si="176"/>
        <v>0</v>
      </c>
      <c r="AN768" s="114">
        <f t="shared" si="176"/>
        <v>0</v>
      </c>
      <c r="AO768" s="114">
        <f t="shared" si="176"/>
        <v>0</v>
      </c>
      <c r="AP768" s="114">
        <f t="shared" si="176"/>
        <v>445.60487000000001</v>
      </c>
      <c r="AQ768" s="114">
        <f t="shared" si="176"/>
        <v>990.49405999999999</v>
      </c>
      <c r="AR768" s="114">
        <f t="shared" si="176"/>
        <v>0</v>
      </c>
      <c r="AS768" s="114">
        <f t="shared" si="176"/>
        <v>0</v>
      </c>
      <c r="AT768" s="114">
        <f t="shared" si="176"/>
        <v>0</v>
      </c>
      <c r="AU768" s="114">
        <f t="shared" si="176"/>
        <v>0</v>
      </c>
      <c r="AV768" s="114">
        <f t="shared" si="176"/>
        <v>2848.6869000000002</v>
      </c>
      <c r="AW768" s="114">
        <f t="shared" si="176"/>
        <v>0</v>
      </c>
      <c r="AX768" s="114">
        <f t="shared" si="176"/>
        <v>0</v>
      </c>
      <c r="AY768" s="114">
        <f t="shared" si="176"/>
        <v>0</v>
      </c>
      <c r="AZ768" s="114">
        <f t="shared" si="176"/>
        <v>2928.6614199999999</v>
      </c>
      <c r="BA768" s="114">
        <f t="shared" si="176"/>
        <v>2652.1411300000004</v>
      </c>
      <c r="BB768" s="114">
        <f t="shared" si="176"/>
        <v>0</v>
      </c>
      <c r="BC768" s="114">
        <f t="shared" si="176"/>
        <v>0</v>
      </c>
      <c r="BD768" s="114">
        <f t="shared" si="176"/>
        <v>0</v>
      </c>
      <c r="BE768" s="114">
        <f t="shared" si="176"/>
        <v>0</v>
      </c>
      <c r="BF768" s="114">
        <f t="shared" si="176"/>
        <v>0</v>
      </c>
      <c r="BG768" s="114">
        <f t="shared" si="176"/>
        <v>2212.0587599999999</v>
      </c>
      <c r="BH768" s="114">
        <f t="shared" si="176"/>
        <v>0</v>
      </c>
      <c r="BI768" s="114">
        <f t="shared" si="176"/>
        <v>0</v>
      </c>
      <c r="BJ768" s="114">
        <f t="shared" si="176"/>
        <v>0</v>
      </c>
      <c r="BK768" s="114">
        <f t="shared" si="176"/>
        <v>0</v>
      </c>
      <c r="BL768" s="114">
        <f t="shared" si="176"/>
        <v>0</v>
      </c>
      <c r="BM768" s="114">
        <f t="shared" si="176"/>
        <v>0</v>
      </c>
      <c r="BN768" s="114">
        <f t="shared" si="176"/>
        <v>0</v>
      </c>
      <c r="BO768" s="114">
        <f t="shared" si="176"/>
        <v>0</v>
      </c>
      <c r="BP768" s="114">
        <f t="shared" ref="BP768:CU768" si="177">SUBTOTAL(9,BP756:BP767)</f>
        <v>1331.84</v>
      </c>
      <c r="BQ768" s="114">
        <f t="shared" si="177"/>
        <v>0</v>
      </c>
      <c r="BR768" s="114">
        <f t="shared" si="177"/>
        <v>0</v>
      </c>
      <c r="BS768" s="114">
        <f t="shared" si="177"/>
        <v>0</v>
      </c>
      <c r="BT768" s="114">
        <f t="shared" si="177"/>
        <v>406.73376999999999</v>
      </c>
      <c r="BU768" s="114">
        <f t="shared" si="177"/>
        <v>1693.27286</v>
      </c>
      <c r="BV768" s="114">
        <f t="shared" si="177"/>
        <v>2850</v>
      </c>
      <c r="BW768" s="114">
        <f t="shared" si="177"/>
        <v>150</v>
      </c>
      <c r="BX768" s="114">
        <f t="shared" si="177"/>
        <v>0</v>
      </c>
      <c r="BY768" s="114">
        <f t="shared" si="177"/>
        <v>0</v>
      </c>
      <c r="BZ768" s="114">
        <f t="shared" si="177"/>
        <v>4632.3900000000003</v>
      </c>
      <c r="CA768" s="114">
        <f t="shared" si="177"/>
        <v>243.81</v>
      </c>
      <c r="CB768" s="176"/>
      <c r="CC768" s="176"/>
      <c r="CD768" s="176"/>
      <c r="CE768" s="176"/>
      <c r="CF768" s="176"/>
      <c r="CG768" s="176"/>
      <c r="CH768" s="176"/>
      <c r="CI768" s="176"/>
      <c r="CJ768" s="176"/>
      <c r="CK768" s="176"/>
      <c r="CL768" s="176"/>
      <c r="CM768" s="176"/>
      <c r="CN768" s="176"/>
      <c r="CO768" s="176"/>
      <c r="CP768" s="176"/>
      <c r="CQ768" s="176"/>
      <c r="CR768" s="176"/>
      <c r="CS768" s="176"/>
      <c r="CT768" s="176"/>
      <c r="CU768" s="176"/>
      <c r="CV768" s="176"/>
      <c r="CW768" s="176"/>
      <c r="CX768" s="176"/>
      <c r="CY768" s="176"/>
      <c r="CZ768" s="176"/>
      <c r="DA768" s="176"/>
      <c r="DB768" s="176"/>
      <c r="DC768" s="176"/>
      <c r="DD768" s="176"/>
      <c r="DE768" s="176"/>
      <c r="DF768" s="176"/>
      <c r="DG768" s="176"/>
      <c r="DH768" s="176"/>
      <c r="DI768" s="176"/>
      <c r="DJ768" s="176"/>
      <c r="DK768" s="176"/>
      <c r="DL768" s="176"/>
      <c r="DM768" s="176"/>
      <c r="DN768" s="176"/>
      <c r="DO768" s="176"/>
      <c r="DP768" s="176"/>
      <c r="DQ768" s="176"/>
      <c r="DR768" s="176"/>
      <c r="DS768" s="176"/>
      <c r="DT768" s="176"/>
      <c r="DU768" s="176"/>
      <c r="DV768" s="176"/>
      <c r="DW768" s="176"/>
      <c r="DX768" s="176"/>
      <c r="DY768" s="176"/>
      <c r="DZ768" s="176"/>
      <c r="EA768" s="176"/>
      <c r="EB768" s="176"/>
      <c r="EC768" s="176"/>
      <c r="ED768" s="176"/>
      <c r="EE768" s="176"/>
      <c r="EF768" s="176"/>
      <c r="EG768" s="176"/>
      <c r="EH768" s="176"/>
      <c r="EI768" s="176"/>
      <c r="EJ768" s="176"/>
      <c r="EK768" s="176"/>
      <c r="EL768" s="176"/>
      <c r="EM768" s="176"/>
      <c r="EN768" s="176"/>
      <c r="EO768" s="176"/>
      <c r="EP768" s="176"/>
      <c r="EQ768" s="176"/>
      <c r="ER768" s="176"/>
      <c r="ES768" s="176"/>
      <c r="ET768" s="176"/>
      <c r="EU768" s="176"/>
      <c r="EV768" s="176"/>
      <c r="EW768" s="176"/>
      <c r="EX768" s="176"/>
      <c r="EY768" s="176"/>
      <c r="EZ768" s="176"/>
      <c r="FA768" s="176"/>
      <c r="FB768" s="176"/>
      <c r="FC768" s="176"/>
      <c r="FD768" s="176"/>
      <c r="FE768" s="176"/>
      <c r="FF768" s="176"/>
      <c r="FG768" s="176"/>
      <c r="FH768" s="176"/>
      <c r="FI768" s="176"/>
      <c r="FJ768" s="176"/>
      <c r="FK768" s="176"/>
      <c r="FL768" s="176"/>
      <c r="FM768" s="176"/>
      <c r="FN768" s="176"/>
      <c r="FO768" s="176"/>
      <c r="FP768" s="176"/>
      <c r="FQ768" s="176"/>
      <c r="FR768" s="176"/>
      <c r="FS768" s="176"/>
      <c r="FT768" s="176"/>
      <c r="FU768" s="176"/>
      <c r="FV768" s="176"/>
      <c r="FW768" s="176"/>
      <c r="FX768" s="176"/>
      <c r="FY768" s="176"/>
      <c r="FZ768" s="176"/>
      <c r="GA768" s="176"/>
      <c r="GB768" s="176"/>
      <c r="GC768" s="176"/>
      <c r="GD768" s="176"/>
      <c r="GE768" s="176"/>
      <c r="GF768" s="176"/>
      <c r="GG768" s="176"/>
      <c r="GH768" s="176"/>
      <c r="GI768" s="176"/>
      <c r="GJ768" s="176"/>
      <c r="GK768" s="176"/>
      <c r="GL768" s="176"/>
      <c r="GM768" s="176"/>
      <c r="GN768" s="176"/>
      <c r="GO768" s="176"/>
      <c r="GP768" s="176"/>
      <c r="GQ768" s="176"/>
      <c r="GR768" s="176"/>
      <c r="GS768" s="176"/>
      <c r="GT768" s="176"/>
      <c r="GU768" s="176"/>
      <c r="GV768" s="176"/>
      <c r="GW768" s="176"/>
      <c r="GX768" s="176"/>
      <c r="GY768" s="176"/>
      <c r="GZ768" s="176"/>
      <c r="HA768" s="176"/>
      <c r="HB768" s="176"/>
      <c r="HC768" s="176"/>
      <c r="HD768" s="176"/>
      <c r="HE768" s="176"/>
      <c r="HF768" s="176"/>
      <c r="HG768" s="176"/>
      <c r="HH768" s="176"/>
      <c r="HI768" s="176"/>
      <c r="HJ768" s="176"/>
      <c r="HK768" s="176"/>
      <c r="HL768" s="176"/>
      <c r="HM768" s="176"/>
      <c r="HN768" s="176"/>
      <c r="HO768" s="176"/>
      <c r="HP768" s="176"/>
      <c r="HQ768" s="176"/>
      <c r="HR768" s="176"/>
      <c r="HS768" s="176"/>
      <c r="HT768" s="176"/>
      <c r="HU768" s="176"/>
      <c r="HV768" s="176"/>
      <c r="HW768" s="176"/>
      <c r="HX768" s="176"/>
      <c r="HY768" s="176"/>
      <c r="HZ768" s="176"/>
      <c r="IA768" s="176"/>
      <c r="IB768" s="176"/>
      <c r="IC768" s="176"/>
      <c r="ID768" s="176"/>
      <c r="IE768" s="176"/>
      <c r="IF768" s="176"/>
      <c r="IG768" s="176"/>
      <c r="IH768" s="176"/>
      <c r="II768" s="176"/>
      <c r="IJ768" s="176"/>
      <c r="IK768" s="176"/>
      <c r="IL768" s="176"/>
      <c r="IM768" s="176"/>
      <c r="IN768" s="176"/>
      <c r="IO768" s="176"/>
      <c r="IP768" s="176"/>
      <c r="IQ768" s="176"/>
      <c r="IR768" s="176"/>
      <c r="IS768" s="176"/>
      <c r="IT768" s="176"/>
      <c r="IU768" s="176"/>
      <c r="IV768" s="176"/>
      <c r="IW768" s="176"/>
      <c r="IX768" s="176"/>
      <c r="IY768" s="176"/>
      <c r="IZ768" s="176"/>
      <c r="JA768" s="176"/>
      <c r="JB768" s="176"/>
      <c r="JC768" s="176"/>
      <c r="JD768" s="176"/>
      <c r="JE768" s="176"/>
      <c r="JF768" s="176"/>
      <c r="JG768" s="176"/>
      <c r="JH768" s="176"/>
      <c r="JI768" s="176"/>
      <c r="JJ768" s="176"/>
      <c r="JK768" s="176"/>
      <c r="JL768" s="176"/>
      <c r="JM768" s="176"/>
      <c r="JN768" s="176"/>
      <c r="JO768" s="176"/>
      <c r="JP768" s="176"/>
      <c r="JQ768" s="176"/>
      <c r="JR768" s="176"/>
      <c r="JS768" s="176"/>
      <c r="JT768" s="176"/>
      <c r="JU768" s="176"/>
      <c r="JV768" s="176"/>
      <c r="JW768" s="131"/>
      <c r="JX768" s="131"/>
      <c r="JY768" s="131"/>
      <c r="JZ768" s="131"/>
      <c r="KA768" s="131"/>
      <c r="KB768" s="131"/>
      <c r="KC768" s="131"/>
      <c r="KD768" s="131"/>
      <c r="KE768" s="131"/>
      <c r="KF768" s="131"/>
      <c r="KG768" s="131"/>
      <c r="KH768" s="131"/>
      <c r="KI768" s="131"/>
      <c r="KJ768" s="131"/>
      <c r="KK768" s="131"/>
      <c r="KL768" s="131"/>
      <c r="KM768" s="131"/>
      <c r="KN768" s="131"/>
      <c r="KO768" s="131"/>
      <c r="KP768" s="131"/>
      <c r="KQ768" s="131"/>
      <c r="KR768" s="131"/>
      <c r="KS768" s="131"/>
      <c r="KT768" s="131"/>
      <c r="KU768" s="131"/>
      <c r="KV768" s="131"/>
      <c r="KW768" s="131"/>
      <c r="KX768" s="131"/>
      <c r="KY768" s="131"/>
      <c r="KZ768" s="131"/>
      <c r="LA768" s="131"/>
      <c r="LB768" s="131"/>
      <c r="LC768" s="131"/>
      <c r="LD768" s="131"/>
      <c r="LE768" s="131"/>
      <c r="LF768" s="131"/>
      <c r="LG768" s="131"/>
      <c r="LH768" s="131"/>
      <c r="LI768" s="131"/>
      <c r="LJ768" s="131"/>
      <c r="LK768" s="131"/>
      <c r="LL768" s="131"/>
      <c r="LM768" s="131"/>
      <c r="LN768" s="131"/>
      <c r="LO768" s="131"/>
      <c r="LP768" s="131"/>
      <c r="LQ768" s="131"/>
      <c r="LR768" s="131"/>
      <c r="LS768" s="131"/>
      <c r="LT768" s="131"/>
      <c r="LU768" s="131"/>
      <c r="LV768" s="131"/>
      <c r="LW768" s="131"/>
      <c r="LX768" s="131"/>
      <c r="LY768" s="131"/>
      <c r="LZ768" s="131"/>
      <c r="MA768" s="131"/>
      <c r="MB768" s="131"/>
      <c r="MC768" s="131"/>
      <c r="MD768" s="131"/>
      <c r="ME768" s="131"/>
      <c r="MF768" s="131"/>
      <c r="MG768" s="131"/>
      <c r="MH768" s="131"/>
      <c r="MI768" s="131"/>
      <c r="MJ768" s="131"/>
      <c r="MK768" s="131"/>
      <c r="ML768" s="131"/>
      <c r="MM768" s="131"/>
      <c r="MN768" s="131"/>
      <c r="MO768" s="131"/>
      <c r="MP768" s="131"/>
      <c r="MQ768" s="131"/>
      <c r="MR768" s="131"/>
      <c r="MS768" s="131"/>
      <c r="MT768" s="131"/>
      <c r="MU768" s="131"/>
      <c r="MV768" s="131"/>
      <c r="MW768" s="131"/>
      <c r="MX768" s="131"/>
      <c r="MY768" s="131"/>
      <c r="MZ768" s="131"/>
      <c r="NA768" s="131"/>
      <c r="NB768" s="131"/>
      <c r="NC768" s="131"/>
      <c r="ND768" s="131"/>
      <c r="NE768" s="131"/>
      <c r="NF768" s="131"/>
      <c r="NG768" s="131"/>
      <c r="NH768" s="131"/>
      <c r="NI768" s="131"/>
      <c r="NJ768" s="131"/>
      <c r="NK768" s="131"/>
      <c r="NL768" s="131"/>
      <c r="NM768" s="131"/>
      <c r="NN768" s="131"/>
      <c r="NO768" s="131"/>
      <c r="NP768" s="131"/>
      <c r="NQ768" s="131"/>
      <c r="NR768" s="131"/>
      <c r="NS768" s="131"/>
      <c r="NT768" s="131"/>
      <c r="NU768" s="131"/>
      <c r="NV768" s="131"/>
      <c r="NW768" s="131"/>
      <c r="NX768" s="131"/>
      <c r="NY768" s="131"/>
      <c r="NZ768" s="131"/>
      <c r="OA768" s="131"/>
      <c r="OB768" s="131"/>
      <c r="OC768" s="131"/>
      <c r="OD768" s="131"/>
      <c r="OE768" s="131"/>
      <c r="OF768" s="131"/>
      <c r="OG768" s="131"/>
      <c r="OH768" s="131"/>
      <c r="OI768" s="131"/>
      <c r="OJ768" s="131"/>
      <c r="OK768" s="131"/>
      <c r="OL768" s="131"/>
      <c r="OM768" s="131"/>
      <c r="ON768" s="131"/>
      <c r="OO768" s="131"/>
      <c r="OP768" s="131"/>
      <c r="OQ768" s="131"/>
      <c r="OR768" s="131"/>
      <c r="OS768" s="131"/>
      <c r="OT768" s="131"/>
      <c r="OU768" s="131"/>
      <c r="OV768" s="131"/>
      <c r="OW768" s="131"/>
      <c r="OX768" s="131"/>
      <c r="OY768" s="131"/>
      <c r="OZ768" s="131"/>
      <c r="PA768" s="131"/>
      <c r="PB768" s="131"/>
      <c r="PC768" s="131"/>
      <c r="PD768" s="131"/>
      <c r="PE768" s="131"/>
      <c r="PF768" s="131"/>
      <c r="PG768" s="131"/>
      <c r="PH768" s="131"/>
      <c r="PI768" s="131"/>
      <c r="PJ768" s="131"/>
      <c r="PK768" s="131"/>
      <c r="PL768" s="131"/>
      <c r="PM768" s="131"/>
      <c r="PN768" s="131"/>
      <c r="PO768" s="131"/>
      <c r="PP768" s="131"/>
      <c r="PQ768" s="131"/>
      <c r="PR768" s="131"/>
      <c r="PS768" s="131"/>
      <c r="PT768" s="131"/>
      <c r="PU768" s="131"/>
      <c r="PV768" s="131"/>
      <c r="PW768" s="131"/>
      <c r="PX768" s="131"/>
      <c r="PY768" s="131"/>
      <c r="PZ768" s="131"/>
      <c r="QA768" s="131"/>
      <c r="QB768" s="131"/>
      <c r="QC768" s="131"/>
      <c r="QD768" s="131"/>
      <c r="QE768" s="131"/>
      <c r="QF768" s="131"/>
      <c r="QG768" s="131"/>
      <c r="QH768" s="131"/>
      <c r="QI768" s="131"/>
      <c r="QJ768" s="131"/>
      <c r="QK768" s="131"/>
      <c r="QL768" s="131"/>
      <c r="QM768" s="131"/>
      <c r="QN768" s="131"/>
      <c r="QO768" s="131"/>
      <c r="QP768" s="131"/>
      <c r="QQ768" s="131"/>
      <c r="QR768" s="131"/>
      <c r="QS768" s="131"/>
      <c r="QT768" s="131"/>
      <c r="QU768" s="131"/>
      <c r="QV768" s="131"/>
      <c r="QW768" s="131"/>
      <c r="QX768" s="131"/>
      <c r="QY768" s="131"/>
      <c r="QZ768" s="131"/>
      <c r="RA768" s="131"/>
      <c r="RB768" s="131"/>
      <c r="RC768" s="131"/>
      <c r="RD768" s="131"/>
      <c r="RE768" s="131"/>
      <c r="RF768" s="131"/>
      <c r="RG768" s="131"/>
      <c r="RH768" s="131"/>
      <c r="RI768" s="131"/>
      <c r="RJ768" s="131"/>
      <c r="RK768" s="131"/>
      <c r="RL768" s="131"/>
      <c r="RM768" s="131"/>
      <c r="RN768" s="131"/>
      <c r="RO768" s="131"/>
      <c r="RP768" s="131"/>
      <c r="RQ768" s="131"/>
      <c r="RR768" s="131"/>
      <c r="RS768" s="131"/>
      <c r="RT768" s="131"/>
      <c r="RU768" s="131"/>
      <c r="RV768" s="131"/>
      <c r="RW768" s="131"/>
      <c r="RX768" s="131"/>
      <c r="RY768" s="131"/>
      <c r="RZ768" s="131"/>
      <c r="SA768" s="131"/>
      <c r="SB768" s="131"/>
      <c r="SC768" s="131"/>
      <c r="SD768" s="131"/>
      <c r="SE768" s="131"/>
      <c r="SF768" s="131"/>
      <c r="SG768" s="131"/>
      <c r="SH768" s="131"/>
      <c r="SI768" s="131"/>
      <c r="SJ768" s="131"/>
      <c r="SK768" s="131"/>
      <c r="SL768" s="131"/>
      <c r="SM768" s="131"/>
      <c r="SN768" s="131"/>
      <c r="SO768" s="131"/>
      <c r="SP768" s="131"/>
      <c r="SQ768" s="131"/>
      <c r="SR768" s="131"/>
      <c r="SS768" s="131"/>
      <c r="ST768" s="131"/>
      <c r="SU768" s="131"/>
      <c r="SV768" s="131"/>
      <c r="SW768" s="131"/>
      <c r="SX768" s="131"/>
      <c r="SY768" s="131"/>
      <c r="SZ768" s="131"/>
      <c r="TA768" s="131"/>
      <c r="TB768" s="131"/>
      <c r="TC768" s="131"/>
      <c r="TD768" s="131"/>
      <c r="TE768" s="131"/>
      <c r="TF768" s="131"/>
      <c r="TG768" s="131"/>
      <c r="TH768" s="131"/>
      <c r="TI768" s="131"/>
      <c r="TJ768" s="131"/>
      <c r="TK768" s="131"/>
      <c r="TL768" s="131"/>
      <c r="TM768" s="131"/>
      <c r="TN768" s="131"/>
      <c r="TO768" s="131"/>
      <c r="TP768" s="131"/>
      <c r="TQ768" s="131"/>
      <c r="TR768" s="131"/>
      <c r="TS768" s="131"/>
      <c r="TT768" s="131"/>
      <c r="TU768" s="131"/>
      <c r="TV768" s="131"/>
      <c r="TW768" s="131"/>
      <c r="TX768" s="131"/>
      <c r="TY768" s="131"/>
      <c r="TZ768" s="131"/>
      <c r="UA768" s="131"/>
      <c r="UB768" s="131"/>
      <c r="UC768" s="131"/>
      <c r="UD768" s="131"/>
      <c r="UE768" s="131"/>
      <c r="UF768" s="131"/>
      <c r="UG768" s="131"/>
      <c r="UH768" s="131"/>
      <c r="UI768" s="131"/>
      <c r="UJ768" s="131"/>
      <c r="UK768" s="131"/>
      <c r="UL768" s="131"/>
      <c r="UM768" s="131"/>
      <c r="UN768" s="131"/>
      <c r="UO768" s="131"/>
      <c r="UP768" s="131"/>
      <c r="UQ768" s="131"/>
      <c r="UR768" s="131"/>
      <c r="US768" s="131"/>
      <c r="UT768" s="131"/>
      <c r="UU768" s="131"/>
      <c r="UV768" s="131"/>
      <c r="UW768" s="131"/>
      <c r="UX768" s="131"/>
      <c r="UY768" s="131"/>
      <c r="UZ768" s="131"/>
      <c r="VA768" s="131"/>
      <c r="VB768" s="131"/>
      <c r="VC768" s="131"/>
      <c r="VD768" s="131"/>
      <c r="VE768" s="131"/>
      <c r="VF768" s="131"/>
      <c r="VG768" s="131"/>
      <c r="VH768" s="131"/>
      <c r="VI768" s="131"/>
      <c r="VJ768" s="131"/>
      <c r="VK768" s="131"/>
      <c r="VL768" s="131"/>
      <c r="VM768" s="131"/>
      <c r="VN768" s="131"/>
      <c r="VO768" s="131"/>
      <c r="VP768" s="131"/>
      <c r="VQ768" s="131"/>
      <c r="VR768" s="131"/>
      <c r="VS768" s="131"/>
      <c r="VT768" s="131"/>
      <c r="VU768" s="131"/>
      <c r="VV768" s="131"/>
      <c r="VW768" s="131"/>
      <c r="VX768" s="131"/>
      <c r="VY768" s="131"/>
      <c r="VZ768" s="131"/>
      <c r="WA768" s="131"/>
      <c r="WB768" s="131"/>
      <c r="WC768" s="131"/>
      <c r="WD768" s="131"/>
      <c r="WE768" s="131"/>
      <c r="WF768" s="131"/>
      <c r="WG768" s="131"/>
      <c r="WH768" s="131"/>
      <c r="WI768" s="131"/>
      <c r="WJ768" s="131"/>
      <c r="WK768" s="131"/>
      <c r="WL768" s="131"/>
      <c r="WM768" s="131"/>
      <c r="WN768" s="131"/>
      <c r="WO768" s="131"/>
      <c r="WP768" s="131"/>
      <c r="WQ768" s="131"/>
      <c r="WR768" s="131"/>
      <c r="WS768" s="131"/>
      <c r="WT768" s="131"/>
      <c r="WU768" s="131"/>
      <c r="WV768" s="131"/>
      <c r="WW768" s="131"/>
      <c r="WX768" s="131"/>
      <c r="WY768" s="131"/>
      <c r="WZ768" s="131"/>
      <c r="XA768" s="131"/>
      <c r="XB768" s="131"/>
      <c r="XC768" s="131"/>
      <c r="XD768" s="131"/>
      <c r="XE768" s="131"/>
      <c r="XF768" s="131"/>
      <c r="XG768" s="131"/>
      <c r="XH768" s="131"/>
      <c r="XI768" s="131"/>
      <c r="XJ768" s="131"/>
      <c r="XK768" s="131"/>
      <c r="XL768" s="131"/>
      <c r="XM768" s="131"/>
      <c r="XN768" s="131"/>
      <c r="XO768" s="131"/>
      <c r="XP768" s="131"/>
      <c r="XQ768" s="131"/>
      <c r="XR768" s="131"/>
      <c r="XS768" s="131"/>
      <c r="XT768" s="131"/>
      <c r="XU768" s="131"/>
      <c r="XV768" s="131"/>
      <c r="XW768" s="131"/>
      <c r="XX768" s="131"/>
      <c r="XY768" s="131"/>
      <c r="XZ768" s="131"/>
      <c r="YA768" s="131"/>
      <c r="YB768" s="131"/>
      <c r="YC768" s="131"/>
      <c r="YD768" s="131"/>
      <c r="YE768" s="131"/>
      <c r="YF768" s="131"/>
      <c r="YG768" s="131"/>
      <c r="YH768" s="131"/>
      <c r="YI768" s="131"/>
      <c r="YJ768" s="131"/>
      <c r="YK768" s="131"/>
      <c r="YL768" s="131"/>
      <c r="YM768" s="131"/>
      <c r="YN768" s="131"/>
      <c r="YO768" s="131"/>
      <c r="YP768" s="131"/>
      <c r="YQ768" s="131"/>
      <c r="YR768" s="131"/>
      <c r="YS768" s="131"/>
      <c r="YT768" s="131"/>
      <c r="YU768" s="131"/>
      <c r="YV768" s="131"/>
      <c r="YW768" s="131"/>
      <c r="YX768" s="131"/>
      <c r="YY768" s="131"/>
      <c r="YZ768" s="131"/>
      <c r="ZA768" s="131"/>
      <c r="ZB768" s="131"/>
      <c r="ZC768" s="131"/>
      <c r="ZD768" s="131"/>
      <c r="ZE768" s="131"/>
      <c r="ZF768" s="131"/>
      <c r="ZG768" s="131"/>
      <c r="ZH768" s="131"/>
      <c r="ZI768" s="131"/>
      <c r="ZJ768" s="131"/>
      <c r="ZK768" s="131"/>
      <c r="ZL768" s="131"/>
      <c r="ZM768" s="131"/>
      <c r="ZN768" s="131"/>
      <c r="ZO768" s="131"/>
      <c r="ZP768" s="131"/>
      <c r="ZQ768" s="131"/>
      <c r="ZR768" s="131"/>
      <c r="ZS768" s="131"/>
      <c r="ZT768" s="131"/>
      <c r="ZU768" s="131"/>
      <c r="ZV768" s="131"/>
      <c r="ZW768" s="131"/>
      <c r="ZX768" s="131"/>
      <c r="ZY768" s="131"/>
      <c r="ZZ768" s="131"/>
      <c r="AAA768" s="131"/>
      <c r="AAB768" s="131"/>
      <c r="AAC768" s="131"/>
      <c r="AAD768" s="131"/>
      <c r="AAE768" s="131"/>
      <c r="AAF768" s="131"/>
      <c r="AAG768" s="131"/>
      <c r="AAH768" s="131"/>
      <c r="AAI768" s="131"/>
      <c r="AAJ768" s="131"/>
      <c r="AAK768" s="131"/>
      <c r="AAL768" s="131"/>
      <c r="AAM768" s="131"/>
      <c r="AAN768" s="131"/>
      <c r="AAO768" s="131"/>
      <c r="AAP768" s="131"/>
      <c r="AAQ768" s="131"/>
      <c r="AAR768" s="131"/>
      <c r="AAS768" s="131"/>
      <c r="AAT768" s="131"/>
      <c r="AAU768" s="131"/>
      <c r="AAV768" s="131"/>
      <c r="AAW768" s="131"/>
      <c r="AAX768" s="131"/>
      <c r="AAY768" s="131"/>
      <c r="AAZ768" s="131"/>
      <c r="ABA768" s="131"/>
      <c r="ABB768" s="131"/>
      <c r="ABC768" s="131"/>
      <c r="ABD768" s="131"/>
      <c r="ABE768" s="131"/>
      <c r="ABF768" s="131"/>
      <c r="ABG768" s="131"/>
      <c r="ABH768" s="131"/>
      <c r="ABI768" s="131"/>
      <c r="ABJ768" s="131"/>
      <c r="ABK768" s="131"/>
      <c r="ABL768" s="131"/>
      <c r="ABM768" s="131"/>
      <c r="ABN768" s="131"/>
      <c r="ABO768" s="131"/>
      <c r="ABP768" s="131"/>
      <c r="ABQ768" s="131"/>
      <c r="ABR768" s="131"/>
      <c r="ABS768" s="131"/>
      <c r="ABT768" s="131"/>
      <c r="ABU768" s="131"/>
      <c r="ABV768" s="131"/>
      <c r="ABW768" s="131"/>
      <c r="ABX768" s="131"/>
      <c r="ABY768" s="131"/>
      <c r="ABZ768" s="131"/>
      <c r="ACA768" s="131"/>
      <c r="ACB768" s="131"/>
      <c r="ACC768" s="131"/>
      <c r="ACD768" s="131"/>
      <c r="ACE768" s="131"/>
      <c r="ACF768" s="131"/>
      <c r="ACG768" s="131"/>
      <c r="ACH768" s="131"/>
      <c r="ACI768" s="131"/>
      <c r="ACJ768" s="131"/>
      <c r="ACK768" s="131"/>
      <c r="ACL768" s="131"/>
      <c r="ACM768" s="131"/>
      <c r="ACN768" s="131"/>
      <c r="ACO768" s="131"/>
      <c r="ACP768" s="131"/>
      <c r="ACQ768" s="131"/>
      <c r="ACR768" s="131"/>
      <c r="ACS768" s="131"/>
      <c r="ACT768" s="131"/>
      <c r="ACU768" s="131"/>
      <c r="ACV768" s="131"/>
      <c r="ACW768" s="131"/>
      <c r="ACX768" s="131"/>
      <c r="ACY768" s="131"/>
      <c r="ACZ768" s="131"/>
      <c r="ADA768" s="131"/>
      <c r="ADB768" s="131"/>
      <c r="ADC768" s="131"/>
      <c r="ADD768" s="131"/>
      <c r="ADE768" s="131"/>
      <c r="ADF768" s="131"/>
      <c r="ADG768" s="131"/>
      <c r="ADH768" s="131"/>
      <c r="ADI768" s="131"/>
      <c r="ADJ768" s="131"/>
      <c r="ADK768" s="131"/>
      <c r="ADL768" s="131"/>
      <c r="ADM768" s="131"/>
      <c r="ADN768" s="131"/>
      <c r="ADO768" s="131"/>
      <c r="ADP768" s="131"/>
      <c r="ADQ768" s="131"/>
      <c r="ADR768" s="131"/>
      <c r="ADS768" s="131"/>
      <c r="ADT768" s="131"/>
      <c r="ADU768" s="131"/>
      <c r="ADV768" s="131"/>
      <c r="ADW768" s="131"/>
      <c r="ADX768" s="131"/>
      <c r="ADY768" s="131"/>
      <c r="ADZ768" s="131"/>
      <c r="AEA768" s="131"/>
      <c r="AEB768" s="131"/>
      <c r="AEC768" s="131"/>
      <c r="AED768" s="131"/>
      <c r="AEE768" s="131"/>
      <c r="AEF768" s="131"/>
      <c r="AEG768" s="131"/>
      <c r="AEH768" s="131"/>
      <c r="AEI768" s="131"/>
      <c r="AEJ768" s="131"/>
      <c r="AEK768" s="131"/>
      <c r="AEL768" s="131"/>
      <c r="AEM768" s="131"/>
      <c r="AEN768" s="131"/>
      <c r="AEO768" s="131"/>
      <c r="AEP768" s="131"/>
      <c r="AEQ768" s="131"/>
      <c r="AER768" s="131"/>
      <c r="AES768" s="131"/>
      <c r="AET768" s="131"/>
      <c r="AEU768" s="131"/>
      <c r="AEV768" s="131"/>
      <c r="AEW768" s="131"/>
      <c r="AEX768" s="131"/>
      <c r="AEY768" s="131"/>
      <c r="AEZ768" s="131"/>
      <c r="AFA768" s="131"/>
      <c r="AFB768" s="131"/>
      <c r="AFC768" s="131"/>
      <c r="AFD768" s="131"/>
      <c r="AFE768" s="131"/>
      <c r="AFF768" s="131"/>
      <c r="AFG768" s="131"/>
      <c r="AFH768" s="131"/>
      <c r="AFI768" s="131"/>
      <c r="AFJ768" s="131"/>
      <c r="AFK768" s="131"/>
      <c r="AFL768" s="131"/>
      <c r="AFM768" s="131"/>
      <c r="AFN768" s="131"/>
      <c r="AFO768" s="131"/>
      <c r="AFP768" s="131"/>
      <c r="AFQ768" s="131"/>
      <c r="AFR768" s="131"/>
      <c r="AFS768" s="131"/>
      <c r="AFT768" s="131"/>
      <c r="AFU768" s="131"/>
      <c r="AFV768" s="131"/>
      <c r="AFW768" s="131"/>
      <c r="AFX768" s="131"/>
      <c r="AFY768" s="131"/>
      <c r="AFZ768" s="131"/>
      <c r="AGA768" s="131"/>
      <c r="AGB768" s="131"/>
      <c r="AGC768" s="131"/>
      <c r="AGD768" s="131"/>
      <c r="AGE768" s="131"/>
      <c r="AGF768" s="131"/>
      <c r="AGG768" s="131"/>
      <c r="AGH768" s="131"/>
      <c r="AGI768" s="131"/>
      <c r="AGJ768" s="131"/>
      <c r="AGK768" s="131"/>
      <c r="AGL768" s="131"/>
      <c r="AGM768" s="131"/>
      <c r="AGN768" s="131"/>
      <c r="AGO768" s="131"/>
      <c r="AGP768" s="131"/>
      <c r="AGQ768" s="131"/>
      <c r="AGR768" s="131"/>
      <c r="AGS768" s="131"/>
      <c r="AGT768" s="131"/>
      <c r="AGU768" s="131"/>
      <c r="AGV768" s="131"/>
      <c r="AGW768" s="131"/>
      <c r="AGX768" s="131"/>
      <c r="AGY768" s="131"/>
      <c r="AGZ768" s="131"/>
      <c r="AHA768" s="131"/>
      <c r="AHB768" s="131"/>
      <c r="AHC768" s="131"/>
      <c r="AHD768" s="131"/>
      <c r="AHE768" s="131"/>
      <c r="AHF768" s="131"/>
      <c r="AHG768" s="131"/>
      <c r="AHH768" s="131"/>
      <c r="AHI768" s="131"/>
      <c r="AHJ768" s="131"/>
      <c r="AHK768" s="131"/>
      <c r="AHL768" s="131"/>
      <c r="AHM768" s="131"/>
      <c r="AHN768" s="131"/>
      <c r="AHO768" s="131"/>
      <c r="AHP768" s="131"/>
      <c r="AHQ768" s="131"/>
      <c r="AHR768" s="131"/>
      <c r="AHS768" s="131"/>
      <c r="AHT768" s="131"/>
      <c r="AHU768" s="131"/>
      <c r="AHV768" s="131"/>
      <c r="AHW768" s="131"/>
      <c r="AHX768" s="131"/>
      <c r="AHY768" s="131"/>
      <c r="AHZ768" s="131"/>
      <c r="AIA768" s="131"/>
      <c r="AIB768" s="131"/>
      <c r="AIC768" s="131"/>
      <c r="AID768" s="131"/>
      <c r="AIE768" s="131"/>
      <c r="AIF768" s="131"/>
      <c r="AIG768" s="131"/>
      <c r="AIH768" s="131"/>
      <c r="AII768" s="131"/>
      <c r="AIJ768" s="131"/>
      <c r="AIK768" s="131"/>
      <c r="AIL768" s="131"/>
      <c r="AIM768" s="131"/>
      <c r="AIN768" s="131"/>
      <c r="AIO768" s="131"/>
      <c r="AIP768" s="131"/>
      <c r="AIQ768" s="131"/>
      <c r="AIR768" s="131"/>
      <c r="AIS768" s="131"/>
      <c r="AIT768" s="131"/>
      <c r="AIU768" s="131"/>
      <c r="AIV768" s="131"/>
      <c r="AIW768" s="131"/>
      <c r="AIX768" s="131"/>
      <c r="AIY768" s="131"/>
      <c r="AIZ768" s="131"/>
      <c r="AJA768" s="131"/>
      <c r="AJB768" s="131"/>
      <c r="AJC768" s="131"/>
      <c r="AJD768" s="131"/>
      <c r="AJE768" s="131"/>
      <c r="AJF768" s="131"/>
      <c r="AJG768" s="131"/>
      <c r="AJH768" s="131"/>
      <c r="AJI768" s="131"/>
      <c r="AJJ768" s="131"/>
      <c r="AJK768" s="131"/>
      <c r="AJL768" s="131"/>
      <c r="AJM768" s="131"/>
      <c r="AJN768" s="131"/>
      <c r="AJO768" s="131"/>
      <c r="AJP768" s="131"/>
      <c r="AJQ768" s="131"/>
      <c r="AJR768" s="131"/>
      <c r="AJS768" s="131"/>
      <c r="AJT768" s="131"/>
      <c r="AJU768" s="131"/>
      <c r="AJV768" s="131"/>
      <c r="AJW768" s="131"/>
      <c r="AJX768" s="131"/>
      <c r="AJY768" s="131"/>
      <c r="AJZ768" s="131"/>
      <c r="AKA768" s="131"/>
      <c r="AKB768" s="131"/>
      <c r="AKC768" s="131"/>
      <c r="AKD768" s="131"/>
      <c r="AKE768" s="131"/>
      <c r="AKF768" s="131"/>
      <c r="AKG768" s="131"/>
      <c r="AKH768" s="131"/>
      <c r="AKI768" s="131"/>
      <c r="AKJ768" s="131"/>
      <c r="AKK768" s="131"/>
      <c r="AKL768" s="131"/>
      <c r="AKM768" s="131"/>
      <c r="AKN768" s="131"/>
      <c r="AKO768" s="131"/>
      <c r="AKP768" s="131"/>
      <c r="AKQ768" s="131"/>
      <c r="AKR768" s="131"/>
      <c r="AKS768" s="131"/>
      <c r="AKT768" s="131"/>
      <c r="AKU768" s="131"/>
      <c r="AKV768" s="131"/>
      <c r="AKW768" s="131"/>
      <c r="AKX768" s="131"/>
      <c r="AKY768" s="131"/>
      <c r="AKZ768" s="131"/>
      <c r="ALA768" s="131"/>
      <c r="ALB768" s="131"/>
      <c r="ALC768" s="131"/>
      <c r="ALD768" s="131"/>
      <c r="ALE768" s="131"/>
      <c r="ALF768" s="131"/>
      <c r="ALG768" s="131"/>
      <c r="ALH768" s="131"/>
      <c r="ALI768" s="131"/>
      <c r="ALJ768" s="131"/>
      <c r="ALK768" s="131"/>
      <c r="ALL768" s="131"/>
      <c r="ALM768" s="131"/>
      <c r="ALN768" s="131"/>
      <c r="ALO768" s="131"/>
      <c r="ALP768" s="131"/>
      <c r="ALQ768" s="131"/>
      <c r="ALR768" s="131"/>
      <c r="ALS768" s="131"/>
      <c r="ALT768" s="131"/>
      <c r="ALU768" s="131"/>
      <c r="ALV768" s="131"/>
      <c r="ALW768" s="131"/>
      <c r="ALX768" s="131"/>
      <c r="ALY768" s="131"/>
      <c r="ALZ768" s="131"/>
      <c r="AMA768" s="131"/>
      <c r="AMB768" s="131"/>
      <c r="AMC768" s="131"/>
      <c r="AMD768" s="131"/>
      <c r="AME768" s="131"/>
      <c r="AMF768" s="131"/>
      <c r="AMG768" s="131"/>
      <c r="AMH768" s="131"/>
      <c r="AMI768" s="131"/>
      <c r="AMJ768" s="131"/>
      <c r="AMK768" s="131"/>
      <c r="AML768" s="131"/>
      <c r="AMM768" s="131"/>
      <c r="AMN768" s="131"/>
      <c r="AMO768" s="131"/>
      <c r="AMP768" s="131"/>
      <c r="AMQ768" s="131"/>
      <c r="AMR768" s="131"/>
      <c r="AMS768" s="131"/>
      <c r="AMT768" s="131"/>
      <c r="AMU768" s="131"/>
      <c r="AMV768" s="131"/>
      <c r="AMW768" s="131"/>
      <c r="AMX768" s="131"/>
      <c r="AMY768" s="131"/>
      <c r="AMZ768" s="131"/>
      <c r="ANA768" s="131"/>
      <c r="ANB768" s="131"/>
      <c r="ANC768" s="131"/>
      <c r="AND768" s="131"/>
      <c r="ANE768" s="131"/>
      <c r="ANF768" s="131"/>
      <c r="ANG768" s="131"/>
      <c r="ANH768" s="131"/>
      <c r="ANI768" s="131"/>
      <c r="ANJ768" s="131"/>
      <c r="ANK768" s="131"/>
      <c r="ANL768" s="131"/>
      <c r="ANM768" s="131"/>
      <c r="ANN768" s="131"/>
      <c r="ANO768" s="131"/>
      <c r="ANP768" s="131"/>
      <c r="ANQ768" s="131"/>
      <c r="ANR768" s="131"/>
      <c r="ANS768" s="131"/>
      <c r="ANT768" s="131"/>
      <c r="ANU768" s="131"/>
      <c r="ANV768" s="131"/>
      <c r="ANW768" s="131"/>
      <c r="ANX768" s="131"/>
      <c r="ANY768" s="131"/>
      <c r="ANZ768" s="131"/>
      <c r="AOA768" s="131"/>
      <c r="AOB768" s="131"/>
      <c r="AOC768" s="131"/>
      <c r="AOD768" s="131"/>
      <c r="AOE768" s="131"/>
      <c r="AOF768" s="131"/>
      <c r="AOG768" s="131"/>
      <c r="AOH768" s="131"/>
      <c r="AOI768" s="131"/>
      <c r="AOJ768" s="131"/>
      <c r="AOK768" s="131"/>
      <c r="AOL768" s="131"/>
      <c r="AOM768" s="131"/>
      <c r="AON768" s="131"/>
      <c r="AOO768" s="131"/>
      <c r="AOP768" s="131"/>
      <c r="AOQ768" s="131"/>
      <c r="AOR768" s="131"/>
      <c r="AOS768" s="131"/>
      <c r="AOT768" s="131"/>
      <c r="AOU768" s="131"/>
      <c r="AOV768" s="131"/>
      <c r="AOW768" s="131"/>
      <c r="AOX768" s="131"/>
      <c r="AOY768" s="131"/>
      <c r="AOZ768" s="131"/>
      <c r="APA768" s="131"/>
      <c r="APB768" s="131"/>
      <c r="APC768" s="131"/>
      <c r="APD768" s="131"/>
      <c r="APE768" s="131"/>
      <c r="APF768" s="131"/>
      <c r="APG768" s="131"/>
      <c r="APH768" s="131"/>
      <c r="API768" s="131"/>
      <c r="APJ768" s="131"/>
      <c r="APK768" s="131"/>
      <c r="APL768" s="131"/>
      <c r="APM768" s="131"/>
      <c r="APN768" s="131"/>
      <c r="APO768" s="131"/>
      <c r="APP768" s="131"/>
      <c r="APQ768" s="131"/>
      <c r="APR768" s="131"/>
      <c r="APS768" s="131"/>
      <c r="APT768" s="131"/>
      <c r="APU768" s="131"/>
      <c r="APV768" s="131"/>
      <c r="APW768" s="131"/>
      <c r="APX768" s="131"/>
      <c r="APY768" s="131"/>
      <c r="APZ768" s="131"/>
      <c r="AQA768" s="131"/>
      <c r="AQB768" s="131"/>
      <c r="AQC768" s="131"/>
      <c r="AQD768" s="131"/>
      <c r="AQE768" s="131"/>
      <c r="AQF768" s="131"/>
      <c r="AQG768" s="131"/>
      <c r="AQH768" s="131"/>
      <c r="AQI768" s="131"/>
      <c r="AQJ768" s="131"/>
      <c r="AQK768" s="131"/>
      <c r="AQL768" s="131"/>
      <c r="AQM768" s="131"/>
      <c r="AQN768" s="131"/>
      <c r="AQO768" s="131"/>
      <c r="AQP768" s="131"/>
      <c r="AQQ768" s="131"/>
      <c r="AQR768" s="131"/>
      <c r="AQS768" s="131"/>
      <c r="AQT768" s="131"/>
      <c r="AQU768" s="131"/>
      <c r="AQV768" s="131"/>
      <c r="AQW768" s="131"/>
      <c r="AQX768" s="131"/>
      <c r="AQY768" s="131"/>
      <c r="AQZ768" s="131"/>
      <c r="ARA768" s="131"/>
      <c r="ARB768" s="131"/>
      <c r="ARC768" s="131"/>
      <c r="ARD768" s="131"/>
      <c r="ARE768" s="131"/>
      <c r="ARF768" s="131"/>
      <c r="ARG768" s="131"/>
      <c r="ARH768" s="131"/>
      <c r="ARI768" s="131"/>
      <c r="ARJ768" s="131"/>
      <c r="ARK768" s="131"/>
      <c r="ARL768" s="131"/>
      <c r="ARM768" s="131"/>
      <c r="ARN768" s="131"/>
      <c r="ARO768" s="131"/>
      <c r="ARP768" s="131"/>
      <c r="ARQ768" s="131"/>
      <c r="ARR768" s="131"/>
      <c r="ARS768" s="131"/>
      <c r="ART768" s="131"/>
      <c r="ARU768" s="131"/>
      <c r="ARV768" s="131"/>
      <c r="ARW768" s="131"/>
      <c r="ARX768" s="131"/>
      <c r="ARY768" s="131"/>
      <c r="ARZ768" s="131"/>
      <c r="ASA768" s="131"/>
      <c r="ASB768" s="131"/>
      <c r="ASC768" s="131"/>
      <c r="ASD768" s="131"/>
      <c r="ASE768" s="131"/>
      <c r="ASF768" s="131"/>
      <c r="ASG768" s="131"/>
      <c r="ASH768" s="131"/>
      <c r="ASI768" s="131"/>
      <c r="ASJ768" s="131"/>
      <c r="ASK768" s="131"/>
      <c r="ASL768" s="131"/>
      <c r="ASM768" s="131"/>
      <c r="ASN768" s="131"/>
      <c r="ASO768" s="131"/>
      <c r="ASP768" s="131"/>
      <c r="ASQ768" s="131"/>
      <c r="ASR768" s="131"/>
      <c r="ASS768" s="131"/>
      <c r="AST768" s="131"/>
      <c r="ASU768" s="131"/>
      <c r="ASV768" s="131"/>
      <c r="ASW768" s="131"/>
      <c r="ASX768" s="131"/>
      <c r="ASY768" s="131"/>
      <c r="ASZ768" s="131"/>
      <c r="ATA768" s="131"/>
      <c r="ATB768" s="131"/>
      <c r="ATC768" s="131"/>
    </row>
    <row r="769" spans="1:79" ht="50.1" customHeight="1" outlineLevel="2" x14ac:dyDescent="0.3">
      <c r="A769" s="103" t="s">
        <v>677</v>
      </c>
      <c r="B769" s="102" t="s">
        <v>678</v>
      </c>
      <c r="C769" s="79" t="s">
        <v>37</v>
      </c>
      <c r="D769" s="81">
        <f t="shared" ref="D769" si="178">E769+F769</f>
        <v>16776.18477</v>
      </c>
      <c r="E769" s="82">
        <f t="shared" si="162"/>
        <v>10117.168440000001</v>
      </c>
      <c r="F769" s="83">
        <f t="shared" si="168"/>
        <v>6659.0163300000004</v>
      </c>
      <c r="G769" s="84"/>
      <c r="H769" s="85"/>
      <c r="I769" s="85"/>
      <c r="J769" s="84">
        <f>223.57125+153.54023+270.2718+8.43565+11.21451</f>
        <v>667.03344000000004</v>
      </c>
      <c r="K769" s="85">
        <f>54.64436+37.52766+61.92686+1.0458+1.39031</f>
        <v>156.53499000000002</v>
      </c>
      <c r="L769" s="85">
        <v>175.17509999999999</v>
      </c>
      <c r="M769" s="85"/>
      <c r="N769" s="85"/>
      <c r="O769" s="82"/>
      <c r="P769" s="83"/>
      <c r="Q769" s="83"/>
      <c r="R769" s="83"/>
      <c r="S769" s="82"/>
      <c r="T769" s="83"/>
      <c r="U769" s="83"/>
      <c r="V769" s="84">
        <v>115.97499999999999</v>
      </c>
      <c r="W769" s="85">
        <v>202.5</v>
      </c>
      <c r="X769" s="87"/>
      <c r="Y769" s="83">
        <v>841.15200000000004</v>
      </c>
      <c r="Z769" s="84"/>
      <c r="AA769" s="85"/>
      <c r="AB769" s="84"/>
      <c r="AC769" s="85"/>
      <c r="AD769" s="89">
        <f t="shared" si="163"/>
        <v>378.96716000000004</v>
      </c>
      <c r="AE769" s="89">
        <v>128.946</v>
      </c>
      <c r="AF769" s="186">
        <v>250.02116000000001</v>
      </c>
      <c r="AG769" s="85"/>
      <c r="AH769" s="85"/>
      <c r="AI769" s="85"/>
      <c r="AJ769" s="84"/>
      <c r="AK769" s="85"/>
      <c r="AL769" s="84"/>
      <c r="AM769" s="88"/>
      <c r="AN769" s="84"/>
      <c r="AO769" s="85">
        <v>2920.32</v>
      </c>
      <c r="AP769" s="84"/>
      <c r="AQ769" s="83"/>
      <c r="AR769" s="83"/>
      <c r="AS769" s="83"/>
      <c r="AT769" s="85"/>
      <c r="AU769" s="85"/>
      <c r="AV769" s="85"/>
      <c r="AW769" s="88"/>
      <c r="AX769" s="84"/>
      <c r="AY769" s="85"/>
      <c r="AZ769" s="84">
        <v>1814.37688</v>
      </c>
      <c r="BA769" s="85">
        <v>1643.06404</v>
      </c>
      <c r="BB769" s="88"/>
      <c r="BC769" s="85"/>
      <c r="BD769" s="84"/>
      <c r="BE769" s="88"/>
      <c r="BF769" s="85"/>
      <c r="BG769" s="85">
        <v>26.051950000000001</v>
      </c>
      <c r="BH769" s="85"/>
      <c r="BI769" s="85"/>
      <c r="BJ769" s="85"/>
      <c r="BK769" s="85">
        <v>315.25108999999998</v>
      </c>
      <c r="BL769" s="85"/>
      <c r="BM769" s="85"/>
      <c r="BN769" s="85"/>
      <c r="BO769" s="85"/>
      <c r="BP769" s="85"/>
      <c r="BQ769" s="85"/>
      <c r="BR769" s="84">
        <v>7519.7831200000001</v>
      </c>
      <c r="BS769" s="85"/>
      <c r="BT769" s="85"/>
      <c r="BU769" s="198"/>
      <c r="BV769" s="90"/>
      <c r="BW769" s="198"/>
      <c r="BX769" s="90"/>
      <c r="BY769" s="198"/>
      <c r="BZ769" s="90"/>
      <c r="CA769" s="91"/>
    </row>
    <row r="770" spans="1:79" ht="50.1" customHeight="1" outlineLevel="2" x14ac:dyDescent="0.3">
      <c r="A770" s="103" t="s">
        <v>677</v>
      </c>
      <c r="B770" s="102" t="s">
        <v>679</v>
      </c>
      <c r="C770" s="79" t="s">
        <v>37</v>
      </c>
      <c r="D770" s="81">
        <f t="shared" ref="D770:D827" si="179">E770+F770</f>
        <v>6018.9022699999996</v>
      </c>
      <c r="E770" s="82">
        <f t="shared" si="162"/>
        <v>3753.1700499999997</v>
      </c>
      <c r="F770" s="83">
        <f t="shared" si="168"/>
        <v>2265.7322199999999</v>
      </c>
      <c r="G770" s="84"/>
      <c r="H770" s="85"/>
      <c r="I770" s="85"/>
      <c r="J770" s="84"/>
      <c r="K770" s="85"/>
      <c r="L770" s="85"/>
      <c r="M770" s="85"/>
      <c r="N770" s="85"/>
      <c r="O770" s="82"/>
      <c r="P770" s="83"/>
      <c r="Q770" s="83"/>
      <c r="R770" s="83"/>
      <c r="S770" s="82"/>
      <c r="T770" s="83"/>
      <c r="U770" s="83"/>
      <c r="V770" s="84">
        <v>92.78</v>
      </c>
      <c r="W770" s="85">
        <v>162</v>
      </c>
      <c r="X770" s="87"/>
      <c r="Y770" s="83">
        <v>686.4</v>
      </c>
      <c r="Z770" s="84"/>
      <c r="AA770" s="85"/>
      <c r="AB770" s="84"/>
      <c r="AC770" s="85"/>
      <c r="AD770" s="89">
        <f t="shared" si="163"/>
        <v>335.79937000000001</v>
      </c>
      <c r="AE770" s="89">
        <f>101.0077+34.3856</f>
        <v>135.39330000000001</v>
      </c>
      <c r="AF770" s="186">
        <v>200.40607</v>
      </c>
      <c r="AG770" s="85"/>
      <c r="AH770" s="85"/>
      <c r="AI770" s="85"/>
      <c r="AJ770" s="84"/>
      <c r="AK770" s="85"/>
      <c r="AL770" s="84"/>
      <c r="AM770" s="88"/>
      <c r="AN770" s="84"/>
      <c r="AO770" s="85"/>
      <c r="AP770" s="84"/>
      <c r="AQ770" s="83"/>
      <c r="AR770" s="83"/>
      <c r="AS770" s="83"/>
      <c r="AT770" s="85"/>
      <c r="AU770" s="85"/>
      <c r="AV770" s="85"/>
      <c r="AW770" s="88"/>
      <c r="AX770" s="84"/>
      <c r="AY770" s="85"/>
      <c r="AZ770" s="84">
        <v>1194.2966799999999</v>
      </c>
      <c r="BA770" s="85">
        <v>1081.5328500000001</v>
      </c>
      <c r="BB770" s="88"/>
      <c r="BC770" s="85"/>
      <c r="BD770" s="84"/>
      <c r="BE770" s="88"/>
      <c r="BF770" s="85"/>
      <c r="BG770" s="85"/>
      <c r="BH770" s="85"/>
      <c r="BI770" s="85"/>
      <c r="BJ770" s="85"/>
      <c r="BK770" s="85"/>
      <c r="BL770" s="85"/>
      <c r="BM770" s="85"/>
      <c r="BN770" s="85"/>
      <c r="BO770" s="85"/>
      <c r="BP770" s="85"/>
      <c r="BQ770" s="85"/>
      <c r="BR770" s="84">
        <v>2466.09337</v>
      </c>
      <c r="BS770" s="85"/>
      <c r="BT770" s="85"/>
      <c r="BU770" s="198"/>
      <c r="BV770" s="90"/>
      <c r="BW770" s="198"/>
      <c r="BX770" s="90"/>
      <c r="BY770" s="198"/>
      <c r="BZ770" s="90"/>
      <c r="CA770" s="91"/>
    </row>
    <row r="771" spans="1:79" ht="50.1" customHeight="1" outlineLevel="2" x14ac:dyDescent="0.3">
      <c r="A771" s="103" t="s">
        <v>677</v>
      </c>
      <c r="B771" s="102" t="s">
        <v>680</v>
      </c>
      <c r="C771" s="79" t="s">
        <v>37</v>
      </c>
      <c r="D771" s="81">
        <f t="shared" si="179"/>
        <v>80785.335749999998</v>
      </c>
      <c r="E771" s="82">
        <f t="shared" ref="E771:E828" si="180">G771+J771+O771+S771+V771+X771+Z771+AB771+AJ771+AL771+AN771+AP771+AX771+AZ771+BD771+BV771+BX771+BZ771+BR771</f>
        <v>50286.485619999999</v>
      </c>
      <c r="F771" s="83">
        <f t="shared" si="168"/>
        <v>30498.850129999999</v>
      </c>
      <c r="G771" s="84">
        <v>2810.50189</v>
      </c>
      <c r="H771" s="85">
        <v>2411.7442599999999</v>
      </c>
      <c r="I771" s="85"/>
      <c r="J771" s="84">
        <f>731.30192+772.07035+356.62224+1230.35814+205.42082</f>
        <v>3295.7734699999996</v>
      </c>
      <c r="K771" s="85">
        <f>164.67987+175.64722+81.62849+291.68746+28.72614</f>
        <v>742.36917999999991</v>
      </c>
      <c r="L771" s="85">
        <v>281.77051</v>
      </c>
      <c r="M771" s="85"/>
      <c r="N771" s="85"/>
      <c r="O771" s="82"/>
      <c r="P771" s="83"/>
      <c r="Q771" s="83"/>
      <c r="R771" s="83"/>
      <c r="S771" s="82"/>
      <c r="T771" s="83"/>
      <c r="U771" s="83"/>
      <c r="V771" s="84"/>
      <c r="W771" s="85">
        <v>296.81697000000003</v>
      </c>
      <c r="X771" s="87"/>
      <c r="Y771" s="83">
        <v>1603.3679999999999</v>
      </c>
      <c r="Z771" s="84"/>
      <c r="AA771" s="85"/>
      <c r="AB771" s="84"/>
      <c r="AC771" s="85"/>
      <c r="AD771" s="89">
        <f t="shared" si="163"/>
        <v>2573.8046599999998</v>
      </c>
      <c r="AE771" s="89">
        <v>1278.2763</v>
      </c>
      <c r="AF771" s="186">
        <f>523.08943+772.43893</f>
        <v>1295.52836</v>
      </c>
      <c r="AG771" s="85"/>
      <c r="AH771" s="85"/>
      <c r="AI771" s="85"/>
      <c r="AJ771" s="84">
        <v>8487</v>
      </c>
      <c r="AK771" s="85">
        <v>3136.5</v>
      </c>
      <c r="AL771" s="84"/>
      <c r="AM771" s="88"/>
      <c r="AN771" s="84"/>
      <c r="AO771" s="85"/>
      <c r="AP771" s="84">
        <v>5301.8953099999999</v>
      </c>
      <c r="AQ771" s="83">
        <v>10098.922490000001</v>
      </c>
      <c r="AR771" s="83"/>
      <c r="AS771" s="83"/>
      <c r="AT771" s="85"/>
      <c r="AU771" s="85"/>
      <c r="AV771" s="85"/>
      <c r="AW771" s="88"/>
      <c r="AX771" s="84"/>
      <c r="AY771" s="85"/>
      <c r="AZ771" s="84">
        <v>6284.72487</v>
      </c>
      <c r="BA771" s="85">
        <v>5691.3212800000001</v>
      </c>
      <c r="BB771" s="88"/>
      <c r="BC771" s="85"/>
      <c r="BD771" s="84"/>
      <c r="BE771" s="88"/>
      <c r="BF771" s="85"/>
      <c r="BG771" s="85">
        <v>3106.9293699999998</v>
      </c>
      <c r="BH771" s="85"/>
      <c r="BI771" s="85"/>
      <c r="BJ771" s="85"/>
      <c r="BK771" s="85">
        <v>555.30340999999999</v>
      </c>
      <c r="BL771" s="85"/>
      <c r="BM771" s="85"/>
      <c r="BN771" s="85"/>
      <c r="BO771" s="85"/>
      <c r="BP771" s="85"/>
      <c r="BQ771" s="85"/>
      <c r="BR771" s="84">
        <v>24106.590080000002</v>
      </c>
      <c r="BS771" s="85"/>
      <c r="BT771" s="85"/>
      <c r="BU771" s="198"/>
      <c r="BV771" s="90"/>
      <c r="BW771" s="198"/>
      <c r="BX771" s="90"/>
      <c r="BY771" s="198"/>
      <c r="BZ771" s="90"/>
      <c r="CA771" s="91"/>
    </row>
    <row r="772" spans="1:79" ht="50.1" customHeight="1" outlineLevel="2" x14ac:dyDescent="0.3">
      <c r="A772" s="96" t="s">
        <v>677</v>
      </c>
      <c r="B772" s="80" t="s">
        <v>681</v>
      </c>
      <c r="C772" s="79" t="s">
        <v>37</v>
      </c>
      <c r="D772" s="81">
        <f t="shared" si="179"/>
        <v>1068.6386600000001</v>
      </c>
      <c r="E772" s="82">
        <f t="shared" si="180"/>
        <v>604.06330000000003</v>
      </c>
      <c r="F772" s="83">
        <f t="shared" si="168"/>
        <v>464.57535999999999</v>
      </c>
      <c r="G772" s="84"/>
      <c r="H772" s="85"/>
      <c r="I772" s="85"/>
      <c r="J772" s="84"/>
      <c r="K772" s="85"/>
      <c r="L772" s="85"/>
      <c r="M772" s="85"/>
      <c r="N772" s="85"/>
      <c r="O772" s="82"/>
      <c r="P772" s="83"/>
      <c r="Q772" s="83"/>
      <c r="R772" s="83"/>
      <c r="S772" s="82"/>
      <c r="T772" s="83"/>
      <c r="U772" s="83"/>
      <c r="V772" s="84">
        <v>76.543499999999995</v>
      </c>
      <c r="W772" s="85">
        <v>133.65</v>
      </c>
      <c r="X772" s="87"/>
      <c r="Y772" s="83">
        <v>96.72</v>
      </c>
      <c r="Z772" s="84"/>
      <c r="AA772" s="85"/>
      <c r="AB772" s="84"/>
      <c r="AC772" s="85"/>
      <c r="AD772" s="89">
        <f t="shared" si="163"/>
        <v>61.174239999999998</v>
      </c>
      <c r="AE772" s="89">
        <v>19.341899999999999</v>
      </c>
      <c r="AF772" s="186">
        <v>41.832340000000002</v>
      </c>
      <c r="AG772" s="85"/>
      <c r="AH772" s="85"/>
      <c r="AI772" s="85"/>
      <c r="AJ772" s="84"/>
      <c r="AK772" s="85"/>
      <c r="AL772" s="84"/>
      <c r="AM772" s="88"/>
      <c r="AN772" s="84"/>
      <c r="AO772" s="85"/>
      <c r="AP772" s="84"/>
      <c r="AQ772" s="83"/>
      <c r="AR772" s="83"/>
      <c r="AS772" s="83"/>
      <c r="AT772" s="85"/>
      <c r="AU772" s="85"/>
      <c r="AV772" s="85"/>
      <c r="AW772" s="88"/>
      <c r="AX772" s="84"/>
      <c r="AY772" s="85"/>
      <c r="AZ772" s="84">
        <v>191.0718</v>
      </c>
      <c r="BA772" s="85">
        <v>173.03111999999999</v>
      </c>
      <c r="BB772" s="88"/>
      <c r="BC772" s="85"/>
      <c r="BD772" s="84"/>
      <c r="BE772" s="88"/>
      <c r="BF772" s="85"/>
      <c r="BG772" s="85"/>
      <c r="BH772" s="85"/>
      <c r="BI772" s="85"/>
      <c r="BJ772" s="85"/>
      <c r="BK772" s="85"/>
      <c r="BL772" s="85"/>
      <c r="BM772" s="85"/>
      <c r="BN772" s="85"/>
      <c r="BO772" s="85"/>
      <c r="BP772" s="85"/>
      <c r="BQ772" s="85"/>
      <c r="BR772" s="84">
        <v>336.44799999999998</v>
      </c>
      <c r="BS772" s="85"/>
      <c r="BT772" s="85"/>
      <c r="BU772" s="198"/>
      <c r="BV772" s="90"/>
      <c r="BW772" s="198"/>
      <c r="BX772" s="90"/>
      <c r="BY772" s="198"/>
      <c r="BZ772" s="90"/>
      <c r="CA772" s="91"/>
    </row>
    <row r="773" spans="1:79" ht="50.1" customHeight="1" outlineLevel="2" x14ac:dyDescent="0.3">
      <c r="A773" s="103" t="s">
        <v>677</v>
      </c>
      <c r="B773" s="102" t="s">
        <v>682</v>
      </c>
      <c r="C773" s="79" t="s">
        <v>37</v>
      </c>
      <c r="D773" s="81">
        <f t="shared" si="179"/>
        <v>5539.6767500000005</v>
      </c>
      <c r="E773" s="82">
        <f t="shared" si="180"/>
        <v>1695.0025000000001</v>
      </c>
      <c r="F773" s="83">
        <f t="shared" si="168"/>
        <v>3844.67425</v>
      </c>
      <c r="G773" s="84"/>
      <c r="H773" s="85"/>
      <c r="I773" s="85"/>
      <c r="J773" s="84"/>
      <c r="K773" s="85"/>
      <c r="L773" s="85">
        <v>1158.1883700000001</v>
      </c>
      <c r="M773" s="85"/>
      <c r="N773" s="85"/>
      <c r="O773" s="82"/>
      <c r="P773" s="83"/>
      <c r="Q773" s="83"/>
      <c r="R773" s="83"/>
      <c r="S773" s="82"/>
      <c r="T773" s="83"/>
      <c r="U773" s="83"/>
      <c r="V773" s="84">
        <v>85.357600000000005</v>
      </c>
      <c r="W773" s="85">
        <v>149.04</v>
      </c>
      <c r="X773" s="87"/>
      <c r="Y773" s="83"/>
      <c r="Z773" s="84"/>
      <c r="AA773" s="85"/>
      <c r="AB773" s="84"/>
      <c r="AC773" s="85"/>
      <c r="AD773" s="89">
        <f t="shared" si="163"/>
        <v>0</v>
      </c>
      <c r="AE773" s="89"/>
      <c r="AF773" s="186"/>
      <c r="AG773" s="85"/>
      <c r="AH773" s="85"/>
      <c r="AI773" s="85"/>
      <c r="AJ773" s="84"/>
      <c r="AK773" s="85"/>
      <c r="AL773" s="84"/>
      <c r="AM773" s="88"/>
      <c r="AN773" s="84"/>
      <c r="AO773" s="85"/>
      <c r="AP773" s="84"/>
      <c r="AQ773" s="83"/>
      <c r="AR773" s="83"/>
      <c r="AS773" s="83"/>
      <c r="AT773" s="85"/>
      <c r="AU773" s="85"/>
      <c r="AV773" s="85">
        <v>2045.88312</v>
      </c>
      <c r="AW773" s="88"/>
      <c r="AX773" s="84"/>
      <c r="AY773" s="85"/>
      <c r="AZ773" s="84">
        <v>260.36786000000001</v>
      </c>
      <c r="BA773" s="85">
        <v>235.78391999999999</v>
      </c>
      <c r="BB773" s="88"/>
      <c r="BC773" s="85"/>
      <c r="BD773" s="84"/>
      <c r="BE773" s="88"/>
      <c r="BF773" s="85"/>
      <c r="BG773" s="85">
        <v>255.77884</v>
      </c>
      <c r="BH773" s="85"/>
      <c r="BI773" s="85"/>
      <c r="BJ773" s="85"/>
      <c r="BK773" s="85"/>
      <c r="BL773" s="85"/>
      <c r="BM773" s="85"/>
      <c r="BN773" s="85"/>
      <c r="BO773" s="85"/>
      <c r="BP773" s="85"/>
      <c r="BQ773" s="85"/>
      <c r="BR773" s="84">
        <v>1349.2770399999999</v>
      </c>
      <c r="BS773" s="85"/>
      <c r="BT773" s="85"/>
      <c r="BU773" s="198"/>
      <c r="BV773" s="90"/>
      <c r="BW773" s="198"/>
      <c r="BX773" s="90"/>
      <c r="BY773" s="198"/>
      <c r="BZ773" s="90"/>
      <c r="CA773" s="91"/>
    </row>
    <row r="774" spans="1:79" ht="50.1" customHeight="1" outlineLevel="2" x14ac:dyDescent="0.3">
      <c r="A774" s="103" t="s">
        <v>677</v>
      </c>
      <c r="B774" s="102" t="s">
        <v>683</v>
      </c>
      <c r="C774" s="79" t="s">
        <v>37</v>
      </c>
      <c r="D774" s="81">
        <f t="shared" si="179"/>
        <v>5088.5422900000003</v>
      </c>
      <c r="E774" s="82">
        <f t="shared" si="180"/>
        <v>3755.6729600000003</v>
      </c>
      <c r="F774" s="83">
        <f t="shared" si="168"/>
        <v>1332.86933</v>
      </c>
      <c r="G774" s="84"/>
      <c r="H774" s="85"/>
      <c r="I774" s="85"/>
      <c r="J774" s="84">
        <f>129.30914+24.08726+20.59683+13.10269</f>
        <v>187.09592000000004</v>
      </c>
      <c r="K774" s="85">
        <f>64.65456+5.17048+4.40429+3.27567</f>
        <v>77.50500000000001</v>
      </c>
      <c r="L774" s="85"/>
      <c r="M774" s="85"/>
      <c r="N774" s="85"/>
      <c r="O774" s="82"/>
      <c r="P774" s="83"/>
      <c r="Q774" s="83"/>
      <c r="R774" s="83"/>
      <c r="S774" s="82"/>
      <c r="T774" s="83"/>
      <c r="U774" s="83"/>
      <c r="V774" s="84">
        <v>38.271749999999997</v>
      </c>
      <c r="W774" s="85">
        <v>66.825000000000003</v>
      </c>
      <c r="X774" s="87"/>
      <c r="Y774" s="83">
        <v>231.816</v>
      </c>
      <c r="Z774" s="84"/>
      <c r="AA774" s="85"/>
      <c r="AB774" s="84"/>
      <c r="AC774" s="85"/>
      <c r="AD774" s="89">
        <f t="shared" si="163"/>
        <v>157.66271</v>
      </c>
      <c r="AE774" s="89">
        <f>45.1311+17.1928</f>
        <v>62.323900000000002</v>
      </c>
      <c r="AF774" s="186">
        <v>95.338809999999995</v>
      </c>
      <c r="AG774" s="85"/>
      <c r="AH774" s="85"/>
      <c r="AI774" s="85"/>
      <c r="AJ774" s="84"/>
      <c r="AK774" s="85"/>
      <c r="AL774" s="84"/>
      <c r="AM774" s="88"/>
      <c r="AN774" s="84"/>
      <c r="AO774" s="85">
        <v>307.83999999999997</v>
      </c>
      <c r="AP774" s="84"/>
      <c r="AQ774" s="83"/>
      <c r="AR774" s="83"/>
      <c r="AS774" s="83"/>
      <c r="AT774" s="85"/>
      <c r="AU774" s="85"/>
      <c r="AV774" s="85"/>
      <c r="AW774" s="88"/>
      <c r="AX774" s="84"/>
      <c r="AY774" s="85"/>
      <c r="AZ774" s="84">
        <v>450.27996999999999</v>
      </c>
      <c r="BA774" s="85">
        <v>407.76522999999997</v>
      </c>
      <c r="BB774" s="88"/>
      <c r="BC774" s="85"/>
      <c r="BD774" s="84"/>
      <c r="BE774" s="88"/>
      <c r="BF774" s="85"/>
      <c r="BG774" s="85"/>
      <c r="BH774" s="85"/>
      <c r="BI774" s="85"/>
      <c r="BJ774" s="85"/>
      <c r="BK774" s="85">
        <v>83.455389999999994</v>
      </c>
      <c r="BL774" s="85"/>
      <c r="BM774" s="85"/>
      <c r="BN774" s="85"/>
      <c r="BO774" s="85"/>
      <c r="BP774" s="85"/>
      <c r="BQ774" s="85"/>
      <c r="BR774" s="84">
        <v>3080.0253200000002</v>
      </c>
      <c r="BS774" s="85"/>
      <c r="BT774" s="85"/>
      <c r="BU774" s="198"/>
      <c r="BV774" s="90"/>
      <c r="BW774" s="198"/>
      <c r="BX774" s="90"/>
      <c r="BY774" s="198"/>
      <c r="BZ774" s="90"/>
      <c r="CA774" s="91"/>
    </row>
    <row r="775" spans="1:79" ht="50.1" customHeight="1" outlineLevel="2" x14ac:dyDescent="0.3">
      <c r="A775" s="103" t="s">
        <v>677</v>
      </c>
      <c r="B775" s="102" t="s">
        <v>684</v>
      </c>
      <c r="C775" s="79" t="s">
        <v>37</v>
      </c>
      <c r="D775" s="81">
        <f t="shared" si="179"/>
        <v>1485.54448</v>
      </c>
      <c r="E775" s="82">
        <f t="shared" si="180"/>
        <v>1280.0730599999999</v>
      </c>
      <c r="F775" s="83">
        <f t="shared" si="168"/>
        <v>205.47141999999999</v>
      </c>
      <c r="G775" s="84"/>
      <c r="H775" s="85"/>
      <c r="I775" s="85"/>
      <c r="J775" s="84"/>
      <c r="K775" s="85"/>
      <c r="L775" s="85"/>
      <c r="M775" s="85"/>
      <c r="N775" s="85"/>
      <c r="O775" s="82"/>
      <c r="P775" s="83"/>
      <c r="Q775" s="83"/>
      <c r="R775" s="83"/>
      <c r="S775" s="82"/>
      <c r="T775" s="83"/>
      <c r="U775" s="83"/>
      <c r="V775" s="84"/>
      <c r="W775" s="85"/>
      <c r="X775" s="87"/>
      <c r="Y775" s="83">
        <v>111.696</v>
      </c>
      <c r="Z775" s="84"/>
      <c r="AA775" s="85"/>
      <c r="AB775" s="84"/>
      <c r="AC775" s="85"/>
      <c r="AD775" s="89">
        <f t="shared" si="163"/>
        <v>0</v>
      </c>
      <c r="AE775" s="89"/>
      <c r="AF775" s="186"/>
      <c r="AG775" s="85"/>
      <c r="AH775" s="85"/>
      <c r="AI775" s="85"/>
      <c r="AJ775" s="84"/>
      <c r="AK775" s="85"/>
      <c r="AL775" s="84"/>
      <c r="AM775" s="88"/>
      <c r="AN775" s="84"/>
      <c r="AO775" s="85"/>
      <c r="AP775" s="84"/>
      <c r="AQ775" s="83"/>
      <c r="AR775" s="83"/>
      <c r="AS775" s="83"/>
      <c r="AT775" s="85"/>
      <c r="AU775" s="85"/>
      <c r="AV775" s="85"/>
      <c r="AW775" s="88"/>
      <c r="AX775" s="84"/>
      <c r="AY775" s="85"/>
      <c r="AZ775" s="84">
        <v>103.5527</v>
      </c>
      <c r="BA775" s="85">
        <v>93.775419999999997</v>
      </c>
      <c r="BB775" s="88"/>
      <c r="BC775" s="85"/>
      <c r="BD775" s="84"/>
      <c r="BE775" s="88"/>
      <c r="BF775" s="85"/>
      <c r="BG775" s="85"/>
      <c r="BH775" s="85"/>
      <c r="BI775" s="85"/>
      <c r="BJ775" s="85"/>
      <c r="BK775" s="85"/>
      <c r="BL775" s="85"/>
      <c r="BM775" s="85"/>
      <c r="BN775" s="85"/>
      <c r="BO775" s="85"/>
      <c r="BP775" s="85"/>
      <c r="BQ775" s="85"/>
      <c r="BR775" s="84">
        <v>1176.52036</v>
      </c>
      <c r="BS775" s="85"/>
      <c r="BT775" s="85"/>
      <c r="BU775" s="198"/>
      <c r="BV775" s="90"/>
      <c r="BW775" s="198"/>
      <c r="BX775" s="90"/>
      <c r="BY775" s="198"/>
      <c r="BZ775" s="90"/>
      <c r="CA775" s="91"/>
    </row>
    <row r="776" spans="1:79" ht="50.1" customHeight="1" outlineLevel="2" x14ac:dyDescent="0.3">
      <c r="A776" s="106" t="s">
        <v>677</v>
      </c>
      <c r="B776" s="96" t="s">
        <v>685</v>
      </c>
      <c r="C776" s="79" t="s">
        <v>37</v>
      </c>
      <c r="D776" s="81">
        <f t="shared" si="179"/>
        <v>2353.4703399999999</v>
      </c>
      <c r="E776" s="82">
        <f t="shared" si="180"/>
        <v>1814.0176900000001</v>
      </c>
      <c r="F776" s="83">
        <f t="shared" si="168"/>
        <v>539.45264999999995</v>
      </c>
      <c r="G776" s="84"/>
      <c r="H776" s="85"/>
      <c r="I776" s="85"/>
      <c r="J776" s="84"/>
      <c r="K776" s="85"/>
      <c r="L776" s="85"/>
      <c r="M776" s="85"/>
      <c r="N776" s="85"/>
      <c r="O776" s="82"/>
      <c r="P776" s="83"/>
      <c r="Q776" s="83"/>
      <c r="R776" s="83"/>
      <c r="S776" s="82"/>
      <c r="T776" s="83"/>
      <c r="U776" s="83"/>
      <c r="V776" s="84">
        <v>39.4315</v>
      </c>
      <c r="W776" s="85">
        <v>68.849999999999994</v>
      </c>
      <c r="X776" s="87"/>
      <c r="Y776" s="83">
        <v>124.8</v>
      </c>
      <c r="Z776" s="84"/>
      <c r="AA776" s="85"/>
      <c r="AB776" s="84"/>
      <c r="AC776" s="85"/>
      <c r="AD776" s="89">
        <f t="shared" si="163"/>
        <v>86.715820000000008</v>
      </c>
      <c r="AE776" s="89">
        <v>32.236499999999999</v>
      </c>
      <c r="AF776" s="186">
        <v>54.479320000000001</v>
      </c>
      <c r="AG776" s="85"/>
      <c r="AH776" s="85"/>
      <c r="AI776" s="85"/>
      <c r="AJ776" s="84"/>
      <c r="AK776" s="85"/>
      <c r="AL776" s="84"/>
      <c r="AM776" s="88"/>
      <c r="AN776" s="84"/>
      <c r="AO776" s="85"/>
      <c r="AP776" s="84"/>
      <c r="AQ776" s="83"/>
      <c r="AR776" s="83"/>
      <c r="AS776" s="83"/>
      <c r="AT776" s="85"/>
      <c r="AU776" s="85"/>
      <c r="AV776" s="85"/>
      <c r="AW776" s="88"/>
      <c r="AX776" s="84"/>
      <c r="AY776" s="85"/>
      <c r="AZ776" s="84">
        <v>286.10023999999999</v>
      </c>
      <c r="BA776" s="85">
        <v>259.08683000000002</v>
      </c>
      <c r="BB776" s="88"/>
      <c r="BC776" s="85"/>
      <c r="BD776" s="84"/>
      <c r="BE776" s="88"/>
      <c r="BF776" s="85"/>
      <c r="BG776" s="85"/>
      <c r="BH776" s="85"/>
      <c r="BI776" s="85"/>
      <c r="BJ776" s="85"/>
      <c r="BK776" s="85"/>
      <c r="BL776" s="85"/>
      <c r="BM776" s="85"/>
      <c r="BN776" s="85"/>
      <c r="BO776" s="85"/>
      <c r="BP776" s="85"/>
      <c r="BQ776" s="85"/>
      <c r="BR776" s="84">
        <v>1488.48595</v>
      </c>
      <c r="BS776" s="85"/>
      <c r="BT776" s="85"/>
      <c r="BU776" s="198"/>
      <c r="BV776" s="90"/>
      <c r="BW776" s="198"/>
      <c r="BX776" s="90"/>
      <c r="BY776" s="198"/>
      <c r="BZ776" s="90"/>
      <c r="CA776" s="91"/>
    </row>
    <row r="777" spans="1:79" ht="50.1" customHeight="1" outlineLevel="2" x14ac:dyDescent="0.3">
      <c r="A777" s="106" t="s">
        <v>677</v>
      </c>
      <c r="B777" s="96" t="s">
        <v>686</v>
      </c>
      <c r="C777" s="79" t="s">
        <v>37</v>
      </c>
      <c r="D777" s="81">
        <f t="shared" si="179"/>
        <v>710.87516000000005</v>
      </c>
      <c r="E777" s="82">
        <f t="shared" si="180"/>
        <v>356.67608000000001</v>
      </c>
      <c r="F777" s="83">
        <f t="shared" si="168"/>
        <v>354.19907999999998</v>
      </c>
      <c r="G777" s="84"/>
      <c r="H777" s="85"/>
      <c r="I777" s="85"/>
      <c r="J777" s="84"/>
      <c r="K777" s="85"/>
      <c r="L777" s="85"/>
      <c r="M777" s="85"/>
      <c r="N777" s="85"/>
      <c r="O777" s="82"/>
      <c r="P777" s="83"/>
      <c r="Q777" s="83"/>
      <c r="R777" s="83"/>
      <c r="S777" s="82"/>
      <c r="T777" s="83"/>
      <c r="U777" s="83"/>
      <c r="V777" s="84"/>
      <c r="W777" s="85"/>
      <c r="X777" s="87"/>
      <c r="Y777" s="83">
        <v>31.2</v>
      </c>
      <c r="Z777" s="84"/>
      <c r="AA777" s="85"/>
      <c r="AB777" s="84"/>
      <c r="AC777" s="85"/>
      <c r="AD777" s="89">
        <f t="shared" si="163"/>
        <v>0</v>
      </c>
      <c r="AE777" s="89"/>
      <c r="AF777" s="186"/>
      <c r="AG777" s="85"/>
      <c r="AH777" s="85"/>
      <c r="AI777" s="85"/>
      <c r="AJ777" s="84"/>
      <c r="AK777" s="85"/>
      <c r="AL777" s="84"/>
      <c r="AM777" s="88"/>
      <c r="AN777" s="84"/>
      <c r="AO777" s="85"/>
      <c r="AP777" s="84"/>
      <c r="AQ777" s="83"/>
      <c r="AR777" s="83"/>
      <c r="AS777" s="83"/>
      <c r="AT777" s="85"/>
      <c r="AU777" s="85"/>
      <c r="AV777" s="85"/>
      <c r="AW777" s="88"/>
      <c r="AX777" s="84"/>
      <c r="AY777" s="85"/>
      <c r="AZ777" s="84">
        <v>356.67608000000001</v>
      </c>
      <c r="BA777" s="85">
        <v>322.99907999999999</v>
      </c>
      <c r="BB777" s="88"/>
      <c r="BC777" s="85"/>
      <c r="BD777" s="84"/>
      <c r="BE777" s="88"/>
      <c r="BF777" s="85"/>
      <c r="BG777" s="85"/>
      <c r="BH777" s="85"/>
      <c r="BI777" s="85"/>
      <c r="BJ777" s="85"/>
      <c r="BK777" s="85"/>
      <c r="BL777" s="85"/>
      <c r="BM777" s="85"/>
      <c r="BN777" s="85"/>
      <c r="BO777" s="85"/>
      <c r="BP777" s="85"/>
      <c r="BQ777" s="85"/>
      <c r="BR777" s="84"/>
      <c r="BS777" s="85"/>
      <c r="BT777" s="85"/>
      <c r="BU777" s="198"/>
      <c r="BV777" s="90"/>
      <c r="BW777" s="198"/>
      <c r="BX777" s="90"/>
      <c r="BY777" s="198"/>
      <c r="BZ777" s="90"/>
      <c r="CA777" s="91"/>
    </row>
    <row r="778" spans="1:79" ht="50.1" customHeight="1" outlineLevel="2" x14ac:dyDescent="0.3">
      <c r="A778" s="103" t="s">
        <v>677</v>
      </c>
      <c r="B778" s="102" t="s">
        <v>687</v>
      </c>
      <c r="C778" s="79" t="s">
        <v>37</v>
      </c>
      <c r="D778" s="81">
        <f t="shared" si="179"/>
        <v>2373.1913500000001</v>
      </c>
      <c r="E778" s="82">
        <f t="shared" si="180"/>
        <v>1267.81007</v>
      </c>
      <c r="F778" s="83">
        <f t="shared" si="168"/>
        <v>1105.3812800000001</v>
      </c>
      <c r="G778" s="84"/>
      <c r="H778" s="85"/>
      <c r="I778" s="85"/>
      <c r="J778" s="84"/>
      <c r="K778" s="85"/>
      <c r="L778" s="85"/>
      <c r="M778" s="85"/>
      <c r="N778" s="85"/>
      <c r="O778" s="82"/>
      <c r="P778" s="83"/>
      <c r="Q778" s="83"/>
      <c r="R778" s="83"/>
      <c r="S778" s="82"/>
      <c r="T778" s="83"/>
      <c r="U778" s="83"/>
      <c r="V778" s="84">
        <v>30.153500000000001</v>
      </c>
      <c r="W778" s="85">
        <v>52.65</v>
      </c>
      <c r="X778" s="87"/>
      <c r="Y778" s="83">
        <v>156</v>
      </c>
      <c r="Z778" s="84"/>
      <c r="AA778" s="85"/>
      <c r="AB778" s="84"/>
      <c r="AC778" s="85"/>
      <c r="AD778" s="89">
        <f t="shared" si="163"/>
        <v>95.674839999999989</v>
      </c>
      <c r="AE778" s="89">
        <v>34.385599999999997</v>
      </c>
      <c r="AF778" s="186">
        <v>61.289239999999999</v>
      </c>
      <c r="AG778" s="85"/>
      <c r="AH778" s="85"/>
      <c r="AI778" s="85"/>
      <c r="AJ778" s="84"/>
      <c r="AK778" s="85"/>
      <c r="AL778" s="84"/>
      <c r="AM778" s="88"/>
      <c r="AN778" s="84"/>
      <c r="AO778" s="85">
        <v>557.44000000000005</v>
      </c>
      <c r="AP778" s="84"/>
      <c r="AQ778" s="83"/>
      <c r="AR778" s="83"/>
      <c r="AS778" s="83"/>
      <c r="AT778" s="85"/>
      <c r="AU778" s="85"/>
      <c r="AV778" s="85"/>
      <c r="AW778" s="88"/>
      <c r="AX778" s="84"/>
      <c r="AY778" s="85"/>
      <c r="AZ778" s="84">
        <v>269.01616999999999</v>
      </c>
      <c r="BA778" s="85">
        <v>243.61644000000001</v>
      </c>
      <c r="BB778" s="88"/>
      <c r="BC778" s="85"/>
      <c r="BD778" s="84"/>
      <c r="BE778" s="88"/>
      <c r="BF778" s="85"/>
      <c r="BG778" s="85"/>
      <c r="BH778" s="85"/>
      <c r="BI778" s="85"/>
      <c r="BJ778" s="85"/>
      <c r="BK778" s="85"/>
      <c r="BL778" s="85"/>
      <c r="BM778" s="85"/>
      <c r="BN778" s="85"/>
      <c r="BO778" s="85"/>
      <c r="BP778" s="85"/>
      <c r="BQ778" s="85"/>
      <c r="BR778" s="84">
        <v>968.6404</v>
      </c>
      <c r="BS778" s="85"/>
      <c r="BT778" s="85"/>
      <c r="BU778" s="198"/>
      <c r="BV778" s="90"/>
      <c r="BW778" s="198"/>
      <c r="BX778" s="90"/>
      <c r="BY778" s="198"/>
      <c r="BZ778" s="90"/>
      <c r="CA778" s="91"/>
    </row>
    <row r="779" spans="1:79" ht="50.1" customHeight="1" outlineLevel="2" x14ac:dyDescent="0.3">
      <c r="A779" s="103" t="s">
        <v>677</v>
      </c>
      <c r="B779" s="102" t="s">
        <v>688</v>
      </c>
      <c r="C779" s="79" t="s">
        <v>55</v>
      </c>
      <c r="D779" s="81">
        <f t="shared" si="179"/>
        <v>35.01885</v>
      </c>
      <c r="E779" s="82">
        <f t="shared" si="180"/>
        <v>35.01885</v>
      </c>
      <c r="F779" s="83">
        <f t="shared" si="168"/>
        <v>0</v>
      </c>
      <c r="G779" s="84"/>
      <c r="H779" s="85"/>
      <c r="I779" s="85"/>
      <c r="J779" s="84"/>
      <c r="K779" s="85"/>
      <c r="L779" s="85"/>
      <c r="M779" s="85"/>
      <c r="N779" s="85"/>
      <c r="O779" s="82"/>
      <c r="P779" s="83"/>
      <c r="Q779" s="83"/>
      <c r="R779" s="83"/>
      <c r="S779" s="82"/>
      <c r="T779" s="83"/>
      <c r="U779" s="83"/>
      <c r="V779" s="84"/>
      <c r="W779" s="85"/>
      <c r="X779" s="87"/>
      <c r="Y779" s="83"/>
      <c r="Z779" s="84"/>
      <c r="AA779" s="85"/>
      <c r="AB779" s="84"/>
      <c r="AC779" s="85"/>
      <c r="AD779" s="89">
        <f t="shared" si="163"/>
        <v>0</v>
      </c>
      <c r="AE779" s="89"/>
      <c r="AF779" s="186"/>
      <c r="AG779" s="85"/>
      <c r="AH779" s="85"/>
      <c r="AI779" s="85"/>
      <c r="AJ779" s="84"/>
      <c r="AK779" s="85"/>
      <c r="AL779" s="84"/>
      <c r="AM779" s="88"/>
      <c r="AN779" s="84"/>
      <c r="AO779" s="85"/>
      <c r="AP779" s="84"/>
      <c r="AQ779" s="83"/>
      <c r="AR779" s="83"/>
      <c r="AS779" s="83"/>
      <c r="AT779" s="85"/>
      <c r="AU779" s="85"/>
      <c r="AV779" s="85"/>
      <c r="AW779" s="88"/>
      <c r="AX779" s="84"/>
      <c r="AY779" s="85"/>
      <c r="AZ779" s="84"/>
      <c r="BA779" s="85"/>
      <c r="BB779" s="88"/>
      <c r="BC779" s="85"/>
      <c r="BD779" s="84"/>
      <c r="BE779" s="88"/>
      <c r="BF779" s="85"/>
      <c r="BG779" s="85"/>
      <c r="BH779" s="85"/>
      <c r="BI779" s="85"/>
      <c r="BJ779" s="85"/>
      <c r="BK779" s="85"/>
      <c r="BL779" s="85"/>
      <c r="BM779" s="85"/>
      <c r="BN779" s="85"/>
      <c r="BO779" s="85"/>
      <c r="BP779" s="85"/>
      <c r="BQ779" s="85"/>
      <c r="BR779" s="84">
        <v>35.01885</v>
      </c>
      <c r="BS779" s="85"/>
      <c r="BT779" s="85"/>
      <c r="BU779" s="198"/>
      <c r="BV779" s="90"/>
      <c r="BW779" s="198"/>
      <c r="BX779" s="90"/>
      <c r="BY779" s="198"/>
      <c r="BZ779" s="90"/>
      <c r="CA779" s="91"/>
    </row>
    <row r="780" spans="1:79" ht="50.1" customHeight="1" outlineLevel="2" x14ac:dyDescent="0.3">
      <c r="A780" s="103" t="s">
        <v>677</v>
      </c>
      <c r="B780" s="102" t="s">
        <v>689</v>
      </c>
      <c r="C780" s="79" t="s">
        <v>55</v>
      </c>
      <c r="D780" s="81">
        <f t="shared" si="179"/>
        <v>35.269480000000001</v>
      </c>
      <c r="E780" s="82">
        <f t="shared" si="180"/>
        <v>14.57901</v>
      </c>
      <c r="F780" s="83">
        <f t="shared" si="168"/>
        <v>20.690470000000001</v>
      </c>
      <c r="G780" s="84"/>
      <c r="H780" s="85"/>
      <c r="I780" s="85"/>
      <c r="J780" s="84"/>
      <c r="K780" s="85"/>
      <c r="L780" s="85"/>
      <c r="M780" s="85"/>
      <c r="N780" s="85"/>
      <c r="O780" s="82"/>
      <c r="P780" s="83"/>
      <c r="Q780" s="83"/>
      <c r="R780" s="83"/>
      <c r="S780" s="82"/>
      <c r="T780" s="83"/>
      <c r="U780" s="83"/>
      <c r="V780" s="84"/>
      <c r="W780" s="85"/>
      <c r="X780" s="87"/>
      <c r="Y780" s="91">
        <v>7.4880000000000004</v>
      </c>
      <c r="Z780" s="84"/>
      <c r="AA780" s="85"/>
      <c r="AB780" s="84"/>
      <c r="AC780" s="85"/>
      <c r="AD780" s="89">
        <f t="shared" si="163"/>
        <v>0</v>
      </c>
      <c r="AE780" s="89"/>
      <c r="AF780" s="186"/>
      <c r="AG780" s="85"/>
      <c r="AH780" s="85"/>
      <c r="AI780" s="85"/>
      <c r="AJ780" s="84"/>
      <c r="AK780" s="85"/>
      <c r="AL780" s="84"/>
      <c r="AM780" s="88"/>
      <c r="AN780" s="84"/>
      <c r="AO780" s="85"/>
      <c r="AP780" s="84"/>
      <c r="AQ780" s="83"/>
      <c r="AR780" s="83"/>
      <c r="AS780" s="83"/>
      <c r="AT780" s="85"/>
      <c r="AU780" s="85"/>
      <c r="AV780" s="85"/>
      <c r="AW780" s="88"/>
      <c r="AX780" s="84"/>
      <c r="AY780" s="85"/>
      <c r="AZ780" s="84">
        <v>14.57901</v>
      </c>
      <c r="BA780" s="85">
        <v>13.20247</v>
      </c>
      <c r="BB780" s="88"/>
      <c r="BC780" s="85"/>
      <c r="BD780" s="84"/>
      <c r="BE780" s="88"/>
      <c r="BF780" s="85"/>
      <c r="BG780" s="85"/>
      <c r="BH780" s="85"/>
      <c r="BI780" s="85"/>
      <c r="BJ780" s="85"/>
      <c r="BK780" s="85"/>
      <c r="BL780" s="85"/>
      <c r="BM780" s="85"/>
      <c r="BN780" s="85"/>
      <c r="BO780" s="85"/>
      <c r="BP780" s="85"/>
      <c r="BQ780" s="85"/>
      <c r="BR780" s="84"/>
      <c r="BS780" s="85"/>
      <c r="BT780" s="85"/>
      <c r="BU780" s="198"/>
      <c r="BV780" s="90"/>
      <c r="BW780" s="198"/>
      <c r="BX780" s="90"/>
      <c r="BY780" s="198"/>
      <c r="BZ780" s="90"/>
      <c r="CA780" s="91"/>
    </row>
    <row r="781" spans="1:79" ht="50.1" customHeight="1" outlineLevel="2" x14ac:dyDescent="0.3">
      <c r="A781" s="103" t="s">
        <v>677</v>
      </c>
      <c r="B781" s="102" t="s">
        <v>690</v>
      </c>
      <c r="C781" s="79" t="s">
        <v>55</v>
      </c>
      <c r="D781" s="81">
        <f t="shared" si="179"/>
        <v>459.01132000000001</v>
      </c>
      <c r="E781" s="82">
        <f t="shared" si="180"/>
        <v>179.53030999999999</v>
      </c>
      <c r="F781" s="83">
        <f t="shared" si="168"/>
        <v>279.48101000000003</v>
      </c>
      <c r="G781" s="84"/>
      <c r="H781" s="85"/>
      <c r="I781" s="85"/>
      <c r="J781" s="84"/>
      <c r="K781" s="85"/>
      <c r="L781" s="85">
        <v>170.81890000000001</v>
      </c>
      <c r="M781" s="85"/>
      <c r="N781" s="85"/>
      <c r="O781" s="82"/>
      <c r="P781" s="83"/>
      <c r="Q781" s="83"/>
      <c r="R781" s="83"/>
      <c r="S781" s="82"/>
      <c r="T781" s="83"/>
      <c r="U781" s="83"/>
      <c r="V781" s="84"/>
      <c r="W781" s="85"/>
      <c r="X781" s="87"/>
      <c r="Y781" s="83">
        <v>42.12</v>
      </c>
      <c r="Z781" s="84"/>
      <c r="AA781" s="85"/>
      <c r="AB781" s="84"/>
      <c r="AC781" s="85"/>
      <c r="AD781" s="89">
        <f t="shared" si="163"/>
        <v>0</v>
      </c>
      <c r="AE781" s="89"/>
      <c r="AF781" s="186"/>
      <c r="AG781" s="85"/>
      <c r="AH781" s="85"/>
      <c r="AI781" s="85"/>
      <c r="AJ781" s="84"/>
      <c r="AK781" s="85"/>
      <c r="AL781" s="84"/>
      <c r="AM781" s="88"/>
      <c r="AN781" s="84"/>
      <c r="AO781" s="85"/>
      <c r="AP781" s="84"/>
      <c r="AQ781" s="83"/>
      <c r="AR781" s="83"/>
      <c r="AS781" s="83"/>
      <c r="AT781" s="85"/>
      <c r="AU781" s="85"/>
      <c r="AV781" s="85"/>
      <c r="AW781" s="88"/>
      <c r="AX781" s="84"/>
      <c r="AY781" s="85"/>
      <c r="AZ781" s="84">
        <v>73.479990000000001</v>
      </c>
      <c r="BA781" s="85">
        <v>66.542109999999994</v>
      </c>
      <c r="BB781" s="88"/>
      <c r="BC781" s="85"/>
      <c r="BD781" s="84"/>
      <c r="BE781" s="88"/>
      <c r="BF781" s="85"/>
      <c r="BG781" s="85"/>
      <c r="BH781" s="85"/>
      <c r="BI781" s="85"/>
      <c r="BJ781" s="85"/>
      <c r="BK781" s="85"/>
      <c r="BL781" s="85"/>
      <c r="BM781" s="85"/>
      <c r="BN781" s="85"/>
      <c r="BO781" s="85"/>
      <c r="BP781" s="85"/>
      <c r="BQ781" s="85"/>
      <c r="BR781" s="84">
        <v>106.05032</v>
      </c>
      <c r="BS781" s="85"/>
      <c r="BT781" s="85"/>
      <c r="BU781" s="198"/>
      <c r="BV781" s="90"/>
      <c r="BW781" s="198"/>
      <c r="BX781" s="90"/>
      <c r="BY781" s="198"/>
      <c r="BZ781" s="90"/>
      <c r="CA781" s="91"/>
    </row>
    <row r="782" spans="1:79" ht="50.1" customHeight="1" outlineLevel="2" x14ac:dyDescent="0.3">
      <c r="A782" s="103" t="s">
        <v>677</v>
      </c>
      <c r="B782" s="102" t="s">
        <v>691</v>
      </c>
      <c r="C782" s="79" t="s">
        <v>55</v>
      </c>
      <c r="D782" s="81">
        <f t="shared" si="179"/>
        <v>852.32789000000002</v>
      </c>
      <c r="E782" s="82">
        <f t="shared" si="180"/>
        <v>719.43921999999998</v>
      </c>
      <c r="F782" s="83">
        <f t="shared" si="168"/>
        <v>132.88866999999999</v>
      </c>
      <c r="G782" s="84"/>
      <c r="H782" s="85"/>
      <c r="I782" s="85"/>
      <c r="J782" s="84">
        <v>165.18968000000001</v>
      </c>
      <c r="K782" s="85">
        <v>28.584720000000001</v>
      </c>
      <c r="L782" s="85"/>
      <c r="M782" s="85"/>
      <c r="N782" s="85"/>
      <c r="O782" s="82"/>
      <c r="P782" s="83"/>
      <c r="Q782" s="83"/>
      <c r="R782" s="83"/>
      <c r="S782" s="82"/>
      <c r="T782" s="83"/>
      <c r="U782" s="83"/>
      <c r="V782" s="84"/>
      <c r="W782" s="85"/>
      <c r="X782" s="87"/>
      <c r="Y782" s="83">
        <v>34.631999999999998</v>
      </c>
      <c r="Z782" s="84"/>
      <c r="AA782" s="85"/>
      <c r="AB782" s="84"/>
      <c r="AC782" s="85"/>
      <c r="AD782" s="89">
        <f t="shared" si="163"/>
        <v>0</v>
      </c>
      <c r="AE782" s="89"/>
      <c r="AF782" s="186"/>
      <c r="AG782" s="85"/>
      <c r="AH782" s="85"/>
      <c r="AI782" s="85"/>
      <c r="AJ782" s="84"/>
      <c r="AK782" s="85"/>
      <c r="AL782" s="84"/>
      <c r="AM782" s="88"/>
      <c r="AN782" s="84"/>
      <c r="AO782" s="85"/>
      <c r="AP782" s="84"/>
      <c r="AQ782" s="83"/>
      <c r="AR782" s="83"/>
      <c r="AS782" s="83"/>
      <c r="AT782" s="85"/>
      <c r="AU782" s="85"/>
      <c r="AV782" s="85"/>
      <c r="AW782" s="88"/>
      <c r="AX782" s="84"/>
      <c r="AY782" s="85"/>
      <c r="AZ782" s="84">
        <v>76.936189999999996</v>
      </c>
      <c r="BA782" s="85">
        <v>69.671949999999995</v>
      </c>
      <c r="BB782" s="88"/>
      <c r="BC782" s="85"/>
      <c r="BD782" s="84"/>
      <c r="BE782" s="88"/>
      <c r="BF782" s="85"/>
      <c r="BG782" s="85"/>
      <c r="BH782" s="85"/>
      <c r="BI782" s="85"/>
      <c r="BJ782" s="85"/>
      <c r="BK782" s="85"/>
      <c r="BL782" s="85"/>
      <c r="BM782" s="85"/>
      <c r="BN782" s="85"/>
      <c r="BO782" s="85"/>
      <c r="BP782" s="85"/>
      <c r="BQ782" s="85"/>
      <c r="BR782" s="84">
        <v>477.31335000000001</v>
      </c>
      <c r="BS782" s="85"/>
      <c r="BT782" s="85"/>
      <c r="BU782" s="198"/>
      <c r="BV782" s="90"/>
      <c r="BW782" s="198"/>
      <c r="BX782" s="90"/>
      <c r="BY782" s="198"/>
      <c r="BZ782" s="90"/>
      <c r="CA782" s="91"/>
    </row>
    <row r="783" spans="1:79" ht="50.1" customHeight="1" outlineLevel="2" x14ac:dyDescent="0.3">
      <c r="A783" s="106" t="s">
        <v>677</v>
      </c>
      <c r="B783" s="96" t="s">
        <v>692</v>
      </c>
      <c r="C783" s="79" t="s">
        <v>55</v>
      </c>
      <c r="D783" s="81">
        <f t="shared" si="179"/>
        <v>1796.8249099999998</v>
      </c>
      <c r="E783" s="82">
        <f t="shared" si="180"/>
        <v>1045.9769799999999</v>
      </c>
      <c r="F783" s="83">
        <f t="shared" ref="F783:F838" si="181">H783+I783+K783+L783+M783+N783+P783+Q783+R783+T783+U783+W783+Y783+AA783+AC783+AD783+AG783+AH783+AI783+AK783+AM783+AO783+AQ783+AR783+AS783+AT783+AU783+AV783+AW783+AY783+BA783+BB783+BC783+BE783+BF783+BG783+BH783+BI783+BJ783+BK783+BL783+BO783+BP783+BQ783+BS783+BT783+BU783+BW783+BY783+CA783+BM783+BN783</f>
        <v>750.84792999999991</v>
      </c>
      <c r="G783" s="84"/>
      <c r="H783" s="85"/>
      <c r="I783" s="85"/>
      <c r="J783" s="84">
        <f>233.19348+110.40404</f>
        <v>343.59751999999997</v>
      </c>
      <c r="K783" s="85">
        <f>78.03956+36.67107</f>
        <v>114.71062999999999</v>
      </c>
      <c r="L783" s="85"/>
      <c r="M783" s="85"/>
      <c r="N783" s="85"/>
      <c r="O783" s="82">
        <f>128.551+94.09496</f>
        <v>222.64596</v>
      </c>
      <c r="P783" s="83">
        <f>8.83748+5.66249</f>
        <v>14.499969999999999</v>
      </c>
      <c r="Q783" s="83"/>
      <c r="R783" s="83"/>
      <c r="S783" s="82"/>
      <c r="T783" s="83"/>
      <c r="U783" s="83"/>
      <c r="V783" s="84"/>
      <c r="W783" s="85"/>
      <c r="X783" s="87"/>
      <c r="Y783" s="83">
        <v>187.2</v>
      </c>
      <c r="Z783" s="84"/>
      <c r="AA783" s="85"/>
      <c r="AB783" s="84"/>
      <c r="AC783" s="85"/>
      <c r="AD783" s="89">
        <f t="shared" ref="AD783:AD842" si="182">AE783+AF783</f>
        <v>0</v>
      </c>
      <c r="AE783" s="89"/>
      <c r="AF783" s="186"/>
      <c r="AG783" s="85"/>
      <c r="AH783" s="85"/>
      <c r="AI783" s="85"/>
      <c r="AJ783" s="84"/>
      <c r="AK783" s="85"/>
      <c r="AL783" s="84"/>
      <c r="AM783" s="88"/>
      <c r="AN783" s="84"/>
      <c r="AO783" s="85"/>
      <c r="AP783" s="84"/>
      <c r="AQ783" s="83"/>
      <c r="AR783" s="83"/>
      <c r="AS783" s="83"/>
      <c r="AT783" s="85"/>
      <c r="AU783" s="85"/>
      <c r="AV783" s="85"/>
      <c r="AW783" s="88"/>
      <c r="AX783" s="84"/>
      <c r="AY783" s="85"/>
      <c r="AZ783" s="84">
        <v>479.73349999999999</v>
      </c>
      <c r="BA783" s="85">
        <v>434.43732999999997</v>
      </c>
      <c r="BB783" s="88"/>
      <c r="BC783" s="85"/>
      <c r="BD783" s="84"/>
      <c r="BE783" s="88"/>
      <c r="BF783" s="85"/>
      <c r="BG783" s="85"/>
      <c r="BH783" s="85"/>
      <c r="BI783" s="85"/>
      <c r="BJ783" s="85"/>
      <c r="BK783" s="85"/>
      <c r="BL783" s="85"/>
      <c r="BM783" s="85"/>
      <c r="BN783" s="85"/>
      <c r="BO783" s="85"/>
      <c r="BP783" s="85"/>
      <c r="BQ783" s="85"/>
      <c r="BR783" s="84"/>
      <c r="BS783" s="85"/>
      <c r="BT783" s="85"/>
      <c r="BU783" s="198"/>
      <c r="BV783" s="90"/>
      <c r="BW783" s="198"/>
      <c r="BX783" s="90"/>
      <c r="BY783" s="198"/>
      <c r="BZ783" s="90"/>
      <c r="CA783" s="91"/>
    </row>
    <row r="784" spans="1:79" ht="50.1" customHeight="1" outlineLevel="2" x14ac:dyDescent="0.3">
      <c r="A784" s="106" t="s">
        <v>677</v>
      </c>
      <c r="B784" s="96" t="s">
        <v>693</v>
      </c>
      <c r="C784" s="79" t="s">
        <v>55</v>
      </c>
      <c r="D784" s="81">
        <f t="shared" si="179"/>
        <v>110.06459999999998</v>
      </c>
      <c r="E784" s="82">
        <f t="shared" si="180"/>
        <v>46.789189999999998</v>
      </c>
      <c r="F784" s="83">
        <f t="shared" si="181"/>
        <v>63.275409999999994</v>
      </c>
      <c r="G784" s="84"/>
      <c r="H784" s="85"/>
      <c r="I784" s="85"/>
      <c r="J784" s="84"/>
      <c r="K784" s="85"/>
      <c r="L784" s="85"/>
      <c r="M784" s="85"/>
      <c r="N784" s="85"/>
      <c r="O784" s="82"/>
      <c r="P784" s="83"/>
      <c r="Q784" s="83"/>
      <c r="R784" s="83"/>
      <c r="S784" s="82"/>
      <c r="T784" s="83"/>
      <c r="U784" s="83"/>
      <c r="V784" s="84"/>
      <c r="W784" s="85"/>
      <c r="X784" s="87"/>
      <c r="Y784" s="83">
        <v>20.904</v>
      </c>
      <c r="Z784" s="84"/>
      <c r="AA784" s="85"/>
      <c r="AB784" s="84"/>
      <c r="AC784" s="85"/>
      <c r="AD784" s="89">
        <f t="shared" si="182"/>
        <v>0</v>
      </c>
      <c r="AE784" s="89"/>
      <c r="AF784" s="186"/>
      <c r="AG784" s="85"/>
      <c r="AH784" s="85"/>
      <c r="AI784" s="85"/>
      <c r="AJ784" s="84"/>
      <c r="AK784" s="85"/>
      <c r="AL784" s="84"/>
      <c r="AM784" s="88"/>
      <c r="AN784" s="84"/>
      <c r="AO784" s="85"/>
      <c r="AP784" s="84"/>
      <c r="AQ784" s="83"/>
      <c r="AR784" s="83"/>
      <c r="AS784" s="83"/>
      <c r="AT784" s="85"/>
      <c r="AU784" s="85"/>
      <c r="AV784" s="85"/>
      <c r="AW784" s="88"/>
      <c r="AX784" s="84"/>
      <c r="AY784" s="85"/>
      <c r="AZ784" s="84">
        <v>46.789189999999998</v>
      </c>
      <c r="BA784" s="85">
        <v>42.371409999999997</v>
      </c>
      <c r="BB784" s="88"/>
      <c r="BC784" s="85"/>
      <c r="BD784" s="84"/>
      <c r="BE784" s="88"/>
      <c r="BF784" s="85"/>
      <c r="BG784" s="85"/>
      <c r="BH784" s="85"/>
      <c r="BI784" s="85"/>
      <c r="BJ784" s="85"/>
      <c r="BK784" s="85"/>
      <c r="BL784" s="85"/>
      <c r="BM784" s="85"/>
      <c r="BN784" s="85"/>
      <c r="BO784" s="85"/>
      <c r="BP784" s="85"/>
      <c r="BQ784" s="85"/>
      <c r="BR784" s="84"/>
      <c r="BS784" s="85"/>
      <c r="BT784" s="85"/>
      <c r="BU784" s="198"/>
      <c r="BV784" s="90"/>
      <c r="BW784" s="198"/>
      <c r="BX784" s="90"/>
      <c r="BY784" s="198"/>
      <c r="BZ784" s="90"/>
      <c r="CA784" s="91"/>
    </row>
    <row r="785" spans="1:79" ht="50.1" customHeight="1" outlineLevel="2" x14ac:dyDescent="0.3">
      <c r="A785" s="106" t="s">
        <v>677</v>
      </c>
      <c r="B785" s="96" t="s">
        <v>694</v>
      </c>
      <c r="C785" s="79" t="s">
        <v>55</v>
      </c>
      <c r="D785" s="81">
        <f t="shared" si="179"/>
        <v>382.72</v>
      </c>
      <c r="E785" s="82">
        <f t="shared" si="180"/>
        <v>0</v>
      </c>
      <c r="F785" s="83">
        <f t="shared" si="181"/>
        <v>382.72</v>
      </c>
      <c r="G785" s="84"/>
      <c r="H785" s="85"/>
      <c r="I785" s="85"/>
      <c r="J785" s="84"/>
      <c r="K785" s="85"/>
      <c r="L785" s="85"/>
      <c r="M785" s="85"/>
      <c r="N785" s="85"/>
      <c r="O785" s="82"/>
      <c r="P785" s="83"/>
      <c r="Q785" s="83"/>
      <c r="R785" s="83"/>
      <c r="S785" s="82"/>
      <c r="T785" s="83"/>
      <c r="U785" s="83"/>
      <c r="V785" s="84"/>
      <c r="W785" s="85"/>
      <c r="X785" s="87"/>
      <c r="Y785" s="83"/>
      <c r="Z785" s="84"/>
      <c r="AA785" s="85"/>
      <c r="AB785" s="84"/>
      <c r="AC785" s="85"/>
      <c r="AD785" s="89">
        <f t="shared" si="182"/>
        <v>0</v>
      </c>
      <c r="AE785" s="89"/>
      <c r="AF785" s="186"/>
      <c r="AG785" s="85"/>
      <c r="AH785" s="85"/>
      <c r="AI785" s="85"/>
      <c r="AJ785" s="84"/>
      <c r="AK785" s="85"/>
      <c r="AL785" s="84"/>
      <c r="AM785" s="88"/>
      <c r="AN785" s="84"/>
      <c r="AO785" s="85">
        <v>382.72</v>
      </c>
      <c r="AP785" s="84"/>
      <c r="AQ785" s="83"/>
      <c r="AR785" s="83"/>
      <c r="AS785" s="83"/>
      <c r="AT785" s="85"/>
      <c r="AU785" s="85"/>
      <c r="AV785" s="85"/>
      <c r="AW785" s="88"/>
      <c r="AX785" s="84"/>
      <c r="AY785" s="85"/>
      <c r="AZ785" s="84"/>
      <c r="BA785" s="85"/>
      <c r="BB785" s="88"/>
      <c r="BC785" s="85"/>
      <c r="BD785" s="84"/>
      <c r="BE785" s="88"/>
      <c r="BF785" s="85"/>
      <c r="BG785" s="85"/>
      <c r="BH785" s="85"/>
      <c r="BI785" s="85"/>
      <c r="BJ785" s="85"/>
      <c r="BK785" s="85"/>
      <c r="BL785" s="85"/>
      <c r="BM785" s="85"/>
      <c r="BN785" s="85"/>
      <c r="BO785" s="85"/>
      <c r="BP785" s="85"/>
      <c r="BQ785" s="85"/>
      <c r="BR785" s="84"/>
      <c r="BS785" s="85"/>
      <c r="BT785" s="85"/>
      <c r="BU785" s="198"/>
      <c r="BV785" s="90"/>
      <c r="BW785" s="198"/>
      <c r="BX785" s="90"/>
      <c r="BY785" s="198"/>
      <c r="BZ785" s="90"/>
      <c r="CA785" s="91"/>
    </row>
    <row r="786" spans="1:79" ht="50.1" customHeight="1" outlineLevel="2" x14ac:dyDescent="0.3">
      <c r="A786" s="103" t="s">
        <v>677</v>
      </c>
      <c r="B786" s="102" t="s">
        <v>695</v>
      </c>
      <c r="C786" s="79" t="s">
        <v>55</v>
      </c>
      <c r="D786" s="81">
        <f t="shared" si="179"/>
        <v>225.34492</v>
      </c>
      <c r="E786" s="82">
        <f t="shared" si="180"/>
        <v>142.15197000000001</v>
      </c>
      <c r="F786" s="83">
        <f t="shared" si="181"/>
        <v>83.192949999999996</v>
      </c>
      <c r="G786" s="84"/>
      <c r="H786" s="85"/>
      <c r="I786" s="85"/>
      <c r="J786" s="84">
        <v>51.753590000000003</v>
      </c>
      <c r="K786" s="85">
        <v>10.386620000000001</v>
      </c>
      <c r="L786" s="85"/>
      <c r="M786" s="85"/>
      <c r="N786" s="85"/>
      <c r="O786" s="82">
        <f>21.64681+17.20685</f>
        <v>38.853659999999998</v>
      </c>
      <c r="P786" s="83">
        <f>1.54345+1.18497</f>
        <v>2.7284199999999998</v>
      </c>
      <c r="Q786" s="83"/>
      <c r="R786" s="83"/>
      <c r="S786" s="82"/>
      <c r="T786" s="83"/>
      <c r="U786" s="83"/>
      <c r="V786" s="84"/>
      <c r="W786" s="85"/>
      <c r="X786" s="87"/>
      <c r="Y786" s="83">
        <v>23.4</v>
      </c>
      <c r="Z786" s="84"/>
      <c r="AA786" s="85"/>
      <c r="AB786" s="84"/>
      <c r="AC786" s="85"/>
      <c r="AD786" s="89">
        <f t="shared" si="182"/>
        <v>0</v>
      </c>
      <c r="AE786" s="89"/>
      <c r="AF786" s="186"/>
      <c r="AG786" s="85"/>
      <c r="AH786" s="85"/>
      <c r="AI786" s="85"/>
      <c r="AJ786" s="84"/>
      <c r="AK786" s="85"/>
      <c r="AL786" s="84"/>
      <c r="AM786" s="88"/>
      <c r="AN786" s="84"/>
      <c r="AO786" s="85"/>
      <c r="AP786" s="84"/>
      <c r="AQ786" s="83"/>
      <c r="AR786" s="83"/>
      <c r="AS786" s="83"/>
      <c r="AT786" s="85"/>
      <c r="AU786" s="85"/>
      <c r="AV786" s="85"/>
      <c r="AW786" s="88"/>
      <c r="AX786" s="84"/>
      <c r="AY786" s="85"/>
      <c r="AZ786" s="84">
        <v>51.544719999999998</v>
      </c>
      <c r="BA786" s="85">
        <v>46.677909999999997</v>
      </c>
      <c r="BB786" s="88"/>
      <c r="BC786" s="85"/>
      <c r="BD786" s="84"/>
      <c r="BE786" s="88"/>
      <c r="BF786" s="85"/>
      <c r="BG786" s="85"/>
      <c r="BH786" s="85"/>
      <c r="BI786" s="85"/>
      <c r="BJ786" s="85"/>
      <c r="BK786" s="85"/>
      <c r="BL786" s="85"/>
      <c r="BM786" s="85"/>
      <c r="BN786" s="85"/>
      <c r="BO786" s="85"/>
      <c r="BP786" s="85"/>
      <c r="BQ786" s="85"/>
      <c r="BR786" s="84"/>
      <c r="BS786" s="85"/>
      <c r="BT786" s="85"/>
      <c r="BU786" s="198"/>
      <c r="BV786" s="90"/>
      <c r="BW786" s="198"/>
      <c r="BX786" s="90"/>
      <c r="BY786" s="198"/>
      <c r="BZ786" s="90"/>
      <c r="CA786" s="91"/>
    </row>
    <row r="787" spans="1:79" ht="50.1" customHeight="1" outlineLevel="2" x14ac:dyDescent="0.3">
      <c r="A787" s="103" t="s">
        <v>677</v>
      </c>
      <c r="B787" s="102" t="s">
        <v>696</v>
      </c>
      <c r="C787" s="79" t="s">
        <v>55</v>
      </c>
      <c r="D787" s="81">
        <f t="shared" si="179"/>
        <v>115.30564000000001</v>
      </c>
      <c r="E787" s="82">
        <f t="shared" si="180"/>
        <v>68.010590000000008</v>
      </c>
      <c r="F787" s="83">
        <f t="shared" si="181"/>
        <v>47.295049999999996</v>
      </c>
      <c r="G787" s="84"/>
      <c r="H787" s="85"/>
      <c r="I787" s="85"/>
      <c r="J787" s="84"/>
      <c r="K787" s="85"/>
      <c r="L787" s="85"/>
      <c r="M787" s="85"/>
      <c r="N787" s="85"/>
      <c r="O787" s="82"/>
      <c r="P787" s="83"/>
      <c r="Q787" s="83"/>
      <c r="R787" s="83"/>
      <c r="S787" s="82"/>
      <c r="T787" s="83"/>
      <c r="U787" s="83"/>
      <c r="V787" s="84"/>
      <c r="W787" s="85"/>
      <c r="X787" s="87"/>
      <c r="Y787" s="83">
        <v>15.6</v>
      </c>
      <c r="Z787" s="84"/>
      <c r="AA787" s="85"/>
      <c r="AB787" s="84"/>
      <c r="AC787" s="85"/>
      <c r="AD787" s="89">
        <f t="shared" si="182"/>
        <v>0</v>
      </c>
      <c r="AE787" s="89"/>
      <c r="AF787" s="186"/>
      <c r="AG787" s="85"/>
      <c r="AH787" s="85"/>
      <c r="AI787" s="85"/>
      <c r="AJ787" s="84"/>
      <c r="AK787" s="85"/>
      <c r="AL787" s="84"/>
      <c r="AM787" s="88"/>
      <c r="AN787" s="84"/>
      <c r="AO787" s="85"/>
      <c r="AP787" s="84"/>
      <c r="AQ787" s="83"/>
      <c r="AR787" s="83"/>
      <c r="AS787" s="83"/>
      <c r="AT787" s="85"/>
      <c r="AU787" s="85"/>
      <c r="AV787" s="85"/>
      <c r="AW787" s="88"/>
      <c r="AX787" s="84"/>
      <c r="AY787" s="85"/>
      <c r="AZ787" s="84">
        <v>34.999659999999999</v>
      </c>
      <c r="BA787" s="85">
        <v>31.695049999999998</v>
      </c>
      <c r="BB787" s="88"/>
      <c r="BC787" s="85"/>
      <c r="BD787" s="84"/>
      <c r="BE787" s="88"/>
      <c r="BF787" s="85"/>
      <c r="BG787" s="85"/>
      <c r="BH787" s="85"/>
      <c r="BI787" s="85"/>
      <c r="BJ787" s="85"/>
      <c r="BK787" s="85"/>
      <c r="BL787" s="85"/>
      <c r="BM787" s="85"/>
      <c r="BN787" s="85"/>
      <c r="BO787" s="85"/>
      <c r="BP787" s="85"/>
      <c r="BQ787" s="85"/>
      <c r="BR787" s="84">
        <v>33.010930000000002</v>
      </c>
      <c r="BS787" s="85"/>
      <c r="BT787" s="85"/>
      <c r="BU787" s="198"/>
      <c r="BV787" s="90"/>
      <c r="BW787" s="198"/>
      <c r="BX787" s="90"/>
      <c r="BY787" s="198"/>
      <c r="BZ787" s="90"/>
      <c r="CA787" s="91"/>
    </row>
    <row r="788" spans="1:79" ht="50.1" customHeight="1" outlineLevel="2" x14ac:dyDescent="0.3">
      <c r="A788" s="106" t="s">
        <v>677</v>
      </c>
      <c r="B788" s="96" t="s">
        <v>697</v>
      </c>
      <c r="C788" s="79" t="s">
        <v>55</v>
      </c>
      <c r="D788" s="81">
        <f t="shared" si="179"/>
        <v>374.08876999999995</v>
      </c>
      <c r="E788" s="82">
        <f t="shared" si="180"/>
        <v>164.94099999999997</v>
      </c>
      <c r="F788" s="83">
        <f t="shared" si="181"/>
        <v>209.14777000000001</v>
      </c>
      <c r="G788" s="84"/>
      <c r="H788" s="85"/>
      <c r="I788" s="85"/>
      <c r="J788" s="84">
        <v>103.36523</v>
      </c>
      <c r="K788" s="85">
        <v>35.083950000000002</v>
      </c>
      <c r="L788" s="85"/>
      <c r="M788" s="85"/>
      <c r="N788" s="85"/>
      <c r="O788" s="82">
        <v>1.27738</v>
      </c>
      <c r="P788" s="83">
        <v>0.15676000000000001</v>
      </c>
      <c r="Q788" s="83"/>
      <c r="R788" s="83"/>
      <c r="S788" s="82"/>
      <c r="T788" s="83"/>
      <c r="U788" s="83"/>
      <c r="V788" s="84"/>
      <c r="W788" s="85"/>
      <c r="X788" s="87"/>
      <c r="Y788" s="83">
        <v>26.832000000000001</v>
      </c>
      <c r="Z788" s="84"/>
      <c r="AA788" s="85"/>
      <c r="AB788" s="84"/>
      <c r="AC788" s="85"/>
      <c r="AD788" s="89">
        <f t="shared" si="182"/>
        <v>0</v>
      </c>
      <c r="AE788" s="89"/>
      <c r="AF788" s="186"/>
      <c r="AG788" s="85"/>
      <c r="AH788" s="85"/>
      <c r="AI788" s="85"/>
      <c r="AJ788" s="84"/>
      <c r="AK788" s="85"/>
      <c r="AL788" s="84"/>
      <c r="AM788" s="88"/>
      <c r="AN788" s="84"/>
      <c r="AO788" s="85"/>
      <c r="AP788" s="84"/>
      <c r="AQ788" s="83"/>
      <c r="AR788" s="83"/>
      <c r="AS788" s="83"/>
      <c r="AT788" s="85"/>
      <c r="AU788" s="85"/>
      <c r="AV788" s="85"/>
      <c r="AW788" s="88"/>
      <c r="AX788" s="84"/>
      <c r="AY788" s="85"/>
      <c r="AZ788" s="84">
        <v>60.298389999999998</v>
      </c>
      <c r="BA788" s="85">
        <v>54.605060000000002</v>
      </c>
      <c r="BB788" s="88"/>
      <c r="BC788" s="85"/>
      <c r="BD788" s="84"/>
      <c r="BE788" s="88"/>
      <c r="BF788" s="85"/>
      <c r="BG788" s="85"/>
      <c r="BH788" s="85"/>
      <c r="BI788" s="85"/>
      <c r="BJ788" s="85"/>
      <c r="BK788" s="85">
        <v>92.47</v>
      </c>
      <c r="BL788" s="85"/>
      <c r="BM788" s="85"/>
      <c r="BN788" s="85"/>
      <c r="BO788" s="85"/>
      <c r="BP788" s="85"/>
      <c r="BQ788" s="85"/>
      <c r="BR788" s="84"/>
      <c r="BS788" s="85"/>
      <c r="BT788" s="85"/>
      <c r="BU788" s="198"/>
      <c r="BV788" s="90"/>
      <c r="BW788" s="198"/>
      <c r="BX788" s="90"/>
      <c r="BY788" s="198"/>
      <c r="BZ788" s="90"/>
      <c r="CA788" s="91"/>
    </row>
    <row r="789" spans="1:79" ht="50.1" customHeight="1" outlineLevel="2" x14ac:dyDescent="0.3">
      <c r="A789" s="103" t="s">
        <v>677</v>
      </c>
      <c r="B789" s="102" t="s">
        <v>1118</v>
      </c>
      <c r="C789" s="79" t="s">
        <v>55</v>
      </c>
      <c r="D789" s="81">
        <f t="shared" si="179"/>
        <v>1279.32392</v>
      </c>
      <c r="E789" s="82">
        <f t="shared" si="180"/>
        <v>979.76193000000001</v>
      </c>
      <c r="F789" s="83">
        <f t="shared" si="181"/>
        <v>299.56198999999998</v>
      </c>
      <c r="G789" s="84"/>
      <c r="H789" s="85"/>
      <c r="I789" s="85"/>
      <c r="J789" s="84"/>
      <c r="K789" s="85"/>
      <c r="L789" s="85"/>
      <c r="M789" s="85"/>
      <c r="N789" s="85"/>
      <c r="O789" s="82"/>
      <c r="P789" s="83"/>
      <c r="Q789" s="83"/>
      <c r="R789" s="83"/>
      <c r="S789" s="82"/>
      <c r="T789" s="83"/>
      <c r="U789" s="83"/>
      <c r="V789" s="84"/>
      <c r="W789" s="85"/>
      <c r="X789" s="87"/>
      <c r="Y789" s="234">
        <v>90.48</v>
      </c>
      <c r="Z789" s="84"/>
      <c r="AA789" s="85"/>
      <c r="AB789" s="84"/>
      <c r="AC789" s="85"/>
      <c r="AD789" s="89">
        <f t="shared" si="182"/>
        <v>0</v>
      </c>
      <c r="AE789" s="89"/>
      <c r="AF789" s="186"/>
      <c r="AG789" s="85"/>
      <c r="AH789" s="85"/>
      <c r="AI789" s="85"/>
      <c r="AJ789" s="84"/>
      <c r="AK789" s="85"/>
      <c r="AL789" s="84"/>
      <c r="AM789" s="88"/>
      <c r="AN789" s="84"/>
      <c r="AO789" s="85"/>
      <c r="AP789" s="84"/>
      <c r="AQ789" s="83"/>
      <c r="AR789" s="83"/>
      <c r="AS789" s="83"/>
      <c r="AT789" s="85"/>
      <c r="AU789" s="85"/>
      <c r="AV789" s="85"/>
      <c r="AW789" s="88"/>
      <c r="AX789" s="84"/>
      <c r="AY789" s="85"/>
      <c r="AZ789" s="84">
        <v>230.88175000000001</v>
      </c>
      <c r="BA789" s="85">
        <v>209.08198999999999</v>
      </c>
      <c r="BB789" s="88"/>
      <c r="BC789" s="85"/>
      <c r="BD789" s="84"/>
      <c r="BE789" s="88"/>
      <c r="BF789" s="85"/>
      <c r="BG789" s="85"/>
      <c r="BH789" s="85"/>
      <c r="BI789" s="85"/>
      <c r="BJ789" s="85"/>
      <c r="BK789" s="85"/>
      <c r="BL789" s="85"/>
      <c r="BM789" s="85"/>
      <c r="BN789" s="85"/>
      <c r="BO789" s="85"/>
      <c r="BP789" s="85"/>
      <c r="BQ789" s="85"/>
      <c r="BR789" s="84">
        <v>748.88018</v>
      </c>
      <c r="BS789" s="85"/>
      <c r="BT789" s="85"/>
      <c r="BU789" s="198"/>
      <c r="BV789" s="90"/>
      <c r="BW789" s="198"/>
      <c r="BX789" s="90"/>
      <c r="BY789" s="198"/>
      <c r="BZ789" s="90"/>
      <c r="CA789" s="91"/>
    </row>
    <row r="790" spans="1:79" ht="50.1" customHeight="1" outlineLevel="2" x14ac:dyDescent="0.3">
      <c r="A790" s="103" t="s">
        <v>677</v>
      </c>
      <c r="B790" s="102" t="s">
        <v>698</v>
      </c>
      <c r="C790" s="79" t="s">
        <v>55</v>
      </c>
      <c r="D790" s="81">
        <f t="shared" si="179"/>
        <v>257.92</v>
      </c>
      <c r="E790" s="82">
        <f t="shared" si="180"/>
        <v>0</v>
      </c>
      <c r="F790" s="83">
        <f t="shared" si="181"/>
        <v>257.92</v>
      </c>
      <c r="G790" s="84"/>
      <c r="H790" s="85"/>
      <c r="I790" s="85"/>
      <c r="J790" s="84"/>
      <c r="K790" s="85"/>
      <c r="L790" s="85"/>
      <c r="M790" s="85"/>
      <c r="N790" s="85"/>
      <c r="O790" s="82"/>
      <c r="P790" s="83"/>
      <c r="Q790" s="83"/>
      <c r="R790" s="83"/>
      <c r="S790" s="82"/>
      <c r="T790" s="83"/>
      <c r="U790" s="83"/>
      <c r="V790" s="84"/>
      <c r="W790" s="85"/>
      <c r="X790" s="87"/>
      <c r="Y790" s="83"/>
      <c r="Z790" s="84"/>
      <c r="AA790" s="85"/>
      <c r="AB790" s="84"/>
      <c r="AC790" s="85"/>
      <c r="AD790" s="89">
        <f t="shared" si="182"/>
        <v>0</v>
      </c>
      <c r="AE790" s="89"/>
      <c r="AF790" s="186"/>
      <c r="AG790" s="85"/>
      <c r="AH790" s="85"/>
      <c r="AI790" s="85"/>
      <c r="AJ790" s="84"/>
      <c r="AK790" s="85"/>
      <c r="AL790" s="84"/>
      <c r="AM790" s="88"/>
      <c r="AN790" s="84"/>
      <c r="AO790" s="85">
        <v>257.92</v>
      </c>
      <c r="AP790" s="84"/>
      <c r="AQ790" s="83"/>
      <c r="AR790" s="83"/>
      <c r="AS790" s="83"/>
      <c r="AT790" s="85"/>
      <c r="AU790" s="85"/>
      <c r="AV790" s="85"/>
      <c r="AW790" s="88"/>
      <c r="AX790" s="84"/>
      <c r="AY790" s="85"/>
      <c r="AZ790" s="84"/>
      <c r="BA790" s="85"/>
      <c r="BB790" s="88"/>
      <c r="BC790" s="85"/>
      <c r="BD790" s="84"/>
      <c r="BE790" s="88"/>
      <c r="BF790" s="85"/>
      <c r="BG790" s="85"/>
      <c r="BH790" s="85"/>
      <c r="BI790" s="85"/>
      <c r="BJ790" s="85"/>
      <c r="BK790" s="85"/>
      <c r="BL790" s="85"/>
      <c r="BM790" s="85"/>
      <c r="BN790" s="85"/>
      <c r="BO790" s="85"/>
      <c r="BP790" s="85"/>
      <c r="BQ790" s="85"/>
      <c r="BR790" s="84"/>
      <c r="BS790" s="85"/>
      <c r="BT790" s="85"/>
      <c r="BU790" s="198"/>
      <c r="BV790" s="90"/>
      <c r="BW790" s="198"/>
      <c r="BX790" s="90"/>
      <c r="BY790" s="198"/>
      <c r="BZ790" s="90"/>
      <c r="CA790" s="91"/>
    </row>
    <row r="791" spans="1:79" ht="50.1" customHeight="1" outlineLevel="2" x14ac:dyDescent="0.3">
      <c r="A791" s="103" t="s">
        <v>677</v>
      </c>
      <c r="B791" s="102" t="s">
        <v>699</v>
      </c>
      <c r="C791" s="79" t="s">
        <v>55</v>
      </c>
      <c r="D791" s="81">
        <f t="shared" si="179"/>
        <v>513.25471000000005</v>
      </c>
      <c r="E791" s="82">
        <f t="shared" si="180"/>
        <v>429.28263000000004</v>
      </c>
      <c r="F791" s="83">
        <f t="shared" si="181"/>
        <v>83.972080000000005</v>
      </c>
      <c r="G791" s="84"/>
      <c r="H791" s="85"/>
      <c r="I791" s="85"/>
      <c r="J791" s="84">
        <v>29.020669999999999</v>
      </c>
      <c r="K791" s="85">
        <v>5.20716</v>
      </c>
      <c r="L791" s="85"/>
      <c r="M791" s="85"/>
      <c r="N791" s="85"/>
      <c r="O791" s="82"/>
      <c r="P791" s="83"/>
      <c r="Q791" s="83"/>
      <c r="R791" s="83"/>
      <c r="S791" s="82"/>
      <c r="T791" s="83"/>
      <c r="U791" s="83"/>
      <c r="V791" s="84"/>
      <c r="W791" s="85"/>
      <c r="X791" s="87"/>
      <c r="Y791" s="83">
        <v>21.216000000000001</v>
      </c>
      <c r="Z791" s="84"/>
      <c r="AA791" s="85"/>
      <c r="AB791" s="84"/>
      <c r="AC791" s="85"/>
      <c r="AD791" s="89">
        <f t="shared" si="182"/>
        <v>4.8642200000000004</v>
      </c>
      <c r="AE791" s="89"/>
      <c r="AF791" s="186">
        <v>4.8642200000000004</v>
      </c>
      <c r="AG791" s="85"/>
      <c r="AH791" s="85"/>
      <c r="AI791" s="85"/>
      <c r="AJ791" s="84"/>
      <c r="AK791" s="85"/>
      <c r="AL791" s="84"/>
      <c r="AM791" s="88"/>
      <c r="AN791" s="84"/>
      <c r="AO791" s="85"/>
      <c r="AP791" s="84"/>
      <c r="AQ791" s="83"/>
      <c r="AR791" s="83"/>
      <c r="AS791" s="83"/>
      <c r="AT791" s="85"/>
      <c r="AU791" s="85"/>
      <c r="AV791" s="85"/>
      <c r="AW791" s="88"/>
      <c r="AX791" s="84"/>
      <c r="AY791" s="85"/>
      <c r="AZ791" s="84">
        <v>58.17783</v>
      </c>
      <c r="BA791" s="85">
        <v>52.684699999999999</v>
      </c>
      <c r="BB791" s="88"/>
      <c r="BC791" s="85"/>
      <c r="BD791" s="84"/>
      <c r="BE791" s="88"/>
      <c r="BF791" s="85"/>
      <c r="BG791" s="85"/>
      <c r="BH791" s="85"/>
      <c r="BI791" s="85"/>
      <c r="BJ791" s="85"/>
      <c r="BK791" s="85"/>
      <c r="BL791" s="85"/>
      <c r="BM791" s="85"/>
      <c r="BN791" s="85"/>
      <c r="BO791" s="85"/>
      <c r="BP791" s="85"/>
      <c r="BQ791" s="85"/>
      <c r="BR791" s="84">
        <v>342.08413000000002</v>
      </c>
      <c r="BS791" s="85"/>
      <c r="BT791" s="85"/>
      <c r="BU791" s="198"/>
      <c r="BV791" s="90"/>
      <c r="BW791" s="198"/>
      <c r="BX791" s="90"/>
      <c r="BY791" s="198"/>
      <c r="BZ791" s="90"/>
      <c r="CA791" s="91"/>
    </row>
    <row r="792" spans="1:79" ht="50.1" customHeight="1" outlineLevel="2" x14ac:dyDescent="0.3">
      <c r="A792" s="103" t="s">
        <v>677</v>
      </c>
      <c r="B792" s="102" t="s">
        <v>700</v>
      </c>
      <c r="C792" s="79" t="s">
        <v>55</v>
      </c>
      <c r="D792" s="81">
        <f t="shared" si="179"/>
        <v>288.60459000000003</v>
      </c>
      <c r="E792" s="82">
        <f t="shared" si="180"/>
        <v>153.40422000000001</v>
      </c>
      <c r="F792" s="83">
        <f t="shared" si="181"/>
        <v>135.20036999999999</v>
      </c>
      <c r="G792" s="84"/>
      <c r="H792" s="85"/>
      <c r="I792" s="85"/>
      <c r="J792" s="84">
        <f>2.71715+29.15889</f>
        <v>31.87604</v>
      </c>
      <c r="K792" s="85">
        <f>0.62369+5.36761</f>
        <v>5.9912999999999998</v>
      </c>
      <c r="L792" s="85"/>
      <c r="M792" s="85"/>
      <c r="N792" s="85"/>
      <c r="O792" s="82">
        <f>26.50748+10.89436</f>
        <v>37.40184</v>
      </c>
      <c r="P792" s="83">
        <f>1.79088+0.74118</f>
        <v>2.53206</v>
      </c>
      <c r="Q792" s="83"/>
      <c r="R792" s="83"/>
      <c r="S792" s="82"/>
      <c r="T792" s="83"/>
      <c r="U792" s="83"/>
      <c r="V792" s="84"/>
      <c r="W792" s="85"/>
      <c r="X792" s="87"/>
      <c r="Y792" s="83">
        <v>37.44</v>
      </c>
      <c r="Z792" s="84"/>
      <c r="AA792" s="85"/>
      <c r="AB792" s="84"/>
      <c r="AC792" s="85"/>
      <c r="AD792" s="89">
        <f t="shared" si="182"/>
        <v>13.053799999999999</v>
      </c>
      <c r="AE792" s="89">
        <v>4.2981999999999996</v>
      </c>
      <c r="AF792" s="186">
        <v>8.7555999999999994</v>
      </c>
      <c r="AG792" s="85"/>
      <c r="AH792" s="85"/>
      <c r="AI792" s="85"/>
      <c r="AJ792" s="84"/>
      <c r="AK792" s="85"/>
      <c r="AL792" s="84"/>
      <c r="AM792" s="88"/>
      <c r="AN792" s="84"/>
      <c r="AO792" s="85"/>
      <c r="AP792" s="84"/>
      <c r="AQ792" s="83"/>
      <c r="AR792" s="83"/>
      <c r="AS792" s="83"/>
      <c r="AT792" s="85"/>
      <c r="AU792" s="85"/>
      <c r="AV792" s="85"/>
      <c r="AW792" s="88"/>
      <c r="AX792" s="84"/>
      <c r="AY792" s="85"/>
      <c r="AZ792" s="84">
        <v>84.126339999999999</v>
      </c>
      <c r="BA792" s="85">
        <v>76.183210000000003</v>
      </c>
      <c r="BB792" s="88"/>
      <c r="BC792" s="85"/>
      <c r="BD792" s="84"/>
      <c r="BE792" s="88"/>
      <c r="BF792" s="85"/>
      <c r="BG792" s="85"/>
      <c r="BH792" s="85"/>
      <c r="BI792" s="85"/>
      <c r="BJ792" s="85"/>
      <c r="BK792" s="85"/>
      <c r="BL792" s="85"/>
      <c r="BM792" s="85"/>
      <c r="BN792" s="85"/>
      <c r="BO792" s="85"/>
      <c r="BP792" s="85"/>
      <c r="BQ792" s="85"/>
      <c r="BR792" s="84"/>
      <c r="BS792" s="85"/>
      <c r="BT792" s="85"/>
      <c r="BU792" s="198"/>
      <c r="BV792" s="90"/>
      <c r="BW792" s="198"/>
      <c r="BX792" s="90"/>
      <c r="BY792" s="198"/>
      <c r="BZ792" s="90"/>
      <c r="CA792" s="91"/>
    </row>
    <row r="793" spans="1:79" ht="50.1" customHeight="1" outlineLevel="2" x14ac:dyDescent="0.3">
      <c r="A793" s="103" t="s">
        <v>677</v>
      </c>
      <c r="B793" s="102" t="s">
        <v>701</v>
      </c>
      <c r="C793" s="79" t="s">
        <v>55</v>
      </c>
      <c r="D793" s="81">
        <f t="shared" si="179"/>
        <v>144.42721</v>
      </c>
      <c r="E793" s="82">
        <f t="shared" si="180"/>
        <v>56.742730000000002</v>
      </c>
      <c r="F793" s="83">
        <f t="shared" si="181"/>
        <v>87.684479999999994</v>
      </c>
      <c r="G793" s="84"/>
      <c r="H793" s="85"/>
      <c r="I793" s="85"/>
      <c r="J793" s="84"/>
      <c r="K793" s="85"/>
      <c r="L793" s="85"/>
      <c r="M793" s="85"/>
      <c r="N793" s="85"/>
      <c r="O793" s="82"/>
      <c r="P793" s="83"/>
      <c r="Q793" s="83"/>
      <c r="R793" s="83"/>
      <c r="S793" s="82"/>
      <c r="T793" s="83"/>
      <c r="U793" s="83"/>
      <c r="V793" s="84"/>
      <c r="W793" s="85"/>
      <c r="X793" s="87"/>
      <c r="Y793" s="83">
        <v>23.4</v>
      </c>
      <c r="Z793" s="84"/>
      <c r="AA793" s="85"/>
      <c r="AB793" s="84"/>
      <c r="AC793" s="85"/>
      <c r="AD793" s="89">
        <f t="shared" si="182"/>
        <v>12.899369999999999</v>
      </c>
      <c r="AE793" s="89">
        <v>7.0622999999999996</v>
      </c>
      <c r="AF793" s="186">
        <v>5.8370699999999998</v>
      </c>
      <c r="AG793" s="85"/>
      <c r="AH793" s="85"/>
      <c r="AI793" s="85"/>
      <c r="AJ793" s="84"/>
      <c r="AK793" s="85"/>
      <c r="AL793" s="84"/>
      <c r="AM793" s="88"/>
      <c r="AN793" s="84"/>
      <c r="AO793" s="85"/>
      <c r="AP793" s="84"/>
      <c r="AQ793" s="83"/>
      <c r="AR793" s="83"/>
      <c r="AS793" s="83"/>
      <c r="AT793" s="85"/>
      <c r="AU793" s="85"/>
      <c r="AV793" s="85"/>
      <c r="AW793" s="88"/>
      <c r="AX793" s="84"/>
      <c r="AY793" s="85"/>
      <c r="AZ793" s="84">
        <v>56.742730000000002</v>
      </c>
      <c r="BA793" s="85">
        <v>51.385109999999997</v>
      </c>
      <c r="BB793" s="88"/>
      <c r="BC793" s="85"/>
      <c r="BD793" s="84"/>
      <c r="BE793" s="88"/>
      <c r="BF793" s="85"/>
      <c r="BG793" s="85"/>
      <c r="BH793" s="85"/>
      <c r="BI793" s="85"/>
      <c r="BJ793" s="85"/>
      <c r="BK793" s="85"/>
      <c r="BL793" s="85"/>
      <c r="BM793" s="85"/>
      <c r="BN793" s="85"/>
      <c r="BO793" s="85"/>
      <c r="BP793" s="85"/>
      <c r="BQ793" s="85"/>
      <c r="BR793" s="84"/>
      <c r="BS793" s="85"/>
      <c r="BT793" s="85"/>
      <c r="BU793" s="198"/>
      <c r="BV793" s="90"/>
      <c r="BW793" s="198"/>
      <c r="BX793" s="90"/>
      <c r="BY793" s="198"/>
      <c r="BZ793" s="90"/>
      <c r="CA793" s="91"/>
    </row>
    <row r="794" spans="1:79" ht="50.1" customHeight="1" outlineLevel="2" x14ac:dyDescent="0.3">
      <c r="A794" s="103" t="s">
        <v>677</v>
      </c>
      <c r="B794" s="102" t="s">
        <v>702</v>
      </c>
      <c r="C794" s="79" t="s">
        <v>55</v>
      </c>
      <c r="D794" s="81">
        <f t="shared" si="179"/>
        <v>670.67787999999996</v>
      </c>
      <c r="E794" s="82">
        <f t="shared" si="180"/>
        <v>554.11883</v>
      </c>
      <c r="F794" s="83">
        <f t="shared" si="181"/>
        <v>116.55905</v>
      </c>
      <c r="G794" s="84"/>
      <c r="H794" s="85"/>
      <c r="I794" s="85"/>
      <c r="J794" s="84"/>
      <c r="K794" s="85"/>
      <c r="L794" s="85"/>
      <c r="M794" s="85"/>
      <c r="N794" s="85"/>
      <c r="O794" s="82"/>
      <c r="P794" s="83"/>
      <c r="Q794" s="83"/>
      <c r="R794" s="83"/>
      <c r="S794" s="82"/>
      <c r="T794" s="83"/>
      <c r="U794" s="83"/>
      <c r="V794" s="84"/>
      <c r="W794" s="85"/>
      <c r="X794" s="87"/>
      <c r="Y794" s="83">
        <v>38.688000000000002</v>
      </c>
      <c r="Z794" s="84"/>
      <c r="AA794" s="85"/>
      <c r="AB794" s="84"/>
      <c r="AC794" s="85"/>
      <c r="AD794" s="89">
        <f t="shared" si="182"/>
        <v>0</v>
      </c>
      <c r="AE794" s="89"/>
      <c r="AF794" s="186"/>
      <c r="AG794" s="85"/>
      <c r="AH794" s="85"/>
      <c r="AI794" s="85"/>
      <c r="AJ794" s="84"/>
      <c r="AK794" s="85"/>
      <c r="AL794" s="84"/>
      <c r="AM794" s="88"/>
      <c r="AN794" s="84"/>
      <c r="AO794" s="85"/>
      <c r="AP794" s="84"/>
      <c r="AQ794" s="83"/>
      <c r="AR794" s="83"/>
      <c r="AS794" s="83"/>
      <c r="AT794" s="85"/>
      <c r="AU794" s="85"/>
      <c r="AV794" s="85"/>
      <c r="AW794" s="88"/>
      <c r="AX794" s="84"/>
      <c r="AY794" s="85"/>
      <c r="AZ794" s="84">
        <v>85.990160000000003</v>
      </c>
      <c r="BA794" s="85">
        <v>77.871049999999997</v>
      </c>
      <c r="BB794" s="88"/>
      <c r="BC794" s="85"/>
      <c r="BD794" s="84"/>
      <c r="BE794" s="88"/>
      <c r="BF794" s="85"/>
      <c r="BG794" s="85"/>
      <c r="BH794" s="85"/>
      <c r="BI794" s="85"/>
      <c r="BJ794" s="85"/>
      <c r="BK794" s="85"/>
      <c r="BL794" s="85"/>
      <c r="BM794" s="85"/>
      <c r="BN794" s="85"/>
      <c r="BO794" s="85"/>
      <c r="BP794" s="85"/>
      <c r="BQ794" s="85"/>
      <c r="BR794" s="84">
        <v>468.12867</v>
      </c>
      <c r="BS794" s="85"/>
      <c r="BT794" s="85"/>
      <c r="BU794" s="198"/>
      <c r="BV794" s="90"/>
      <c r="BW794" s="198"/>
      <c r="BX794" s="90"/>
      <c r="BY794" s="198"/>
      <c r="BZ794" s="90"/>
      <c r="CA794" s="91"/>
    </row>
    <row r="795" spans="1:79" ht="50.1" customHeight="1" outlineLevel="2" x14ac:dyDescent="0.3">
      <c r="A795" s="103" t="s">
        <v>677</v>
      </c>
      <c r="B795" s="102" t="s">
        <v>703</v>
      </c>
      <c r="C795" s="79" t="s">
        <v>55</v>
      </c>
      <c r="D795" s="81">
        <f t="shared" si="179"/>
        <v>504.02650000000006</v>
      </c>
      <c r="E795" s="82">
        <f t="shared" si="180"/>
        <v>303.54916000000003</v>
      </c>
      <c r="F795" s="83">
        <f t="shared" si="181"/>
        <v>200.47734</v>
      </c>
      <c r="G795" s="84"/>
      <c r="H795" s="85"/>
      <c r="I795" s="85"/>
      <c r="J795" s="84">
        <v>126.90985000000001</v>
      </c>
      <c r="K795" s="85">
        <v>24.23038</v>
      </c>
      <c r="L795" s="85"/>
      <c r="M795" s="85"/>
      <c r="N795" s="85"/>
      <c r="O795" s="82">
        <v>41.257260000000002</v>
      </c>
      <c r="P795" s="83">
        <v>2.7025800000000002</v>
      </c>
      <c r="Q795" s="83"/>
      <c r="R795" s="83"/>
      <c r="S795" s="82"/>
      <c r="T795" s="83"/>
      <c r="U795" s="83"/>
      <c r="V795" s="84"/>
      <c r="W795" s="85"/>
      <c r="X795" s="87"/>
      <c r="Y795" s="83">
        <v>42.12</v>
      </c>
      <c r="Z795" s="84"/>
      <c r="AA795" s="85"/>
      <c r="AB795" s="84"/>
      <c r="AC795" s="85"/>
      <c r="AD795" s="89">
        <f t="shared" si="182"/>
        <v>52.822710000000001</v>
      </c>
      <c r="AE795" s="89">
        <v>35.311500000000002</v>
      </c>
      <c r="AF795" s="186">
        <v>17.511209999999998</v>
      </c>
      <c r="AG795" s="85"/>
      <c r="AH795" s="85"/>
      <c r="AI795" s="85"/>
      <c r="AJ795" s="84"/>
      <c r="AK795" s="85"/>
      <c r="AL795" s="84"/>
      <c r="AM795" s="88"/>
      <c r="AN795" s="84"/>
      <c r="AO795" s="85"/>
      <c r="AP795" s="84"/>
      <c r="AQ795" s="83"/>
      <c r="AR795" s="83"/>
      <c r="AS795" s="83"/>
      <c r="AT795" s="85"/>
      <c r="AU795" s="85"/>
      <c r="AV795" s="85"/>
      <c r="AW795" s="88"/>
      <c r="AX795" s="84"/>
      <c r="AY795" s="85"/>
      <c r="AZ795" s="84">
        <v>86.796909999999997</v>
      </c>
      <c r="BA795" s="85">
        <v>78.601669999999999</v>
      </c>
      <c r="BB795" s="88"/>
      <c r="BC795" s="85"/>
      <c r="BD795" s="84"/>
      <c r="BE795" s="88"/>
      <c r="BF795" s="85"/>
      <c r="BG795" s="85"/>
      <c r="BH795" s="85"/>
      <c r="BI795" s="85"/>
      <c r="BJ795" s="85"/>
      <c r="BK795" s="85"/>
      <c r="BL795" s="85"/>
      <c r="BM795" s="85"/>
      <c r="BN795" s="85"/>
      <c r="BO795" s="85"/>
      <c r="BP795" s="85"/>
      <c r="BQ795" s="85"/>
      <c r="BR795" s="84">
        <v>48.585140000000003</v>
      </c>
      <c r="BS795" s="85"/>
      <c r="BT795" s="85"/>
      <c r="BU795" s="198"/>
      <c r="BV795" s="90"/>
      <c r="BW795" s="198"/>
      <c r="BX795" s="90"/>
      <c r="BY795" s="198"/>
      <c r="BZ795" s="90"/>
      <c r="CA795" s="91"/>
    </row>
    <row r="796" spans="1:79" ht="50.1" customHeight="1" outlineLevel="2" x14ac:dyDescent="0.3">
      <c r="A796" s="103" t="s">
        <v>677</v>
      </c>
      <c r="B796" s="102" t="s">
        <v>704</v>
      </c>
      <c r="C796" s="79" t="s">
        <v>55</v>
      </c>
      <c r="D796" s="81">
        <f t="shared" si="179"/>
        <v>2090.08833</v>
      </c>
      <c r="E796" s="82">
        <f t="shared" si="180"/>
        <v>1164.7387800000001</v>
      </c>
      <c r="F796" s="83">
        <f t="shared" si="181"/>
        <v>925.34955000000002</v>
      </c>
      <c r="G796" s="84"/>
      <c r="H796" s="85"/>
      <c r="I796" s="85"/>
      <c r="J796" s="84">
        <v>410.09269</v>
      </c>
      <c r="K796" s="85">
        <v>73.346429999999998</v>
      </c>
      <c r="L796" s="85"/>
      <c r="M796" s="85"/>
      <c r="N796" s="85"/>
      <c r="O796" s="82">
        <f>62.10383+99.8489</f>
        <v>161.95273</v>
      </c>
      <c r="P796" s="83">
        <f>3.26862+6.54067</f>
        <v>9.8092900000000007</v>
      </c>
      <c r="Q796" s="83"/>
      <c r="R796" s="83"/>
      <c r="S796" s="82"/>
      <c r="T796" s="83"/>
      <c r="U796" s="83"/>
      <c r="V796" s="84"/>
      <c r="W796" s="85"/>
      <c r="X796" s="87"/>
      <c r="Y796" s="83">
        <v>270.19200000000001</v>
      </c>
      <c r="Z796" s="84"/>
      <c r="AA796" s="85"/>
      <c r="AB796" s="84"/>
      <c r="AC796" s="85"/>
      <c r="AD796" s="89">
        <f t="shared" si="182"/>
        <v>35.270040000000002</v>
      </c>
      <c r="AE796" s="89">
        <v>12.894600000000001</v>
      </c>
      <c r="AF796" s="186">
        <v>22.375440000000001</v>
      </c>
      <c r="AG796" s="85"/>
      <c r="AH796" s="85"/>
      <c r="AI796" s="85"/>
      <c r="AJ796" s="84"/>
      <c r="AK796" s="85"/>
      <c r="AL796" s="84"/>
      <c r="AM796" s="88"/>
      <c r="AN796" s="84"/>
      <c r="AO796" s="85"/>
      <c r="AP796" s="84"/>
      <c r="AQ796" s="83"/>
      <c r="AR796" s="83"/>
      <c r="AS796" s="83"/>
      <c r="AT796" s="85"/>
      <c r="AU796" s="85"/>
      <c r="AV796" s="85"/>
      <c r="AW796" s="88"/>
      <c r="AX796" s="84"/>
      <c r="AY796" s="85"/>
      <c r="AZ796" s="84">
        <v>592.69335999999998</v>
      </c>
      <c r="BA796" s="85">
        <v>536.73179000000005</v>
      </c>
      <c r="BB796" s="88"/>
      <c r="BC796" s="85"/>
      <c r="BD796" s="84"/>
      <c r="BE796" s="88"/>
      <c r="BF796" s="85"/>
      <c r="BG796" s="85"/>
      <c r="BH796" s="85"/>
      <c r="BI796" s="85"/>
      <c r="BJ796" s="85"/>
      <c r="BK796" s="85"/>
      <c r="BL796" s="85"/>
      <c r="BM796" s="85"/>
      <c r="BN796" s="85"/>
      <c r="BO796" s="85"/>
      <c r="BP796" s="85"/>
      <c r="BQ796" s="85"/>
      <c r="BR796" s="84"/>
      <c r="BS796" s="85"/>
      <c r="BT796" s="85"/>
      <c r="BU796" s="198"/>
      <c r="BV796" s="90"/>
      <c r="BW796" s="198"/>
      <c r="BX796" s="90"/>
      <c r="BY796" s="198"/>
      <c r="BZ796" s="90"/>
      <c r="CA796" s="91"/>
    </row>
    <row r="797" spans="1:79" ht="50.1" customHeight="1" outlineLevel="2" x14ac:dyDescent="0.3">
      <c r="A797" s="103" t="s">
        <v>677</v>
      </c>
      <c r="B797" s="102" t="s">
        <v>705</v>
      </c>
      <c r="C797" s="79" t="s">
        <v>55</v>
      </c>
      <c r="D797" s="81">
        <f t="shared" si="179"/>
        <v>1140.16012</v>
      </c>
      <c r="E797" s="82">
        <f t="shared" si="180"/>
        <v>963.94608999999991</v>
      </c>
      <c r="F797" s="83">
        <f t="shared" si="181"/>
        <v>176.21402999999998</v>
      </c>
      <c r="G797" s="84"/>
      <c r="H797" s="85"/>
      <c r="I797" s="85"/>
      <c r="J797" s="84">
        <v>110.73851999999999</v>
      </c>
      <c r="K797" s="85">
        <v>19.98188</v>
      </c>
      <c r="L797" s="85"/>
      <c r="M797" s="85"/>
      <c r="N797" s="85"/>
      <c r="O797" s="82"/>
      <c r="P797" s="83"/>
      <c r="Q797" s="83"/>
      <c r="R797" s="83"/>
      <c r="S797" s="82"/>
      <c r="T797" s="83"/>
      <c r="U797" s="83"/>
      <c r="V797" s="84"/>
      <c r="W797" s="85"/>
      <c r="X797" s="87"/>
      <c r="Y797" s="83">
        <v>18.72</v>
      </c>
      <c r="Z797" s="84"/>
      <c r="AA797" s="85"/>
      <c r="AB797" s="84"/>
      <c r="AC797" s="85"/>
      <c r="AD797" s="89">
        <f t="shared" si="182"/>
        <v>0</v>
      </c>
      <c r="AE797" s="89"/>
      <c r="AF797" s="186"/>
      <c r="AG797" s="85"/>
      <c r="AH797" s="85"/>
      <c r="AI797" s="85"/>
      <c r="AJ797" s="84"/>
      <c r="AK797" s="85"/>
      <c r="AL797" s="84"/>
      <c r="AM797" s="88"/>
      <c r="AN797" s="84"/>
      <c r="AO797" s="85"/>
      <c r="AP797" s="84"/>
      <c r="AQ797" s="83"/>
      <c r="AR797" s="83"/>
      <c r="AS797" s="83"/>
      <c r="AT797" s="85"/>
      <c r="AU797" s="85"/>
      <c r="AV797" s="85">
        <v>84.132589999999993</v>
      </c>
      <c r="AW797" s="88"/>
      <c r="AX797" s="84"/>
      <c r="AY797" s="85"/>
      <c r="AZ797" s="84">
        <v>58.94509</v>
      </c>
      <c r="BA797" s="85">
        <v>53.379559999999998</v>
      </c>
      <c r="BB797" s="88"/>
      <c r="BC797" s="85"/>
      <c r="BD797" s="84"/>
      <c r="BE797" s="88"/>
      <c r="BF797" s="85"/>
      <c r="BG797" s="85"/>
      <c r="BH797" s="85"/>
      <c r="BI797" s="85"/>
      <c r="BJ797" s="85"/>
      <c r="BK797" s="85"/>
      <c r="BL797" s="85"/>
      <c r="BM797" s="85"/>
      <c r="BN797" s="85"/>
      <c r="BO797" s="85"/>
      <c r="BP797" s="85"/>
      <c r="BQ797" s="85"/>
      <c r="BR797" s="84">
        <v>794.26247999999998</v>
      </c>
      <c r="BS797" s="85"/>
      <c r="BT797" s="85"/>
      <c r="BU797" s="198"/>
      <c r="BV797" s="90"/>
      <c r="BW797" s="198"/>
      <c r="BX797" s="90"/>
      <c r="BY797" s="198"/>
      <c r="BZ797" s="90"/>
      <c r="CA797" s="91"/>
    </row>
    <row r="798" spans="1:79" ht="50.1" customHeight="1" outlineLevel="2" x14ac:dyDescent="0.3">
      <c r="A798" s="103" t="s">
        <v>677</v>
      </c>
      <c r="B798" s="102" t="s">
        <v>706</v>
      </c>
      <c r="C798" s="79" t="s">
        <v>55</v>
      </c>
      <c r="D798" s="81">
        <f t="shared" si="179"/>
        <v>496.17572000000001</v>
      </c>
      <c r="E798" s="82">
        <f t="shared" si="180"/>
        <v>342.45161999999999</v>
      </c>
      <c r="F798" s="83">
        <f t="shared" si="181"/>
        <v>153.72410000000002</v>
      </c>
      <c r="G798" s="84"/>
      <c r="H798" s="85"/>
      <c r="I798" s="85"/>
      <c r="J798" s="84">
        <f>103.3655+26.88921</f>
        <v>130.25470999999999</v>
      </c>
      <c r="K798" s="85">
        <f>35.08395+8.25055</f>
        <v>43.334500000000006</v>
      </c>
      <c r="L798" s="85"/>
      <c r="M798" s="85"/>
      <c r="N798" s="85"/>
      <c r="O798" s="82"/>
      <c r="P798" s="83"/>
      <c r="Q798" s="83"/>
      <c r="R798" s="83"/>
      <c r="S798" s="82"/>
      <c r="T798" s="83"/>
      <c r="U798" s="83"/>
      <c r="V798" s="84"/>
      <c r="W798" s="85"/>
      <c r="X798" s="87"/>
      <c r="Y798" s="83">
        <v>37.44</v>
      </c>
      <c r="Z798" s="84"/>
      <c r="AA798" s="85"/>
      <c r="AB798" s="84"/>
      <c r="AC798" s="85"/>
      <c r="AD798" s="89">
        <f t="shared" si="182"/>
        <v>0</v>
      </c>
      <c r="AE798" s="89"/>
      <c r="AF798" s="186"/>
      <c r="AG798" s="85"/>
      <c r="AH798" s="85"/>
      <c r="AI798" s="85"/>
      <c r="AJ798" s="84"/>
      <c r="AK798" s="85"/>
      <c r="AL798" s="84"/>
      <c r="AM798" s="88"/>
      <c r="AN798" s="84"/>
      <c r="AO798" s="85"/>
      <c r="AP798" s="84"/>
      <c r="AQ798" s="83"/>
      <c r="AR798" s="83"/>
      <c r="AS798" s="83"/>
      <c r="AT798" s="85"/>
      <c r="AU798" s="85"/>
      <c r="AV798" s="85"/>
      <c r="AW798" s="88"/>
      <c r="AX798" s="84"/>
      <c r="AY798" s="85"/>
      <c r="AZ798" s="84">
        <v>80.555570000000003</v>
      </c>
      <c r="BA798" s="85">
        <v>72.949600000000004</v>
      </c>
      <c r="BB798" s="88"/>
      <c r="BC798" s="85"/>
      <c r="BD798" s="84"/>
      <c r="BE798" s="88"/>
      <c r="BF798" s="85"/>
      <c r="BG798" s="85"/>
      <c r="BH798" s="85"/>
      <c r="BI798" s="85"/>
      <c r="BJ798" s="85"/>
      <c r="BK798" s="85"/>
      <c r="BL798" s="85"/>
      <c r="BM798" s="85"/>
      <c r="BN798" s="85"/>
      <c r="BO798" s="85"/>
      <c r="BP798" s="85"/>
      <c r="BQ798" s="85"/>
      <c r="BR798" s="84">
        <v>131.64134000000001</v>
      </c>
      <c r="BS798" s="85"/>
      <c r="BT798" s="85"/>
      <c r="BU798" s="198"/>
      <c r="BV798" s="90"/>
      <c r="BW798" s="198"/>
      <c r="BX798" s="90"/>
      <c r="BY798" s="198"/>
      <c r="BZ798" s="90"/>
      <c r="CA798" s="91"/>
    </row>
    <row r="799" spans="1:79" ht="50.1" customHeight="1" outlineLevel="2" x14ac:dyDescent="0.3">
      <c r="A799" s="103" t="s">
        <v>677</v>
      </c>
      <c r="B799" s="102" t="s">
        <v>707</v>
      </c>
      <c r="C799" s="79" t="s">
        <v>55</v>
      </c>
      <c r="D799" s="81">
        <f t="shared" si="179"/>
        <v>308.66294000000005</v>
      </c>
      <c r="E799" s="82">
        <f t="shared" si="180"/>
        <v>225.02091000000001</v>
      </c>
      <c r="F799" s="83">
        <f t="shared" si="181"/>
        <v>83.642030000000005</v>
      </c>
      <c r="G799" s="84"/>
      <c r="H799" s="85"/>
      <c r="I799" s="85"/>
      <c r="J799" s="84"/>
      <c r="K799" s="85"/>
      <c r="L799" s="85"/>
      <c r="M799" s="85"/>
      <c r="N799" s="85"/>
      <c r="O799" s="82">
        <v>20.6938</v>
      </c>
      <c r="P799" s="83">
        <v>1.34351</v>
      </c>
      <c r="Q799" s="83"/>
      <c r="R799" s="83"/>
      <c r="S799" s="82"/>
      <c r="T799" s="83"/>
      <c r="U799" s="83"/>
      <c r="V799" s="84"/>
      <c r="W799" s="85"/>
      <c r="X799" s="87"/>
      <c r="Y799" s="83">
        <v>26.52</v>
      </c>
      <c r="Z799" s="84"/>
      <c r="AA799" s="85"/>
      <c r="AB799" s="84"/>
      <c r="AC799" s="85"/>
      <c r="AD799" s="89">
        <f t="shared" si="182"/>
        <v>0</v>
      </c>
      <c r="AE799" s="89"/>
      <c r="AF799" s="186"/>
      <c r="AG799" s="85"/>
      <c r="AH799" s="85"/>
      <c r="AI799" s="85"/>
      <c r="AJ799" s="84"/>
      <c r="AK799" s="85"/>
      <c r="AL799" s="84"/>
      <c r="AM799" s="88"/>
      <c r="AN799" s="84"/>
      <c r="AO799" s="85"/>
      <c r="AP799" s="84"/>
      <c r="AQ799" s="83"/>
      <c r="AR799" s="83"/>
      <c r="AS799" s="83"/>
      <c r="AT799" s="85"/>
      <c r="AU799" s="85"/>
      <c r="AV799" s="85"/>
      <c r="AW799" s="88"/>
      <c r="AX799" s="84"/>
      <c r="AY799" s="85"/>
      <c r="AZ799" s="84">
        <v>61.594180000000001</v>
      </c>
      <c r="BA799" s="85">
        <v>55.77852</v>
      </c>
      <c r="BB799" s="88"/>
      <c r="BC799" s="85"/>
      <c r="BD799" s="84"/>
      <c r="BE799" s="88"/>
      <c r="BF799" s="85"/>
      <c r="BG799" s="85"/>
      <c r="BH799" s="85"/>
      <c r="BI799" s="85"/>
      <c r="BJ799" s="85"/>
      <c r="BK799" s="85"/>
      <c r="BL799" s="85"/>
      <c r="BM799" s="85"/>
      <c r="BN799" s="85"/>
      <c r="BO799" s="85"/>
      <c r="BP799" s="85"/>
      <c r="BQ799" s="85"/>
      <c r="BR799" s="84">
        <v>142.73293000000001</v>
      </c>
      <c r="BS799" s="85"/>
      <c r="BT799" s="85"/>
      <c r="BU799" s="198"/>
      <c r="BV799" s="90"/>
      <c r="BW799" s="198"/>
      <c r="BX799" s="90"/>
      <c r="BY799" s="198"/>
      <c r="BZ799" s="90"/>
      <c r="CA799" s="91"/>
    </row>
    <row r="800" spans="1:79" ht="50.1" customHeight="1" outlineLevel="2" x14ac:dyDescent="0.3">
      <c r="A800" s="103" t="s">
        <v>1257</v>
      </c>
      <c r="B800" s="102" t="s">
        <v>708</v>
      </c>
      <c r="C800" s="79" t="s">
        <v>55</v>
      </c>
      <c r="D800" s="81">
        <f t="shared" si="179"/>
        <v>1949.4538200000002</v>
      </c>
      <c r="E800" s="82">
        <f t="shared" si="180"/>
        <v>1632.75179</v>
      </c>
      <c r="F800" s="83">
        <f t="shared" si="181"/>
        <v>316.70203000000004</v>
      </c>
      <c r="G800" s="84"/>
      <c r="H800" s="85"/>
      <c r="I800" s="85"/>
      <c r="J800" s="84"/>
      <c r="K800" s="85"/>
      <c r="L800" s="85"/>
      <c r="M800" s="85"/>
      <c r="N800" s="85"/>
      <c r="O800" s="82"/>
      <c r="P800" s="83"/>
      <c r="Q800" s="83"/>
      <c r="R800" s="83"/>
      <c r="S800" s="82"/>
      <c r="T800" s="83"/>
      <c r="U800" s="83"/>
      <c r="V800" s="84"/>
      <c r="W800" s="85"/>
      <c r="X800" s="87"/>
      <c r="Y800" s="83">
        <v>93.6</v>
      </c>
      <c r="Z800" s="84"/>
      <c r="AA800" s="85"/>
      <c r="AB800" s="84"/>
      <c r="AC800" s="85"/>
      <c r="AD800" s="89">
        <f t="shared" si="182"/>
        <v>69.613460000000003</v>
      </c>
      <c r="AE800" s="89">
        <v>42.373800000000003</v>
      </c>
      <c r="AF800" s="186">
        <v>27.239660000000001</v>
      </c>
      <c r="AG800" s="85"/>
      <c r="AH800" s="85"/>
      <c r="AI800" s="85"/>
      <c r="AJ800" s="84"/>
      <c r="AK800" s="85"/>
      <c r="AL800" s="84"/>
      <c r="AM800" s="88"/>
      <c r="AN800" s="84"/>
      <c r="AO800" s="85"/>
      <c r="AP800" s="84"/>
      <c r="AQ800" s="83"/>
      <c r="AR800" s="83"/>
      <c r="AS800" s="83"/>
      <c r="AT800" s="85"/>
      <c r="AU800" s="85"/>
      <c r="AV800" s="85"/>
      <c r="AW800" s="88"/>
      <c r="AX800" s="84"/>
      <c r="AY800" s="85"/>
      <c r="AZ800" s="84">
        <v>169.49182999999999</v>
      </c>
      <c r="BA800" s="85">
        <v>153.48857000000001</v>
      </c>
      <c r="BB800" s="88"/>
      <c r="BC800" s="85"/>
      <c r="BD800" s="84"/>
      <c r="BE800" s="88"/>
      <c r="BF800" s="85"/>
      <c r="BG800" s="85"/>
      <c r="BH800" s="85"/>
      <c r="BI800" s="85"/>
      <c r="BJ800" s="85"/>
      <c r="BK800" s="85"/>
      <c r="BL800" s="85"/>
      <c r="BM800" s="85"/>
      <c r="BN800" s="85"/>
      <c r="BO800" s="85"/>
      <c r="BP800" s="85"/>
      <c r="BQ800" s="85"/>
      <c r="BR800" s="84">
        <v>1463.2599600000001</v>
      </c>
      <c r="BS800" s="85"/>
      <c r="BT800" s="85"/>
      <c r="BU800" s="198"/>
      <c r="BV800" s="90"/>
      <c r="BW800" s="198"/>
      <c r="BX800" s="90"/>
      <c r="BY800" s="198"/>
      <c r="BZ800" s="90"/>
      <c r="CA800" s="91"/>
    </row>
    <row r="801" spans="1:79" ht="50.1" customHeight="1" outlineLevel="2" x14ac:dyDescent="0.3">
      <c r="A801" s="103" t="s">
        <v>677</v>
      </c>
      <c r="B801" s="102" t="s">
        <v>709</v>
      </c>
      <c r="C801" s="79" t="s">
        <v>55</v>
      </c>
      <c r="D801" s="81">
        <f t="shared" si="179"/>
        <v>413.48806999999999</v>
      </c>
      <c r="E801" s="82">
        <f t="shared" si="180"/>
        <v>314.93561</v>
      </c>
      <c r="F801" s="83">
        <f t="shared" si="181"/>
        <v>98.552459999999996</v>
      </c>
      <c r="G801" s="84"/>
      <c r="H801" s="85"/>
      <c r="I801" s="85"/>
      <c r="J801" s="84"/>
      <c r="K801" s="85"/>
      <c r="L801" s="85"/>
      <c r="M801" s="85"/>
      <c r="N801" s="85"/>
      <c r="O801" s="82"/>
      <c r="P801" s="83"/>
      <c r="Q801" s="83"/>
      <c r="R801" s="83"/>
      <c r="S801" s="82"/>
      <c r="T801" s="83"/>
      <c r="U801" s="83"/>
      <c r="V801" s="84"/>
      <c r="W801" s="85"/>
      <c r="X801" s="87"/>
      <c r="Y801" s="83">
        <v>32.76</v>
      </c>
      <c r="Z801" s="84"/>
      <c r="AA801" s="85"/>
      <c r="AB801" s="84"/>
      <c r="AC801" s="85"/>
      <c r="AD801" s="89">
        <f t="shared" si="182"/>
        <v>0</v>
      </c>
      <c r="AE801" s="89"/>
      <c r="AF801" s="186"/>
      <c r="AG801" s="85"/>
      <c r="AH801" s="85"/>
      <c r="AI801" s="85"/>
      <c r="AJ801" s="84"/>
      <c r="AK801" s="85"/>
      <c r="AL801" s="84"/>
      <c r="AM801" s="88"/>
      <c r="AN801" s="84"/>
      <c r="AO801" s="85"/>
      <c r="AP801" s="84"/>
      <c r="AQ801" s="83"/>
      <c r="AR801" s="83"/>
      <c r="AS801" s="83"/>
      <c r="AT801" s="85"/>
      <c r="AU801" s="85"/>
      <c r="AV801" s="85"/>
      <c r="AW801" s="88"/>
      <c r="AX801" s="84"/>
      <c r="AY801" s="85"/>
      <c r="AZ801" s="84">
        <v>72.652209999999997</v>
      </c>
      <c r="BA801" s="85">
        <v>65.792460000000005</v>
      </c>
      <c r="BB801" s="88"/>
      <c r="BC801" s="85"/>
      <c r="BD801" s="84"/>
      <c r="BE801" s="88"/>
      <c r="BF801" s="85"/>
      <c r="BG801" s="85"/>
      <c r="BH801" s="85"/>
      <c r="BI801" s="85"/>
      <c r="BJ801" s="85"/>
      <c r="BK801" s="85"/>
      <c r="BL801" s="85"/>
      <c r="BM801" s="85"/>
      <c r="BN801" s="85"/>
      <c r="BO801" s="85"/>
      <c r="BP801" s="85"/>
      <c r="BQ801" s="85"/>
      <c r="BR801" s="84">
        <v>242.2834</v>
      </c>
      <c r="BS801" s="85"/>
      <c r="BT801" s="85"/>
      <c r="BU801" s="198"/>
      <c r="BV801" s="90"/>
      <c r="BW801" s="198"/>
      <c r="BX801" s="90"/>
      <c r="BY801" s="198"/>
      <c r="BZ801" s="90"/>
      <c r="CA801" s="91"/>
    </row>
    <row r="802" spans="1:79" ht="50.1" customHeight="1" outlineLevel="2" x14ac:dyDescent="0.3">
      <c r="A802" s="103" t="s">
        <v>677</v>
      </c>
      <c r="B802" s="102" t="s">
        <v>710</v>
      </c>
      <c r="C802" s="79" t="s">
        <v>55</v>
      </c>
      <c r="D802" s="81">
        <f t="shared" si="179"/>
        <v>1623.22703</v>
      </c>
      <c r="E802" s="82">
        <f t="shared" si="180"/>
        <v>199.04966000000002</v>
      </c>
      <c r="F802" s="83">
        <f t="shared" si="181"/>
        <v>1424.1773699999999</v>
      </c>
      <c r="G802" s="84"/>
      <c r="H802" s="85"/>
      <c r="I802" s="85"/>
      <c r="J802" s="84">
        <v>63.167740000000002</v>
      </c>
      <c r="K802" s="85">
        <v>17.17182</v>
      </c>
      <c r="L802" s="85"/>
      <c r="M802" s="85"/>
      <c r="N802" s="85"/>
      <c r="O802" s="82"/>
      <c r="P802" s="83"/>
      <c r="Q802" s="83"/>
      <c r="R802" s="83"/>
      <c r="S802" s="82"/>
      <c r="T802" s="83"/>
      <c r="U802" s="83"/>
      <c r="V802" s="84">
        <v>23.195</v>
      </c>
      <c r="W802" s="85">
        <v>40.5</v>
      </c>
      <c r="X802" s="87"/>
      <c r="Y802" s="83">
        <v>49.92</v>
      </c>
      <c r="Z802" s="84"/>
      <c r="AA802" s="85"/>
      <c r="AB802" s="84"/>
      <c r="AC802" s="85"/>
      <c r="AD802" s="89">
        <f t="shared" si="182"/>
        <v>20.067129999999999</v>
      </c>
      <c r="AE802" s="89">
        <v>6.4473000000000003</v>
      </c>
      <c r="AF802" s="186">
        <v>13.61983</v>
      </c>
      <c r="AG802" s="85"/>
      <c r="AH802" s="85"/>
      <c r="AI802" s="85"/>
      <c r="AJ802" s="84"/>
      <c r="AK802" s="85"/>
      <c r="AL802" s="84"/>
      <c r="AM802" s="88"/>
      <c r="AN802" s="84"/>
      <c r="AO802" s="85"/>
      <c r="AP802" s="84"/>
      <c r="AQ802" s="83"/>
      <c r="AR802" s="83"/>
      <c r="AS802" s="83"/>
      <c r="AT802" s="85"/>
      <c r="AU802" s="85"/>
      <c r="AV802" s="85">
        <f>117.2612+806.76555</f>
        <v>924.02674999999999</v>
      </c>
      <c r="AW802" s="88"/>
      <c r="AX802" s="84"/>
      <c r="AY802" s="85"/>
      <c r="AZ802" s="84">
        <v>112.68692</v>
      </c>
      <c r="BA802" s="85">
        <v>102.04711</v>
      </c>
      <c r="BB802" s="88"/>
      <c r="BC802" s="85"/>
      <c r="BD802" s="84"/>
      <c r="BE802" s="88"/>
      <c r="BF802" s="85"/>
      <c r="BG802" s="85"/>
      <c r="BH802" s="85"/>
      <c r="BI802" s="85"/>
      <c r="BJ802" s="85"/>
      <c r="BK802" s="85">
        <v>270.44456000000002</v>
      </c>
      <c r="BL802" s="85"/>
      <c r="BM802" s="85"/>
      <c r="BN802" s="85"/>
      <c r="BO802" s="85"/>
      <c r="BP802" s="85"/>
      <c r="BQ802" s="85"/>
      <c r="BR802" s="84"/>
      <c r="BS802" s="85"/>
      <c r="BT802" s="85"/>
      <c r="BU802" s="198"/>
      <c r="BV802" s="90"/>
      <c r="BW802" s="198"/>
      <c r="BX802" s="90"/>
      <c r="BY802" s="198"/>
      <c r="BZ802" s="90"/>
      <c r="CA802" s="91"/>
    </row>
    <row r="803" spans="1:79" ht="50.1" customHeight="1" outlineLevel="2" x14ac:dyDescent="0.3">
      <c r="A803" s="103" t="s">
        <v>677</v>
      </c>
      <c r="B803" s="102" t="s">
        <v>711</v>
      </c>
      <c r="C803" s="79" t="s">
        <v>55</v>
      </c>
      <c r="D803" s="81">
        <f t="shared" si="179"/>
        <v>981.25324000000001</v>
      </c>
      <c r="E803" s="82">
        <f t="shared" si="180"/>
        <v>748.67616999999996</v>
      </c>
      <c r="F803" s="83">
        <f t="shared" si="181"/>
        <v>232.57706999999999</v>
      </c>
      <c r="G803" s="84">
        <v>3.2478600000000002</v>
      </c>
      <c r="H803" s="85">
        <v>1.6239300000000001</v>
      </c>
      <c r="I803" s="85"/>
      <c r="J803" s="84"/>
      <c r="K803" s="85"/>
      <c r="L803" s="85"/>
      <c r="M803" s="85"/>
      <c r="N803" s="85"/>
      <c r="O803" s="82">
        <v>22.202950000000001</v>
      </c>
      <c r="P803" s="83">
        <v>1.16858</v>
      </c>
      <c r="Q803" s="83"/>
      <c r="R803" s="83"/>
      <c r="S803" s="82"/>
      <c r="T803" s="83"/>
      <c r="U803" s="83"/>
      <c r="V803" s="84"/>
      <c r="W803" s="85"/>
      <c r="X803" s="87"/>
      <c r="Y803" s="83">
        <v>30.263999999999999</v>
      </c>
      <c r="Z803" s="84"/>
      <c r="AA803" s="85"/>
      <c r="AB803" s="84"/>
      <c r="AC803" s="85"/>
      <c r="AD803" s="89">
        <f t="shared" si="182"/>
        <v>11.10812</v>
      </c>
      <c r="AE803" s="89">
        <v>4.2981999999999996</v>
      </c>
      <c r="AF803" s="186">
        <v>6.80992</v>
      </c>
      <c r="AG803" s="85"/>
      <c r="AH803" s="85"/>
      <c r="AI803" s="85"/>
      <c r="AJ803" s="84"/>
      <c r="AK803" s="85"/>
      <c r="AL803" s="84"/>
      <c r="AM803" s="88"/>
      <c r="AN803" s="84"/>
      <c r="AO803" s="85"/>
      <c r="AP803" s="84"/>
      <c r="AQ803" s="83"/>
      <c r="AR803" s="83"/>
      <c r="AS803" s="83"/>
      <c r="AT803" s="85"/>
      <c r="AU803" s="85"/>
      <c r="AV803" s="85"/>
      <c r="AW803" s="88"/>
      <c r="AX803" s="84"/>
      <c r="AY803" s="85"/>
      <c r="AZ803" s="84">
        <v>208.05708000000001</v>
      </c>
      <c r="BA803" s="85">
        <v>188.41244</v>
      </c>
      <c r="BB803" s="88"/>
      <c r="BC803" s="85"/>
      <c r="BD803" s="84"/>
      <c r="BE803" s="88"/>
      <c r="BF803" s="85"/>
      <c r="BG803" s="85"/>
      <c r="BH803" s="85"/>
      <c r="BI803" s="85"/>
      <c r="BJ803" s="85"/>
      <c r="BK803" s="85"/>
      <c r="BL803" s="85"/>
      <c r="BM803" s="85"/>
      <c r="BN803" s="85"/>
      <c r="BO803" s="85"/>
      <c r="BP803" s="85"/>
      <c r="BQ803" s="85"/>
      <c r="BR803" s="84">
        <v>515.16827999999998</v>
      </c>
      <c r="BS803" s="85"/>
      <c r="BT803" s="85"/>
      <c r="BU803" s="198"/>
      <c r="BV803" s="90"/>
      <c r="BW803" s="198"/>
      <c r="BX803" s="90"/>
      <c r="BY803" s="198"/>
      <c r="BZ803" s="90"/>
      <c r="CA803" s="91"/>
    </row>
    <row r="804" spans="1:79" ht="50.1" customHeight="1" outlineLevel="2" x14ac:dyDescent="0.3">
      <c r="A804" s="103" t="s">
        <v>677</v>
      </c>
      <c r="B804" s="102" t="s">
        <v>712</v>
      </c>
      <c r="C804" s="79" t="s">
        <v>55</v>
      </c>
      <c r="D804" s="81">
        <f t="shared" si="179"/>
        <v>888.81558999999993</v>
      </c>
      <c r="E804" s="82">
        <f t="shared" si="180"/>
        <v>457.07914</v>
      </c>
      <c r="F804" s="83">
        <f t="shared" si="181"/>
        <v>431.73644999999999</v>
      </c>
      <c r="G804" s="84"/>
      <c r="H804" s="85"/>
      <c r="I804" s="85"/>
      <c r="J804" s="84">
        <v>221.06818999999999</v>
      </c>
      <c r="K804" s="85">
        <v>76.015929999999997</v>
      </c>
      <c r="L804" s="85"/>
      <c r="M804" s="85"/>
      <c r="N804" s="85"/>
      <c r="O804" s="82">
        <v>28.916350000000001</v>
      </c>
      <c r="P804" s="83">
        <v>1.8941699999999999</v>
      </c>
      <c r="Q804" s="83"/>
      <c r="R804" s="83"/>
      <c r="S804" s="82"/>
      <c r="T804" s="83"/>
      <c r="U804" s="83"/>
      <c r="V804" s="84"/>
      <c r="W804" s="85"/>
      <c r="X804" s="87"/>
      <c r="Y804" s="83">
        <v>99.84</v>
      </c>
      <c r="Z804" s="84"/>
      <c r="AA804" s="85"/>
      <c r="AB804" s="84"/>
      <c r="AC804" s="85"/>
      <c r="AD804" s="89">
        <f t="shared" si="182"/>
        <v>66.445279999999997</v>
      </c>
      <c r="AE804" s="89">
        <v>23.6401</v>
      </c>
      <c r="AF804" s="186">
        <v>42.80518</v>
      </c>
      <c r="AG804" s="85"/>
      <c r="AH804" s="85"/>
      <c r="AI804" s="85"/>
      <c r="AJ804" s="84"/>
      <c r="AK804" s="85"/>
      <c r="AL804" s="84"/>
      <c r="AM804" s="88"/>
      <c r="AN804" s="84"/>
      <c r="AO804" s="85"/>
      <c r="AP804" s="84"/>
      <c r="AQ804" s="83"/>
      <c r="AR804" s="83"/>
      <c r="AS804" s="83"/>
      <c r="AT804" s="85"/>
      <c r="AU804" s="85"/>
      <c r="AV804" s="85"/>
      <c r="AW804" s="88"/>
      <c r="AX804" s="84"/>
      <c r="AY804" s="85"/>
      <c r="AZ804" s="84">
        <v>207.09460000000001</v>
      </c>
      <c r="BA804" s="85">
        <v>187.54106999999999</v>
      </c>
      <c r="BB804" s="88"/>
      <c r="BC804" s="85"/>
      <c r="BD804" s="84"/>
      <c r="BE804" s="88"/>
      <c r="BF804" s="85"/>
      <c r="BG804" s="85"/>
      <c r="BH804" s="85"/>
      <c r="BI804" s="85"/>
      <c r="BJ804" s="85"/>
      <c r="BK804" s="85"/>
      <c r="BL804" s="85"/>
      <c r="BM804" s="85"/>
      <c r="BN804" s="85"/>
      <c r="BO804" s="85"/>
      <c r="BP804" s="85"/>
      <c r="BQ804" s="85"/>
      <c r="BR804" s="84"/>
      <c r="BS804" s="85"/>
      <c r="BT804" s="85"/>
      <c r="BU804" s="198"/>
      <c r="BV804" s="90"/>
      <c r="BW804" s="198"/>
      <c r="BX804" s="90"/>
      <c r="BY804" s="198"/>
      <c r="BZ804" s="90"/>
      <c r="CA804" s="91"/>
    </row>
    <row r="805" spans="1:79" ht="50.1" customHeight="1" outlineLevel="2" x14ac:dyDescent="0.3">
      <c r="A805" s="103" t="s">
        <v>677</v>
      </c>
      <c r="B805" s="102" t="s">
        <v>713</v>
      </c>
      <c r="C805" s="79" t="s">
        <v>55</v>
      </c>
      <c r="D805" s="81">
        <f t="shared" si="179"/>
        <v>1896.34211</v>
      </c>
      <c r="E805" s="82">
        <f t="shared" si="180"/>
        <v>1501.86879</v>
      </c>
      <c r="F805" s="83">
        <f t="shared" si="181"/>
        <v>394.47331999999994</v>
      </c>
      <c r="G805" s="84"/>
      <c r="H805" s="85"/>
      <c r="I805" s="85"/>
      <c r="J805" s="84"/>
      <c r="K805" s="85"/>
      <c r="L805" s="85"/>
      <c r="M805" s="85"/>
      <c r="N805" s="85"/>
      <c r="O805" s="82"/>
      <c r="P805" s="83"/>
      <c r="Q805" s="83"/>
      <c r="R805" s="83"/>
      <c r="S805" s="82"/>
      <c r="T805" s="83"/>
      <c r="U805" s="83"/>
      <c r="V805" s="84"/>
      <c r="W805" s="85"/>
      <c r="X805" s="87"/>
      <c r="Y805" s="83">
        <v>134.16</v>
      </c>
      <c r="Z805" s="84"/>
      <c r="AA805" s="85"/>
      <c r="AB805" s="84"/>
      <c r="AC805" s="85"/>
      <c r="AD805" s="89">
        <f t="shared" si="182"/>
        <v>0</v>
      </c>
      <c r="AE805" s="89"/>
      <c r="AF805" s="186"/>
      <c r="AG805" s="85"/>
      <c r="AH805" s="85"/>
      <c r="AI805" s="85"/>
      <c r="AJ805" s="84"/>
      <c r="AK805" s="85"/>
      <c r="AL805" s="84"/>
      <c r="AM805" s="88"/>
      <c r="AN805" s="84"/>
      <c r="AO805" s="85"/>
      <c r="AP805" s="84"/>
      <c r="AQ805" s="83"/>
      <c r="AR805" s="83"/>
      <c r="AS805" s="83"/>
      <c r="AT805" s="85"/>
      <c r="AU805" s="85"/>
      <c r="AV805" s="85"/>
      <c r="AW805" s="88"/>
      <c r="AX805" s="84"/>
      <c r="AY805" s="85"/>
      <c r="AZ805" s="84">
        <v>287.45445000000001</v>
      </c>
      <c r="BA805" s="85">
        <v>260.31331999999998</v>
      </c>
      <c r="BB805" s="88"/>
      <c r="BC805" s="85"/>
      <c r="BD805" s="84"/>
      <c r="BE805" s="88"/>
      <c r="BF805" s="85"/>
      <c r="BG805" s="85"/>
      <c r="BH805" s="85"/>
      <c r="BI805" s="85"/>
      <c r="BJ805" s="85"/>
      <c r="BK805" s="85"/>
      <c r="BL805" s="85"/>
      <c r="BM805" s="85"/>
      <c r="BN805" s="85"/>
      <c r="BO805" s="85"/>
      <c r="BP805" s="85"/>
      <c r="BQ805" s="85"/>
      <c r="BR805" s="84">
        <v>1214.41434</v>
      </c>
      <c r="BS805" s="85"/>
      <c r="BT805" s="85"/>
      <c r="BU805" s="198"/>
      <c r="BV805" s="90"/>
      <c r="BW805" s="198"/>
      <c r="BX805" s="90"/>
      <c r="BY805" s="198"/>
      <c r="BZ805" s="90"/>
      <c r="CA805" s="91"/>
    </row>
    <row r="806" spans="1:79" ht="50.1" customHeight="1" outlineLevel="2" x14ac:dyDescent="0.3">
      <c r="A806" s="103" t="s">
        <v>677</v>
      </c>
      <c r="B806" s="102" t="s">
        <v>714</v>
      </c>
      <c r="C806" s="79" t="s">
        <v>55</v>
      </c>
      <c r="D806" s="81">
        <f t="shared" si="179"/>
        <v>4091.2767100000001</v>
      </c>
      <c r="E806" s="82">
        <f t="shared" si="180"/>
        <v>3576.4542099999999</v>
      </c>
      <c r="F806" s="83">
        <f t="shared" si="181"/>
        <v>514.82249999999999</v>
      </c>
      <c r="G806" s="84"/>
      <c r="H806" s="85"/>
      <c r="I806" s="85"/>
      <c r="J806" s="84"/>
      <c r="K806" s="85"/>
      <c r="L806" s="85"/>
      <c r="M806" s="85"/>
      <c r="N806" s="85"/>
      <c r="O806" s="82"/>
      <c r="P806" s="83"/>
      <c r="Q806" s="83"/>
      <c r="R806" s="83"/>
      <c r="S806" s="82"/>
      <c r="T806" s="83"/>
      <c r="U806" s="83"/>
      <c r="V806" s="84"/>
      <c r="W806" s="85"/>
      <c r="X806" s="87"/>
      <c r="Y806" s="83">
        <v>124.8</v>
      </c>
      <c r="Z806" s="84"/>
      <c r="AA806" s="85"/>
      <c r="AB806" s="84"/>
      <c r="AC806" s="85"/>
      <c r="AD806" s="89">
        <f t="shared" si="182"/>
        <v>84.566720000000004</v>
      </c>
      <c r="AE806" s="89">
        <v>30.087399999999999</v>
      </c>
      <c r="AF806" s="186">
        <v>54.479320000000001</v>
      </c>
      <c r="AG806" s="85"/>
      <c r="AH806" s="85"/>
      <c r="AI806" s="85"/>
      <c r="AJ806" s="84"/>
      <c r="AK806" s="85"/>
      <c r="AL806" s="84"/>
      <c r="AM806" s="88"/>
      <c r="AN806" s="84"/>
      <c r="AO806" s="85"/>
      <c r="AP806" s="84"/>
      <c r="AQ806" s="83"/>
      <c r="AR806" s="83"/>
      <c r="AS806" s="83"/>
      <c r="AT806" s="85"/>
      <c r="AU806" s="85"/>
      <c r="AV806" s="85"/>
      <c r="AW806" s="88"/>
      <c r="AX806" s="84"/>
      <c r="AY806" s="85"/>
      <c r="AZ806" s="84">
        <v>239.10466</v>
      </c>
      <c r="BA806" s="85">
        <v>216.52885000000001</v>
      </c>
      <c r="BB806" s="88"/>
      <c r="BC806" s="85"/>
      <c r="BD806" s="84"/>
      <c r="BE806" s="88"/>
      <c r="BF806" s="85"/>
      <c r="BG806" s="85">
        <v>88.926929999999999</v>
      </c>
      <c r="BH806" s="85"/>
      <c r="BI806" s="85"/>
      <c r="BJ806" s="85"/>
      <c r="BK806" s="85"/>
      <c r="BL806" s="85"/>
      <c r="BM806" s="85"/>
      <c r="BN806" s="85"/>
      <c r="BO806" s="85"/>
      <c r="BP806" s="85"/>
      <c r="BQ806" s="85"/>
      <c r="BR806" s="84">
        <v>3337.3495499999999</v>
      </c>
      <c r="BS806" s="85"/>
      <c r="BT806" s="85"/>
      <c r="BU806" s="198"/>
      <c r="BV806" s="90"/>
      <c r="BW806" s="198"/>
      <c r="BX806" s="90"/>
      <c r="BY806" s="198"/>
      <c r="BZ806" s="90"/>
      <c r="CA806" s="91"/>
    </row>
    <row r="807" spans="1:79" ht="50.1" customHeight="1" outlineLevel="2" x14ac:dyDescent="0.3">
      <c r="A807" s="103" t="s">
        <v>677</v>
      </c>
      <c r="B807" s="102" t="s">
        <v>715</v>
      </c>
      <c r="C807" s="79" t="s">
        <v>55</v>
      </c>
      <c r="D807" s="81">
        <f t="shared" si="179"/>
        <v>615.12891999999999</v>
      </c>
      <c r="E807" s="82">
        <f t="shared" si="180"/>
        <v>295.72728000000001</v>
      </c>
      <c r="F807" s="83">
        <f t="shared" si="181"/>
        <v>319.40163999999999</v>
      </c>
      <c r="G807" s="84"/>
      <c r="H807" s="85"/>
      <c r="I807" s="85"/>
      <c r="J807" s="84">
        <v>59.617089999999997</v>
      </c>
      <c r="K807" s="85">
        <v>16.907340000000001</v>
      </c>
      <c r="L807" s="85"/>
      <c r="M807" s="85"/>
      <c r="N807" s="85"/>
      <c r="O807" s="82">
        <v>37.734299999999998</v>
      </c>
      <c r="P807" s="83">
        <v>2.5656300000000001</v>
      </c>
      <c r="Q807" s="83"/>
      <c r="R807" s="83"/>
      <c r="S807" s="82"/>
      <c r="T807" s="83"/>
      <c r="U807" s="83"/>
      <c r="V807" s="84"/>
      <c r="W807" s="85"/>
      <c r="X807" s="87"/>
      <c r="Y807" s="83">
        <v>78</v>
      </c>
      <c r="Z807" s="84"/>
      <c r="AA807" s="85"/>
      <c r="AB807" s="84"/>
      <c r="AC807" s="85"/>
      <c r="AD807" s="89">
        <f t="shared" si="182"/>
        <v>42.283360000000002</v>
      </c>
      <c r="AE807" s="89">
        <v>15.043699999999999</v>
      </c>
      <c r="AF807" s="186">
        <v>27.239660000000001</v>
      </c>
      <c r="AG807" s="85"/>
      <c r="AH807" s="85"/>
      <c r="AI807" s="85"/>
      <c r="AJ807" s="84"/>
      <c r="AK807" s="85"/>
      <c r="AL807" s="84"/>
      <c r="AM807" s="88"/>
      <c r="AN807" s="84"/>
      <c r="AO807" s="85"/>
      <c r="AP807" s="84"/>
      <c r="AQ807" s="83"/>
      <c r="AR807" s="83"/>
      <c r="AS807" s="83"/>
      <c r="AT807" s="85"/>
      <c r="AU807" s="85"/>
      <c r="AV807" s="85"/>
      <c r="AW807" s="88"/>
      <c r="AX807" s="84"/>
      <c r="AY807" s="85"/>
      <c r="AZ807" s="84">
        <v>198.37589</v>
      </c>
      <c r="BA807" s="85">
        <v>179.64530999999999</v>
      </c>
      <c r="BB807" s="88"/>
      <c r="BC807" s="85"/>
      <c r="BD807" s="84"/>
      <c r="BE807" s="88"/>
      <c r="BF807" s="85"/>
      <c r="BG807" s="85"/>
      <c r="BH807" s="85"/>
      <c r="BI807" s="85"/>
      <c r="BJ807" s="85"/>
      <c r="BK807" s="85"/>
      <c r="BL807" s="85"/>
      <c r="BM807" s="85"/>
      <c r="BN807" s="85"/>
      <c r="BO807" s="85"/>
      <c r="BP807" s="85"/>
      <c r="BQ807" s="85"/>
      <c r="BR807" s="84"/>
      <c r="BS807" s="85"/>
      <c r="BT807" s="85"/>
      <c r="BU807" s="198"/>
      <c r="BV807" s="90"/>
      <c r="BW807" s="198"/>
      <c r="BX807" s="90"/>
      <c r="BY807" s="198"/>
      <c r="BZ807" s="90"/>
      <c r="CA807" s="91"/>
    </row>
    <row r="808" spans="1:79" ht="50.1" customHeight="1" outlineLevel="2" x14ac:dyDescent="0.3">
      <c r="A808" s="103" t="s">
        <v>677</v>
      </c>
      <c r="B808" s="102" t="s">
        <v>716</v>
      </c>
      <c r="C808" s="79" t="s">
        <v>55</v>
      </c>
      <c r="D808" s="81">
        <f t="shared" si="179"/>
        <v>115.43134000000001</v>
      </c>
      <c r="E808" s="82">
        <f t="shared" si="180"/>
        <v>53.664720000000003</v>
      </c>
      <c r="F808" s="83">
        <f t="shared" si="181"/>
        <v>61.766619999999996</v>
      </c>
      <c r="G808" s="84"/>
      <c r="H808" s="85"/>
      <c r="I808" s="85"/>
      <c r="J808" s="84"/>
      <c r="K808" s="85"/>
      <c r="L808" s="85"/>
      <c r="M808" s="85"/>
      <c r="N808" s="85"/>
      <c r="O808" s="82">
        <v>6.6131200000000003</v>
      </c>
      <c r="P808" s="83">
        <v>0.43758999999999998</v>
      </c>
      <c r="Q808" s="83"/>
      <c r="R808" s="83"/>
      <c r="S808" s="82"/>
      <c r="T808" s="83"/>
      <c r="U808" s="83"/>
      <c r="V808" s="84"/>
      <c r="W808" s="85"/>
      <c r="X808" s="87"/>
      <c r="Y808" s="83">
        <v>18.72</v>
      </c>
      <c r="Z808" s="84"/>
      <c r="AA808" s="85"/>
      <c r="AB808" s="84"/>
      <c r="AC808" s="85"/>
      <c r="AD808" s="89">
        <f t="shared" si="182"/>
        <v>0</v>
      </c>
      <c r="AE808" s="89"/>
      <c r="AF808" s="186"/>
      <c r="AG808" s="85"/>
      <c r="AH808" s="85"/>
      <c r="AI808" s="85"/>
      <c r="AJ808" s="84"/>
      <c r="AK808" s="85"/>
      <c r="AL808" s="84"/>
      <c r="AM808" s="88"/>
      <c r="AN808" s="84"/>
      <c r="AO808" s="85"/>
      <c r="AP808" s="84"/>
      <c r="AQ808" s="83"/>
      <c r="AR808" s="83"/>
      <c r="AS808" s="83"/>
      <c r="AT808" s="85"/>
      <c r="AU808" s="85"/>
      <c r="AV808" s="85"/>
      <c r="AW808" s="88"/>
      <c r="AX808" s="84"/>
      <c r="AY808" s="85"/>
      <c r="AZ808" s="84">
        <v>47.051600000000001</v>
      </c>
      <c r="BA808" s="85">
        <v>42.609029999999997</v>
      </c>
      <c r="BB808" s="88"/>
      <c r="BC808" s="85"/>
      <c r="BD808" s="84"/>
      <c r="BE808" s="88"/>
      <c r="BF808" s="85"/>
      <c r="BG808" s="85"/>
      <c r="BH808" s="85"/>
      <c r="BI808" s="85"/>
      <c r="BJ808" s="85"/>
      <c r="BK808" s="85"/>
      <c r="BL808" s="85"/>
      <c r="BM808" s="85"/>
      <c r="BN808" s="85"/>
      <c r="BO808" s="85"/>
      <c r="BP808" s="85"/>
      <c r="BQ808" s="85"/>
      <c r="BR808" s="84"/>
      <c r="BS808" s="85"/>
      <c r="BT808" s="85"/>
      <c r="BU808" s="198"/>
      <c r="BV808" s="90"/>
      <c r="BW808" s="198"/>
      <c r="BX808" s="90"/>
      <c r="BY808" s="198"/>
      <c r="BZ808" s="90"/>
      <c r="CA808" s="91"/>
    </row>
    <row r="809" spans="1:79" ht="50.1" customHeight="1" outlineLevel="2" x14ac:dyDescent="0.3">
      <c r="A809" s="103" t="s">
        <v>677</v>
      </c>
      <c r="B809" s="102" t="s">
        <v>717</v>
      </c>
      <c r="C809" s="79" t="s">
        <v>55</v>
      </c>
      <c r="D809" s="81">
        <f t="shared" si="179"/>
        <v>231.40906000000001</v>
      </c>
      <c r="E809" s="82">
        <f t="shared" si="180"/>
        <v>89.333200000000005</v>
      </c>
      <c r="F809" s="83">
        <f t="shared" si="181"/>
        <v>142.07586000000001</v>
      </c>
      <c r="G809" s="84"/>
      <c r="H809" s="85"/>
      <c r="I809" s="85"/>
      <c r="J809" s="84"/>
      <c r="K809" s="85"/>
      <c r="L809" s="85"/>
      <c r="M809" s="85"/>
      <c r="N809" s="85"/>
      <c r="O809" s="82"/>
      <c r="P809" s="83"/>
      <c r="Q809" s="83"/>
      <c r="R809" s="83"/>
      <c r="S809" s="82"/>
      <c r="T809" s="83"/>
      <c r="U809" s="83"/>
      <c r="V809" s="84"/>
      <c r="W809" s="85"/>
      <c r="X809" s="87"/>
      <c r="Y809" s="83">
        <v>43.055999999999997</v>
      </c>
      <c r="Z809" s="84"/>
      <c r="AA809" s="85"/>
      <c r="AB809" s="84"/>
      <c r="AC809" s="85"/>
      <c r="AD809" s="89">
        <f t="shared" si="182"/>
        <v>18.12144</v>
      </c>
      <c r="AE809" s="89">
        <v>6.4473000000000003</v>
      </c>
      <c r="AF809" s="186">
        <v>11.67414</v>
      </c>
      <c r="AG809" s="85"/>
      <c r="AH809" s="85"/>
      <c r="AI809" s="85"/>
      <c r="AJ809" s="84"/>
      <c r="AK809" s="85"/>
      <c r="AL809" s="84"/>
      <c r="AM809" s="88"/>
      <c r="AN809" s="84"/>
      <c r="AO809" s="85"/>
      <c r="AP809" s="84"/>
      <c r="AQ809" s="83"/>
      <c r="AR809" s="83"/>
      <c r="AS809" s="83"/>
      <c r="AT809" s="85"/>
      <c r="AU809" s="85"/>
      <c r="AV809" s="85"/>
      <c r="AW809" s="88"/>
      <c r="AX809" s="84"/>
      <c r="AY809" s="85"/>
      <c r="AZ809" s="84">
        <v>89.333200000000005</v>
      </c>
      <c r="BA809" s="85">
        <v>80.898420000000002</v>
      </c>
      <c r="BB809" s="88"/>
      <c r="BC809" s="85"/>
      <c r="BD809" s="84"/>
      <c r="BE809" s="88"/>
      <c r="BF809" s="85"/>
      <c r="BG809" s="85"/>
      <c r="BH809" s="85"/>
      <c r="BI809" s="85"/>
      <c r="BJ809" s="85"/>
      <c r="BK809" s="85"/>
      <c r="BL809" s="85"/>
      <c r="BM809" s="85"/>
      <c r="BN809" s="85"/>
      <c r="BO809" s="85"/>
      <c r="BP809" s="85"/>
      <c r="BQ809" s="85"/>
      <c r="BR809" s="84"/>
      <c r="BS809" s="85"/>
      <c r="BT809" s="85"/>
      <c r="BU809" s="198"/>
      <c r="BV809" s="90"/>
      <c r="BW809" s="198"/>
      <c r="BX809" s="90"/>
      <c r="BY809" s="198"/>
      <c r="BZ809" s="90"/>
      <c r="CA809" s="91"/>
    </row>
    <row r="810" spans="1:79" ht="50.1" customHeight="1" outlineLevel="2" x14ac:dyDescent="0.3">
      <c r="A810" s="103" t="s">
        <v>677</v>
      </c>
      <c r="B810" s="102" t="s">
        <v>718</v>
      </c>
      <c r="C810" s="79" t="s">
        <v>55</v>
      </c>
      <c r="D810" s="81">
        <f t="shared" si="179"/>
        <v>60.108370000000001</v>
      </c>
      <c r="E810" s="82">
        <f t="shared" si="180"/>
        <v>40.270600000000002</v>
      </c>
      <c r="F810" s="83">
        <f t="shared" si="181"/>
        <v>19.837769999999999</v>
      </c>
      <c r="G810" s="84"/>
      <c r="H810" s="85"/>
      <c r="I810" s="85"/>
      <c r="J810" s="84">
        <v>29.447109999999999</v>
      </c>
      <c r="K810" s="85">
        <v>5.3562099999999999</v>
      </c>
      <c r="L810" s="85"/>
      <c r="M810" s="85"/>
      <c r="N810" s="85"/>
      <c r="O810" s="82"/>
      <c r="P810" s="83"/>
      <c r="Q810" s="83"/>
      <c r="R810" s="83"/>
      <c r="S810" s="82"/>
      <c r="T810" s="83"/>
      <c r="U810" s="83"/>
      <c r="V810" s="84"/>
      <c r="W810" s="85"/>
      <c r="X810" s="87"/>
      <c r="Y810" s="83">
        <v>4.68</v>
      </c>
      <c r="Z810" s="84"/>
      <c r="AA810" s="85"/>
      <c r="AB810" s="84"/>
      <c r="AC810" s="85"/>
      <c r="AD810" s="89">
        <f t="shared" si="182"/>
        <v>0</v>
      </c>
      <c r="AE810" s="89"/>
      <c r="AF810" s="186"/>
      <c r="AG810" s="85"/>
      <c r="AH810" s="85"/>
      <c r="AI810" s="85"/>
      <c r="AJ810" s="84"/>
      <c r="AK810" s="85"/>
      <c r="AL810" s="84"/>
      <c r="AM810" s="88"/>
      <c r="AN810" s="84"/>
      <c r="AO810" s="85"/>
      <c r="AP810" s="84"/>
      <c r="AQ810" s="83"/>
      <c r="AR810" s="83"/>
      <c r="AS810" s="83"/>
      <c r="AT810" s="85"/>
      <c r="AU810" s="85"/>
      <c r="AV810" s="85"/>
      <c r="AW810" s="88"/>
      <c r="AX810" s="84"/>
      <c r="AY810" s="85"/>
      <c r="AZ810" s="84">
        <v>10.82349</v>
      </c>
      <c r="BA810" s="85">
        <v>9.8015600000000003</v>
      </c>
      <c r="BB810" s="88"/>
      <c r="BC810" s="85"/>
      <c r="BD810" s="84"/>
      <c r="BE810" s="88"/>
      <c r="BF810" s="85"/>
      <c r="BG810" s="85"/>
      <c r="BH810" s="85"/>
      <c r="BI810" s="85"/>
      <c r="BJ810" s="85"/>
      <c r="BK810" s="85"/>
      <c r="BL810" s="85"/>
      <c r="BM810" s="85"/>
      <c r="BN810" s="85"/>
      <c r="BO810" s="85"/>
      <c r="BP810" s="85"/>
      <c r="BQ810" s="85"/>
      <c r="BR810" s="84"/>
      <c r="BS810" s="85"/>
      <c r="BT810" s="85"/>
      <c r="BU810" s="198"/>
      <c r="BV810" s="90"/>
      <c r="BW810" s="198"/>
      <c r="BX810" s="90"/>
      <c r="BY810" s="198"/>
      <c r="BZ810" s="90"/>
      <c r="CA810" s="91"/>
    </row>
    <row r="811" spans="1:79" ht="50.1" customHeight="1" outlineLevel="2" x14ac:dyDescent="0.3">
      <c r="A811" s="103" t="s">
        <v>677</v>
      </c>
      <c r="B811" s="102" t="s">
        <v>719</v>
      </c>
      <c r="C811" s="79" t="s">
        <v>55</v>
      </c>
      <c r="D811" s="81">
        <f t="shared" si="179"/>
        <v>399.98706000000004</v>
      </c>
      <c r="E811" s="82">
        <f t="shared" si="180"/>
        <v>100.69564</v>
      </c>
      <c r="F811" s="83">
        <f t="shared" si="181"/>
        <v>299.29142000000002</v>
      </c>
      <c r="G811" s="84"/>
      <c r="H811" s="85"/>
      <c r="I811" s="85"/>
      <c r="J811" s="84">
        <f>13.07953+9.11477</f>
        <v>22.194299999999998</v>
      </c>
      <c r="K811" s="85">
        <f>2.66469+1.83299</f>
        <v>4.4976799999999999</v>
      </c>
      <c r="L811" s="85"/>
      <c r="M811" s="85"/>
      <c r="N811" s="85"/>
      <c r="O811" s="82"/>
      <c r="P811" s="83"/>
      <c r="Q811" s="83"/>
      <c r="R811" s="83"/>
      <c r="S811" s="82"/>
      <c r="T811" s="83"/>
      <c r="U811" s="83"/>
      <c r="V811" s="84">
        <v>2.3195000000000001</v>
      </c>
      <c r="W811" s="85">
        <v>4.05</v>
      </c>
      <c r="X811" s="87"/>
      <c r="Y811" s="83">
        <v>16.536000000000001</v>
      </c>
      <c r="Z811" s="84"/>
      <c r="AA811" s="85"/>
      <c r="AB811" s="84"/>
      <c r="AC811" s="85"/>
      <c r="AD811" s="89">
        <f t="shared" si="182"/>
        <v>0</v>
      </c>
      <c r="AE811" s="89"/>
      <c r="AF811" s="186"/>
      <c r="AG811" s="85"/>
      <c r="AH811" s="85"/>
      <c r="AI811" s="85"/>
      <c r="AJ811" s="84"/>
      <c r="AK811" s="85"/>
      <c r="AL811" s="84"/>
      <c r="AM811" s="88"/>
      <c r="AN811" s="84"/>
      <c r="AO811" s="85">
        <v>241.28</v>
      </c>
      <c r="AP811" s="84"/>
      <c r="AQ811" s="83"/>
      <c r="AR811" s="83"/>
      <c r="AS811" s="83"/>
      <c r="AT811" s="85"/>
      <c r="AU811" s="85"/>
      <c r="AV811" s="85"/>
      <c r="AW811" s="88"/>
      <c r="AX811" s="84"/>
      <c r="AY811" s="85"/>
      <c r="AZ811" s="84">
        <v>36.360900000000001</v>
      </c>
      <c r="BA811" s="85">
        <v>32.92774</v>
      </c>
      <c r="BB811" s="88"/>
      <c r="BC811" s="85"/>
      <c r="BD811" s="84"/>
      <c r="BE811" s="88"/>
      <c r="BF811" s="85"/>
      <c r="BG811" s="85"/>
      <c r="BH811" s="85"/>
      <c r="BI811" s="85"/>
      <c r="BJ811" s="85"/>
      <c r="BK811" s="85"/>
      <c r="BL811" s="85"/>
      <c r="BM811" s="85"/>
      <c r="BN811" s="85"/>
      <c r="BO811" s="85"/>
      <c r="BP811" s="85"/>
      <c r="BQ811" s="85"/>
      <c r="BR811" s="84">
        <v>39.82094</v>
      </c>
      <c r="BS811" s="85"/>
      <c r="BT811" s="85"/>
      <c r="BU811" s="198"/>
      <c r="BV811" s="90"/>
      <c r="BW811" s="198"/>
      <c r="BX811" s="90"/>
      <c r="BY811" s="198"/>
      <c r="BZ811" s="90"/>
      <c r="CA811" s="91"/>
    </row>
    <row r="812" spans="1:79" ht="50.1" customHeight="1" outlineLevel="2" x14ac:dyDescent="0.3">
      <c r="A812" s="103" t="s">
        <v>677</v>
      </c>
      <c r="B812" s="102" t="s">
        <v>720</v>
      </c>
      <c r="C812" s="79" t="s">
        <v>55</v>
      </c>
      <c r="D812" s="81">
        <f t="shared" si="179"/>
        <v>1470.8183300000001</v>
      </c>
      <c r="E812" s="82">
        <f t="shared" si="180"/>
        <v>1152.53504</v>
      </c>
      <c r="F812" s="83">
        <f t="shared" si="181"/>
        <v>318.28328999999997</v>
      </c>
      <c r="G812" s="84"/>
      <c r="H812" s="85"/>
      <c r="I812" s="85"/>
      <c r="J812" s="84"/>
      <c r="K812" s="85"/>
      <c r="L812" s="85"/>
      <c r="M812" s="85"/>
      <c r="N812" s="85"/>
      <c r="O812" s="82"/>
      <c r="P812" s="83"/>
      <c r="Q812" s="83"/>
      <c r="R812" s="83"/>
      <c r="S812" s="82"/>
      <c r="T812" s="83"/>
      <c r="U812" s="83"/>
      <c r="V812" s="84"/>
      <c r="W812" s="85"/>
      <c r="X812" s="87"/>
      <c r="Y812" s="83">
        <v>102.96</v>
      </c>
      <c r="Z812" s="84"/>
      <c r="AA812" s="85"/>
      <c r="AB812" s="84"/>
      <c r="AC812" s="85"/>
      <c r="AD812" s="89">
        <f t="shared" si="182"/>
        <v>53.18806</v>
      </c>
      <c r="AE812" s="89">
        <v>17.192799999999998</v>
      </c>
      <c r="AF812" s="186">
        <v>35.995260000000002</v>
      </c>
      <c r="AG812" s="85"/>
      <c r="AH812" s="85"/>
      <c r="AI812" s="85"/>
      <c r="AJ812" s="84"/>
      <c r="AK812" s="85"/>
      <c r="AL812" s="84"/>
      <c r="AM812" s="88"/>
      <c r="AN812" s="84"/>
      <c r="AO812" s="85"/>
      <c r="AP812" s="84"/>
      <c r="AQ812" s="83"/>
      <c r="AR812" s="83"/>
      <c r="AS812" s="83"/>
      <c r="AT812" s="85"/>
      <c r="AU812" s="85"/>
      <c r="AV812" s="85"/>
      <c r="AW812" s="88"/>
      <c r="AX812" s="84"/>
      <c r="AY812" s="85"/>
      <c r="AZ812" s="84">
        <v>179.03980999999999</v>
      </c>
      <c r="BA812" s="85">
        <v>162.13523000000001</v>
      </c>
      <c r="BB812" s="88"/>
      <c r="BC812" s="85"/>
      <c r="BD812" s="84"/>
      <c r="BE812" s="88"/>
      <c r="BF812" s="85"/>
      <c r="BG812" s="85"/>
      <c r="BH812" s="85"/>
      <c r="BI812" s="85"/>
      <c r="BJ812" s="85"/>
      <c r="BK812" s="85"/>
      <c r="BL812" s="85"/>
      <c r="BM812" s="85"/>
      <c r="BN812" s="85"/>
      <c r="BO812" s="85"/>
      <c r="BP812" s="85"/>
      <c r="BQ812" s="85"/>
      <c r="BR812" s="84">
        <v>973.49522999999999</v>
      </c>
      <c r="BS812" s="85"/>
      <c r="BT812" s="85"/>
      <c r="BU812" s="198"/>
      <c r="BV812" s="90"/>
      <c r="BW812" s="198"/>
      <c r="BX812" s="90"/>
      <c r="BY812" s="198"/>
      <c r="BZ812" s="90"/>
      <c r="CA812" s="91"/>
    </row>
    <row r="813" spans="1:79" ht="50.1" customHeight="1" outlineLevel="2" x14ac:dyDescent="0.3">
      <c r="A813" s="103" t="s">
        <v>677</v>
      </c>
      <c r="B813" s="102" t="s">
        <v>721</v>
      </c>
      <c r="C813" s="79" t="s">
        <v>55</v>
      </c>
      <c r="D813" s="81">
        <f t="shared" si="179"/>
        <v>341.12</v>
      </c>
      <c r="E813" s="82">
        <f t="shared" si="180"/>
        <v>0</v>
      </c>
      <c r="F813" s="83">
        <f t="shared" si="181"/>
        <v>341.12</v>
      </c>
      <c r="G813" s="84"/>
      <c r="H813" s="85"/>
      <c r="I813" s="85"/>
      <c r="J813" s="84"/>
      <c r="K813" s="85"/>
      <c r="L813" s="85"/>
      <c r="M813" s="85"/>
      <c r="N813" s="85"/>
      <c r="O813" s="82"/>
      <c r="P813" s="83"/>
      <c r="Q813" s="83"/>
      <c r="R813" s="83"/>
      <c r="S813" s="82"/>
      <c r="T813" s="83"/>
      <c r="U813" s="83"/>
      <c r="V813" s="84"/>
      <c r="W813" s="85"/>
      <c r="X813" s="87"/>
      <c r="Y813" s="83"/>
      <c r="Z813" s="84"/>
      <c r="AA813" s="85"/>
      <c r="AB813" s="84"/>
      <c r="AC813" s="85"/>
      <c r="AD813" s="89">
        <f t="shared" si="182"/>
        <v>0</v>
      </c>
      <c r="AE813" s="89"/>
      <c r="AF813" s="186"/>
      <c r="AG813" s="85"/>
      <c r="AH813" s="85"/>
      <c r="AI813" s="85"/>
      <c r="AJ813" s="84"/>
      <c r="AK813" s="85"/>
      <c r="AL813" s="84"/>
      <c r="AM813" s="88"/>
      <c r="AN813" s="84"/>
      <c r="AO813" s="85">
        <v>341.12</v>
      </c>
      <c r="AP813" s="84"/>
      <c r="AQ813" s="83"/>
      <c r="AR813" s="83"/>
      <c r="AS813" s="83"/>
      <c r="AT813" s="85"/>
      <c r="AU813" s="85"/>
      <c r="AV813" s="85"/>
      <c r="AW813" s="88"/>
      <c r="AX813" s="84"/>
      <c r="AY813" s="85"/>
      <c r="AZ813" s="84"/>
      <c r="BA813" s="85"/>
      <c r="BB813" s="88"/>
      <c r="BC813" s="85"/>
      <c r="BD813" s="84"/>
      <c r="BE813" s="88"/>
      <c r="BF813" s="85"/>
      <c r="BG813" s="85"/>
      <c r="BH813" s="85"/>
      <c r="BI813" s="85"/>
      <c r="BJ813" s="85"/>
      <c r="BK813" s="85"/>
      <c r="BL813" s="85"/>
      <c r="BM813" s="85"/>
      <c r="BN813" s="85"/>
      <c r="BO813" s="85"/>
      <c r="BP813" s="85"/>
      <c r="BQ813" s="85"/>
      <c r="BR813" s="84"/>
      <c r="BS813" s="85"/>
      <c r="BT813" s="85"/>
      <c r="BU813" s="198"/>
      <c r="BV813" s="90"/>
      <c r="BW813" s="198"/>
      <c r="BX813" s="90"/>
      <c r="BY813" s="198"/>
      <c r="BZ813" s="90"/>
      <c r="CA813" s="91"/>
    </row>
    <row r="814" spans="1:79" ht="58.5" customHeight="1" outlineLevel="2" x14ac:dyDescent="0.3">
      <c r="A814" s="103" t="s">
        <v>677</v>
      </c>
      <c r="B814" s="102" t="s">
        <v>1173</v>
      </c>
      <c r="C814" s="79" t="s">
        <v>55</v>
      </c>
      <c r="D814" s="81">
        <f t="shared" si="179"/>
        <v>2999.25</v>
      </c>
      <c r="E814" s="82">
        <f t="shared" si="180"/>
        <v>2849.2874999999999</v>
      </c>
      <c r="F814" s="83">
        <f t="shared" si="181"/>
        <v>149.96250000000001</v>
      </c>
      <c r="G814" s="84"/>
      <c r="H814" s="85"/>
      <c r="I814" s="85"/>
      <c r="J814" s="84"/>
      <c r="K814" s="85"/>
      <c r="L814" s="85"/>
      <c r="M814" s="85"/>
      <c r="N814" s="85"/>
      <c r="O814" s="82"/>
      <c r="P814" s="83"/>
      <c r="Q814" s="83"/>
      <c r="R814" s="83"/>
      <c r="S814" s="82"/>
      <c r="T814" s="83"/>
      <c r="U814" s="83"/>
      <c r="V814" s="84"/>
      <c r="W814" s="85"/>
      <c r="X814" s="87"/>
      <c r="Y814" s="83"/>
      <c r="Z814" s="84"/>
      <c r="AA814" s="85"/>
      <c r="AB814" s="84"/>
      <c r="AC814" s="85"/>
      <c r="AD814" s="89"/>
      <c r="AE814" s="83"/>
      <c r="AF814" s="123"/>
      <c r="AG814" s="85"/>
      <c r="AH814" s="85"/>
      <c r="AI814" s="85"/>
      <c r="AJ814" s="84"/>
      <c r="AK814" s="85"/>
      <c r="AL814" s="84"/>
      <c r="AM814" s="85"/>
      <c r="AN814" s="84"/>
      <c r="AO814" s="85"/>
      <c r="AP814" s="84"/>
      <c r="AQ814" s="83"/>
      <c r="AR814" s="83"/>
      <c r="AS814" s="83"/>
      <c r="AT814" s="85"/>
      <c r="AU814" s="85"/>
      <c r="AV814" s="85"/>
      <c r="AW814" s="85"/>
      <c r="AX814" s="84"/>
      <c r="AY814" s="85"/>
      <c r="AZ814" s="84"/>
      <c r="BA814" s="85"/>
      <c r="BB814" s="85"/>
      <c r="BC814" s="85"/>
      <c r="BD814" s="85"/>
      <c r="BE814" s="85"/>
      <c r="BF814" s="85"/>
      <c r="BG814" s="85"/>
      <c r="BH814" s="85"/>
      <c r="BI814" s="85"/>
      <c r="BJ814" s="85"/>
      <c r="BK814" s="85"/>
      <c r="BL814" s="85"/>
      <c r="BM814" s="85"/>
      <c r="BN814" s="85"/>
      <c r="BO814" s="85"/>
      <c r="BP814" s="85"/>
      <c r="BQ814" s="85"/>
      <c r="BR814" s="84"/>
      <c r="BS814" s="85"/>
      <c r="BT814" s="85"/>
      <c r="BU814" s="198"/>
      <c r="BV814" s="90">
        <v>2849.2874999999999</v>
      </c>
      <c r="BW814" s="198">
        <v>149.96250000000001</v>
      </c>
      <c r="BX814" s="90"/>
      <c r="BY814" s="198"/>
      <c r="BZ814" s="90"/>
      <c r="CA814" s="91"/>
    </row>
    <row r="815" spans="1:79" ht="50.1" customHeight="1" outlineLevel="2" x14ac:dyDescent="0.3">
      <c r="A815" s="103" t="s">
        <v>677</v>
      </c>
      <c r="B815" s="102" t="s">
        <v>1181</v>
      </c>
      <c r="C815" s="79" t="s">
        <v>55</v>
      </c>
      <c r="D815" s="81">
        <f t="shared" si="179"/>
        <v>3000</v>
      </c>
      <c r="E815" s="82">
        <f t="shared" si="180"/>
        <v>2850</v>
      </c>
      <c r="F815" s="83">
        <f t="shared" si="181"/>
        <v>150</v>
      </c>
      <c r="G815" s="84"/>
      <c r="H815" s="85"/>
      <c r="I815" s="85"/>
      <c r="J815" s="84"/>
      <c r="K815" s="85"/>
      <c r="L815" s="85"/>
      <c r="M815" s="85"/>
      <c r="N815" s="85"/>
      <c r="O815" s="82"/>
      <c r="P815" s="83"/>
      <c r="Q815" s="83"/>
      <c r="R815" s="83"/>
      <c r="S815" s="82"/>
      <c r="T815" s="83"/>
      <c r="U815" s="83"/>
      <c r="V815" s="84"/>
      <c r="W815" s="85"/>
      <c r="X815" s="87"/>
      <c r="Y815" s="83"/>
      <c r="Z815" s="84"/>
      <c r="AA815" s="85"/>
      <c r="AB815" s="84"/>
      <c r="AC815" s="85"/>
      <c r="AD815" s="89"/>
      <c r="AE815" s="83"/>
      <c r="AF815" s="123"/>
      <c r="AG815" s="85"/>
      <c r="AH815" s="85"/>
      <c r="AI815" s="85"/>
      <c r="AJ815" s="84"/>
      <c r="AK815" s="85"/>
      <c r="AL815" s="84"/>
      <c r="AM815" s="85"/>
      <c r="AN815" s="84"/>
      <c r="AO815" s="85"/>
      <c r="AP815" s="84"/>
      <c r="AQ815" s="83"/>
      <c r="AR815" s="83"/>
      <c r="AS815" s="83"/>
      <c r="AT815" s="85"/>
      <c r="AU815" s="85"/>
      <c r="AV815" s="85"/>
      <c r="AW815" s="85"/>
      <c r="AX815" s="84"/>
      <c r="AY815" s="85"/>
      <c r="AZ815" s="84"/>
      <c r="BA815" s="85"/>
      <c r="BB815" s="85"/>
      <c r="BC815" s="85"/>
      <c r="BD815" s="85"/>
      <c r="BE815" s="85"/>
      <c r="BF815" s="85"/>
      <c r="BG815" s="85"/>
      <c r="BH815" s="85"/>
      <c r="BI815" s="85"/>
      <c r="BJ815" s="85"/>
      <c r="BK815" s="85"/>
      <c r="BL815" s="85"/>
      <c r="BM815" s="85"/>
      <c r="BN815" s="85"/>
      <c r="BO815" s="85"/>
      <c r="BP815" s="85"/>
      <c r="BQ815" s="85"/>
      <c r="BR815" s="84"/>
      <c r="BS815" s="85"/>
      <c r="BT815" s="85"/>
      <c r="BU815" s="198"/>
      <c r="BV815" s="90">
        <v>2850</v>
      </c>
      <c r="BW815" s="198">
        <v>150</v>
      </c>
      <c r="BX815" s="90"/>
      <c r="BY815" s="198"/>
      <c r="BZ815" s="90"/>
      <c r="CA815" s="91"/>
    </row>
    <row r="816" spans="1:79" ht="50.1" customHeight="1" outlineLevel="2" x14ac:dyDescent="0.3">
      <c r="A816" s="103" t="s">
        <v>677</v>
      </c>
      <c r="B816" s="102" t="s">
        <v>1182</v>
      </c>
      <c r="C816" s="79" t="s">
        <v>55</v>
      </c>
      <c r="D816" s="81">
        <f t="shared" si="179"/>
        <v>2999.7000000000003</v>
      </c>
      <c r="E816" s="82">
        <f t="shared" si="180"/>
        <v>2849.7150000000001</v>
      </c>
      <c r="F816" s="83">
        <f t="shared" si="181"/>
        <v>149.98500000000001</v>
      </c>
      <c r="G816" s="84"/>
      <c r="H816" s="85"/>
      <c r="I816" s="85"/>
      <c r="J816" s="84"/>
      <c r="K816" s="85"/>
      <c r="L816" s="85"/>
      <c r="M816" s="85"/>
      <c r="N816" s="85"/>
      <c r="O816" s="82"/>
      <c r="P816" s="83"/>
      <c r="Q816" s="83"/>
      <c r="R816" s="83"/>
      <c r="S816" s="82"/>
      <c r="T816" s="83"/>
      <c r="U816" s="83"/>
      <c r="V816" s="84"/>
      <c r="W816" s="85"/>
      <c r="X816" s="87"/>
      <c r="Y816" s="83"/>
      <c r="Z816" s="84"/>
      <c r="AA816" s="85"/>
      <c r="AB816" s="84"/>
      <c r="AC816" s="85"/>
      <c r="AD816" s="89"/>
      <c r="AE816" s="83"/>
      <c r="AF816" s="123"/>
      <c r="AG816" s="85"/>
      <c r="AH816" s="85"/>
      <c r="AI816" s="85"/>
      <c r="AJ816" s="84"/>
      <c r="AK816" s="85"/>
      <c r="AL816" s="84"/>
      <c r="AM816" s="85"/>
      <c r="AN816" s="84"/>
      <c r="AO816" s="85"/>
      <c r="AP816" s="84"/>
      <c r="AQ816" s="83"/>
      <c r="AR816" s="83"/>
      <c r="AS816" s="83"/>
      <c r="AT816" s="85"/>
      <c r="AU816" s="85"/>
      <c r="AV816" s="85"/>
      <c r="AW816" s="85"/>
      <c r="AX816" s="84"/>
      <c r="AY816" s="85"/>
      <c r="AZ816" s="84"/>
      <c r="BA816" s="85"/>
      <c r="BB816" s="85"/>
      <c r="BC816" s="85"/>
      <c r="BD816" s="85"/>
      <c r="BE816" s="85"/>
      <c r="BF816" s="85"/>
      <c r="BG816" s="85"/>
      <c r="BH816" s="85"/>
      <c r="BI816" s="85"/>
      <c r="BJ816" s="85"/>
      <c r="BK816" s="85"/>
      <c r="BL816" s="85"/>
      <c r="BM816" s="85"/>
      <c r="BN816" s="85"/>
      <c r="BO816" s="85"/>
      <c r="BP816" s="85"/>
      <c r="BQ816" s="85"/>
      <c r="BR816" s="84"/>
      <c r="BS816" s="85"/>
      <c r="BT816" s="85"/>
      <c r="BU816" s="198"/>
      <c r="BV816" s="90">
        <v>2849.7150000000001</v>
      </c>
      <c r="BW816" s="198">
        <v>149.98500000000001</v>
      </c>
      <c r="BX816" s="90"/>
      <c r="BY816" s="198"/>
      <c r="BZ816" s="90"/>
      <c r="CA816" s="91"/>
    </row>
    <row r="817" spans="1:79" ht="50.1" customHeight="1" outlineLevel="2" x14ac:dyDescent="0.3">
      <c r="A817" s="103" t="s">
        <v>677</v>
      </c>
      <c r="B817" s="102" t="s">
        <v>1094</v>
      </c>
      <c r="C817" s="79" t="s">
        <v>55</v>
      </c>
      <c r="D817" s="81">
        <f t="shared" si="179"/>
        <v>6158.08</v>
      </c>
      <c r="E817" s="82">
        <f t="shared" si="180"/>
        <v>5700</v>
      </c>
      <c r="F817" s="83">
        <f t="shared" si="181"/>
        <v>458.08000000000004</v>
      </c>
      <c r="G817" s="84"/>
      <c r="H817" s="85"/>
      <c r="I817" s="85"/>
      <c r="J817" s="84"/>
      <c r="K817" s="85"/>
      <c r="L817" s="85"/>
      <c r="M817" s="85"/>
      <c r="N817" s="85"/>
      <c r="O817" s="82"/>
      <c r="P817" s="83"/>
      <c r="Q817" s="83"/>
      <c r="R817" s="83"/>
      <c r="S817" s="82"/>
      <c r="T817" s="83"/>
      <c r="U817" s="83"/>
      <c r="V817" s="84"/>
      <c r="W817" s="85"/>
      <c r="X817" s="87"/>
      <c r="Y817" s="83"/>
      <c r="Z817" s="84"/>
      <c r="AA817" s="85"/>
      <c r="AB817" s="84"/>
      <c r="AC817" s="85"/>
      <c r="AD817" s="89"/>
      <c r="AE817" s="89"/>
      <c r="AF817" s="186"/>
      <c r="AG817" s="85"/>
      <c r="AH817" s="85"/>
      <c r="AI817" s="85"/>
      <c r="AJ817" s="84"/>
      <c r="AK817" s="85"/>
      <c r="AL817" s="84"/>
      <c r="AM817" s="88"/>
      <c r="AN817" s="84"/>
      <c r="AO817" s="85">
        <v>158.08000000000001</v>
      </c>
      <c r="AP817" s="84"/>
      <c r="AQ817" s="83"/>
      <c r="AR817" s="83"/>
      <c r="AS817" s="83"/>
      <c r="AT817" s="85"/>
      <c r="AU817" s="85"/>
      <c r="AV817" s="85"/>
      <c r="AW817" s="88"/>
      <c r="AX817" s="84"/>
      <c r="AY817" s="85"/>
      <c r="AZ817" s="84"/>
      <c r="BA817" s="85"/>
      <c r="BB817" s="88"/>
      <c r="BC817" s="85"/>
      <c r="BD817" s="84"/>
      <c r="BE817" s="88"/>
      <c r="BF817" s="85"/>
      <c r="BG817" s="85"/>
      <c r="BH817" s="85"/>
      <c r="BI817" s="85"/>
      <c r="BJ817" s="85"/>
      <c r="BK817" s="85"/>
      <c r="BL817" s="85"/>
      <c r="BM817" s="85"/>
      <c r="BN817" s="85"/>
      <c r="BO817" s="85"/>
      <c r="BP817" s="85"/>
      <c r="BQ817" s="85"/>
      <c r="BR817" s="84"/>
      <c r="BS817" s="85"/>
      <c r="BT817" s="85"/>
      <c r="BU817" s="198"/>
      <c r="BV817" s="90"/>
      <c r="BW817" s="198"/>
      <c r="BX817" s="90"/>
      <c r="BY817" s="198"/>
      <c r="BZ817" s="90">
        <v>5700</v>
      </c>
      <c r="CA817" s="233">
        <v>300</v>
      </c>
    </row>
    <row r="818" spans="1:79" ht="50.1" customHeight="1" outlineLevel="2" x14ac:dyDescent="0.3">
      <c r="A818" s="103" t="s">
        <v>677</v>
      </c>
      <c r="B818" s="102" t="s">
        <v>722</v>
      </c>
      <c r="C818" s="79" t="s">
        <v>55</v>
      </c>
      <c r="D818" s="81">
        <f t="shared" si="179"/>
        <v>588.46548000000007</v>
      </c>
      <c r="E818" s="82">
        <f t="shared" si="180"/>
        <v>504.17634000000004</v>
      </c>
      <c r="F818" s="83">
        <f t="shared" si="181"/>
        <v>84.289140000000003</v>
      </c>
      <c r="G818" s="84"/>
      <c r="H818" s="85"/>
      <c r="I818" s="85"/>
      <c r="J818" s="84"/>
      <c r="K818" s="85"/>
      <c r="L818" s="85"/>
      <c r="M818" s="85"/>
      <c r="N818" s="85"/>
      <c r="O818" s="82"/>
      <c r="P818" s="83"/>
      <c r="Q818" s="83"/>
      <c r="R818" s="83"/>
      <c r="S818" s="82"/>
      <c r="T818" s="83"/>
      <c r="U818" s="83"/>
      <c r="V818" s="84"/>
      <c r="W818" s="85"/>
      <c r="X818" s="87"/>
      <c r="Y818" s="83"/>
      <c r="Z818" s="84"/>
      <c r="AA818" s="85"/>
      <c r="AB818" s="84"/>
      <c r="AC818" s="85"/>
      <c r="AD818" s="89">
        <f t="shared" si="182"/>
        <v>0</v>
      </c>
      <c r="AE818" s="89"/>
      <c r="AF818" s="186"/>
      <c r="AG818" s="85"/>
      <c r="AH818" s="85"/>
      <c r="AI818" s="85"/>
      <c r="AJ818" s="84"/>
      <c r="AK818" s="85"/>
      <c r="AL818" s="84"/>
      <c r="AM818" s="88"/>
      <c r="AN818" s="84"/>
      <c r="AO818" s="85"/>
      <c r="AP818" s="84"/>
      <c r="AQ818" s="83"/>
      <c r="AR818" s="83"/>
      <c r="AS818" s="83"/>
      <c r="AT818" s="85"/>
      <c r="AU818" s="85"/>
      <c r="AV818" s="85"/>
      <c r="AW818" s="88"/>
      <c r="AX818" s="84"/>
      <c r="AY818" s="85"/>
      <c r="AZ818" s="84">
        <v>93.077399999999997</v>
      </c>
      <c r="BA818" s="85">
        <v>84.289140000000003</v>
      </c>
      <c r="BB818" s="88"/>
      <c r="BC818" s="85"/>
      <c r="BD818" s="84"/>
      <c r="BE818" s="88"/>
      <c r="BF818" s="85"/>
      <c r="BG818" s="85"/>
      <c r="BH818" s="85"/>
      <c r="BI818" s="85"/>
      <c r="BJ818" s="85"/>
      <c r="BK818" s="85"/>
      <c r="BL818" s="85"/>
      <c r="BM818" s="85"/>
      <c r="BN818" s="85"/>
      <c r="BO818" s="85"/>
      <c r="BP818" s="85"/>
      <c r="BQ818" s="85"/>
      <c r="BR818" s="84">
        <v>411.09894000000003</v>
      </c>
      <c r="BS818" s="85"/>
      <c r="BT818" s="85"/>
      <c r="BU818" s="198"/>
      <c r="BV818" s="90"/>
      <c r="BW818" s="198"/>
      <c r="BX818" s="90"/>
      <c r="BY818" s="198"/>
      <c r="BZ818" s="90"/>
      <c r="CA818" s="91"/>
    </row>
    <row r="819" spans="1:79" ht="50.1" customHeight="1" outlineLevel="2" x14ac:dyDescent="0.3">
      <c r="A819" s="103" t="s">
        <v>677</v>
      </c>
      <c r="B819" s="102" t="s">
        <v>723</v>
      </c>
      <c r="C819" s="79" t="s">
        <v>55</v>
      </c>
      <c r="D819" s="81">
        <f t="shared" si="179"/>
        <v>81.47645</v>
      </c>
      <c r="E819" s="82">
        <f t="shared" si="180"/>
        <v>33.957059999999998</v>
      </c>
      <c r="F819" s="83">
        <f t="shared" si="181"/>
        <v>47.519390000000001</v>
      </c>
      <c r="G819" s="84"/>
      <c r="H819" s="85"/>
      <c r="I819" s="85"/>
      <c r="J819" s="84"/>
      <c r="K819" s="85"/>
      <c r="L819" s="85"/>
      <c r="M819" s="85"/>
      <c r="N819" s="85"/>
      <c r="O819" s="82"/>
      <c r="P819" s="83"/>
      <c r="Q819" s="83"/>
      <c r="R819" s="83"/>
      <c r="S819" s="82"/>
      <c r="T819" s="83"/>
      <c r="U819" s="83"/>
      <c r="V819" s="84">
        <v>6.9584999999999999</v>
      </c>
      <c r="W819" s="85">
        <v>12.15</v>
      </c>
      <c r="X819" s="87"/>
      <c r="Y819" s="83">
        <v>10.92</v>
      </c>
      <c r="Z819" s="84"/>
      <c r="AA819" s="85"/>
      <c r="AB819" s="84"/>
      <c r="AC819" s="85"/>
      <c r="AD819" s="89">
        <f t="shared" si="182"/>
        <v>0</v>
      </c>
      <c r="AE819" s="89"/>
      <c r="AF819" s="186"/>
      <c r="AG819" s="85"/>
      <c r="AH819" s="85"/>
      <c r="AI819" s="85"/>
      <c r="AJ819" s="84"/>
      <c r="AK819" s="85"/>
      <c r="AL819" s="84"/>
      <c r="AM819" s="88"/>
      <c r="AN819" s="84"/>
      <c r="AO819" s="85"/>
      <c r="AP819" s="84"/>
      <c r="AQ819" s="83"/>
      <c r="AR819" s="83"/>
      <c r="AS819" s="83"/>
      <c r="AT819" s="85"/>
      <c r="AU819" s="85"/>
      <c r="AV819" s="85"/>
      <c r="AW819" s="88"/>
      <c r="AX819" s="84"/>
      <c r="AY819" s="85"/>
      <c r="AZ819" s="84">
        <v>26.998560000000001</v>
      </c>
      <c r="BA819" s="85">
        <v>24.449390000000001</v>
      </c>
      <c r="BB819" s="88"/>
      <c r="BC819" s="85"/>
      <c r="BD819" s="84"/>
      <c r="BE819" s="88"/>
      <c r="BF819" s="85"/>
      <c r="BG819" s="85"/>
      <c r="BH819" s="85"/>
      <c r="BI819" s="85"/>
      <c r="BJ819" s="85"/>
      <c r="BK819" s="85"/>
      <c r="BL819" s="85"/>
      <c r="BM819" s="85"/>
      <c r="BN819" s="85"/>
      <c r="BO819" s="85"/>
      <c r="BP819" s="85"/>
      <c r="BQ819" s="85"/>
      <c r="BR819" s="84"/>
      <c r="BS819" s="85"/>
      <c r="BT819" s="85"/>
      <c r="BU819" s="198"/>
      <c r="BV819" s="90"/>
      <c r="BW819" s="198"/>
      <c r="BX819" s="90"/>
      <c r="BY819" s="198"/>
      <c r="BZ819" s="90"/>
      <c r="CA819" s="91"/>
    </row>
    <row r="820" spans="1:79" ht="50.1" customHeight="1" outlineLevel="2" x14ac:dyDescent="0.3">
      <c r="A820" s="103" t="s">
        <v>677</v>
      </c>
      <c r="B820" s="102" t="s">
        <v>724</v>
      </c>
      <c r="C820" s="79" t="s">
        <v>55</v>
      </c>
      <c r="D820" s="81">
        <f t="shared" si="179"/>
        <v>119.79116999999999</v>
      </c>
      <c r="E820" s="82">
        <f t="shared" si="180"/>
        <v>117.18812</v>
      </c>
      <c r="F820" s="83">
        <f t="shared" si="181"/>
        <v>2.6030500000000001</v>
      </c>
      <c r="G820" s="84"/>
      <c r="H820" s="85"/>
      <c r="I820" s="85"/>
      <c r="J820" s="84"/>
      <c r="K820" s="85"/>
      <c r="L820" s="85"/>
      <c r="M820" s="85"/>
      <c r="N820" s="85"/>
      <c r="O820" s="82"/>
      <c r="P820" s="83"/>
      <c r="Q820" s="83"/>
      <c r="R820" s="83"/>
      <c r="S820" s="82"/>
      <c r="T820" s="83"/>
      <c r="U820" s="83"/>
      <c r="V820" s="84"/>
      <c r="W820" s="85"/>
      <c r="X820" s="87"/>
      <c r="Y820" s="83"/>
      <c r="Z820" s="84"/>
      <c r="AA820" s="85"/>
      <c r="AB820" s="84"/>
      <c r="AC820" s="85"/>
      <c r="AD820" s="89">
        <f t="shared" si="182"/>
        <v>0</v>
      </c>
      <c r="AE820" s="89"/>
      <c r="AF820" s="186"/>
      <c r="AG820" s="85"/>
      <c r="AH820" s="85"/>
      <c r="AI820" s="85"/>
      <c r="AJ820" s="84"/>
      <c r="AK820" s="85"/>
      <c r="AL820" s="84"/>
      <c r="AM820" s="88"/>
      <c r="AN820" s="84"/>
      <c r="AO820" s="85"/>
      <c r="AP820" s="84"/>
      <c r="AQ820" s="83"/>
      <c r="AR820" s="83"/>
      <c r="AS820" s="83"/>
      <c r="AT820" s="85"/>
      <c r="AU820" s="85"/>
      <c r="AV820" s="85"/>
      <c r="AW820" s="88"/>
      <c r="AX820" s="84"/>
      <c r="AY820" s="85"/>
      <c r="AZ820" s="84">
        <v>2.8744499999999999</v>
      </c>
      <c r="BA820" s="85">
        <v>2.6030500000000001</v>
      </c>
      <c r="BB820" s="88"/>
      <c r="BC820" s="85"/>
      <c r="BD820" s="84"/>
      <c r="BE820" s="88"/>
      <c r="BF820" s="85"/>
      <c r="BG820" s="85"/>
      <c r="BH820" s="85"/>
      <c r="BI820" s="85"/>
      <c r="BJ820" s="85"/>
      <c r="BK820" s="85"/>
      <c r="BL820" s="85"/>
      <c r="BM820" s="85"/>
      <c r="BN820" s="85"/>
      <c r="BO820" s="85"/>
      <c r="BP820" s="85"/>
      <c r="BQ820" s="85"/>
      <c r="BR820" s="84">
        <v>114.31367</v>
      </c>
      <c r="BS820" s="85"/>
      <c r="BT820" s="85"/>
      <c r="BU820" s="198"/>
      <c r="BV820" s="90"/>
      <c r="BW820" s="198"/>
      <c r="BX820" s="90"/>
      <c r="BY820" s="198"/>
      <c r="BZ820" s="90"/>
      <c r="CA820" s="91"/>
    </row>
    <row r="821" spans="1:79" ht="50.1" customHeight="1" outlineLevel="2" x14ac:dyDescent="0.3">
      <c r="A821" s="103" t="s">
        <v>677</v>
      </c>
      <c r="B821" s="102" t="s">
        <v>725</v>
      </c>
      <c r="C821" s="79" t="s">
        <v>55</v>
      </c>
      <c r="D821" s="81">
        <f t="shared" si="179"/>
        <v>251.71814000000001</v>
      </c>
      <c r="E821" s="82">
        <f t="shared" si="180"/>
        <v>128.21561</v>
      </c>
      <c r="F821" s="83">
        <f t="shared" si="181"/>
        <v>123.50253000000001</v>
      </c>
      <c r="G821" s="84"/>
      <c r="H821" s="85"/>
      <c r="I821" s="85"/>
      <c r="J821" s="84"/>
      <c r="K821" s="85"/>
      <c r="L821" s="85"/>
      <c r="M821" s="85"/>
      <c r="N821" s="85"/>
      <c r="O821" s="82">
        <f>9.11685+29.19169</f>
        <v>38.308540000000001</v>
      </c>
      <c r="P821" s="83">
        <f>0.60187+1.9165</f>
        <v>2.51837</v>
      </c>
      <c r="Q821" s="83"/>
      <c r="R821" s="83"/>
      <c r="S821" s="82"/>
      <c r="T821" s="83"/>
      <c r="U821" s="83"/>
      <c r="V821" s="84">
        <v>8.1182499999999997</v>
      </c>
      <c r="W821" s="85">
        <v>14.175000000000001</v>
      </c>
      <c r="X821" s="87"/>
      <c r="Y821" s="83">
        <v>24.96</v>
      </c>
      <c r="Z821" s="84"/>
      <c r="AA821" s="85"/>
      <c r="AB821" s="84"/>
      <c r="AC821" s="85"/>
      <c r="AD821" s="89">
        <f t="shared" si="182"/>
        <v>7.7827599999999997</v>
      </c>
      <c r="AE821" s="89"/>
      <c r="AF821" s="186">
        <v>7.7827599999999997</v>
      </c>
      <c r="AG821" s="85"/>
      <c r="AH821" s="85"/>
      <c r="AI821" s="85"/>
      <c r="AJ821" s="84"/>
      <c r="AK821" s="85"/>
      <c r="AL821" s="84"/>
      <c r="AM821" s="88"/>
      <c r="AN821" s="84"/>
      <c r="AO821" s="85"/>
      <c r="AP821" s="84"/>
      <c r="AQ821" s="83"/>
      <c r="AR821" s="83"/>
      <c r="AS821" s="83"/>
      <c r="AT821" s="85"/>
      <c r="AU821" s="85"/>
      <c r="AV821" s="85"/>
      <c r="AW821" s="88"/>
      <c r="AX821" s="84"/>
      <c r="AY821" s="85"/>
      <c r="AZ821" s="84">
        <v>81.788820000000001</v>
      </c>
      <c r="BA821" s="85">
        <v>74.066400000000002</v>
      </c>
      <c r="BB821" s="88"/>
      <c r="BC821" s="85"/>
      <c r="BD821" s="84"/>
      <c r="BE821" s="88"/>
      <c r="BF821" s="85"/>
      <c r="BG821" s="85"/>
      <c r="BH821" s="85"/>
      <c r="BI821" s="85"/>
      <c r="BJ821" s="85"/>
      <c r="BK821" s="85"/>
      <c r="BL821" s="85"/>
      <c r="BM821" s="85"/>
      <c r="BN821" s="85"/>
      <c r="BO821" s="85"/>
      <c r="BP821" s="85"/>
      <c r="BQ821" s="85"/>
      <c r="BR821" s="84"/>
      <c r="BS821" s="85"/>
      <c r="BT821" s="85"/>
      <c r="BU821" s="198"/>
      <c r="BV821" s="90"/>
      <c r="BW821" s="198"/>
      <c r="BX821" s="90"/>
      <c r="BY821" s="198"/>
      <c r="BZ821" s="90"/>
      <c r="CA821" s="91"/>
    </row>
    <row r="822" spans="1:79" ht="50.1" customHeight="1" outlineLevel="2" x14ac:dyDescent="0.3">
      <c r="A822" s="103" t="s">
        <v>677</v>
      </c>
      <c r="B822" s="102" t="s">
        <v>726</v>
      </c>
      <c r="C822" s="79" t="s">
        <v>55</v>
      </c>
      <c r="D822" s="81">
        <f t="shared" si="179"/>
        <v>2831.9992299999999</v>
      </c>
      <c r="E822" s="82">
        <f t="shared" si="180"/>
        <v>2488.0286999999998</v>
      </c>
      <c r="F822" s="83">
        <f t="shared" si="181"/>
        <v>343.97053000000005</v>
      </c>
      <c r="G822" s="84"/>
      <c r="H822" s="85"/>
      <c r="I822" s="85"/>
      <c r="J822" s="84">
        <v>162.87253000000001</v>
      </c>
      <c r="K822" s="85">
        <v>49.24053</v>
      </c>
      <c r="L822" s="85"/>
      <c r="M822" s="85"/>
      <c r="N822" s="85"/>
      <c r="O822" s="82">
        <v>46.554209999999998</v>
      </c>
      <c r="P822" s="83">
        <v>2.4502199999999998</v>
      </c>
      <c r="Q822" s="83"/>
      <c r="R822" s="83"/>
      <c r="S822" s="82"/>
      <c r="T822" s="83"/>
      <c r="U822" s="83"/>
      <c r="V822" s="84"/>
      <c r="W822" s="85"/>
      <c r="X822" s="87"/>
      <c r="Y822" s="83">
        <v>101.4</v>
      </c>
      <c r="Z822" s="84"/>
      <c r="AA822" s="85"/>
      <c r="AB822" s="84"/>
      <c r="AC822" s="85"/>
      <c r="AD822" s="89">
        <f t="shared" si="182"/>
        <v>0</v>
      </c>
      <c r="AE822" s="89"/>
      <c r="AF822" s="186"/>
      <c r="AG822" s="85"/>
      <c r="AH822" s="85"/>
      <c r="AI822" s="85"/>
      <c r="AJ822" s="84"/>
      <c r="AK822" s="85"/>
      <c r="AL822" s="84"/>
      <c r="AM822" s="88"/>
      <c r="AN822" s="84"/>
      <c r="AO822" s="85"/>
      <c r="AP822" s="84"/>
      <c r="AQ822" s="83"/>
      <c r="AR822" s="83"/>
      <c r="AS822" s="83"/>
      <c r="AT822" s="85"/>
      <c r="AU822" s="85"/>
      <c r="AV822" s="85"/>
      <c r="AW822" s="88"/>
      <c r="AX822" s="84"/>
      <c r="AY822" s="85"/>
      <c r="AZ822" s="84">
        <v>210.78148999999999</v>
      </c>
      <c r="BA822" s="85">
        <v>190.87978000000001</v>
      </c>
      <c r="BB822" s="88"/>
      <c r="BC822" s="85"/>
      <c r="BD822" s="84"/>
      <c r="BE822" s="88"/>
      <c r="BF822" s="85"/>
      <c r="BG822" s="85"/>
      <c r="BH822" s="85"/>
      <c r="BI822" s="85"/>
      <c r="BJ822" s="85"/>
      <c r="BK822" s="85"/>
      <c r="BL822" s="85"/>
      <c r="BM822" s="85"/>
      <c r="BN822" s="85"/>
      <c r="BO822" s="85"/>
      <c r="BP822" s="85"/>
      <c r="BQ822" s="85"/>
      <c r="BR822" s="84">
        <v>2067.8204700000001</v>
      </c>
      <c r="BS822" s="85"/>
      <c r="BT822" s="85"/>
      <c r="BU822" s="198"/>
      <c r="BV822" s="90"/>
      <c r="BW822" s="198"/>
      <c r="BX822" s="90"/>
      <c r="BY822" s="198"/>
      <c r="BZ822" s="90"/>
      <c r="CA822" s="91"/>
    </row>
    <row r="823" spans="1:79" ht="50.1" customHeight="1" outlineLevel="2" x14ac:dyDescent="0.3">
      <c r="A823" s="103" t="s">
        <v>677</v>
      </c>
      <c r="B823" s="102" t="s">
        <v>727</v>
      </c>
      <c r="C823" s="79" t="s">
        <v>55</v>
      </c>
      <c r="D823" s="81">
        <f t="shared" si="179"/>
        <v>525.92403000000002</v>
      </c>
      <c r="E823" s="82">
        <f t="shared" si="180"/>
        <v>98.198309999999992</v>
      </c>
      <c r="F823" s="83">
        <f t="shared" si="181"/>
        <v>427.72572000000002</v>
      </c>
      <c r="G823" s="84"/>
      <c r="H823" s="85"/>
      <c r="I823" s="85"/>
      <c r="J823" s="84"/>
      <c r="K823" s="85"/>
      <c r="L823" s="85"/>
      <c r="M823" s="85"/>
      <c r="N823" s="85"/>
      <c r="O823" s="82">
        <f>2.26241+21.26598</f>
        <v>23.528389999999998</v>
      </c>
      <c r="P823" s="83">
        <f>0.24595+1.37965</f>
        <v>1.6255999999999999</v>
      </c>
      <c r="Q823" s="83"/>
      <c r="R823" s="83"/>
      <c r="S823" s="82"/>
      <c r="T823" s="83"/>
      <c r="U823" s="83"/>
      <c r="V823" s="84">
        <v>8.1182499999999997</v>
      </c>
      <c r="W823" s="85">
        <v>14.175000000000001</v>
      </c>
      <c r="X823" s="87"/>
      <c r="Y823" s="83">
        <v>29.64</v>
      </c>
      <c r="Z823" s="84"/>
      <c r="AA823" s="85"/>
      <c r="AB823" s="84"/>
      <c r="AC823" s="85"/>
      <c r="AD823" s="89">
        <f t="shared" si="182"/>
        <v>0</v>
      </c>
      <c r="AE823" s="89"/>
      <c r="AF823" s="186"/>
      <c r="AG823" s="85"/>
      <c r="AH823" s="85"/>
      <c r="AI823" s="85"/>
      <c r="AJ823" s="84"/>
      <c r="AK823" s="85"/>
      <c r="AL823" s="84"/>
      <c r="AM823" s="88"/>
      <c r="AN823" s="84"/>
      <c r="AO823" s="85"/>
      <c r="AP823" s="84"/>
      <c r="AQ823" s="83"/>
      <c r="AR823" s="83"/>
      <c r="AS823" s="83"/>
      <c r="AT823" s="85"/>
      <c r="AU823" s="85"/>
      <c r="AV823" s="85">
        <v>322.0172</v>
      </c>
      <c r="AW823" s="88"/>
      <c r="AX823" s="84"/>
      <c r="AY823" s="85"/>
      <c r="AZ823" s="84">
        <v>66.551670000000001</v>
      </c>
      <c r="BA823" s="85">
        <v>60.267919999999997</v>
      </c>
      <c r="BB823" s="88"/>
      <c r="BC823" s="85"/>
      <c r="BD823" s="84"/>
      <c r="BE823" s="88"/>
      <c r="BF823" s="85"/>
      <c r="BG823" s="85"/>
      <c r="BH823" s="85"/>
      <c r="BI823" s="85"/>
      <c r="BJ823" s="85"/>
      <c r="BK823" s="85"/>
      <c r="BL823" s="85"/>
      <c r="BM823" s="85"/>
      <c r="BN823" s="85"/>
      <c r="BO823" s="85"/>
      <c r="BP823" s="85"/>
      <c r="BQ823" s="85"/>
      <c r="BR823" s="84"/>
      <c r="BS823" s="85"/>
      <c r="BT823" s="85"/>
      <c r="BU823" s="198"/>
      <c r="BV823" s="90"/>
      <c r="BW823" s="198"/>
      <c r="BX823" s="90"/>
      <c r="BY823" s="198"/>
      <c r="BZ823" s="90"/>
      <c r="CA823" s="91"/>
    </row>
    <row r="824" spans="1:79" ht="50.1" customHeight="1" outlineLevel="2" x14ac:dyDescent="0.3">
      <c r="A824" s="103" t="s">
        <v>677</v>
      </c>
      <c r="B824" s="102" t="s">
        <v>728</v>
      </c>
      <c r="C824" s="79" t="s">
        <v>55</v>
      </c>
      <c r="D824" s="81">
        <f t="shared" si="179"/>
        <v>1384.7908299999999</v>
      </c>
      <c r="E824" s="82">
        <f t="shared" si="180"/>
        <v>139.21393</v>
      </c>
      <c r="F824" s="83">
        <f t="shared" si="181"/>
        <v>1245.5769</v>
      </c>
      <c r="G824" s="84"/>
      <c r="H824" s="85"/>
      <c r="I824" s="85"/>
      <c r="J824" s="84"/>
      <c r="K824" s="85"/>
      <c r="L824" s="85">
        <v>69.903890000000004</v>
      </c>
      <c r="M824" s="85"/>
      <c r="N824" s="85"/>
      <c r="O824" s="82">
        <f>14.83323+21.20543</f>
        <v>36.03866</v>
      </c>
      <c r="P824" s="83">
        <f>0.97441+1.3778</f>
        <v>2.3522099999999999</v>
      </c>
      <c r="Q824" s="83"/>
      <c r="R824" s="83"/>
      <c r="S824" s="82"/>
      <c r="T824" s="83"/>
      <c r="U824" s="83"/>
      <c r="V824" s="84"/>
      <c r="W824" s="85"/>
      <c r="X824" s="87"/>
      <c r="Y824" s="83">
        <v>45.24</v>
      </c>
      <c r="Z824" s="84"/>
      <c r="AA824" s="85"/>
      <c r="AB824" s="84"/>
      <c r="AC824" s="85"/>
      <c r="AD824" s="89">
        <f t="shared" si="182"/>
        <v>11.67414</v>
      </c>
      <c r="AE824" s="89"/>
      <c r="AF824" s="186">
        <v>11.67414</v>
      </c>
      <c r="AG824" s="85"/>
      <c r="AH824" s="85"/>
      <c r="AI824" s="85"/>
      <c r="AJ824" s="84"/>
      <c r="AK824" s="85"/>
      <c r="AL824" s="84"/>
      <c r="AM824" s="88"/>
      <c r="AN824" s="84"/>
      <c r="AO824" s="85"/>
      <c r="AP824" s="84"/>
      <c r="AQ824" s="83"/>
      <c r="AR824" s="83"/>
      <c r="AS824" s="83"/>
      <c r="AT824" s="85"/>
      <c r="AU824" s="85"/>
      <c r="AV824" s="85">
        <v>956.07033999999999</v>
      </c>
      <c r="AW824" s="88"/>
      <c r="AX824" s="84"/>
      <c r="AY824" s="85"/>
      <c r="AZ824" s="84">
        <v>103.17527</v>
      </c>
      <c r="BA824" s="85">
        <v>93.433520000000001</v>
      </c>
      <c r="BB824" s="88"/>
      <c r="BC824" s="85"/>
      <c r="BD824" s="84"/>
      <c r="BE824" s="88"/>
      <c r="BF824" s="85"/>
      <c r="BG824" s="85">
        <v>66.902799999999999</v>
      </c>
      <c r="BH824" s="85"/>
      <c r="BI824" s="85"/>
      <c r="BJ824" s="85"/>
      <c r="BK824" s="85"/>
      <c r="BL824" s="85"/>
      <c r="BM824" s="85"/>
      <c r="BN824" s="85"/>
      <c r="BO824" s="85"/>
      <c r="BP824" s="85"/>
      <c r="BQ824" s="85"/>
      <c r="BR824" s="84"/>
      <c r="BS824" s="85"/>
      <c r="BT824" s="85"/>
      <c r="BU824" s="198"/>
      <c r="BV824" s="90"/>
      <c r="BW824" s="198"/>
      <c r="BX824" s="90"/>
      <c r="BY824" s="198"/>
      <c r="BZ824" s="90"/>
      <c r="CA824" s="91"/>
    </row>
    <row r="825" spans="1:79" ht="50.1" customHeight="1" outlineLevel="2" x14ac:dyDescent="0.3">
      <c r="A825" s="103" t="s">
        <v>677</v>
      </c>
      <c r="B825" s="102" t="s">
        <v>729</v>
      </c>
      <c r="C825" s="79" t="s">
        <v>55</v>
      </c>
      <c r="D825" s="81">
        <f t="shared" si="179"/>
        <v>513.76796999999999</v>
      </c>
      <c r="E825" s="82">
        <f t="shared" si="180"/>
        <v>139.95713999999998</v>
      </c>
      <c r="F825" s="83">
        <f t="shared" si="181"/>
        <v>373.81083000000001</v>
      </c>
      <c r="G825" s="84"/>
      <c r="H825" s="85"/>
      <c r="I825" s="85"/>
      <c r="J825" s="84"/>
      <c r="K825" s="85"/>
      <c r="L825" s="85">
        <v>217.47134</v>
      </c>
      <c r="M825" s="85"/>
      <c r="N825" s="85"/>
      <c r="O825" s="82">
        <v>30.434909999999999</v>
      </c>
      <c r="P825" s="83">
        <v>1.9845299999999999</v>
      </c>
      <c r="Q825" s="83"/>
      <c r="R825" s="83"/>
      <c r="S825" s="82"/>
      <c r="T825" s="83"/>
      <c r="U825" s="83"/>
      <c r="V825" s="84"/>
      <c r="W825" s="85"/>
      <c r="X825" s="87"/>
      <c r="Y825" s="83">
        <v>42.12</v>
      </c>
      <c r="Z825" s="84"/>
      <c r="AA825" s="85"/>
      <c r="AB825" s="84"/>
      <c r="AC825" s="85"/>
      <c r="AD825" s="89">
        <f t="shared" si="182"/>
        <v>13.053799999999999</v>
      </c>
      <c r="AE825" s="89">
        <v>4.2981999999999996</v>
      </c>
      <c r="AF825" s="186">
        <v>8.7555999999999994</v>
      </c>
      <c r="AG825" s="85"/>
      <c r="AH825" s="85"/>
      <c r="AI825" s="85"/>
      <c r="AJ825" s="84"/>
      <c r="AK825" s="85"/>
      <c r="AL825" s="84"/>
      <c r="AM825" s="88"/>
      <c r="AN825" s="84"/>
      <c r="AO825" s="85"/>
      <c r="AP825" s="84"/>
      <c r="AQ825" s="83"/>
      <c r="AR825" s="83"/>
      <c r="AS825" s="83"/>
      <c r="AT825" s="85"/>
      <c r="AU825" s="85"/>
      <c r="AV825" s="85"/>
      <c r="AW825" s="88"/>
      <c r="AX825" s="84"/>
      <c r="AY825" s="85"/>
      <c r="AZ825" s="84">
        <v>109.52222999999999</v>
      </c>
      <c r="BA825" s="85">
        <v>99.181160000000006</v>
      </c>
      <c r="BB825" s="88"/>
      <c r="BC825" s="85"/>
      <c r="BD825" s="84"/>
      <c r="BE825" s="88"/>
      <c r="BF825" s="85"/>
      <c r="BG825" s="85"/>
      <c r="BH825" s="85"/>
      <c r="BI825" s="85"/>
      <c r="BJ825" s="85"/>
      <c r="BK825" s="85"/>
      <c r="BL825" s="85"/>
      <c r="BM825" s="85"/>
      <c r="BN825" s="85"/>
      <c r="BO825" s="85"/>
      <c r="BP825" s="85"/>
      <c r="BQ825" s="85"/>
      <c r="BR825" s="84"/>
      <c r="BS825" s="85"/>
      <c r="BT825" s="85"/>
      <c r="BU825" s="198"/>
      <c r="BV825" s="90"/>
      <c r="BW825" s="198"/>
      <c r="BX825" s="90"/>
      <c r="BY825" s="198"/>
      <c r="BZ825" s="90"/>
      <c r="CA825" s="91"/>
    </row>
    <row r="826" spans="1:79" ht="50.1" customHeight="1" outlineLevel="2" x14ac:dyDescent="0.3">
      <c r="A826" s="103" t="s">
        <v>677</v>
      </c>
      <c r="B826" s="102" t="s">
        <v>730</v>
      </c>
      <c r="C826" s="79" t="s">
        <v>55</v>
      </c>
      <c r="D826" s="81">
        <f t="shared" si="179"/>
        <v>498.66801999999996</v>
      </c>
      <c r="E826" s="82">
        <f t="shared" si="180"/>
        <v>106.16036</v>
      </c>
      <c r="F826" s="83">
        <f t="shared" si="181"/>
        <v>392.50765999999999</v>
      </c>
      <c r="G826" s="84"/>
      <c r="H826" s="85"/>
      <c r="I826" s="85"/>
      <c r="J826" s="84"/>
      <c r="K826" s="85"/>
      <c r="L826" s="85"/>
      <c r="M826" s="85"/>
      <c r="N826" s="85"/>
      <c r="O826" s="82"/>
      <c r="P826" s="83"/>
      <c r="Q826" s="83"/>
      <c r="R826" s="83"/>
      <c r="S826" s="82"/>
      <c r="T826" s="83"/>
      <c r="U826" s="83"/>
      <c r="V826" s="84"/>
      <c r="W826" s="85"/>
      <c r="X826" s="87"/>
      <c r="Y826" s="83">
        <v>48.671999999999997</v>
      </c>
      <c r="Z826" s="84"/>
      <c r="AA826" s="85"/>
      <c r="AB826" s="84"/>
      <c r="AC826" s="85"/>
      <c r="AD826" s="89">
        <f t="shared" si="182"/>
        <v>0</v>
      </c>
      <c r="AE826" s="89"/>
      <c r="AF826" s="186"/>
      <c r="AG826" s="85"/>
      <c r="AH826" s="85"/>
      <c r="AI826" s="85"/>
      <c r="AJ826" s="84"/>
      <c r="AK826" s="85"/>
      <c r="AL826" s="84"/>
      <c r="AM826" s="88"/>
      <c r="AN826" s="84"/>
      <c r="AO826" s="85"/>
      <c r="AP826" s="84"/>
      <c r="AQ826" s="83"/>
      <c r="AR826" s="83"/>
      <c r="AS826" s="83"/>
      <c r="AT826" s="85"/>
      <c r="AU826" s="85"/>
      <c r="AV826" s="85"/>
      <c r="AW826" s="88"/>
      <c r="AX826" s="84"/>
      <c r="AY826" s="85"/>
      <c r="AZ826" s="84">
        <v>106.16036</v>
      </c>
      <c r="BA826" s="85">
        <v>96.136719999999997</v>
      </c>
      <c r="BB826" s="88"/>
      <c r="BC826" s="85"/>
      <c r="BD826" s="84"/>
      <c r="BE826" s="88"/>
      <c r="BF826" s="85"/>
      <c r="BG826" s="85">
        <v>247.69893999999999</v>
      </c>
      <c r="BH826" s="85"/>
      <c r="BI826" s="85"/>
      <c r="BJ826" s="85"/>
      <c r="BK826" s="85"/>
      <c r="BL826" s="85"/>
      <c r="BM826" s="85"/>
      <c r="BN826" s="85"/>
      <c r="BO826" s="85"/>
      <c r="BP826" s="85"/>
      <c r="BQ826" s="85"/>
      <c r="BR826" s="84"/>
      <c r="BS826" s="85"/>
      <c r="BT826" s="85"/>
      <c r="BU826" s="198"/>
      <c r="BV826" s="90"/>
      <c r="BW826" s="198"/>
      <c r="BX826" s="90"/>
      <c r="BY826" s="198"/>
      <c r="BZ826" s="90"/>
      <c r="CA826" s="91"/>
    </row>
    <row r="827" spans="1:79" ht="50.1" customHeight="1" outlineLevel="2" x14ac:dyDescent="0.3">
      <c r="A827" s="103" t="s">
        <v>677</v>
      </c>
      <c r="B827" s="102" t="s">
        <v>731</v>
      </c>
      <c r="C827" s="79" t="s">
        <v>55</v>
      </c>
      <c r="D827" s="81">
        <f t="shared" si="179"/>
        <v>380.57717000000002</v>
      </c>
      <c r="E827" s="82">
        <f t="shared" si="180"/>
        <v>266.06838000000005</v>
      </c>
      <c r="F827" s="83">
        <f t="shared" si="181"/>
        <v>114.50879</v>
      </c>
      <c r="G827" s="84"/>
      <c r="H827" s="85"/>
      <c r="I827" s="85"/>
      <c r="J827" s="84">
        <v>55.986130000000003</v>
      </c>
      <c r="K827" s="85">
        <v>8.7738899999999997</v>
      </c>
      <c r="L827" s="85"/>
      <c r="M827" s="85"/>
      <c r="N827" s="85"/>
      <c r="O827" s="82"/>
      <c r="P827" s="83"/>
      <c r="Q827" s="83"/>
      <c r="R827" s="83"/>
      <c r="S827" s="82"/>
      <c r="T827" s="83"/>
      <c r="U827" s="83"/>
      <c r="V827" s="84"/>
      <c r="W827" s="85"/>
      <c r="X827" s="87"/>
      <c r="Y827" s="83">
        <v>34.32</v>
      </c>
      <c r="Z827" s="84"/>
      <c r="AA827" s="85"/>
      <c r="AB827" s="84"/>
      <c r="AC827" s="85"/>
      <c r="AD827" s="89">
        <f t="shared" si="182"/>
        <v>0</v>
      </c>
      <c r="AE827" s="89"/>
      <c r="AF827" s="186"/>
      <c r="AG827" s="85"/>
      <c r="AH827" s="85"/>
      <c r="AI827" s="85"/>
      <c r="AJ827" s="84"/>
      <c r="AK827" s="85"/>
      <c r="AL827" s="84"/>
      <c r="AM827" s="88"/>
      <c r="AN827" s="84"/>
      <c r="AO827" s="85"/>
      <c r="AP827" s="84"/>
      <c r="AQ827" s="83"/>
      <c r="AR827" s="83"/>
      <c r="AS827" s="83"/>
      <c r="AT827" s="85"/>
      <c r="AU827" s="85"/>
      <c r="AV827" s="85"/>
      <c r="AW827" s="88"/>
      <c r="AX827" s="84"/>
      <c r="AY827" s="85"/>
      <c r="AZ827" s="84">
        <v>78.860830000000007</v>
      </c>
      <c r="BA827" s="85">
        <v>71.414900000000003</v>
      </c>
      <c r="BB827" s="88"/>
      <c r="BC827" s="85"/>
      <c r="BD827" s="84"/>
      <c r="BE827" s="88"/>
      <c r="BF827" s="85"/>
      <c r="BG827" s="85"/>
      <c r="BH827" s="85"/>
      <c r="BI827" s="85"/>
      <c r="BJ827" s="85"/>
      <c r="BK827" s="85"/>
      <c r="BL827" s="85"/>
      <c r="BM827" s="85"/>
      <c r="BN827" s="85"/>
      <c r="BO827" s="85"/>
      <c r="BP827" s="85"/>
      <c r="BQ827" s="85"/>
      <c r="BR827" s="84">
        <v>131.22141999999999</v>
      </c>
      <c r="BS827" s="85"/>
      <c r="BT827" s="85"/>
      <c r="BU827" s="198"/>
      <c r="BV827" s="90"/>
      <c r="BW827" s="198"/>
      <c r="BX827" s="90"/>
      <c r="BY827" s="198"/>
      <c r="BZ827" s="90"/>
      <c r="CA827" s="91"/>
    </row>
    <row r="828" spans="1:79" ht="50.1" customHeight="1" outlineLevel="2" x14ac:dyDescent="0.3">
      <c r="A828" s="96" t="s">
        <v>677</v>
      </c>
      <c r="B828" s="80" t="s">
        <v>732</v>
      </c>
      <c r="C828" s="79" t="s">
        <v>55</v>
      </c>
      <c r="D828" s="81">
        <f t="shared" ref="D828:D836" si="183">E828+F828</f>
        <v>1178.6610699999999</v>
      </c>
      <c r="E828" s="82">
        <f t="shared" si="180"/>
        <v>798.94076999999993</v>
      </c>
      <c r="F828" s="83">
        <f t="shared" si="181"/>
        <v>379.72029999999995</v>
      </c>
      <c r="G828" s="84"/>
      <c r="H828" s="85"/>
      <c r="I828" s="85"/>
      <c r="J828" s="84"/>
      <c r="K828" s="85"/>
      <c r="L828" s="85"/>
      <c r="M828" s="85"/>
      <c r="N828" s="85"/>
      <c r="O828" s="82"/>
      <c r="P828" s="83"/>
      <c r="Q828" s="83"/>
      <c r="R828" s="83"/>
      <c r="S828" s="82"/>
      <c r="T828" s="83"/>
      <c r="U828" s="83"/>
      <c r="V828" s="84"/>
      <c r="W828" s="85"/>
      <c r="X828" s="87"/>
      <c r="Y828" s="83">
        <v>106.08</v>
      </c>
      <c r="Z828" s="84"/>
      <c r="AA828" s="85"/>
      <c r="AB828" s="84"/>
      <c r="AC828" s="85"/>
      <c r="AD828" s="89">
        <f t="shared" si="182"/>
        <v>0</v>
      </c>
      <c r="AE828" s="89"/>
      <c r="AF828" s="186"/>
      <c r="AG828" s="85"/>
      <c r="AH828" s="85"/>
      <c r="AI828" s="85"/>
      <c r="AJ828" s="84"/>
      <c r="AK828" s="85"/>
      <c r="AL828" s="84"/>
      <c r="AM828" s="88"/>
      <c r="AN828" s="84"/>
      <c r="AO828" s="85"/>
      <c r="AP828" s="84"/>
      <c r="AQ828" s="83"/>
      <c r="AR828" s="83"/>
      <c r="AS828" s="83"/>
      <c r="AT828" s="85"/>
      <c r="AU828" s="85"/>
      <c r="AV828" s="85"/>
      <c r="AW828" s="88"/>
      <c r="AX828" s="84"/>
      <c r="AY828" s="85"/>
      <c r="AZ828" s="84">
        <v>207.75146000000001</v>
      </c>
      <c r="BA828" s="85">
        <v>188.13574</v>
      </c>
      <c r="BB828" s="88"/>
      <c r="BC828" s="85"/>
      <c r="BD828" s="84"/>
      <c r="BE828" s="88"/>
      <c r="BF828" s="85"/>
      <c r="BG828" s="85"/>
      <c r="BH828" s="85"/>
      <c r="BI828" s="85"/>
      <c r="BJ828" s="85"/>
      <c r="BK828" s="85">
        <v>85.504559999999998</v>
      </c>
      <c r="BL828" s="85"/>
      <c r="BM828" s="85"/>
      <c r="BN828" s="85"/>
      <c r="BO828" s="85"/>
      <c r="BP828" s="85"/>
      <c r="BQ828" s="85"/>
      <c r="BR828" s="84">
        <v>591.18930999999998</v>
      </c>
      <c r="BS828" s="85"/>
      <c r="BT828" s="85"/>
      <c r="BU828" s="198"/>
      <c r="BV828" s="90"/>
      <c r="BW828" s="198"/>
      <c r="BX828" s="90"/>
      <c r="BY828" s="198"/>
      <c r="BZ828" s="90"/>
      <c r="CA828" s="91"/>
    </row>
    <row r="829" spans="1:79" ht="50.1" customHeight="1" outlineLevel="2" x14ac:dyDescent="0.3">
      <c r="A829" s="103" t="s">
        <v>677</v>
      </c>
      <c r="B829" s="102" t="s">
        <v>733</v>
      </c>
      <c r="C829" s="79" t="s">
        <v>55</v>
      </c>
      <c r="D829" s="81">
        <f t="shared" si="183"/>
        <v>72.228279999999998</v>
      </c>
      <c r="E829" s="82">
        <f t="shared" ref="E829:E836" si="184">G829+J829+O829+S829+V829+X829+Z829+AB829+AJ829+AL829+AN829+AP829+AX829+AZ829+BD829+BV829+BX829+BZ829+BR829</f>
        <v>36.896979999999999</v>
      </c>
      <c r="F829" s="83">
        <f t="shared" si="181"/>
        <v>35.331299999999999</v>
      </c>
      <c r="G829" s="84"/>
      <c r="H829" s="85"/>
      <c r="I829" s="85"/>
      <c r="J829" s="84"/>
      <c r="K829" s="85"/>
      <c r="L829" s="85"/>
      <c r="M829" s="85"/>
      <c r="N829" s="85"/>
      <c r="O829" s="82">
        <v>11.112959999999999</v>
      </c>
      <c r="P829" s="83">
        <v>0.74978</v>
      </c>
      <c r="Q829" s="83"/>
      <c r="R829" s="83"/>
      <c r="S829" s="82"/>
      <c r="T829" s="83"/>
      <c r="U829" s="83"/>
      <c r="V829" s="84"/>
      <c r="W829" s="85"/>
      <c r="X829" s="87"/>
      <c r="Y829" s="83">
        <v>11.231999999999999</v>
      </c>
      <c r="Z829" s="84"/>
      <c r="AA829" s="85"/>
      <c r="AB829" s="84"/>
      <c r="AC829" s="85"/>
      <c r="AD829" s="89">
        <f t="shared" si="182"/>
        <v>0</v>
      </c>
      <c r="AE829" s="89"/>
      <c r="AF829" s="186"/>
      <c r="AG829" s="85"/>
      <c r="AH829" s="85"/>
      <c r="AI829" s="85"/>
      <c r="AJ829" s="84"/>
      <c r="AK829" s="85"/>
      <c r="AL829" s="84"/>
      <c r="AM829" s="88"/>
      <c r="AN829" s="84"/>
      <c r="AO829" s="85"/>
      <c r="AP829" s="84"/>
      <c r="AQ829" s="83"/>
      <c r="AR829" s="83"/>
      <c r="AS829" s="83"/>
      <c r="AT829" s="85"/>
      <c r="AU829" s="85"/>
      <c r="AV829" s="85"/>
      <c r="AW829" s="88"/>
      <c r="AX829" s="84"/>
      <c r="AY829" s="85"/>
      <c r="AZ829" s="84">
        <v>25.784020000000002</v>
      </c>
      <c r="BA829" s="85">
        <v>23.349519999999998</v>
      </c>
      <c r="BB829" s="88"/>
      <c r="BC829" s="85"/>
      <c r="BD829" s="84"/>
      <c r="BE829" s="88"/>
      <c r="BF829" s="85"/>
      <c r="BG829" s="85"/>
      <c r="BH829" s="85"/>
      <c r="BI829" s="85"/>
      <c r="BJ829" s="85"/>
      <c r="BK829" s="85"/>
      <c r="BL829" s="85"/>
      <c r="BM829" s="85"/>
      <c r="BN829" s="85"/>
      <c r="BO829" s="85"/>
      <c r="BP829" s="85"/>
      <c r="BQ829" s="85"/>
      <c r="BR829" s="84"/>
      <c r="BS829" s="85"/>
      <c r="BT829" s="85"/>
      <c r="BU829" s="198"/>
      <c r="BV829" s="90"/>
      <c r="BW829" s="198"/>
      <c r="BX829" s="90"/>
      <c r="BY829" s="198"/>
      <c r="BZ829" s="90"/>
      <c r="CA829" s="91"/>
    </row>
    <row r="830" spans="1:79" ht="50.1" customHeight="1" outlineLevel="2" x14ac:dyDescent="0.3">
      <c r="A830" s="103" t="s">
        <v>677</v>
      </c>
      <c r="B830" s="102" t="s">
        <v>734</v>
      </c>
      <c r="C830" s="79" t="s">
        <v>55</v>
      </c>
      <c r="D830" s="81">
        <f t="shared" si="183"/>
        <v>133.42958000000002</v>
      </c>
      <c r="E830" s="82">
        <f t="shared" si="184"/>
        <v>55.284770000000002</v>
      </c>
      <c r="F830" s="83">
        <f t="shared" si="181"/>
        <v>78.144810000000007</v>
      </c>
      <c r="G830" s="84"/>
      <c r="H830" s="85"/>
      <c r="I830" s="85"/>
      <c r="J830" s="84"/>
      <c r="K830" s="85"/>
      <c r="L830" s="85"/>
      <c r="M830" s="85"/>
      <c r="N830" s="85"/>
      <c r="O830" s="82"/>
      <c r="P830" s="83"/>
      <c r="Q830" s="83"/>
      <c r="R830" s="83"/>
      <c r="S830" s="82"/>
      <c r="T830" s="83"/>
      <c r="U830" s="83"/>
      <c r="V830" s="84"/>
      <c r="W830" s="85"/>
      <c r="X830" s="87"/>
      <c r="Y830" s="83">
        <v>28.08</v>
      </c>
      <c r="Z830" s="84"/>
      <c r="AA830" s="85"/>
      <c r="AB830" s="84"/>
      <c r="AC830" s="85"/>
      <c r="AD830" s="89">
        <f t="shared" si="182"/>
        <v>0</v>
      </c>
      <c r="AE830" s="89"/>
      <c r="AF830" s="186"/>
      <c r="AG830" s="85"/>
      <c r="AH830" s="85"/>
      <c r="AI830" s="85"/>
      <c r="AJ830" s="84"/>
      <c r="AK830" s="85"/>
      <c r="AL830" s="84"/>
      <c r="AM830" s="88"/>
      <c r="AN830" s="84"/>
      <c r="AO830" s="85"/>
      <c r="AP830" s="84"/>
      <c r="AQ830" s="83"/>
      <c r="AR830" s="83"/>
      <c r="AS830" s="83"/>
      <c r="AT830" s="85"/>
      <c r="AU830" s="85"/>
      <c r="AV830" s="85"/>
      <c r="AW830" s="88"/>
      <c r="AX830" s="84"/>
      <c r="AY830" s="85"/>
      <c r="AZ830" s="84">
        <v>55.284770000000002</v>
      </c>
      <c r="BA830" s="85">
        <v>50.064810000000001</v>
      </c>
      <c r="BB830" s="88"/>
      <c r="BC830" s="85"/>
      <c r="BD830" s="84"/>
      <c r="BE830" s="88"/>
      <c r="BF830" s="85"/>
      <c r="BG830" s="85"/>
      <c r="BH830" s="85"/>
      <c r="BI830" s="85"/>
      <c r="BJ830" s="85"/>
      <c r="BK830" s="85"/>
      <c r="BL830" s="85"/>
      <c r="BM830" s="85"/>
      <c r="BN830" s="85"/>
      <c r="BO830" s="85"/>
      <c r="BP830" s="85"/>
      <c r="BQ830" s="85"/>
      <c r="BR830" s="84"/>
      <c r="BS830" s="85"/>
      <c r="BT830" s="85"/>
      <c r="BU830" s="198"/>
      <c r="BV830" s="90"/>
      <c r="BW830" s="198"/>
      <c r="BX830" s="90"/>
      <c r="BY830" s="198"/>
      <c r="BZ830" s="90"/>
      <c r="CA830" s="91"/>
    </row>
    <row r="831" spans="1:79" ht="50.1" customHeight="1" outlineLevel="2" x14ac:dyDescent="0.3">
      <c r="A831" s="103" t="s">
        <v>677</v>
      </c>
      <c r="B831" s="102" t="s">
        <v>735</v>
      </c>
      <c r="C831" s="79" t="s">
        <v>55</v>
      </c>
      <c r="D831" s="81">
        <f t="shared" si="183"/>
        <v>177.02125999999998</v>
      </c>
      <c r="E831" s="82">
        <f t="shared" si="184"/>
        <v>145.52754999999999</v>
      </c>
      <c r="F831" s="83">
        <f t="shared" si="181"/>
        <v>31.49371</v>
      </c>
      <c r="G831" s="84"/>
      <c r="H831" s="85"/>
      <c r="I831" s="85"/>
      <c r="J831" s="84"/>
      <c r="K831" s="85"/>
      <c r="L831" s="85"/>
      <c r="M831" s="85"/>
      <c r="N831" s="85"/>
      <c r="O831" s="82"/>
      <c r="P831" s="83"/>
      <c r="Q831" s="83"/>
      <c r="R831" s="83"/>
      <c r="S831" s="82"/>
      <c r="T831" s="83"/>
      <c r="U831" s="83"/>
      <c r="V831" s="84"/>
      <c r="W831" s="85"/>
      <c r="X831" s="87"/>
      <c r="Y831" s="83">
        <v>25.271999999999998</v>
      </c>
      <c r="Z831" s="84"/>
      <c r="AA831" s="85"/>
      <c r="AB831" s="84"/>
      <c r="AC831" s="85"/>
      <c r="AD831" s="89">
        <f t="shared" si="182"/>
        <v>0</v>
      </c>
      <c r="AE831" s="89"/>
      <c r="AF831" s="186"/>
      <c r="AG831" s="85"/>
      <c r="AH831" s="85"/>
      <c r="AI831" s="85"/>
      <c r="AJ831" s="84"/>
      <c r="AK831" s="85"/>
      <c r="AL831" s="84"/>
      <c r="AM831" s="88"/>
      <c r="AN831" s="84"/>
      <c r="AO831" s="85"/>
      <c r="AP831" s="84"/>
      <c r="AQ831" s="83"/>
      <c r="AR831" s="83"/>
      <c r="AS831" s="83"/>
      <c r="AT831" s="85"/>
      <c r="AU831" s="85"/>
      <c r="AV831" s="85"/>
      <c r="AW831" s="88"/>
      <c r="AX831" s="84"/>
      <c r="AY831" s="85"/>
      <c r="AZ831" s="84">
        <v>6.8704000000000001</v>
      </c>
      <c r="BA831" s="85">
        <v>6.2217099999999999</v>
      </c>
      <c r="BB831" s="88"/>
      <c r="BC831" s="85"/>
      <c r="BD831" s="84"/>
      <c r="BE831" s="88"/>
      <c r="BF831" s="85"/>
      <c r="BG831" s="85"/>
      <c r="BH831" s="85"/>
      <c r="BI831" s="85"/>
      <c r="BJ831" s="85"/>
      <c r="BK831" s="85"/>
      <c r="BL831" s="85"/>
      <c r="BM831" s="85"/>
      <c r="BN831" s="85"/>
      <c r="BO831" s="85"/>
      <c r="BP831" s="85"/>
      <c r="BQ831" s="85"/>
      <c r="BR831" s="84">
        <v>138.65715</v>
      </c>
      <c r="BS831" s="85"/>
      <c r="BT831" s="85"/>
      <c r="BU831" s="198"/>
      <c r="BV831" s="90"/>
      <c r="BW831" s="198"/>
      <c r="BX831" s="90"/>
      <c r="BY831" s="198"/>
      <c r="BZ831" s="90"/>
      <c r="CA831" s="91"/>
    </row>
    <row r="832" spans="1:79" ht="50.1" customHeight="1" outlineLevel="2" x14ac:dyDescent="0.3">
      <c r="A832" s="103" t="s">
        <v>677</v>
      </c>
      <c r="B832" s="102" t="s">
        <v>1204</v>
      </c>
      <c r="C832" s="79" t="s">
        <v>55</v>
      </c>
      <c r="D832" s="81">
        <f t="shared" si="183"/>
        <v>3000</v>
      </c>
      <c r="E832" s="82">
        <f t="shared" si="184"/>
        <v>0</v>
      </c>
      <c r="F832" s="83">
        <f t="shared" si="181"/>
        <v>3000</v>
      </c>
      <c r="G832" s="84"/>
      <c r="H832" s="85"/>
      <c r="I832" s="85"/>
      <c r="J832" s="84"/>
      <c r="K832" s="85"/>
      <c r="L832" s="85"/>
      <c r="M832" s="85"/>
      <c r="N832" s="85"/>
      <c r="O832" s="82"/>
      <c r="P832" s="83"/>
      <c r="Q832" s="83"/>
      <c r="R832" s="83"/>
      <c r="S832" s="82"/>
      <c r="T832" s="83"/>
      <c r="U832" s="83"/>
      <c r="V832" s="84"/>
      <c r="W832" s="85"/>
      <c r="X832" s="87"/>
      <c r="Y832" s="83"/>
      <c r="Z832" s="84"/>
      <c r="AA832" s="85"/>
      <c r="AB832" s="84"/>
      <c r="AC832" s="85"/>
      <c r="AD832" s="89"/>
      <c r="AE832" s="89"/>
      <c r="AF832" s="186"/>
      <c r="AG832" s="85"/>
      <c r="AH832" s="85"/>
      <c r="AI832" s="85"/>
      <c r="AJ832" s="84"/>
      <c r="AK832" s="85"/>
      <c r="AL832" s="84"/>
      <c r="AM832" s="88"/>
      <c r="AN832" s="84"/>
      <c r="AO832" s="85"/>
      <c r="AP832" s="84"/>
      <c r="AQ832" s="83"/>
      <c r="AR832" s="83"/>
      <c r="AS832" s="83"/>
      <c r="AT832" s="85"/>
      <c r="AU832" s="85"/>
      <c r="AV832" s="85"/>
      <c r="AW832" s="88"/>
      <c r="AX832" s="84"/>
      <c r="AY832" s="85"/>
      <c r="AZ832" s="84"/>
      <c r="BA832" s="85"/>
      <c r="BB832" s="88"/>
      <c r="BC832" s="85"/>
      <c r="BD832" s="84"/>
      <c r="BE832" s="88"/>
      <c r="BF832" s="85"/>
      <c r="BG832" s="85"/>
      <c r="BH832" s="85"/>
      <c r="BI832" s="85"/>
      <c r="BJ832" s="85"/>
      <c r="BK832" s="85"/>
      <c r="BL832" s="85"/>
      <c r="BM832" s="85"/>
      <c r="BN832" s="85"/>
      <c r="BO832" s="85"/>
      <c r="BP832" s="85"/>
      <c r="BQ832" s="85"/>
      <c r="BR832" s="84"/>
      <c r="BS832" s="85"/>
      <c r="BT832" s="85"/>
      <c r="BU832" s="198"/>
      <c r="BV832" s="90"/>
      <c r="BW832" s="198">
        <v>3000</v>
      </c>
      <c r="BX832" s="90"/>
      <c r="BY832" s="198"/>
      <c r="BZ832" s="90"/>
      <c r="CA832" s="91"/>
    </row>
    <row r="833" spans="1:1199" ht="50.1" customHeight="1" outlineLevel="2" x14ac:dyDescent="0.3">
      <c r="A833" s="103" t="s">
        <v>677</v>
      </c>
      <c r="B833" s="111" t="s">
        <v>1039</v>
      </c>
      <c r="C833" s="79"/>
      <c r="D833" s="81">
        <f t="shared" si="183"/>
        <v>300</v>
      </c>
      <c r="E833" s="82">
        <f t="shared" si="184"/>
        <v>0</v>
      </c>
      <c r="F833" s="83">
        <f t="shared" si="181"/>
        <v>300</v>
      </c>
      <c r="G833" s="84"/>
      <c r="H833" s="85"/>
      <c r="I833" s="85"/>
      <c r="J833" s="84"/>
      <c r="K833" s="85"/>
      <c r="L833" s="85"/>
      <c r="M833" s="85"/>
      <c r="N833" s="85"/>
      <c r="O833" s="82"/>
      <c r="P833" s="83"/>
      <c r="Q833" s="83"/>
      <c r="R833" s="83"/>
      <c r="S833" s="82"/>
      <c r="T833" s="83"/>
      <c r="U833" s="83"/>
      <c r="V833" s="84"/>
      <c r="W833" s="85"/>
      <c r="X833" s="87"/>
      <c r="Y833" s="83"/>
      <c r="Z833" s="84"/>
      <c r="AA833" s="85"/>
      <c r="AB833" s="84"/>
      <c r="AC833" s="85"/>
      <c r="AD833" s="89">
        <f t="shared" si="182"/>
        <v>0</v>
      </c>
      <c r="AE833" s="89"/>
      <c r="AF833" s="186"/>
      <c r="AG833" s="85"/>
      <c r="AH833" s="85"/>
      <c r="AI833" s="85"/>
      <c r="AJ833" s="84"/>
      <c r="AK833" s="85"/>
      <c r="AL833" s="84"/>
      <c r="AM833" s="88"/>
      <c r="AN833" s="84"/>
      <c r="AO833" s="85"/>
      <c r="AP833" s="84"/>
      <c r="AQ833" s="83"/>
      <c r="AR833" s="83"/>
      <c r="AS833" s="83"/>
      <c r="AT833" s="85"/>
      <c r="AU833" s="85"/>
      <c r="AV833" s="85"/>
      <c r="AW833" s="88"/>
      <c r="AX833" s="84"/>
      <c r="AY833" s="85"/>
      <c r="AZ833" s="84"/>
      <c r="BA833" s="85"/>
      <c r="BB833" s="88"/>
      <c r="BC833" s="85"/>
      <c r="BD833" s="84"/>
      <c r="BE833" s="88"/>
      <c r="BF833" s="85"/>
      <c r="BG833" s="85"/>
      <c r="BH833" s="85">
        <v>300</v>
      </c>
      <c r="BI833" s="85"/>
      <c r="BJ833" s="85"/>
      <c r="BK833" s="85"/>
      <c r="BL833" s="85"/>
      <c r="BM833" s="85"/>
      <c r="BN833" s="85"/>
      <c r="BO833" s="85"/>
      <c r="BP833" s="85"/>
      <c r="BQ833" s="85"/>
      <c r="BR833" s="84"/>
      <c r="BS833" s="85"/>
      <c r="BT833" s="85"/>
      <c r="BU833" s="198"/>
      <c r="BV833" s="90"/>
      <c r="BW833" s="198"/>
      <c r="BX833" s="90"/>
      <c r="BY833" s="198"/>
      <c r="BZ833" s="90"/>
      <c r="CA833" s="91"/>
    </row>
    <row r="834" spans="1:1199" ht="50.1" customHeight="1" outlineLevel="2" x14ac:dyDescent="0.3">
      <c r="A834" s="103" t="s">
        <v>677</v>
      </c>
      <c r="B834" s="111" t="s">
        <v>1110</v>
      </c>
      <c r="C834" s="79"/>
      <c r="D834" s="81">
        <f t="shared" si="183"/>
        <v>300</v>
      </c>
      <c r="E834" s="82">
        <f t="shared" si="184"/>
        <v>0</v>
      </c>
      <c r="F834" s="83">
        <f t="shared" si="181"/>
        <v>300</v>
      </c>
      <c r="G834" s="84"/>
      <c r="H834" s="85"/>
      <c r="I834" s="85"/>
      <c r="J834" s="84"/>
      <c r="K834" s="85"/>
      <c r="L834" s="85"/>
      <c r="M834" s="85"/>
      <c r="N834" s="85"/>
      <c r="O834" s="82"/>
      <c r="P834" s="83"/>
      <c r="Q834" s="83"/>
      <c r="R834" s="83"/>
      <c r="S834" s="82"/>
      <c r="T834" s="83"/>
      <c r="U834" s="83"/>
      <c r="V834" s="84"/>
      <c r="W834" s="85"/>
      <c r="X834" s="87"/>
      <c r="Y834" s="83"/>
      <c r="Z834" s="84"/>
      <c r="AA834" s="85"/>
      <c r="AB834" s="84"/>
      <c r="AC834" s="85"/>
      <c r="AD834" s="89">
        <f t="shared" si="182"/>
        <v>0</v>
      </c>
      <c r="AE834" s="89"/>
      <c r="AF834" s="186"/>
      <c r="AG834" s="85"/>
      <c r="AH834" s="85"/>
      <c r="AI834" s="85"/>
      <c r="AJ834" s="84"/>
      <c r="AK834" s="85"/>
      <c r="AL834" s="84"/>
      <c r="AM834" s="88"/>
      <c r="AN834" s="84"/>
      <c r="AO834" s="85"/>
      <c r="AP834" s="84"/>
      <c r="AQ834" s="83"/>
      <c r="AR834" s="83"/>
      <c r="AS834" s="83"/>
      <c r="AT834" s="85"/>
      <c r="AU834" s="85"/>
      <c r="AV834" s="85"/>
      <c r="AW834" s="88"/>
      <c r="AX834" s="84"/>
      <c r="AY834" s="85"/>
      <c r="AZ834" s="84"/>
      <c r="BA834" s="85"/>
      <c r="BB834" s="88"/>
      <c r="BC834" s="85"/>
      <c r="BD834" s="84"/>
      <c r="BE834" s="88"/>
      <c r="BF834" s="85"/>
      <c r="BG834" s="85"/>
      <c r="BH834" s="85">
        <v>300</v>
      </c>
      <c r="BI834" s="85"/>
      <c r="BJ834" s="85"/>
      <c r="BK834" s="85"/>
      <c r="BL834" s="85"/>
      <c r="BM834" s="85"/>
      <c r="BN834" s="85"/>
      <c r="BO834" s="85"/>
      <c r="BP834" s="85"/>
      <c r="BQ834" s="85"/>
      <c r="BR834" s="84"/>
      <c r="BS834" s="85"/>
      <c r="BT834" s="85"/>
      <c r="BU834" s="198"/>
      <c r="BV834" s="90"/>
      <c r="BW834" s="198"/>
      <c r="BX834" s="90"/>
      <c r="BY834" s="198"/>
      <c r="BZ834" s="90"/>
      <c r="CA834" s="91"/>
    </row>
    <row r="835" spans="1:1199" ht="50.1" customHeight="1" outlineLevel="2" x14ac:dyDescent="0.3">
      <c r="A835" s="103" t="s">
        <v>677</v>
      </c>
      <c r="B835" s="111" t="s">
        <v>1111</v>
      </c>
      <c r="C835" s="79"/>
      <c r="D835" s="81">
        <f t="shared" si="183"/>
        <v>300</v>
      </c>
      <c r="E835" s="82">
        <f t="shared" si="184"/>
        <v>0</v>
      </c>
      <c r="F835" s="83">
        <f t="shared" si="181"/>
        <v>300</v>
      </c>
      <c r="G835" s="84"/>
      <c r="H835" s="85"/>
      <c r="I835" s="85"/>
      <c r="J835" s="84"/>
      <c r="K835" s="85"/>
      <c r="L835" s="85"/>
      <c r="M835" s="85"/>
      <c r="N835" s="85"/>
      <c r="O835" s="82"/>
      <c r="P835" s="83"/>
      <c r="Q835" s="83"/>
      <c r="R835" s="83"/>
      <c r="S835" s="82"/>
      <c r="T835" s="83"/>
      <c r="U835" s="83"/>
      <c r="V835" s="84"/>
      <c r="W835" s="85"/>
      <c r="X835" s="87"/>
      <c r="Y835" s="83"/>
      <c r="Z835" s="84"/>
      <c r="AA835" s="85"/>
      <c r="AB835" s="84"/>
      <c r="AC835" s="85"/>
      <c r="AD835" s="89">
        <f t="shared" si="182"/>
        <v>0</v>
      </c>
      <c r="AE835" s="89"/>
      <c r="AF835" s="186"/>
      <c r="AG835" s="85"/>
      <c r="AH835" s="85"/>
      <c r="AI835" s="85"/>
      <c r="AJ835" s="84"/>
      <c r="AK835" s="85"/>
      <c r="AL835" s="84"/>
      <c r="AM835" s="88"/>
      <c r="AN835" s="84"/>
      <c r="AO835" s="85"/>
      <c r="AP835" s="84"/>
      <c r="AQ835" s="83"/>
      <c r="AR835" s="83"/>
      <c r="AS835" s="83"/>
      <c r="AT835" s="85"/>
      <c r="AU835" s="85"/>
      <c r="AV835" s="85"/>
      <c r="AW835" s="88"/>
      <c r="AX835" s="84"/>
      <c r="AY835" s="85"/>
      <c r="AZ835" s="84"/>
      <c r="BA835" s="85"/>
      <c r="BB835" s="88"/>
      <c r="BC835" s="85"/>
      <c r="BD835" s="84"/>
      <c r="BE835" s="88"/>
      <c r="BF835" s="85"/>
      <c r="BG835" s="85"/>
      <c r="BH835" s="85">
        <v>300</v>
      </c>
      <c r="BI835" s="85"/>
      <c r="BJ835" s="85"/>
      <c r="BK835" s="85"/>
      <c r="BL835" s="85"/>
      <c r="BM835" s="85"/>
      <c r="BN835" s="85"/>
      <c r="BO835" s="85"/>
      <c r="BP835" s="85"/>
      <c r="BQ835" s="85"/>
      <c r="BR835" s="84"/>
      <c r="BS835" s="85"/>
      <c r="BT835" s="85"/>
      <c r="BU835" s="198"/>
      <c r="BV835" s="90"/>
      <c r="BW835" s="198"/>
      <c r="BX835" s="90"/>
      <c r="BY835" s="198"/>
      <c r="BZ835" s="90"/>
      <c r="CA835" s="91"/>
    </row>
    <row r="836" spans="1:1199" ht="50.1" customHeight="1" outlineLevel="2" x14ac:dyDescent="0.3">
      <c r="A836" s="103" t="s">
        <v>677</v>
      </c>
      <c r="B836" s="111" t="s">
        <v>1129</v>
      </c>
      <c r="C836" s="79"/>
      <c r="D836" s="81">
        <f t="shared" si="183"/>
        <v>300</v>
      </c>
      <c r="E836" s="82">
        <f t="shared" si="184"/>
        <v>0</v>
      </c>
      <c r="F836" s="83">
        <f t="shared" si="181"/>
        <v>300</v>
      </c>
      <c r="G836" s="84"/>
      <c r="H836" s="85"/>
      <c r="I836" s="85"/>
      <c r="J836" s="84"/>
      <c r="K836" s="85"/>
      <c r="L836" s="85"/>
      <c r="M836" s="85"/>
      <c r="N836" s="85"/>
      <c r="O836" s="82"/>
      <c r="P836" s="83"/>
      <c r="Q836" s="83"/>
      <c r="R836" s="83"/>
      <c r="S836" s="82"/>
      <c r="T836" s="83"/>
      <c r="U836" s="83"/>
      <c r="V836" s="84"/>
      <c r="W836" s="85"/>
      <c r="X836" s="87"/>
      <c r="Y836" s="83"/>
      <c r="Z836" s="84"/>
      <c r="AA836" s="85"/>
      <c r="AB836" s="84"/>
      <c r="AC836" s="85"/>
      <c r="AD836" s="89">
        <f t="shared" si="182"/>
        <v>0</v>
      </c>
      <c r="AE836" s="89"/>
      <c r="AF836" s="186"/>
      <c r="AG836" s="85"/>
      <c r="AH836" s="85"/>
      <c r="AI836" s="85"/>
      <c r="AJ836" s="84"/>
      <c r="AK836" s="85"/>
      <c r="AL836" s="84"/>
      <c r="AM836" s="88"/>
      <c r="AN836" s="84"/>
      <c r="AO836" s="85"/>
      <c r="AP836" s="84"/>
      <c r="AQ836" s="83"/>
      <c r="AR836" s="83"/>
      <c r="AS836" s="83"/>
      <c r="AT836" s="85"/>
      <c r="AU836" s="85"/>
      <c r="AV836" s="85"/>
      <c r="AW836" s="88"/>
      <c r="AX836" s="84"/>
      <c r="AY836" s="85"/>
      <c r="AZ836" s="84"/>
      <c r="BA836" s="85"/>
      <c r="BB836" s="88"/>
      <c r="BC836" s="85"/>
      <c r="BD836" s="84"/>
      <c r="BE836" s="88"/>
      <c r="BF836" s="85"/>
      <c r="BG836" s="85"/>
      <c r="BH836" s="85">
        <v>300</v>
      </c>
      <c r="BI836" s="85"/>
      <c r="BJ836" s="85"/>
      <c r="BK836" s="85"/>
      <c r="BL836" s="85"/>
      <c r="BM836" s="85"/>
      <c r="BN836" s="85"/>
      <c r="BO836" s="85"/>
      <c r="BP836" s="85"/>
      <c r="BQ836" s="85"/>
      <c r="BR836" s="84"/>
      <c r="BS836" s="85"/>
      <c r="BT836" s="85"/>
      <c r="BU836" s="198"/>
      <c r="BV836" s="90"/>
      <c r="BW836" s="198"/>
      <c r="BX836" s="90"/>
      <c r="BY836" s="198"/>
      <c r="BZ836" s="90"/>
      <c r="CA836" s="91"/>
    </row>
    <row r="837" spans="1:1199" s="101" customFormat="1" ht="50.1" customHeight="1" outlineLevel="1" x14ac:dyDescent="0.3">
      <c r="A837" s="228" t="s">
        <v>736</v>
      </c>
      <c r="B837" s="229"/>
      <c r="C837" s="134" t="s">
        <v>94</v>
      </c>
      <c r="D837" s="81">
        <f t="shared" ref="D837:AI837" si="185">SUBTOTAL(9,D769:D836)</f>
        <v>177453.06845000005</v>
      </c>
      <c r="E837" s="81">
        <f t="shared" si="185"/>
        <v>111989.45216000003</v>
      </c>
      <c r="F837" s="81">
        <f t="shared" si="185"/>
        <v>65463.616290000013</v>
      </c>
      <c r="G837" s="81">
        <f t="shared" si="185"/>
        <v>2813.7497499999999</v>
      </c>
      <c r="H837" s="81">
        <f t="shared" si="185"/>
        <v>2413.3681900000001</v>
      </c>
      <c r="I837" s="81">
        <f t="shared" si="185"/>
        <v>0</v>
      </c>
      <c r="J837" s="81">
        <f t="shared" si="185"/>
        <v>6267.0544200000013</v>
      </c>
      <c r="K837" s="81">
        <f t="shared" si="185"/>
        <v>1515.2301399999994</v>
      </c>
      <c r="L837" s="81">
        <f t="shared" si="185"/>
        <v>2073.3281099999999</v>
      </c>
      <c r="M837" s="81">
        <f t="shared" si="185"/>
        <v>0</v>
      </c>
      <c r="N837" s="81">
        <f t="shared" si="185"/>
        <v>0</v>
      </c>
      <c r="O837" s="81">
        <f t="shared" si="185"/>
        <v>805.52701999999988</v>
      </c>
      <c r="P837" s="81">
        <f t="shared" si="185"/>
        <v>51.519269999999999</v>
      </c>
      <c r="Q837" s="81">
        <f t="shared" si="185"/>
        <v>0</v>
      </c>
      <c r="R837" s="81">
        <f t="shared" si="185"/>
        <v>0</v>
      </c>
      <c r="S837" s="81">
        <f t="shared" si="185"/>
        <v>0</v>
      </c>
      <c r="T837" s="81">
        <f t="shared" si="185"/>
        <v>0</v>
      </c>
      <c r="U837" s="81">
        <f t="shared" si="185"/>
        <v>0</v>
      </c>
      <c r="V837" s="81">
        <f t="shared" si="185"/>
        <v>527.22235000000001</v>
      </c>
      <c r="W837" s="81">
        <f t="shared" si="185"/>
        <v>1217.3819700000001</v>
      </c>
      <c r="X837" s="81">
        <f t="shared" si="185"/>
        <v>0</v>
      </c>
      <c r="Y837" s="81">
        <f t="shared" si="185"/>
        <v>6184.7759999999998</v>
      </c>
      <c r="Z837" s="81">
        <f t="shared" si="185"/>
        <v>0</v>
      </c>
      <c r="AA837" s="81">
        <f t="shared" si="185"/>
        <v>0</v>
      </c>
      <c r="AB837" s="81">
        <f t="shared" si="185"/>
        <v>0</v>
      </c>
      <c r="AC837" s="81">
        <f t="shared" si="185"/>
        <v>0</v>
      </c>
      <c r="AD837" s="81">
        <f t="shared" si="185"/>
        <v>4206.6132099999995</v>
      </c>
      <c r="AE837" s="81">
        <f t="shared" si="185"/>
        <v>1900.2989000000002</v>
      </c>
      <c r="AF837" s="192">
        <f t="shared" si="185"/>
        <v>2306.3143100000002</v>
      </c>
      <c r="AG837" s="81">
        <f t="shared" si="185"/>
        <v>0</v>
      </c>
      <c r="AH837" s="81">
        <f t="shared" si="185"/>
        <v>0</v>
      </c>
      <c r="AI837" s="81">
        <f t="shared" si="185"/>
        <v>0</v>
      </c>
      <c r="AJ837" s="81">
        <f t="shared" ref="AJ837:BO837" si="186">SUBTOTAL(9,AJ769:AJ836)</f>
        <v>8487</v>
      </c>
      <c r="AK837" s="81">
        <f t="shared" si="186"/>
        <v>3136.5</v>
      </c>
      <c r="AL837" s="81">
        <f t="shared" si="186"/>
        <v>0</v>
      </c>
      <c r="AM837" s="81">
        <f t="shared" si="186"/>
        <v>0</v>
      </c>
      <c r="AN837" s="81">
        <f t="shared" si="186"/>
        <v>0</v>
      </c>
      <c r="AO837" s="81">
        <f t="shared" si="186"/>
        <v>5166.72</v>
      </c>
      <c r="AP837" s="81">
        <f t="shared" si="186"/>
        <v>5301.8953099999999</v>
      </c>
      <c r="AQ837" s="81">
        <f t="shared" si="186"/>
        <v>10098.922490000001</v>
      </c>
      <c r="AR837" s="81">
        <f t="shared" si="186"/>
        <v>0</v>
      </c>
      <c r="AS837" s="81">
        <f t="shared" si="186"/>
        <v>0</v>
      </c>
      <c r="AT837" s="81">
        <f t="shared" si="186"/>
        <v>0</v>
      </c>
      <c r="AU837" s="81">
        <f t="shared" si="186"/>
        <v>0</v>
      </c>
      <c r="AV837" s="81">
        <f t="shared" si="186"/>
        <v>4332.13</v>
      </c>
      <c r="AW837" s="81">
        <f t="shared" si="186"/>
        <v>0</v>
      </c>
      <c r="AX837" s="81">
        <f t="shared" si="186"/>
        <v>0</v>
      </c>
      <c r="AY837" s="81">
        <f t="shared" si="186"/>
        <v>0</v>
      </c>
      <c r="AZ837" s="81">
        <f t="shared" si="186"/>
        <v>16478.336189999998</v>
      </c>
      <c r="BA837" s="81">
        <f t="shared" si="186"/>
        <v>14922.461569999994</v>
      </c>
      <c r="BB837" s="81">
        <f t="shared" si="186"/>
        <v>0</v>
      </c>
      <c r="BC837" s="81">
        <f t="shared" si="186"/>
        <v>0</v>
      </c>
      <c r="BD837" s="81">
        <f t="shared" si="186"/>
        <v>0</v>
      </c>
      <c r="BE837" s="81">
        <f t="shared" si="186"/>
        <v>0</v>
      </c>
      <c r="BF837" s="81">
        <f t="shared" si="186"/>
        <v>0</v>
      </c>
      <c r="BG837" s="81">
        <f t="shared" si="186"/>
        <v>3792.2888299999995</v>
      </c>
      <c r="BH837" s="81">
        <f t="shared" si="186"/>
        <v>1200</v>
      </c>
      <c r="BI837" s="81">
        <f t="shared" si="186"/>
        <v>0</v>
      </c>
      <c r="BJ837" s="81">
        <f t="shared" si="186"/>
        <v>0</v>
      </c>
      <c r="BK837" s="81">
        <f t="shared" si="186"/>
        <v>1402.4290100000001</v>
      </c>
      <c r="BL837" s="81">
        <f t="shared" si="186"/>
        <v>0</v>
      </c>
      <c r="BM837" s="81">
        <f t="shared" si="186"/>
        <v>0</v>
      </c>
      <c r="BN837" s="81">
        <f t="shared" si="186"/>
        <v>0</v>
      </c>
      <c r="BO837" s="81">
        <f t="shared" si="186"/>
        <v>0</v>
      </c>
      <c r="BP837" s="81">
        <f t="shared" ref="BP837:CU837" si="187">SUBTOTAL(9,BP769:BP836)</f>
        <v>0</v>
      </c>
      <c r="BQ837" s="81">
        <f t="shared" si="187"/>
        <v>0</v>
      </c>
      <c r="BR837" s="81">
        <f t="shared" si="187"/>
        <v>57059.66462000001</v>
      </c>
      <c r="BS837" s="81">
        <f t="shared" si="187"/>
        <v>0</v>
      </c>
      <c r="BT837" s="81">
        <f t="shared" si="187"/>
        <v>0</v>
      </c>
      <c r="BU837" s="81">
        <f t="shared" si="187"/>
        <v>0</v>
      </c>
      <c r="BV837" s="81">
        <f t="shared" si="187"/>
        <v>8549.0025000000005</v>
      </c>
      <c r="BW837" s="81">
        <f t="shared" si="187"/>
        <v>3449.9475000000002</v>
      </c>
      <c r="BX837" s="81">
        <f t="shared" si="187"/>
        <v>0</v>
      </c>
      <c r="BY837" s="81">
        <f t="shared" si="187"/>
        <v>0</v>
      </c>
      <c r="BZ837" s="81">
        <f t="shared" si="187"/>
        <v>5700</v>
      </c>
      <c r="CA837" s="81">
        <f t="shared" si="187"/>
        <v>300</v>
      </c>
      <c r="CB837" s="176"/>
      <c r="CC837" s="176"/>
      <c r="CD837" s="176"/>
      <c r="CE837" s="176"/>
      <c r="CF837" s="176"/>
      <c r="CG837" s="176"/>
      <c r="CH837" s="176"/>
      <c r="CI837" s="176"/>
      <c r="CJ837" s="176"/>
      <c r="CK837" s="176"/>
      <c r="CL837" s="176"/>
      <c r="CM837" s="176"/>
      <c r="CN837" s="176"/>
      <c r="CO837" s="176"/>
      <c r="CP837" s="176"/>
      <c r="CQ837" s="176"/>
      <c r="CR837" s="176"/>
      <c r="CS837" s="176"/>
      <c r="CT837" s="176"/>
      <c r="CU837" s="176"/>
      <c r="CV837" s="176"/>
      <c r="CW837" s="176"/>
      <c r="CX837" s="176"/>
      <c r="CY837" s="176"/>
      <c r="CZ837" s="176"/>
      <c r="DA837" s="176"/>
      <c r="DB837" s="176"/>
      <c r="DC837" s="176"/>
      <c r="DD837" s="176"/>
      <c r="DE837" s="176"/>
      <c r="DF837" s="176"/>
      <c r="DG837" s="176"/>
      <c r="DH837" s="176"/>
      <c r="DI837" s="176"/>
      <c r="DJ837" s="176"/>
      <c r="DK837" s="176"/>
      <c r="DL837" s="176"/>
      <c r="DM837" s="176"/>
      <c r="DN837" s="176"/>
      <c r="DO837" s="176"/>
      <c r="DP837" s="176"/>
      <c r="DQ837" s="176"/>
      <c r="DR837" s="176"/>
      <c r="DS837" s="176"/>
      <c r="DT837" s="176"/>
      <c r="DU837" s="176"/>
      <c r="DV837" s="176"/>
      <c r="DW837" s="176"/>
      <c r="DX837" s="176"/>
      <c r="DY837" s="176"/>
      <c r="DZ837" s="176"/>
      <c r="EA837" s="176"/>
      <c r="EB837" s="176"/>
      <c r="EC837" s="176"/>
      <c r="ED837" s="176"/>
      <c r="EE837" s="176"/>
      <c r="EF837" s="176"/>
      <c r="EG837" s="176"/>
      <c r="EH837" s="176"/>
      <c r="EI837" s="176"/>
      <c r="EJ837" s="176"/>
      <c r="EK837" s="176"/>
      <c r="EL837" s="176"/>
      <c r="EM837" s="176"/>
      <c r="EN837" s="176"/>
      <c r="EO837" s="176"/>
      <c r="EP837" s="176"/>
      <c r="EQ837" s="176"/>
      <c r="ER837" s="176"/>
      <c r="ES837" s="176"/>
      <c r="ET837" s="176"/>
      <c r="EU837" s="176"/>
      <c r="EV837" s="176"/>
      <c r="EW837" s="176"/>
      <c r="EX837" s="176"/>
      <c r="EY837" s="176"/>
      <c r="EZ837" s="176"/>
      <c r="FA837" s="176"/>
      <c r="FB837" s="176"/>
      <c r="FC837" s="176"/>
      <c r="FD837" s="176"/>
      <c r="FE837" s="176"/>
      <c r="FF837" s="176"/>
      <c r="FG837" s="176"/>
      <c r="FH837" s="176"/>
      <c r="FI837" s="176"/>
      <c r="FJ837" s="176"/>
      <c r="FK837" s="176"/>
      <c r="FL837" s="176"/>
      <c r="FM837" s="176"/>
      <c r="FN837" s="176"/>
      <c r="FO837" s="176"/>
      <c r="FP837" s="176"/>
      <c r="FQ837" s="176"/>
      <c r="FR837" s="176"/>
      <c r="FS837" s="176"/>
      <c r="FT837" s="176"/>
      <c r="FU837" s="176"/>
      <c r="FV837" s="176"/>
      <c r="FW837" s="176"/>
      <c r="FX837" s="176"/>
      <c r="FY837" s="176"/>
      <c r="FZ837" s="176"/>
      <c r="GA837" s="176"/>
      <c r="GB837" s="176"/>
      <c r="GC837" s="176"/>
      <c r="GD837" s="176"/>
      <c r="GE837" s="176"/>
      <c r="GF837" s="176"/>
      <c r="GG837" s="176"/>
      <c r="GH837" s="176"/>
      <c r="GI837" s="176"/>
      <c r="GJ837" s="176"/>
      <c r="GK837" s="176"/>
      <c r="GL837" s="176"/>
      <c r="GM837" s="176"/>
      <c r="GN837" s="176"/>
      <c r="GO837" s="176"/>
      <c r="GP837" s="176"/>
      <c r="GQ837" s="176"/>
      <c r="GR837" s="176"/>
      <c r="GS837" s="176"/>
      <c r="GT837" s="176"/>
      <c r="GU837" s="176"/>
      <c r="GV837" s="176"/>
      <c r="GW837" s="176"/>
      <c r="GX837" s="176"/>
      <c r="GY837" s="176"/>
      <c r="GZ837" s="176"/>
      <c r="HA837" s="176"/>
      <c r="HB837" s="176"/>
      <c r="HC837" s="176"/>
      <c r="HD837" s="176"/>
      <c r="HE837" s="176"/>
      <c r="HF837" s="176"/>
      <c r="HG837" s="176"/>
      <c r="HH837" s="176"/>
      <c r="HI837" s="176"/>
      <c r="HJ837" s="176"/>
      <c r="HK837" s="176"/>
      <c r="HL837" s="176"/>
      <c r="HM837" s="176"/>
      <c r="HN837" s="176"/>
      <c r="HO837" s="176"/>
      <c r="HP837" s="176"/>
      <c r="HQ837" s="176"/>
      <c r="HR837" s="176"/>
      <c r="HS837" s="176"/>
      <c r="HT837" s="176"/>
      <c r="HU837" s="176"/>
      <c r="HV837" s="176"/>
      <c r="HW837" s="176"/>
      <c r="HX837" s="176"/>
      <c r="HY837" s="176"/>
      <c r="HZ837" s="176"/>
      <c r="IA837" s="176"/>
      <c r="IB837" s="176"/>
      <c r="IC837" s="176"/>
      <c r="ID837" s="176"/>
      <c r="IE837" s="176"/>
      <c r="IF837" s="176"/>
      <c r="IG837" s="176"/>
      <c r="IH837" s="176"/>
      <c r="II837" s="176"/>
      <c r="IJ837" s="176"/>
      <c r="IK837" s="176"/>
      <c r="IL837" s="176"/>
      <c r="IM837" s="176"/>
      <c r="IN837" s="176"/>
      <c r="IO837" s="176"/>
      <c r="IP837" s="176"/>
      <c r="IQ837" s="176"/>
      <c r="IR837" s="176"/>
      <c r="IS837" s="176"/>
      <c r="IT837" s="176"/>
      <c r="IU837" s="176"/>
      <c r="IV837" s="176"/>
      <c r="IW837" s="176"/>
      <c r="IX837" s="176"/>
      <c r="IY837" s="176"/>
      <c r="IZ837" s="176"/>
      <c r="JA837" s="176"/>
      <c r="JB837" s="176"/>
      <c r="JC837" s="176"/>
      <c r="JD837" s="176"/>
      <c r="JE837" s="176"/>
      <c r="JF837" s="176"/>
      <c r="JG837" s="176"/>
      <c r="JH837" s="176"/>
      <c r="JI837" s="176"/>
      <c r="JJ837" s="176"/>
      <c r="JK837" s="176"/>
      <c r="JL837" s="176"/>
      <c r="JM837" s="176"/>
      <c r="JN837" s="176"/>
      <c r="JO837" s="176"/>
      <c r="JP837" s="176"/>
      <c r="JQ837" s="176"/>
      <c r="JR837" s="176"/>
      <c r="JS837" s="176"/>
      <c r="JT837" s="176"/>
      <c r="JU837" s="176"/>
      <c r="JV837" s="176"/>
      <c r="JW837" s="131"/>
      <c r="JX837" s="131"/>
      <c r="JY837" s="131"/>
      <c r="JZ837" s="131"/>
      <c r="KA837" s="131"/>
      <c r="KB837" s="131"/>
      <c r="KC837" s="131"/>
      <c r="KD837" s="131"/>
      <c r="KE837" s="131"/>
      <c r="KF837" s="131"/>
      <c r="KG837" s="131"/>
      <c r="KH837" s="131"/>
      <c r="KI837" s="131"/>
      <c r="KJ837" s="131"/>
      <c r="KK837" s="131"/>
      <c r="KL837" s="131"/>
      <c r="KM837" s="131"/>
      <c r="KN837" s="131"/>
      <c r="KO837" s="131"/>
      <c r="KP837" s="131"/>
      <c r="KQ837" s="131"/>
      <c r="KR837" s="131"/>
      <c r="KS837" s="131"/>
      <c r="KT837" s="131"/>
      <c r="KU837" s="131"/>
      <c r="KV837" s="131"/>
      <c r="KW837" s="131"/>
      <c r="KX837" s="131"/>
      <c r="KY837" s="131"/>
      <c r="KZ837" s="131"/>
      <c r="LA837" s="131"/>
      <c r="LB837" s="131"/>
      <c r="LC837" s="131"/>
      <c r="LD837" s="131"/>
      <c r="LE837" s="131"/>
      <c r="LF837" s="131"/>
      <c r="LG837" s="131"/>
      <c r="LH837" s="131"/>
      <c r="LI837" s="131"/>
      <c r="LJ837" s="131"/>
      <c r="LK837" s="131"/>
      <c r="LL837" s="131"/>
      <c r="LM837" s="131"/>
      <c r="LN837" s="131"/>
      <c r="LO837" s="131"/>
      <c r="LP837" s="131"/>
      <c r="LQ837" s="131"/>
      <c r="LR837" s="131"/>
      <c r="LS837" s="131"/>
      <c r="LT837" s="131"/>
      <c r="LU837" s="131"/>
      <c r="LV837" s="131"/>
      <c r="LW837" s="131"/>
      <c r="LX837" s="131"/>
      <c r="LY837" s="131"/>
      <c r="LZ837" s="131"/>
      <c r="MA837" s="131"/>
      <c r="MB837" s="131"/>
      <c r="MC837" s="131"/>
      <c r="MD837" s="131"/>
      <c r="ME837" s="131"/>
      <c r="MF837" s="131"/>
      <c r="MG837" s="131"/>
      <c r="MH837" s="131"/>
      <c r="MI837" s="131"/>
      <c r="MJ837" s="131"/>
      <c r="MK837" s="131"/>
      <c r="ML837" s="131"/>
      <c r="MM837" s="131"/>
      <c r="MN837" s="131"/>
      <c r="MO837" s="131"/>
      <c r="MP837" s="131"/>
      <c r="MQ837" s="131"/>
      <c r="MR837" s="131"/>
      <c r="MS837" s="131"/>
      <c r="MT837" s="131"/>
      <c r="MU837" s="131"/>
      <c r="MV837" s="131"/>
      <c r="MW837" s="131"/>
      <c r="MX837" s="131"/>
      <c r="MY837" s="131"/>
      <c r="MZ837" s="131"/>
      <c r="NA837" s="131"/>
      <c r="NB837" s="131"/>
      <c r="NC837" s="131"/>
      <c r="ND837" s="131"/>
      <c r="NE837" s="131"/>
      <c r="NF837" s="131"/>
      <c r="NG837" s="131"/>
      <c r="NH837" s="131"/>
      <c r="NI837" s="131"/>
      <c r="NJ837" s="131"/>
      <c r="NK837" s="131"/>
      <c r="NL837" s="131"/>
      <c r="NM837" s="131"/>
      <c r="NN837" s="131"/>
      <c r="NO837" s="131"/>
      <c r="NP837" s="131"/>
      <c r="NQ837" s="131"/>
      <c r="NR837" s="131"/>
      <c r="NS837" s="131"/>
      <c r="NT837" s="131"/>
      <c r="NU837" s="131"/>
      <c r="NV837" s="131"/>
      <c r="NW837" s="131"/>
      <c r="NX837" s="131"/>
      <c r="NY837" s="131"/>
      <c r="NZ837" s="131"/>
      <c r="OA837" s="131"/>
      <c r="OB837" s="131"/>
      <c r="OC837" s="131"/>
      <c r="OD837" s="131"/>
      <c r="OE837" s="131"/>
      <c r="OF837" s="131"/>
      <c r="OG837" s="131"/>
      <c r="OH837" s="131"/>
      <c r="OI837" s="131"/>
      <c r="OJ837" s="131"/>
      <c r="OK837" s="131"/>
      <c r="OL837" s="131"/>
      <c r="OM837" s="131"/>
      <c r="ON837" s="131"/>
      <c r="OO837" s="131"/>
      <c r="OP837" s="131"/>
      <c r="OQ837" s="131"/>
      <c r="OR837" s="131"/>
      <c r="OS837" s="131"/>
      <c r="OT837" s="131"/>
      <c r="OU837" s="131"/>
      <c r="OV837" s="131"/>
      <c r="OW837" s="131"/>
      <c r="OX837" s="131"/>
      <c r="OY837" s="131"/>
      <c r="OZ837" s="131"/>
      <c r="PA837" s="131"/>
      <c r="PB837" s="131"/>
      <c r="PC837" s="131"/>
      <c r="PD837" s="131"/>
      <c r="PE837" s="131"/>
      <c r="PF837" s="131"/>
      <c r="PG837" s="131"/>
      <c r="PH837" s="131"/>
      <c r="PI837" s="131"/>
      <c r="PJ837" s="131"/>
      <c r="PK837" s="131"/>
      <c r="PL837" s="131"/>
      <c r="PM837" s="131"/>
      <c r="PN837" s="131"/>
      <c r="PO837" s="131"/>
      <c r="PP837" s="131"/>
      <c r="PQ837" s="131"/>
      <c r="PR837" s="131"/>
      <c r="PS837" s="131"/>
      <c r="PT837" s="131"/>
      <c r="PU837" s="131"/>
      <c r="PV837" s="131"/>
      <c r="PW837" s="131"/>
      <c r="PX837" s="131"/>
      <c r="PY837" s="131"/>
      <c r="PZ837" s="131"/>
      <c r="QA837" s="131"/>
      <c r="QB837" s="131"/>
      <c r="QC837" s="131"/>
      <c r="QD837" s="131"/>
      <c r="QE837" s="131"/>
      <c r="QF837" s="131"/>
      <c r="QG837" s="131"/>
      <c r="QH837" s="131"/>
      <c r="QI837" s="131"/>
      <c r="QJ837" s="131"/>
      <c r="QK837" s="131"/>
      <c r="QL837" s="131"/>
      <c r="QM837" s="131"/>
      <c r="QN837" s="131"/>
      <c r="QO837" s="131"/>
      <c r="QP837" s="131"/>
      <c r="QQ837" s="131"/>
      <c r="QR837" s="131"/>
      <c r="QS837" s="131"/>
      <c r="QT837" s="131"/>
      <c r="QU837" s="131"/>
      <c r="QV837" s="131"/>
      <c r="QW837" s="131"/>
      <c r="QX837" s="131"/>
      <c r="QY837" s="131"/>
      <c r="QZ837" s="131"/>
      <c r="RA837" s="131"/>
      <c r="RB837" s="131"/>
      <c r="RC837" s="131"/>
      <c r="RD837" s="131"/>
      <c r="RE837" s="131"/>
      <c r="RF837" s="131"/>
      <c r="RG837" s="131"/>
      <c r="RH837" s="131"/>
      <c r="RI837" s="131"/>
      <c r="RJ837" s="131"/>
      <c r="RK837" s="131"/>
      <c r="RL837" s="131"/>
      <c r="RM837" s="131"/>
      <c r="RN837" s="131"/>
      <c r="RO837" s="131"/>
      <c r="RP837" s="131"/>
      <c r="RQ837" s="131"/>
      <c r="RR837" s="131"/>
      <c r="RS837" s="131"/>
      <c r="RT837" s="131"/>
      <c r="RU837" s="131"/>
      <c r="RV837" s="131"/>
      <c r="RW837" s="131"/>
      <c r="RX837" s="131"/>
      <c r="RY837" s="131"/>
      <c r="RZ837" s="131"/>
      <c r="SA837" s="131"/>
      <c r="SB837" s="131"/>
      <c r="SC837" s="131"/>
      <c r="SD837" s="131"/>
      <c r="SE837" s="131"/>
      <c r="SF837" s="131"/>
      <c r="SG837" s="131"/>
      <c r="SH837" s="131"/>
      <c r="SI837" s="131"/>
      <c r="SJ837" s="131"/>
      <c r="SK837" s="131"/>
      <c r="SL837" s="131"/>
      <c r="SM837" s="131"/>
      <c r="SN837" s="131"/>
      <c r="SO837" s="131"/>
      <c r="SP837" s="131"/>
      <c r="SQ837" s="131"/>
      <c r="SR837" s="131"/>
      <c r="SS837" s="131"/>
      <c r="ST837" s="131"/>
      <c r="SU837" s="131"/>
      <c r="SV837" s="131"/>
      <c r="SW837" s="131"/>
      <c r="SX837" s="131"/>
      <c r="SY837" s="131"/>
      <c r="SZ837" s="131"/>
      <c r="TA837" s="131"/>
      <c r="TB837" s="131"/>
      <c r="TC837" s="131"/>
      <c r="TD837" s="131"/>
      <c r="TE837" s="131"/>
      <c r="TF837" s="131"/>
      <c r="TG837" s="131"/>
      <c r="TH837" s="131"/>
      <c r="TI837" s="131"/>
      <c r="TJ837" s="131"/>
      <c r="TK837" s="131"/>
      <c r="TL837" s="131"/>
      <c r="TM837" s="131"/>
      <c r="TN837" s="131"/>
      <c r="TO837" s="131"/>
      <c r="TP837" s="131"/>
      <c r="TQ837" s="131"/>
      <c r="TR837" s="131"/>
      <c r="TS837" s="131"/>
      <c r="TT837" s="131"/>
      <c r="TU837" s="131"/>
      <c r="TV837" s="131"/>
      <c r="TW837" s="131"/>
      <c r="TX837" s="131"/>
      <c r="TY837" s="131"/>
      <c r="TZ837" s="131"/>
      <c r="UA837" s="131"/>
      <c r="UB837" s="131"/>
      <c r="UC837" s="131"/>
      <c r="UD837" s="131"/>
      <c r="UE837" s="131"/>
      <c r="UF837" s="131"/>
      <c r="UG837" s="131"/>
      <c r="UH837" s="131"/>
      <c r="UI837" s="131"/>
      <c r="UJ837" s="131"/>
      <c r="UK837" s="131"/>
      <c r="UL837" s="131"/>
      <c r="UM837" s="131"/>
      <c r="UN837" s="131"/>
      <c r="UO837" s="131"/>
      <c r="UP837" s="131"/>
      <c r="UQ837" s="131"/>
      <c r="UR837" s="131"/>
      <c r="US837" s="131"/>
      <c r="UT837" s="131"/>
      <c r="UU837" s="131"/>
      <c r="UV837" s="131"/>
      <c r="UW837" s="131"/>
      <c r="UX837" s="131"/>
      <c r="UY837" s="131"/>
      <c r="UZ837" s="131"/>
      <c r="VA837" s="131"/>
      <c r="VB837" s="131"/>
      <c r="VC837" s="131"/>
      <c r="VD837" s="131"/>
      <c r="VE837" s="131"/>
      <c r="VF837" s="131"/>
      <c r="VG837" s="131"/>
      <c r="VH837" s="131"/>
      <c r="VI837" s="131"/>
      <c r="VJ837" s="131"/>
      <c r="VK837" s="131"/>
      <c r="VL837" s="131"/>
      <c r="VM837" s="131"/>
      <c r="VN837" s="131"/>
      <c r="VO837" s="131"/>
      <c r="VP837" s="131"/>
      <c r="VQ837" s="131"/>
      <c r="VR837" s="131"/>
      <c r="VS837" s="131"/>
      <c r="VT837" s="131"/>
      <c r="VU837" s="131"/>
      <c r="VV837" s="131"/>
      <c r="VW837" s="131"/>
      <c r="VX837" s="131"/>
      <c r="VY837" s="131"/>
      <c r="VZ837" s="131"/>
      <c r="WA837" s="131"/>
      <c r="WB837" s="131"/>
      <c r="WC837" s="131"/>
      <c r="WD837" s="131"/>
      <c r="WE837" s="131"/>
      <c r="WF837" s="131"/>
      <c r="WG837" s="131"/>
      <c r="WH837" s="131"/>
      <c r="WI837" s="131"/>
      <c r="WJ837" s="131"/>
      <c r="WK837" s="131"/>
      <c r="WL837" s="131"/>
      <c r="WM837" s="131"/>
      <c r="WN837" s="131"/>
      <c r="WO837" s="131"/>
      <c r="WP837" s="131"/>
      <c r="WQ837" s="131"/>
      <c r="WR837" s="131"/>
      <c r="WS837" s="131"/>
      <c r="WT837" s="131"/>
      <c r="WU837" s="131"/>
      <c r="WV837" s="131"/>
      <c r="WW837" s="131"/>
      <c r="WX837" s="131"/>
      <c r="WY837" s="131"/>
      <c r="WZ837" s="131"/>
      <c r="XA837" s="131"/>
      <c r="XB837" s="131"/>
      <c r="XC837" s="131"/>
      <c r="XD837" s="131"/>
      <c r="XE837" s="131"/>
      <c r="XF837" s="131"/>
      <c r="XG837" s="131"/>
      <c r="XH837" s="131"/>
      <c r="XI837" s="131"/>
      <c r="XJ837" s="131"/>
      <c r="XK837" s="131"/>
      <c r="XL837" s="131"/>
      <c r="XM837" s="131"/>
      <c r="XN837" s="131"/>
      <c r="XO837" s="131"/>
      <c r="XP837" s="131"/>
      <c r="XQ837" s="131"/>
      <c r="XR837" s="131"/>
      <c r="XS837" s="131"/>
      <c r="XT837" s="131"/>
      <c r="XU837" s="131"/>
      <c r="XV837" s="131"/>
      <c r="XW837" s="131"/>
      <c r="XX837" s="131"/>
      <c r="XY837" s="131"/>
      <c r="XZ837" s="131"/>
      <c r="YA837" s="131"/>
      <c r="YB837" s="131"/>
      <c r="YC837" s="131"/>
      <c r="YD837" s="131"/>
      <c r="YE837" s="131"/>
      <c r="YF837" s="131"/>
      <c r="YG837" s="131"/>
      <c r="YH837" s="131"/>
      <c r="YI837" s="131"/>
      <c r="YJ837" s="131"/>
      <c r="YK837" s="131"/>
      <c r="YL837" s="131"/>
      <c r="YM837" s="131"/>
      <c r="YN837" s="131"/>
      <c r="YO837" s="131"/>
      <c r="YP837" s="131"/>
      <c r="YQ837" s="131"/>
      <c r="YR837" s="131"/>
      <c r="YS837" s="131"/>
      <c r="YT837" s="131"/>
      <c r="YU837" s="131"/>
      <c r="YV837" s="131"/>
      <c r="YW837" s="131"/>
      <c r="YX837" s="131"/>
      <c r="YY837" s="131"/>
      <c r="YZ837" s="131"/>
      <c r="ZA837" s="131"/>
      <c r="ZB837" s="131"/>
      <c r="ZC837" s="131"/>
      <c r="ZD837" s="131"/>
      <c r="ZE837" s="131"/>
      <c r="ZF837" s="131"/>
      <c r="ZG837" s="131"/>
      <c r="ZH837" s="131"/>
      <c r="ZI837" s="131"/>
      <c r="ZJ837" s="131"/>
      <c r="ZK837" s="131"/>
      <c r="ZL837" s="131"/>
      <c r="ZM837" s="131"/>
      <c r="ZN837" s="131"/>
      <c r="ZO837" s="131"/>
      <c r="ZP837" s="131"/>
      <c r="ZQ837" s="131"/>
      <c r="ZR837" s="131"/>
      <c r="ZS837" s="131"/>
      <c r="ZT837" s="131"/>
      <c r="ZU837" s="131"/>
      <c r="ZV837" s="131"/>
      <c r="ZW837" s="131"/>
      <c r="ZX837" s="131"/>
      <c r="ZY837" s="131"/>
      <c r="ZZ837" s="131"/>
      <c r="AAA837" s="131"/>
      <c r="AAB837" s="131"/>
      <c r="AAC837" s="131"/>
      <c r="AAD837" s="131"/>
      <c r="AAE837" s="131"/>
      <c r="AAF837" s="131"/>
      <c r="AAG837" s="131"/>
      <c r="AAH837" s="131"/>
      <c r="AAI837" s="131"/>
      <c r="AAJ837" s="131"/>
      <c r="AAK837" s="131"/>
      <c r="AAL837" s="131"/>
      <c r="AAM837" s="131"/>
      <c r="AAN837" s="131"/>
      <c r="AAO837" s="131"/>
      <c r="AAP837" s="131"/>
      <c r="AAQ837" s="131"/>
      <c r="AAR837" s="131"/>
      <c r="AAS837" s="131"/>
      <c r="AAT837" s="131"/>
      <c r="AAU837" s="131"/>
      <c r="AAV837" s="131"/>
      <c r="AAW837" s="131"/>
      <c r="AAX837" s="131"/>
      <c r="AAY837" s="131"/>
      <c r="AAZ837" s="131"/>
      <c r="ABA837" s="131"/>
      <c r="ABB837" s="131"/>
      <c r="ABC837" s="131"/>
      <c r="ABD837" s="131"/>
      <c r="ABE837" s="131"/>
      <c r="ABF837" s="131"/>
      <c r="ABG837" s="131"/>
      <c r="ABH837" s="131"/>
      <c r="ABI837" s="131"/>
      <c r="ABJ837" s="131"/>
      <c r="ABK837" s="131"/>
      <c r="ABL837" s="131"/>
      <c r="ABM837" s="131"/>
      <c r="ABN837" s="131"/>
      <c r="ABO837" s="131"/>
      <c r="ABP837" s="131"/>
      <c r="ABQ837" s="131"/>
      <c r="ABR837" s="131"/>
      <c r="ABS837" s="131"/>
      <c r="ABT837" s="131"/>
      <c r="ABU837" s="131"/>
      <c r="ABV837" s="131"/>
      <c r="ABW837" s="131"/>
      <c r="ABX837" s="131"/>
      <c r="ABY837" s="131"/>
      <c r="ABZ837" s="131"/>
      <c r="ACA837" s="131"/>
      <c r="ACB837" s="131"/>
      <c r="ACC837" s="131"/>
      <c r="ACD837" s="131"/>
      <c r="ACE837" s="131"/>
      <c r="ACF837" s="131"/>
      <c r="ACG837" s="131"/>
      <c r="ACH837" s="131"/>
      <c r="ACI837" s="131"/>
      <c r="ACJ837" s="131"/>
      <c r="ACK837" s="131"/>
      <c r="ACL837" s="131"/>
      <c r="ACM837" s="131"/>
      <c r="ACN837" s="131"/>
      <c r="ACO837" s="131"/>
      <c r="ACP837" s="131"/>
      <c r="ACQ837" s="131"/>
      <c r="ACR837" s="131"/>
      <c r="ACS837" s="131"/>
      <c r="ACT837" s="131"/>
      <c r="ACU837" s="131"/>
      <c r="ACV837" s="131"/>
      <c r="ACW837" s="131"/>
      <c r="ACX837" s="131"/>
      <c r="ACY837" s="131"/>
      <c r="ACZ837" s="131"/>
      <c r="ADA837" s="131"/>
      <c r="ADB837" s="131"/>
      <c r="ADC837" s="131"/>
      <c r="ADD837" s="131"/>
      <c r="ADE837" s="131"/>
      <c r="ADF837" s="131"/>
      <c r="ADG837" s="131"/>
      <c r="ADH837" s="131"/>
      <c r="ADI837" s="131"/>
      <c r="ADJ837" s="131"/>
      <c r="ADK837" s="131"/>
      <c r="ADL837" s="131"/>
      <c r="ADM837" s="131"/>
      <c r="ADN837" s="131"/>
      <c r="ADO837" s="131"/>
      <c r="ADP837" s="131"/>
      <c r="ADQ837" s="131"/>
      <c r="ADR837" s="131"/>
      <c r="ADS837" s="131"/>
      <c r="ADT837" s="131"/>
      <c r="ADU837" s="131"/>
      <c r="ADV837" s="131"/>
      <c r="ADW837" s="131"/>
      <c r="ADX837" s="131"/>
      <c r="ADY837" s="131"/>
      <c r="ADZ837" s="131"/>
      <c r="AEA837" s="131"/>
      <c r="AEB837" s="131"/>
      <c r="AEC837" s="131"/>
      <c r="AED837" s="131"/>
      <c r="AEE837" s="131"/>
      <c r="AEF837" s="131"/>
      <c r="AEG837" s="131"/>
      <c r="AEH837" s="131"/>
      <c r="AEI837" s="131"/>
      <c r="AEJ837" s="131"/>
      <c r="AEK837" s="131"/>
      <c r="AEL837" s="131"/>
      <c r="AEM837" s="131"/>
      <c r="AEN837" s="131"/>
      <c r="AEO837" s="131"/>
      <c r="AEP837" s="131"/>
      <c r="AEQ837" s="131"/>
      <c r="AER837" s="131"/>
      <c r="AES837" s="131"/>
      <c r="AET837" s="131"/>
      <c r="AEU837" s="131"/>
      <c r="AEV837" s="131"/>
      <c r="AEW837" s="131"/>
      <c r="AEX837" s="131"/>
      <c r="AEY837" s="131"/>
      <c r="AEZ837" s="131"/>
      <c r="AFA837" s="131"/>
      <c r="AFB837" s="131"/>
      <c r="AFC837" s="131"/>
      <c r="AFD837" s="131"/>
      <c r="AFE837" s="131"/>
      <c r="AFF837" s="131"/>
      <c r="AFG837" s="131"/>
      <c r="AFH837" s="131"/>
      <c r="AFI837" s="131"/>
      <c r="AFJ837" s="131"/>
      <c r="AFK837" s="131"/>
      <c r="AFL837" s="131"/>
      <c r="AFM837" s="131"/>
      <c r="AFN837" s="131"/>
      <c r="AFO837" s="131"/>
      <c r="AFP837" s="131"/>
      <c r="AFQ837" s="131"/>
      <c r="AFR837" s="131"/>
      <c r="AFS837" s="131"/>
      <c r="AFT837" s="131"/>
      <c r="AFU837" s="131"/>
      <c r="AFV837" s="131"/>
      <c r="AFW837" s="131"/>
      <c r="AFX837" s="131"/>
      <c r="AFY837" s="131"/>
      <c r="AFZ837" s="131"/>
      <c r="AGA837" s="131"/>
      <c r="AGB837" s="131"/>
      <c r="AGC837" s="131"/>
      <c r="AGD837" s="131"/>
      <c r="AGE837" s="131"/>
      <c r="AGF837" s="131"/>
      <c r="AGG837" s="131"/>
      <c r="AGH837" s="131"/>
      <c r="AGI837" s="131"/>
      <c r="AGJ837" s="131"/>
      <c r="AGK837" s="131"/>
      <c r="AGL837" s="131"/>
      <c r="AGM837" s="131"/>
      <c r="AGN837" s="131"/>
      <c r="AGO837" s="131"/>
      <c r="AGP837" s="131"/>
      <c r="AGQ837" s="131"/>
      <c r="AGR837" s="131"/>
      <c r="AGS837" s="131"/>
      <c r="AGT837" s="131"/>
      <c r="AGU837" s="131"/>
      <c r="AGV837" s="131"/>
      <c r="AGW837" s="131"/>
      <c r="AGX837" s="131"/>
      <c r="AGY837" s="131"/>
      <c r="AGZ837" s="131"/>
      <c r="AHA837" s="131"/>
      <c r="AHB837" s="131"/>
      <c r="AHC837" s="131"/>
      <c r="AHD837" s="131"/>
      <c r="AHE837" s="131"/>
      <c r="AHF837" s="131"/>
      <c r="AHG837" s="131"/>
      <c r="AHH837" s="131"/>
      <c r="AHI837" s="131"/>
      <c r="AHJ837" s="131"/>
      <c r="AHK837" s="131"/>
      <c r="AHL837" s="131"/>
      <c r="AHM837" s="131"/>
      <c r="AHN837" s="131"/>
      <c r="AHO837" s="131"/>
      <c r="AHP837" s="131"/>
      <c r="AHQ837" s="131"/>
      <c r="AHR837" s="131"/>
      <c r="AHS837" s="131"/>
      <c r="AHT837" s="131"/>
      <c r="AHU837" s="131"/>
      <c r="AHV837" s="131"/>
      <c r="AHW837" s="131"/>
      <c r="AHX837" s="131"/>
      <c r="AHY837" s="131"/>
      <c r="AHZ837" s="131"/>
      <c r="AIA837" s="131"/>
      <c r="AIB837" s="131"/>
      <c r="AIC837" s="131"/>
      <c r="AID837" s="131"/>
      <c r="AIE837" s="131"/>
      <c r="AIF837" s="131"/>
      <c r="AIG837" s="131"/>
      <c r="AIH837" s="131"/>
      <c r="AII837" s="131"/>
      <c r="AIJ837" s="131"/>
      <c r="AIK837" s="131"/>
      <c r="AIL837" s="131"/>
      <c r="AIM837" s="131"/>
      <c r="AIN837" s="131"/>
      <c r="AIO837" s="131"/>
      <c r="AIP837" s="131"/>
      <c r="AIQ837" s="131"/>
      <c r="AIR837" s="131"/>
      <c r="AIS837" s="131"/>
      <c r="AIT837" s="131"/>
      <c r="AIU837" s="131"/>
      <c r="AIV837" s="131"/>
      <c r="AIW837" s="131"/>
      <c r="AIX837" s="131"/>
      <c r="AIY837" s="131"/>
      <c r="AIZ837" s="131"/>
      <c r="AJA837" s="131"/>
      <c r="AJB837" s="131"/>
      <c r="AJC837" s="131"/>
      <c r="AJD837" s="131"/>
      <c r="AJE837" s="131"/>
      <c r="AJF837" s="131"/>
      <c r="AJG837" s="131"/>
      <c r="AJH837" s="131"/>
      <c r="AJI837" s="131"/>
      <c r="AJJ837" s="131"/>
      <c r="AJK837" s="131"/>
      <c r="AJL837" s="131"/>
      <c r="AJM837" s="131"/>
      <c r="AJN837" s="131"/>
      <c r="AJO837" s="131"/>
      <c r="AJP837" s="131"/>
      <c r="AJQ837" s="131"/>
      <c r="AJR837" s="131"/>
      <c r="AJS837" s="131"/>
      <c r="AJT837" s="131"/>
      <c r="AJU837" s="131"/>
      <c r="AJV837" s="131"/>
      <c r="AJW837" s="131"/>
      <c r="AJX837" s="131"/>
      <c r="AJY837" s="131"/>
      <c r="AJZ837" s="131"/>
      <c r="AKA837" s="131"/>
      <c r="AKB837" s="131"/>
      <c r="AKC837" s="131"/>
      <c r="AKD837" s="131"/>
      <c r="AKE837" s="131"/>
      <c r="AKF837" s="131"/>
      <c r="AKG837" s="131"/>
      <c r="AKH837" s="131"/>
      <c r="AKI837" s="131"/>
      <c r="AKJ837" s="131"/>
      <c r="AKK837" s="131"/>
      <c r="AKL837" s="131"/>
      <c r="AKM837" s="131"/>
      <c r="AKN837" s="131"/>
      <c r="AKO837" s="131"/>
      <c r="AKP837" s="131"/>
      <c r="AKQ837" s="131"/>
      <c r="AKR837" s="131"/>
      <c r="AKS837" s="131"/>
      <c r="AKT837" s="131"/>
      <c r="AKU837" s="131"/>
      <c r="AKV837" s="131"/>
      <c r="AKW837" s="131"/>
      <c r="AKX837" s="131"/>
      <c r="AKY837" s="131"/>
      <c r="AKZ837" s="131"/>
      <c r="ALA837" s="131"/>
      <c r="ALB837" s="131"/>
      <c r="ALC837" s="131"/>
      <c r="ALD837" s="131"/>
      <c r="ALE837" s="131"/>
      <c r="ALF837" s="131"/>
      <c r="ALG837" s="131"/>
      <c r="ALH837" s="131"/>
      <c r="ALI837" s="131"/>
      <c r="ALJ837" s="131"/>
      <c r="ALK837" s="131"/>
      <c r="ALL837" s="131"/>
      <c r="ALM837" s="131"/>
      <c r="ALN837" s="131"/>
      <c r="ALO837" s="131"/>
      <c r="ALP837" s="131"/>
      <c r="ALQ837" s="131"/>
      <c r="ALR837" s="131"/>
      <c r="ALS837" s="131"/>
      <c r="ALT837" s="131"/>
      <c r="ALU837" s="131"/>
      <c r="ALV837" s="131"/>
      <c r="ALW837" s="131"/>
      <c r="ALX837" s="131"/>
      <c r="ALY837" s="131"/>
      <c r="ALZ837" s="131"/>
      <c r="AMA837" s="131"/>
      <c r="AMB837" s="131"/>
      <c r="AMC837" s="131"/>
      <c r="AMD837" s="131"/>
      <c r="AME837" s="131"/>
      <c r="AMF837" s="131"/>
      <c r="AMG837" s="131"/>
      <c r="AMH837" s="131"/>
      <c r="AMI837" s="131"/>
      <c r="AMJ837" s="131"/>
      <c r="AMK837" s="131"/>
      <c r="AML837" s="131"/>
      <c r="AMM837" s="131"/>
      <c r="AMN837" s="131"/>
      <c r="AMO837" s="131"/>
      <c r="AMP837" s="131"/>
      <c r="AMQ837" s="131"/>
      <c r="AMR837" s="131"/>
      <c r="AMS837" s="131"/>
      <c r="AMT837" s="131"/>
      <c r="AMU837" s="131"/>
      <c r="AMV837" s="131"/>
      <c r="AMW837" s="131"/>
      <c r="AMX837" s="131"/>
      <c r="AMY837" s="131"/>
      <c r="AMZ837" s="131"/>
      <c r="ANA837" s="131"/>
      <c r="ANB837" s="131"/>
      <c r="ANC837" s="131"/>
      <c r="AND837" s="131"/>
      <c r="ANE837" s="131"/>
      <c r="ANF837" s="131"/>
      <c r="ANG837" s="131"/>
      <c r="ANH837" s="131"/>
      <c r="ANI837" s="131"/>
      <c r="ANJ837" s="131"/>
      <c r="ANK837" s="131"/>
      <c r="ANL837" s="131"/>
      <c r="ANM837" s="131"/>
      <c r="ANN837" s="131"/>
      <c r="ANO837" s="131"/>
      <c r="ANP837" s="131"/>
      <c r="ANQ837" s="131"/>
      <c r="ANR837" s="131"/>
      <c r="ANS837" s="131"/>
      <c r="ANT837" s="131"/>
      <c r="ANU837" s="131"/>
      <c r="ANV837" s="131"/>
      <c r="ANW837" s="131"/>
      <c r="ANX837" s="131"/>
      <c r="ANY837" s="131"/>
      <c r="ANZ837" s="131"/>
      <c r="AOA837" s="131"/>
      <c r="AOB837" s="131"/>
      <c r="AOC837" s="131"/>
      <c r="AOD837" s="131"/>
      <c r="AOE837" s="131"/>
      <c r="AOF837" s="131"/>
      <c r="AOG837" s="131"/>
      <c r="AOH837" s="131"/>
      <c r="AOI837" s="131"/>
      <c r="AOJ837" s="131"/>
      <c r="AOK837" s="131"/>
      <c r="AOL837" s="131"/>
      <c r="AOM837" s="131"/>
      <c r="AON837" s="131"/>
      <c r="AOO837" s="131"/>
      <c r="AOP837" s="131"/>
      <c r="AOQ837" s="131"/>
      <c r="AOR837" s="131"/>
      <c r="AOS837" s="131"/>
      <c r="AOT837" s="131"/>
      <c r="AOU837" s="131"/>
      <c r="AOV837" s="131"/>
      <c r="AOW837" s="131"/>
      <c r="AOX837" s="131"/>
      <c r="AOY837" s="131"/>
      <c r="AOZ837" s="131"/>
      <c r="APA837" s="131"/>
      <c r="APB837" s="131"/>
      <c r="APC837" s="131"/>
      <c r="APD837" s="131"/>
      <c r="APE837" s="131"/>
      <c r="APF837" s="131"/>
      <c r="APG837" s="131"/>
      <c r="APH837" s="131"/>
      <c r="API837" s="131"/>
      <c r="APJ837" s="131"/>
      <c r="APK837" s="131"/>
      <c r="APL837" s="131"/>
      <c r="APM837" s="131"/>
      <c r="APN837" s="131"/>
      <c r="APO837" s="131"/>
      <c r="APP837" s="131"/>
      <c r="APQ837" s="131"/>
      <c r="APR837" s="131"/>
      <c r="APS837" s="131"/>
      <c r="APT837" s="131"/>
      <c r="APU837" s="131"/>
      <c r="APV837" s="131"/>
      <c r="APW837" s="131"/>
      <c r="APX837" s="131"/>
      <c r="APY837" s="131"/>
      <c r="APZ837" s="131"/>
      <c r="AQA837" s="131"/>
      <c r="AQB837" s="131"/>
      <c r="AQC837" s="131"/>
      <c r="AQD837" s="131"/>
      <c r="AQE837" s="131"/>
      <c r="AQF837" s="131"/>
      <c r="AQG837" s="131"/>
      <c r="AQH837" s="131"/>
      <c r="AQI837" s="131"/>
      <c r="AQJ837" s="131"/>
      <c r="AQK837" s="131"/>
      <c r="AQL837" s="131"/>
      <c r="AQM837" s="131"/>
      <c r="AQN837" s="131"/>
      <c r="AQO837" s="131"/>
      <c r="AQP837" s="131"/>
      <c r="AQQ837" s="131"/>
      <c r="AQR837" s="131"/>
      <c r="AQS837" s="131"/>
      <c r="AQT837" s="131"/>
      <c r="AQU837" s="131"/>
      <c r="AQV837" s="131"/>
      <c r="AQW837" s="131"/>
      <c r="AQX837" s="131"/>
      <c r="AQY837" s="131"/>
      <c r="AQZ837" s="131"/>
      <c r="ARA837" s="131"/>
      <c r="ARB837" s="131"/>
      <c r="ARC837" s="131"/>
      <c r="ARD837" s="131"/>
      <c r="ARE837" s="131"/>
      <c r="ARF837" s="131"/>
      <c r="ARG837" s="131"/>
      <c r="ARH837" s="131"/>
      <c r="ARI837" s="131"/>
      <c r="ARJ837" s="131"/>
      <c r="ARK837" s="131"/>
      <c r="ARL837" s="131"/>
      <c r="ARM837" s="131"/>
      <c r="ARN837" s="131"/>
      <c r="ARO837" s="131"/>
      <c r="ARP837" s="131"/>
      <c r="ARQ837" s="131"/>
      <c r="ARR837" s="131"/>
      <c r="ARS837" s="131"/>
      <c r="ART837" s="131"/>
      <c r="ARU837" s="131"/>
      <c r="ARV837" s="131"/>
      <c r="ARW837" s="131"/>
      <c r="ARX837" s="131"/>
      <c r="ARY837" s="131"/>
      <c r="ARZ837" s="131"/>
      <c r="ASA837" s="131"/>
      <c r="ASB837" s="131"/>
      <c r="ASC837" s="131"/>
      <c r="ASD837" s="131"/>
      <c r="ASE837" s="131"/>
      <c r="ASF837" s="131"/>
      <c r="ASG837" s="131"/>
      <c r="ASH837" s="131"/>
      <c r="ASI837" s="131"/>
      <c r="ASJ837" s="131"/>
      <c r="ASK837" s="131"/>
      <c r="ASL837" s="131"/>
      <c r="ASM837" s="131"/>
      <c r="ASN837" s="131"/>
      <c r="ASO837" s="131"/>
      <c r="ASP837" s="131"/>
      <c r="ASQ837" s="131"/>
      <c r="ASR837" s="131"/>
      <c r="ASS837" s="131"/>
      <c r="AST837" s="131"/>
      <c r="ASU837" s="131"/>
      <c r="ASV837" s="131"/>
      <c r="ASW837" s="131"/>
      <c r="ASX837" s="131"/>
      <c r="ASY837" s="131"/>
      <c r="ASZ837" s="131"/>
      <c r="ATA837" s="131"/>
      <c r="ATB837" s="131"/>
      <c r="ATC837" s="131"/>
    </row>
    <row r="838" spans="1:1199" ht="50.1" customHeight="1" outlineLevel="3" x14ac:dyDescent="0.3">
      <c r="A838" s="103" t="s">
        <v>737</v>
      </c>
      <c r="B838" s="102" t="s">
        <v>738</v>
      </c>
      <c r="C838" s="79" t="s">
        <v>37</v>
      </c>
      <c r="D838" s="81">
        <f t="shared" ref="D838:D852" si="188">E838+F838</f>
        <v>1296.6663299999998</v>
      </c>
      <c r="E838" s="82">
        <f t="shared" ref="E838:E852" si="189">G838+J838+O838+S838+V838+X838+Z838+AB838+AJ838+AL838+AN838+AP838+AX838+AZ838+BD838+BV838+BX838+BZ838</f>
        <v>351.93527999999998</v>
      </c>
      <c r="F838" s="83">
        <f t="shared" si="181"/>
        <v>944.73104999999987</v>
      </c>
      <c r="G838" s="81"/>
      <c r="H838" s="209"/>
      <c r="I838" s="209"/>
      <c r="J838" s="81"/>
      <c r="K838" s="209"/>
      <c r="L838" s="209"/>
      <c r="M838" s="209"/>
      <c r="N838" s="209"/>
      <c r="O838" s="81"/>
      <c r="P838" s="209"/>
      <c r="Q838" s="209"/>
      <c r="R838" s="209"/>
      <c r="S838" s="81"/>
      <c r="T838" s="209"/>
      <c r="U838" s="209"/>
      <c r="V838" s="82"/>
      <c r="W838" s="83"/>
      <c r="X838" s="82"/>
      <c r="Y838" s="83">
        <v>172.536</v>
      </c>
      <c r="Z838" s="81"/>
      <c r="AA838" s="209"/>
      <c r="AB838" s="81"/>
      <c r="AC838" s="209"/>
      <c r="AD838" s="89">
        <f t="shared" si="182"/>
        <v>104.63385</v>
      </c>
      <c r="AE838" s="89">
        <v>36.534700000000001</v>
      </c>
      <c r="AF838" s="188">
        <v>68.099149999999995</v>
      </c>
      <c r="AG838" s="83"/>
      <c r="AH838" s="83"/>
      <c r="AI838" s="209"/>
      <c r="AJ838" s="81"/>
      <c r="AK838" s="209"/>
      <c r="AL838" s="81"/>
      <c r="AM838" s="235"/>
      <c r="AN838" s="81"/>
      <c r="AO838" s="209"/>
      <c r="AP838" s="81"/>
      <c r="AQ838" s="209"/>
      <c r="AR838" s="209"/>
      <c r="AS838" s="209"/>
      <c r="AT838" s="209"/>
      <c r="AU838" s="209"/>
      <c r="AV838" s="209"/>
      <c r="AW838" s="235"/>
      <c r="AX838" s="81"/>
      <c r="AY838" s="209"/>
      <c r="AZ838" s="82">
        <v>351.93527999999998</v>
      </c>
      <c r="BA838" s="85">
        <v>318.70580000000001</v>
      </c>
      <c r="BB838" s="235"/>
      <c r="BC838" s="209"/>
      <c r="BD838" s="81"/>
      <c r="BE838" s="235"/>
      <c r="BF838" s="209"/>
      <c r="BG838" s="83">
        <v>348.85539999999997</v>
      </c>
      <c r="BH838" s="209"/>
      <c r="BI838" s="209"/>
      <c r="BJ838" s="209"/>
      <c r="BK838" s="209"/>
      <c r="BL838" s="209"/>
      <c r="BM838" s="209"/>
      <c r="BN838" s="209"/>
      <c r="BO838" s="209"/>
      <c r="BP838" s="209"/>
      <c r="BQ838" s="209"/>
      <c r="BR838" s="81"/>
      <c r="BS838" s="209"/>
      <c r="BT838" s="209"/>
      <c r="BU838" s="209"/>
      <c r="BV838" s="81"/>
      <c r="BW838" s="209"/>
      <c r="BX838" s="81"/>
      <c r="BY838" s="209"/>
      <c r="BZ838" s="81"/>
      <c r="CA838" s="209"/>
    </row>
    <row r="839" spans="1:1199" ht="50.1" customHeight="1" outlineLevel="3" x14ac:dyDescent="0.3">
      <c r="A839" s="103" t="s">
        <v>737</v>
      </c>
      <c r="B839" s="102" t="s">
        <v>739</v>
      </c>
      <c r="C839" s="79" t="s">
        <v>37</v>
      </c>
      <c r="D839" s="81">
        <f t="shared" si="188"/>
        <v>10985.27234</v>
      </c>
      <c r="E839" s="82">
        <f t="shared" si="189"/>
        <v>2565.7608999999998</v>
      </c>
      <c r="F839" s="83">
        <f t="shared" ref="F839:F852" si="190">H839+I839+K839+L839+M839+N839+P839+Q839+R839+T839+U839+W839+Y839+AA839+AC839+AD839+AG839+AH839+AI839+AK839+AM839+AO839+AQ839+AR839+AS839+AT839+AU839+AV839+AW839+AY839+BA839+BB839+BC839+BE839+BF839+BG839+BH839+BI839+BJ839+BK839+BL839+BO839+BP839+BQ839+BS839+BT839+BU839+BW839+BY839+CA839+BM839+BN839</f>
        <v>8419.5114400000002</v>
      </c>
      <c r="G839" s="81"/>
      <c r="H839" s="209"/>
      <c r="I839" s="209"/>
      <c r="J839" s="81"/>
      <c r="K839" s="209"/>
      <c r="L839" s="209"/>
      <c r="M839" s="209"/>
      <c r="N839" s="209"/>
      <c r="O839" s="81"/>
      <c r="P839" s="209"/>
      <c r="Q839" s="209">
        <v>2794.48254</v>
      </c>
      <c r="R839" s="209"/>
      <c r="S839" s="81">
        <v>298.13583</v>
      </c>
      <c r="T839" s="83">
        <v>696.44833000000006</v>
      </c>
      <c r="U839" s="209"/>
      <c r="V839" s="82">
        <v>162.36500000000001</v>
      </c>
      <c r="W839" s="83">
        <v>283.5</v>
      </c>
      <c r="X839" s="82"/>
      <c r="Y839" s="91">
        <v>726.33600000000001</v>
      </c>
      <c r="Z839" s="81"/>
      <c r="AA839" s="209"/>
      <c r="AB839" s="81"/>
      <c r="AC839" s="209"/>
      <c r="AD839" s="89">
        <f t="shared" si="182"/>
        <v>825.5575</v>
      </c>
      <c r="AE839" s="89">
        <f>501.4233+42.982</f>
        <v>544.40530000000001</v>
      </c>
      <c r="AF839" s="188">
        <v>281.15219999999999</v>
      </c>
      <c r="AG839" s="83"/>
      <c r="AH839" s="83"/>
      <c r="AI839" s="209"/>
      <c r="AJ839" s="81"/>
      <c r="AK839" s="209"/>
      <c r="AL839" s="81"/>
      <c r="AM839" s="235"/>
      <c r="AN839" s="81"/>
      <c r="AO839" s="209"/>
      <c r="AP839" s="81"/>
      <c r="AQ839" s="209"/>
      <c r="AR839" s="209"/>
      <c r="AS839" s="209"/>
      <c r="AT839" s="209"/>
      <c r="AU839" s="209"/>
      <c r="AV839" s="83">
        <v>1186.7057600000001</v>
      </c>
      <c r="AW839" s="235"/>
      <c r="AX839" s="81"/>
      <c r="AY839" s="209"/>
      <c r="AZ839" s="82">
        <v>2105.2600699999998</v>
      </c>
      <c r="BA839" s="85">
        <v>1906.4813099999999</v>
      </c>
      <c r="BB839" s="235"/>
      <c r="BC839" s="209"/>
      <c r="BD839" s="81"/>
      <c r="BE839" s="235"/>
      <c r="BF839" s="209"/>
      <c r="BG839" s="209"/>
      <c r="BH839" s="209"/>
      <c r="BI839" s="209"/>
      <c r="BJ839" s="209"/>
      <c r="BK839" s="209"/>
      <c r="BL839" s="209"/>
      <c r="BM839" s="209"/>
      <c r="BN839" s="209"/>
      <c r="BO839" s="209"/>
      <c r="BP839" s="209"/>
      <c r="BQ839" s="209"/>
      <c r="BR839" s="81"/>
      <c r="BS839" s="209"/>
      <c r="BT839" s="209"/>
      <c r="BU839" s="209"/>
      <c r="BV839" s="81"/>
      <c r="BW839" s="209"/>
      <c r="BX839" s="81"/>
      <c r="BY839" s="209"/>
      <c r="BZ839" s="81"/>
      <c r="CA839" s="209"/>
    </row>
    <row r="840" spans="1:1199" ht="50.1" customHeight="1" outlineLevel="3" x14ac:dyDescent="0.3">
      <c r="A840" s="103" t="s">
        <v>737</v>
      </c>
      <c r="B840" s="80" t="s">
        <v>740</v>
      </c>
      <c r="C840" s="79" t="s">
        <v>53</v>
      </c>
      <c r="D840" s="81">
        <f t="shared" si="188"/>
        <v>340.37072999999998</v>
      </c>
      <c r="E840" s="82">
        <f t="shared" si="189"/>
        <v>104.21722</v>
      </c>
      <c r="F840" s="83">
        <f t="shared" si="190"/>
        <v>236.15350999999998</v>
      </c>
      <c r="G840" s="81"/>
      <c r="H840" s="209"/>
      <c r="I840" s="209"/>
      <c r="J840" s="81"/>
      <c r="K840" s="209"/>
      <c r="L840" s="209"/>
      <c r="M840" s="209"/>
      <c r="N840" s="209"/>
      <c r="O840" s="81"/>
      <c r="P840" s="209"/>
      <c r="Q840" s="209"/>
      <c r="R840" s="209"/>
      <c r="S840" s="81"/>
      <c r="T840" s="209"/>
      <c r="U840" s="209"/>
      <c r="V840" s="82"/>
      <c r="W840" s="83"/>
      <c r="X840" s="82"/>
      <c r="Y840" s="83">
        <v>78</v>
      </c>
      <c r="Z840" s="81"/>
      <c r="AA840" s="209"/>
      <c r="AB840" s="81"/>
      <c r="AC840" s="209"/>
      <c r="AD840" s="89">
        <f t="shared" si="182"/>
        <v>63.776390000000006</v>
      </c>
      <c r="AE840" s="89">
        <v>42.373800000000003</v>
      </c>
      <c r="AF840" s="188">
        <v>21.40259</v>
      </c>
      <c r="AG840" s="83"/>
      <c r="AH840" s="83"/>
      <c r="AI840" s="209"/>
      <c r="AJ840" s="81"/>
      <c r="AK840" s="209"/>
      <c r="AL840" s="81"/>
      <c r="AM840" s="235"/>
      <c r="AN840" s="81"/>
      <c r="AO840" s="209"/>
      <c r="AP840" s="81"/>
      <c r="AQ840" s="209"/>
      <c r="AR840" s="209"/>
      <c r="AS840" s="209"/>
      <c r="AT840" s="209"/>
      <c r="AU840" s="209"/>
      <c r="AV840" s="209"/>
      <c r="AW840" s="235"/>
      <c r="AX840" s="81"/>
      <c r="AY840" s="209"/>
      <c r="AZ840" s="82">
        <v>104.21722</v>
      </c>
      <c r="BA840" s="85">
        <v>94.377120000000005</v>
      </c>
      <c r="BB840" s="235"/>
      <c r="BC840" s="209"/>
      <c r="BD840" s="81"/>
      <c r="BE840" s="235"/>
      <c r="BF840" s="209"/>
      <c r="BG840" s="209"/>
      <c r="BH840" s="209"/>
      <c r="BI840" s="209"/>
      <c r="BJ840" s="209"/>
      <c r="BK840" s="209"/>
      <c r="BL840" s="209"/>
      <c r="BM840" s="209"/>
      <c r="BN840" s="209"/>
      <c r="BO840" s="209"/>
      <c r="BP840" s="209"/>
      <c r="BQ840" s="209"/>
      <c r="BR840" s="81"/>
      <c r="BS840" s="209"/>
      <c r="BT840" s="209"/>
      <c r="BU840" s="209"/>
      <c r="BV840" s="81"/>
      <c r="BW840" s="209"/>
      <c r="BX840" s="81"/>
      <c r="BY840" s="209"/>
      <c r="BZ840" s="81"/>
      <c r="CA840" s="209"/>
    </row>
    <row r="841" spans="1:1199" ht="50.1" customHeight="1" outlineLevel="3" x14ac:dyDescent="0.3">
      <c r="A841" s="103" t="s">
        <v>737</v>
      </c>
      <c r="B841" s="80" t="s">
        <v>741</v>
      </c>
      <c r="C841" s="79" t="s">
        <v>53</v>
      </c>
      <c r="D841" s="81">
        <f t="shared" si="188"/>
        <v>314.54397</v>
      </c>
      <c r="E841" s="82">
        <f t="shared" si="189"/>
        <v>108.40680999999999</v>
      </c>
      <c r="F841" s="83">
        <f t="shared" si="190"/>
        <v>206.13715999999999</v>
      </c>
      <c r="G841" s="81"/>
      <c r="H841" s="209"/>
      <c r="I841" s="209"/>
      <c r="J841" s="81"/>
      <c r="K841" s="209"/>
      <c r="L841" s="209"/>
      <c r="M841" s="209"/>
      <c r="N841" s="209"/>
      <c r="O841" s="81"/>
      <c r="P841" s="209"/>
      <c r="Q841" s="209"/>
      <c r="R841" s="209"/>
      <c r="S841" s="81"/>
      <c r="T841" s="209"/>
      <c r="U841" s="209"/>
      <c r="V841" s="82"/>
      <c r="W841" s="83"/>
      <c r="X841" s="86"/>
      <c r="Y841" s="83">
        <v>72.695999999999998</v>
      </c>
      <c r="Z841" s="81"/>
      <c r="AA841" s="209"/>
      <c r="AB841" s="81"/>
      <c r="AC841" s="209"/>
      <c r="AD841" s="89">
        <f t="shared" si="182"/>
        <v>35.270040000000002</v>
      </c>
      <c r="AE841" s="89">
        <v>12.894600000000001</v>
      </c>
      <c r="AF841" s="188">
        <v>22.375440000000001</v>
      </c>
      <c r="AG841" s="83"/>
      <c r="AH841" s="83"/>
      <c r="AI841" s="209"/>
      <c r="AJ841" s="81"/>
      <c r="AK841" s="209"/>
      <c r="AL841" s="81"/>
      <c r="AM841" s="235"/>
      <c r="AN841" s="81"/>
      <c r="AO841" s="209"/>
      <c r="AP841" s="81"/>
      <c r="AQ841" s="209"/>
      <c r="AR841" s="209"/>
      <c r="AS841" s="209"/>
      <c r="AT841" s="209"/>
      <c r="AU841" s="209"/>
      <c r="AV841" s="209"/>
      <c r="AW841" s="235"/>
      <c r="AX841" s="81"/>
      <c r="AY841" s="209"/>
      <c r="AZ841" s="82">
        <v>108.40680999999999</v>
      </c>
      <c r="BA841" s="85">
        <v>98.171120000000002</v>
      </c>
      <c r="BB841" s="235"/>
      <c r="BC841" s="209"/>
      <c r="BD841" s="81"/>
      <c r="BE841" s="235"/>
      <c r="BF841" s="209"/>
      <c r="BG841" s="209"/>
      <c r="BH841" s="209"/>
      <c r="BI841" s="209"/>
      <c r="BJ841" s="209"/>
      <c r="BK841" s="209"/>
      <c r="BL841" s="209"/>
      <c r="BM841" s="209"/>
      <c r="BN841" s="209"/>
      <c r="BO841" s="209"/>
      <c r="BP841" s="209"/>
      <c r="BQ841" s="209"/>
      <c r="BR841" s="81"/>
      <c r="BS841" s="209"/>
      <c r="BT841" s="209"/>
      <c r="BU841" s="209"/>
      <c r="BV841" s="81"/>
      <c r="BW841" s="209"/>
      <c r="BX841" s="81"/>
      <c r="BY841" s="209"/>
      <c r="BZ841" s="81"/>
      <c r="CA841" s="209"/>
    </row>
    <row r="842" spans="1:1199" ht="50.1" customHeight="1" outlineLevel="3" x14ac:dyDescent="0.3">
      <c r="A842" s="103" t="s">
        <v>737</v>
      </c>
      <c r="B842" s="102" t="s">
        <v>742</v>
      </c>
      <c r="C842" s="79" t="s">
        <v>53</v>
      </c>
      <c r="D842" s="81">
        <f t="shared" si="188"/>
        <v>3602.7741900000001</v>
      </c>
      <c r="E842" s="82">
        <f t="shared" si="189"/>
        <v>901.68900000000008</v>
      </c>
      <c r="F842" s="83">
        <f t="shared" si="190"/>
        <v>2701.0851900000002</v>
      </c>
      <c r="G842" s="81"/>
      <c r="H842" s="209"/>
      <c r="I842" s="209"/>
      <c r="J842" s="81"/>
      <c r="K842" s="209"/>
      <c r="L842" s="209"/>
      <c r="M842" s="209"/>
      <c r="N842" s="209"/>
      <c r="O842" s="81"/>
      <c r="P842" s="209"/>
      <c r="Q842" s="209"/>
      <c r="R842" s="209"/>
      <c r="S842" s="81"/>
      <c r="T842" s="209"/>
      <c r="U842" s="209"/>
      <c r="V842" s="82">
        <v>64.945999999999998</v>
      </c>
      <c r="W842" s="83">
        <v>113.4</v>
      </c>
      <c r="X842" s="82"/>
      <c r="Y842" s="83">
        <v>444.91199999999998</v>
      </c>
      <c r="Z842" s="81"/>
      <c r="AA842" s="209"/>
      <c r="AB842" s="81"/>
      <c r="AC842" s="209"/>
      <c r="AD842" s="89">
        <f t="shared" si="182"/>
        <v>307.5317</v>
      </c>
      <c r="AE842" s="89">
        <f>141.246+30.0874</f>
        <v>171.33340000000001</v>
      </c>
      <c r="AF842" s="188">
        <v>136.19829999999999</v>
      </c>
      <c r="AG842" s="83"/>
      <c r="AH842" s="83"/>
      <c r="AI842" s="209"/>
      <c r="AJ842" s="81"/>
      <c r="AK842" s="209"/>
      <c r="AL842" s="81"/>
      <c r="AM842" s="235"/>
      <c r="AN842" s="81"/>
      <c r="AO842" s="209"/>
      <c r="AP842" s="81"/>
      <c r="AQ842" s="209"/>
      <c r="AR842" s="209"/>
      <c r="AS842" s="209"/>
      <c r="AT842" s="209"/>
      <c r="AU842" s="209"/>
      <c r="AV842" s="209"/>
      <c r="AW842" s="235"/>
      <c r="AX842" s="81"/>
      <c r="AY842" s="209"/>
      <c r="AZ842" s="82">
        <v>836.74300000000005</v>
      </c>
      <c r="BA842" s="85">
        <v>757.73739</v>
      </c>
      <c r="BB842" s="235"/>
      <c r="BC842" s="209"/>
      <c r="BD842" s="81"/>
      <c r="BE842" s="235"/>
      <c r="BF842" s="209"/>
      <c r="BG842" s="209"/>
      <c r="BH842" s="209"/>
      <c r="BI842" s="209"/>
      <c r="BJ842" s="209"/>
      <c r="BK842" s="209"/>
      <c r="BL842" s="209"/>
      <c r="BM842" s="209"/>
      <c r="BN842" s="209"/>
      <c r="BO842" s="209"/>
      <c r="BP842" s="209"/>
      <c r="BQ842" s="209"/>
      <c r="BR842" s="81"/>
      <c r="BS842" s="209"/>
      <c r="BT842" s="83">
        <v>1077.5041000000001</v>
      </c>
      <c r="BU842" s="209"/>
      <c r="BV842" s="81"/>
      <c r="BW842" s="209"/>
      <c r="BX842" s="81"/>
      <c r="BY842" s="209"/>
      <c r="BZ842" s="81"/>
      <c r="CA842" s="209"/>
    </row>
    <row r="843" spans="1:1199" ht="50.1" customHeight="1" outlineLevel="3" x14ac:dyDescent="0.3">
      <c r="A843" s="103" t="s">
        <v>737</v>
      </c>
      <c r="B843" s="102" t="s">
        <v>743</v>
      </c>
      <c r="C843" s="79" t="s">
        <v>53</v>
      </c>
      <c r="D843" s="81">
        <f t="shared" si="188"/>
        <v>199.86436</v>
      </c>
      <c r="E843" s="82">
        <f t="shared" si="189"/>
        <v>76.458920000000006</v>
      </c>
      <c r="F843" s="83">
        <f t="shared" si="190"/>
        <v>123.40544</v>
      </c>
      <c r="G843" s="81"/>
      <c r="H843" s="209"/>
      <c r="I843" s="209"/>
      <c r="J843" s="81"/>
      <c r="K843" s="209"/>
      <c r="L843" s="209"/>
      <c r="M843" s="209"/>
      <c r="N843" s="209"/>
      <c r="O843" s="81"/>
      <c r="P843" s="209"/>
      <c r="Q843" s="209"/>
      <c r="R843" s="209"/>
      <c r="S843" s="81"/>
      <c r="T843" s="209"/>
      <c r="U843" s="209"/>
      <c r="V843" s="82"/>
      <c r="W843" s="83"/>
      <c r="X843" s="82"/>
      <c r="Y843" s="83"/>
      <c r="Z843" s="81"/>
      <c r="AA843" s="209"/>
      <c r="AB843" s="81"/>
      <c r="AC843" s="209"/>
      <c r="AD843" s="89">
        <f t="shared" ref="AD843:AD849" si="191">AE843+AF843</f>
        <v>43.814719999999994</v>
      </c>
      <c r="AE843" s="89">
        <v>28.249199999999998</v>
      </c>
      <c r="AF843" s="188">
        <v>15.565519999999999</v>
      </c>
      <c r="AG843" s="83"/>
      <c r="AH843" s="83"/>
      <c r="AI843" s="209"/>
      <c r="AJ843" s="81"/>
      <c r="AK843" s="209"/>
      <c r="AL843" s="81"/>
      <c r="AM843" s="235"/>
      <c r="AN843" s="81"/>
      <c r="AO843" s="209"/>
      <c r="AP843" s="81"/>
      <c r="AQ843" s="209"/>
      <c r="AR843" s="209"/>
      <c r="AS843" s="209"/>
      <c r="AT843" s="209"/>
      <c r="AU843" s="209"/>
      <c r="AV843" s="209"/>
      <c r="AW843" s="235"/>
      <c r="AX843" s="81"/>
      <c r="AY843" s="209"/>
      <c r="AZ843" s="82">
        <v>76.458920000000006</v>
      </c>
      <c r="BA843" s="85">
        <v>69.239710000000002</v>
      </c>
      <c r="BB843" s="235"/>
      <c r="BC843" s="209"/>
      <c r="BD843" s="81"/>
      <c r="BE843" s="235"/>
      <c r="BF843" s="209"/>
      <c r="BG843" s="83">
        <v>10.35101</v>
      </c>
      <c r="BH843" s="209"/>
      <c r="BI843" s="209"/>
      <c r="BJ843" s="209"/>
      <c r="BK843" s="209"/>
      <c r="BL843" s="209"/>
      <c r="BM843" s="209"/>
      <c r="BN843" s="209"/>
      <c r="BO843" s="209"/>
      <c r="BP843" s="209"/>
      <c r="BQ843" s="209"/>
      <c r="BR843" s="81"/>
      <c r="BS843" s="209"/>
      <c r="BT843" s="209"/>
      <c r="BU843" s="209"/>
      <c r="BV843" s="81"/>
      <c r="BW843" s="209"/>
      <c r="BX843" s="81"/>
      <c r="BY843" s="209"/>
      <c r="BZ843" s="81"/>
      <c r="CA843" s="209"/>
    </row>
    <row r="844" spans="1:1199" ht="50.1" customHeight="1" outlineLevel="3" x14ac:dyDescent="0.3">
      <c r="A844" s="103" t="s">
        <v>737</v>
      </c>
      <c r="B844" s="102" t="s">
        <v>1190</v>
      </c>
      <c r="C844" s="79" t="s">
        <v>55</v>
      </c>
      <c r="D844" s="81">
        <f t="shared" si="188"/>
        <v>12.00896</v>
      </c>
      <c r="E844" s="82">
        <f t="shared" si="189"/>
        <v>4.4840200000000001</v>
      </c>
      <c r="F844" s="83">
        <f t="shared" si="190"/>
        <v>7.52494</v>
      </c>
      <c r="G844" s="81"/>
      <c r="H844" s="209"/>
      <c r="I844" s="209"/>
      <c r="J844" s="81"/>
      <c r="K844" s="209"/>
      <c r="L844" s="209"/>
      <c r="M844" s="209"/>
      <c r="N844" s="209"/>
      <c r="O844" s="81"/>
      <c r="P844" s="209"/>
      <c r="Q844" s="209"/>
      <c r="R844" s="209"/>
      <c r="S844" s="81"/>
      <c r="T844" s="209"/>
      <c r="U844" s="209"/>
      <c r="V844" s="82">
        <v>4.4840200000000001</v>
      </c>
      <c r="W844" s="83">
        <v>7.52494</v>
      </c>
      <c r="X844" s="82"/>
      <c r="Y844" s="83"/>
      <c r="Z844" s="81"/>
      <c r="AA844" s="209"/>
      <c r="AB844" s="81"/>
      <c r="AC844" s="209"/>
      <c r="AD844" s="89"/>
      <c r="AE844" s="89"/>
      <c r="AF844" s="188"/>
      <c r="AG844" s="83"/>
      <c r="AH844" s="83"/>
      <c r="AI844" s="209"/>
      <c r="AJ844" s="81"/>
      <c r="AK844" s="209"/>
      <c r="AL844" s="81"/>
      <c r="AM844" s="235"/>
      <c r="AN844" s="81"/>
      <c r="AO844" s="209"/>
      <c r="AP844" s="81"/>
      <c r="AQ844" s="209"/>
      <c r="AR844" s="209"/>
      <c r="AS844" s="209"/>
      <c r="AT844" s="209"/>
      <c r="AU844" s="209"/>
      <c r="AV844" s="209"/>
      <c r="AW844" s="235"/>
      <c r="AX844" s="81"/>
      <c r="AY844" s="209"/>
      <c r="AZ844" s="82"/>
      <c r="BA844" s="85"/>
      <c r="BB844" s="235"/>
      <c r="BC844" s="209"/>
      <c r="BD844" s="81"/>
      <c r="BE844" s="235"/>
      <c r="BF844" s="209"/>
      <c r="BG844" s="83"/>
      <c r="BH844" s="209"/>
      <c r="BI844" s="209"/>
      <c r="BJ844" s="209"/>
      <c r="BK844" s="209"/>
      <c r="BL844" s="209"/>
      <c r="BM844" s="209"/>
      <c r="BN844" s="209"/>
      <c r="BO844" s="209"/>
      <c r="BP844" s="209"/>
      <c r="BQ844" s="209"/>
      <c r="BR844" s="81"/>
      <c r="BS844" s="209"/>
      <c r="BT844" s="209"/>
      <c r="BU844" s="209"/>
      <c r="BV844" s="81"/>
      <c r="BW844" s="209"/>
      <c r="BX844" s="81"/>
      <c r="BY844" s="209"/>
      <c r="BZ844" s="81"/>
      <c r="CA844" s="209"/>
    </row>
    <row r="845" spans="1:1199" ht="50.1" customHeight="1" outlineLevel="3" x14ac:dyDescent="0.3">
      <c r="A845" s="103" t="s">
        <v>737</v>
      </c>
      <c r="B845" s="102" t="s">
        <v>1160</v>
      </c>
      <c r="C845" s="79" t="s">
        <v>55</v>
      </c>
      <c r="D845" s="81">
        <f t="shared" si="188"/>
        <v>171.6</v>
      </c>
      <c r="E845" s="82">
        <f t="shared" si="189"/>
        <v>0</v>
      </c>
      <c r="F845" s="83">
        <f t="shared" si="190"/>
        <v>171.6</v>
      </c>
      <c r="G845" s="81"/>
      <c r="H845" s="209"/>
      <c r="I845" s="209"/>
      <c r="J845" s="81"/>
      <c r="K845" s="209"/>
      <c r="L845" s="209"/>
      <c r="M845" s="209"/>
      <c r="N845" s="209"/>
      <c r="O845" s="81"/>
      <c r="P845" s="209"/>
      <c r="Q845" s="209"/>
      <c r="R845" s="209"/>
      <c r="S845" s="81"/>
      <c r="T845" s="209"/>
      <c r="U845" s="209"/>
      <c r="V845" s="82"/>
      <c r="W845" s="83"/>
      <c r="X845" s="82"/>
      <c r="Y845" s="83">
        <v>171.6</v>
      </c>
      <c r="Z845" s="81"/>
      <c r="AA845" s="209"/>
      <c r="AB845" s="81"/>
      <c r="AC845" s="209"/>
      <c r="AD845" s="89"/>
      <c r="AE845" s="89"/>
      <c r="AF845" s="188"/>
      <c r="AG845" s="83"/>
      <c r="AH845" s="83"/>
      <c r="AI845" s="209"/>
      <c r="AJ845" s="81"/>
      <c r="AK845" s="209"/>
      <c r="AL845" s="81"/>
      <c r="AM845" s="235"/>
      <c r="AN845" s="81"/>
      <c r="AO845" s="209"/>
      <c r="AP845" s="81"/>
      <c r="AQ845" s="209"/>
      <c r="AR845" s="209"/>
      <c r="AS845" s="209"/>
      <c r="AT845" s="209"/>
      <c r="AU845" s="209"/>
      <c r="AV845" s="209"/>
      <c r="AW845" s="235"/>
      <c r="AX845" s="81"/>
      <c r="AY845" s="209"/>
      <c r="AZ845" s="82"/>
      <c r="BA845" s="85"/>
      <c r="BB845" s="235"/>
      <c r="BC845" s="209"/>
      <c r="BD845" s="81"/>
      <c r="BE845" s="235"/>
      <c r="BF845" s="209"/>
      <c r="BG845" s="83"/>
      <c r="BH845" s="209"/>
      <c r="BI845" s="209"/>
      <c r="BJ845" s="209"/>
      <c r="BK845" s="209"/>
      <c r="BL845" s="209"/>
      <c r="BM845" s="209"/>
      <c r="BN845" s="209"/>
      <c r="BO845" s="209"/>
      <c r="BP845" s="209"/>
      <c r="BQ845" s="209"/>
      <c r="BR845" s="81"/>
      <c r="BS845" s="209"/>
      <c r="BT845" s="209"/>
      <c r="BU845" s="209"/>
      <c r="BV845" s="81"/>
      <c r="BW845" s="209"/>
      <c r="BX845" s="81"/>
      <c r="BY845" s="209"/>
      <c r="BZ845" s="81"/>
      <c r="CA845" s="209"/>
    </row>
    <row r="846" spans="1:1199" ht="50.1" customHeight="1" outlineLevel="3" x14ac:dyDescent="0.3">
      <c r="A846" s="103" t="s">
        <v>737</v>
      </c>
      <c r="B846" s="80" t="s">
        <v>744</v>
      </c>
      <c r="C846" s="79" t="s">
        <v>53</v>
      </c>
      <c r="D846" s="81">
        <f t="shared" si="188"/>
        <v>694.84128999999996</v>
      </c>
      <c r="E846" s="82">
        <f t="shared" si="189"/>
        <v>260.12034</v>
      </c>
      <c r="F846" s="83">
        <f t="shared" si="190"/>
        <v>434.72094999999996</v>
      </c>
      <c r="G846" s="81"/>
      <c r="H846" s="209"/>
      <c r="I846" s="209"/>
      <c r="J846" s="81"/>
      <c r="K846" s="209"/>
      <c r="L846" s="209"/>
      <c r="M846" s="209"/>
      <c r="N846" s="209"/>
      <c r="O846" s="81"/>
      <c r="P846" s="209"/>
      <c r="Q846" s="209"/>
      <c r="R846" s="209"/>
      <c r="S846" s="81"/>
      <c r="T846" s="209"/>
      <c r="U846" s="209"/>
      <c r="V846" s="82">
        <v>23.195</v>
      </c>
      <c r="W846" s="83">
        <v>40.5</v>
      </c>
      <c r="X846" s="82"/>
      <c r="Y846" s="91">
        <v>82.055999999999997</v>
      </c>
      <c r="Z846" s="81"/>
      <c r="AA846" s="209"/>
      <c r="AB846" s="81"/>
      <c r="AC846" s="209"/>
      <c r="AD846" s="89">
        <f t="shared" si="191"/>
        <v>97.610279999999989</v>
      </c>
      <c r="AE846" s="89">
        <v>63.560699999999997</v>
      </c>
      <c r="AF846" s="188">
        <v>34.049579999999999</v>
      </c>
      <c r="AG846" s="83"/>
      <c r="AH846" s="83"/>
      <c r="AI846" s="209"/>
      <c r="AJ846" s="81"/>
      <c r="AK846" s="209"/>
      <c r="AL846" s="81"/>
      <c r="AM846" s="235"/>
      <c r="AN846" s="81"/>
      <c r="AO846" s="209"/>
      <c r="AP846" s="81"/>
      <c r="AQ846" s="209"/>
      <c r="AR846" s="209"/>
      <c r="AS846" s="209"/>
      <c r="AT846" s="209"/>
      <c r="AU846" s="209"/>
      <c r="AV846" s="209"/>
      <c r="AW846" s="235"/>
      <c r="AX846" s="81"/>
      <c r="AY846" s="209"/>
      <c r="AZ846" s="82">
        <v>236.92534000000001</v>
      </c>
      <c r="BA846" s="85">
        <v>214.55466999999999</v>
      </c>
      <c r="BB846" s="235"/>
      <c r="BC846" s="209"/>
      <c r="BD846" s="81"/>
      <c r="BE846" s="235"/>
      <c r="BF846" s="209"/>
      <c r="BG846" s="209"/>
      <c r="BH846" s="209"/>
      <c r="BI846" s="209"/>
      <c r="BJ846" s="209"/>
      <c r="BK846" s="209"/>
      <c r="BL846" s="209"/>
      <c r="BM846" s="209"/>
      <c r="BN846" s="209"/>
      <c r="BO846" s="209"/>
      <c r="BP846" s="209"/>
      <c r="BQ846" s="209"/>
      <c r="BR846" s="81"/>
      <c r="BS846" s="209"/>
      <c r="BT846" s="209"/>
      <c r="BU846" s="209"/>
      <c r="BV846" s="81"/>
      <c r="BW846" s="209"/>
      <c r="BX846" s="81"/>
      <c r="BY846" s="209"/>
      <c r="BZ846" s="81"/>
      <c r="CA846" s="209"/>
    </row>
    <row r="847" spans="1:1199" ht="50.1" customHeight="1" outlineLevel="3" x14ac:dyDescent="0.3">
      <c r="A847" s="103" t="s">
        <v>737</v>
      </c>
      <c r="B847" s="80" t="s">
        <v>745</v>
      </c>
      <c r="C847" s="79" t="s">
        <v>53</v>
      </c>
      <c r="D847" s="81">
        <f t="shared" si="188"/>
        <v>171.06988999999999</v>
      </c>
      <c r="E847" s="82">
        <f t="shared" si="189"/>
        <v>72.282420000000002</v>
      </c>
      <c r="F847" s="83">
        <f t="shared" si="190"/>
        <v>98.787469999999999</v>
      </c>
      <c r="G847" s="81"/>
      <c r="H847" s="209"/>
      <c r="I847" s="209"/>
      <c r="J847" s="81"/>
      <c r="K847" s="209"/>
      <c r="L847" s="209"/>
      <c r="M847" s="209"/>
      <c r="N847" s="209"/>
      <c r="O847" s="81"/>
      <c r="P847" s="209"/>
      <c r="Q847" s="209"/>
      <c r="R847" s="209"/>
      <c r="S847" s="81"/>
      <c r="T847" s="209"/>
      <c r="U847" s="209"/>
      <c r="V847" s="82"/>
      <c r="W847" s="83"/>
      <c r="X847" s="82"/>
      <c r="Y847" s="83">
        <v>26.52</v>
      </c>
      <c r="Z847" s="81"/>
      <c r="AA847" s="209"/>
      <c r="AB847" s="81"/>
      <c r="AC847" s="209"/>
      <c r="AD847" s="89">
        <f t="shared" si="191"/>
        <v>6.80992</v>
      </c>
      <c r="AE847" s="89"/>
      <c r="AF847" s="188">
        <v>6.80992</v>
      </c>
      <c r="AG847" s="83"/>
      <c r="AH847" s="83"/>
      <c r="AI847" s="209"/>
      <c r="AJ847" s="81"/>
      <c r="AK847" s="209"/>
      <c r="AL847" s="81"/>
      <c r="AM847" s="235"/>
      <c r="AN847" s="81"/>
      <c r="AO847" s="209"/>
      <c r="AP847" s="81"/>
      <c r="AQ847" s="209"/>
      <c r="AR847" s="209"/>
      <c r="AS847" s="209"/>
      <c r="AT847" s="209"/>
      <c r="AU847" s="209"/>
      <c r="AV847" s="209"/>
      <c r="AW847" s="235"/>
      <c r="AX847" s="81"/>
      <c r="AY847" s="209"/>
      <c r="AZ847" s="82">
        <v>72.282420000000002</v>
      </c>
      <c r="BA847" s="85">
        <v>65.457549999999998</v>
      </c>
      <c r="BB847" s="235"/>
      <c r="BC847" s="209"/>
      <c r="BD847" s="81"/>
      <c r="BE847" s="235"/>
      <c r="BF847" s="209"/>
      <c r="BG847" s="209"/>
      <c r="BH847" s="209"/>
      <c r="BI847" s="209"/>
      <c r="BJ847" s="209"/>
      <c r="BK847" s="209"/>
      <c r="BL847" s="209"/>
      <c r="BM847" s="209"/>
      <c r="BN847" s="209"/>
      <c r="BO847" s="209"/>
      <c r="BP847" s="209"/>
      <c r="BQ847" s="209"/>
      <c r="BR847" s="81"/>
      <c r="BS847" s="209"/>
      <c r="BT847" s="209"/>
      <c r="BU847" s="209"/>
      <c r="BV847" s="81"/>
      <c r="BW847" s="209"/>
      <c r="BX847" s="81"/>
      <c r="BY847" s="209"/>
      <c r="BZ847" s="81"/>
      <c r="CA847" s="209"/>
    </row>
    <row r="848" spans="1:1199" ht="50.1" customHeight="1" outlineLevel="3" x14ac:dyDescent="0.3">
      <c r="A848" s="103" t="s">
        <v>737</v>
      </c>
      <c r="B848" s="102" t="s">
        <v>984</v>
      </c>
      <c r="C848" s="79" t="s">
        <v>55</v>
      </c>
      <c r="D848" s="81">
        <f t="shared" si="188"/>
        <v>11.462019999999999</v>
      </c>
      <c r="E848" s="82">
        <f t="shared" si="189"/>
        <v>3.0678399999999999</v>
      </c>
      <c r="F848" s="83">
        <f t="shared" si="190"/>
        <v>8.3941799999999986</v>
      </c>
      <c r="G848" s="81"/>
      <c r="H848" s="209"/>
      <c r="I848" s="209"/>
      <c r="J848" s="81"/>
      <c r="K848" s="209"/>
      <c r="L848" s="209"/>
      <c r="M848" s="209"/>
      <c r="N848" s="209"/>
      <c r="O848" s="81"/>
      <c r="P848" s="209"/>
      <c r="Q848" s="209"/>
      <c r="R848" s="209"/>
      <c r="S848" s="81"/>
      <c r="T848" s="209"/>
      <c r="U848" s="209"/>
      <c r="V848" s="82"/>
      <c r="W848" s="83"/>
      <c r="X848" s="82"/>
      <c r="Y848" s="83">
        <v>5.6159999999999997</v>
      </c>
      <c r="Z848" s="81"/>
      <c r="AA848" s="209"/>
      <c r="AB848" s="81"/>
      <c r="AC848" s="209"/>
      <c r="AD848" s="89">
        <f t="shared" si="191"/>
        <v>0</v>
      </c>
      <c r="AE848" s="89"/>
      <c r="AF848" s="188"/>
      <c r="AG848" s="83"/>
      <c r="AH848" s="83"/>
      <c r="AI848" s="209"/>
      <c r="AJ848" s="81"/>
      <c r="AK848" s="209"/>
      <c r="AL848" s="81"/>
      <c r="AM848" s="235"/>
      <c r="AN848" s="81"/>
      <c r="AO848" s="209"/>
      <c r="AP848" s="81"/>
      <c r="AQ848" s="209"/>
      <c r="AR848" s="209"/>
      <c r="AS848" s="209"/>
      <c r="AT848" s="209"/>
      <c r="AU848" s="209"/>
      <c r="AV848" s="209"/>
      <c r="AW848" s="235"/>
      <c r="AX848" s="81"/>
      <c r="AY848" s="209"/>
      <c r="AZ848" s="82">
        <v>3.0678399999999999</v>
      </c>
      <c r="BA848" s="85">
        <v>2.7781799999999999</v>
      </c>
      <c r="BB848" s="235"/>
      <c r="BC848" s="209"/>
      <c r="BD848" s="81"/>
      <c r="BE848" s="235"/>
      <c r="BF848" s="209"/>
      <c r="BG848" s="209"/>
      <c r="BH848" s="209"/>
      <c r="BI848" s="209"/>
      <c r="BJ848" s="209"/>
      <c r="BK848" s="209"/>
      <c r="BL848" s="209"/>
      <c r="BM848" s="209"/>
      <c r="BN848" s="209"/>
      <c r="BO848" s="209"/>
      <c r="BP848" s="209"/>
      <c r="BQ848" s="209"/>
      <c r="BR848" s="81"/>
      <c r="BS848" s="209"/>
      <c r="BT848" s="209"/>
      <c r="BU848" s="209"/>
      <c r="BV848" s="81"/>
      <c r="BW848" s="209"/>
      <c r="BX848" s="81"/>
      <c r="BY848" s="209"/>
      <c r="BZ848" s="81"/>
      <c r="CA848" s="209"/>
    </row>
    <row r="849" spans="1:1199" ht="50.1" customHeight="1" outlineLevel="3" x14ac:dyDescent="0.3">
      <c r="A849" s="103" t="s">
        <v>737</v>
      </c>
      <c r="B849" s="102" t="s">
        <v>746</v>
      </c>
      <c r="C849" s="79" t="s">
        <v>55</v>
      </c>
      <c r="D849" s="81">
        <f t="shared" si="188"/>
        <v>10.608000000000001</v>
      </c>
      <c r="E849" s="82">
        <f t="shared" si="189"/>
        <v>0</v>
      </c>
      <c r="F849" s="83">
        <f t="shared" si="190"/>
        <v>10.608000000000001</v>
      </c>
      <c r="G849" s="81"/>
      <c r="H849" s="209"/>
      <c r="I849" s="209"/>
      <c r="J849" s="81"/>
      <c r="K849" s="209"/>
      <c r="L849" s="209"/>
      <c r="M849" s="209"/>
      <c r="N849" s="209"/>
      <c r="O849" s="81"/>
      <c r="P849" s="209"/>
      <c r="Q849" s="209"/>
      <c r="R849" s="209"/>
      <c r="S849" s="81"/>
      <c r="T849" s="209"/>
      <c r="U849" s="209"/>
      <c r="V849" s="82"/>
      <c r="W849" s="83"/>
      <c r="X849" s="82"/>
      <c r="Y849" s="83">
        <v>10.608000000000001</v>
      </c>
      <c r="Z849" s="81"/>
      <c r="AA849" s="209"/>
      <c r="AB849" s="81"/>
      <c r="AC849" s="209"/>
      <c r="AD849" s="89">
        <f t="shared" si="191"/>
        <v>0</v>
      </c>
      <c r="AE849" s="83"/>
      <c r="AF849" s="236"/>
      <c r="AG849" s="83"/>
      <c r="AH849" s="83"/>
      <c r="AI849" s="209"/>
      <c r="AJ849" s="81"/>
      <c r="AK849" s="209"/>
      <c r="AL849" s="81"/>
      <c r="AM849" s="209"/>
      <c r="AN849" s="81"/>
      <c r="AO849" s="209"/>
      <c r="AP849" s="81"/>
      <c r="AQ849" s="209"/>
      <c r="AR849" s="209"/>
      <c r="AS849" s="209"/>
      <c r="AT849" s="209"/>
      <c r="AU849" s="209"/>
      <c r="AV849" s="209"/>
      <c r="AW849" s="209"/>
      <c r="AX849" s="81"/>
      <c r="AY849" s="209"/>
      <c r="AZ849" s="82"/>
      <c r="BA849" s="85"/>
      <c r="BB849" s="209"/>
      <c r="BC849" s="209"/>
      <c r="BD849" s="209"/>
      <c r="BE849" s="209"/>
      <c r="BF849" s="209"/>
      <c r="BG849" s="209"/>
      <c r="BH849" s="209"/>
      <c r="BI849" s="209"/>
      <c r="BJ849" s="209"/>
      <c r="BK849" s="209"/>
      <c r="BL849" s="209"/>
      <c r="BM849" s="209"/>
      <c r="BN849" s="209"/>
      <c r="BO849" s="209"/>
      <c r="BP849" s="209"/>
      <c r="BQ849" s="209"/>
      <c r="BR849" s="81"/>
      <c r="BS849" s="209"/>
      <c r="BT849" s="209"/>
      <c r="BU849" s="209"/>
      <c r="BV849" s="81"/>
      <c r="BW849" s="209"/>
      <c r="BX849" s="81"/>
      <c r="BY849" s="209"/>
      <c r="BZ849" s="81"/>
      <c r="CA849" s="209"/>
    </row>
    <row r="850" spans="1:1199" ht="50.1" customHeight="1" outlineLevel="3" x14ac:dyDescent="0.3">
      <c r="A850" s="103" t="s">
        <v>737</v>
      </c>
      <c r="B850" s="102" t="s">
        <v>1059</v>
      </c>
      <c r="C850" s="79" t="s">
        <v>55</v>
      </c>
      <c r="D850" s="81">
        <f t="shared" si="188"/>
        <v>46.835810000000002</v>
      </c>
      <c r="E850" s="82">
        <f t="shared" si="189"/>
        <v>24.578240000000001</v>
      </c>
      <c r="F850" s="83">
        <f t="shared" si="190"/>
        <v>22.257570000000001</v>
      </c>
      <c r="G850" s="81"/>
      <c r="H850" s="209"/>
      <c r="I850" s="209"/>
      <c r="J850" s="81"/>
      <c r="K850" s="209"/>
      <c r="L850" s="209"/>
      <c r="M850" s="209"/>
      <c r="N850" s="209"/>
      <c r="O850" s="81"/>
      <c r="P850" s="209"/>
      <c r="Q850" s="209"/>
      <c r="R850" s="209"/>
      <c r="S850" s="81"/>
      <c r="T850" s="209"/>
      <c r="U850" s="209"/>
      <c r="V850" s="82"/>
      <c r="W850" s="83"/>
      <c r="X850" s="82"/>
      <c r="Y850" s="83"/>
      <c r="Z850" s="81"/>
      <c r="AA850" s="209"/>
      <c r="AB850" s="81"/>
      <c r="AC850" s="209"/>
      <c r="AD850" s="89"/>
      <c r="AE850" s="83"/>
      <c r="AF850" s="236"/>
      <c r="AG850" s="83"/>
      <c r="AH850" s="83"/>
      <c r="AI850" s="209"/>
      <c r="AJ850" s="81"/>
      <c r="AK850" s="209"/>
      <c r="AL850" s="81"/>
      <c r="AM850" s="209"/>
      <c r="AN850" s="81"/>
      <c r="AO850" s="209"/>
      <c r="AP850" s="81"/>
      <c r="AQ850" s="209"/>
      <c r="AR850" s="209"/>
      <c r="AS850" s="209"/>
      <c r="AT850" s="209"/>
      <c r="AU850" s="209"/>
      <c r="AV850" s="209"/>
      <c r="AW850" s="209"/>
      <c r="AX850" s="81"/>
      <c r="AY850" s="209"/>
      <c r="AZ850" s="82">
        <v>24.578240000000001</v>
      </c>
      <c r="BA850" s="85">
        <v>22.257570000000001</v>
      </c>
      <c r="BB850" s="209"/>
      <c r="BC850" s="209"/>
      <c r="BD850" s="209"/>
      <c r="BE850" s="209"/>
      <c r="BF850" s="209"/>
      <c r="BG850" s="209"/>
      <c r="BH850" s="209"/>
      <c r="BI850" s="209"/>
      <c r="BJ850" s="209"/>
      <c r="BK850" s="209"/>
      <c r="BL850" s="209"/>
      <c r="BM850" s="209"/>
      <c r="BN850" s="209"/>
      <c r="BO850" s="209"/>
      <c r="BP850" s="209"/>
      <c r="BQ850" s="209"/>
      <c r="BR850" s="81"/>
      <c r="BS850" s="209"/>
      <c r="BT850" s="209"/>
      <c r="BU850" s="209"/>
      <c r="BV850" s="81"/>
      <c r="BW850" s="209"/>
      <c r="BX850" s="81"/>
      <c r="BY850" s="209"/>
      <c r="BZ850" s="81"/>
      <c r="CA850" s="209"/>
    </row>
    <row r="851" spans="1:1199" ht="50.1" customHeight="1" outlineLevel="3" x14ac:dyDescent="0.3">
      <c r="A851" s="103" t="s">
        <v>737</v>
      </c>
      <c r="B851" s="102" t="s">
        <v>1183</v>
      </c>
      <c r="C851" s="79" t="s">
        <v>55</v>
      </c>
      <c r="D851" s="81">
        <f t="shared" si="188"/>
        <v>2987.1</v>
      </c>
      <c r="E851" s="82">
        <f t="shared" si="189"/>
        <v>2837.7449999999999</v>
      </c>
      <c r="F851" s="83">
        <f t="shared" si="190"/>
        <v>149.35499999999999</v>
      </c>
      <c r="G851" s="81"/>
      <c r="H851" s="209"/>
      <c r="I851" s="209"/>
      <c r="J851" s="81"/>
      <c r="K851" s="209"/>
      <c r="L851" s="209"/>
      <c r="M851" s="209"/>
      <c r="N851" s="209"/>
      <c r="O851" s="81"/>
      <c r="P851" s="209"/>
      <c r="Q851" s="209"/>
      <c r="R851" s="209"/>
      <c r="S851" s="81"/>
      <c r="T851" s="209"/>
      <c r="U851" s="209"/>
      <c r="V851" s="82"/>
      <c r="W851" s="83"/>
      <c r="X851" s="82"/>
      <c r="Y851" s="83"/>
      <c r="Z851" s="81"/>
      <c r="AA851" s="209"/>
      <c r="AB851" s="81"/>
      <c r="AC851" s="209"/>
      <c r="AD851" s="89"/>
      <c r="AE851" s="83"/>
      <c r="AF851" s="236"/>
      <c r="AG851" s="83"/>
      <c r="AH851" s="83"/>
      <c r="AI851" s="209"/>
      <c r="AJ851" s="81"/>
      <c r="AK851" s="209"/>
      <c r="AL851" s="81"/>
      <c r="AM851" s="209"/>
      <c r="AN851" s="81"/>
      <c r="AO851" s="209"/>
      <c r="AP851" s="81"/>
      <c r="AQ851" s="209"/>
      <c r="AR851" s="209"/>
      <c r="AS851" s="209"/>
      <c r="AT851" s="209"/>
      <c r="AU851" s="209"/>
      <c r="AV851" s="209"/>
      <c r="AW851" s="209"/>
      <c r="AX851" s="81"/>
      <c r="AY851" s="209"/>
      <c r="AZ851" s="82"/>
      <c r="BA851" s="85"/>
      <c r="BB851" s="209"/>
      <c r="BC851" s="209"/>
      <c r="BD851" s="209"/>
      <c r="BE851" s="209"/>
      <c r="BF851" s="209"/>
      <c r="BG851" s="209"/>
      <c r="BH851" s="209"/>
      <c r="BI851" s="209"/>
      <c r="BJ851" s="209"/>
      <c r="BK851" s="209"/>
      <c r="BL851" s="209"/>
      <c r="BM851" s="209"/>
      <c r="BN851" s="209"/>
      <c r="BO851" s="209"/>
      <c r="BP851" s="209"/>
      <c r="BQ851" s="209"/>
      <c r="BR851" s="81"/>
      <c r="BS851" s="209"/>
      <c r="BT851" s="209"/>
      <c r="BU851" s="209"/>
      <c r="BV851" s="81">
        <v>2837.7449999999999</v>
      </c>
      <c r="BW851" s="209">
        <v>149.35499999999999</v>
      </c>
      <c r="BX851" s="81"/>
      <c r="BY851" s="209"/>
      <c r="BZ851" s="81"/>
      <c r="CA851" s="209"/>
    </row>
    <row r="852" spans="1:1199" ht="50.1" customHeight="1" outlineLevel="3" x14ac:dyDescent="0.3">
      <c r="A852" s="103" t="s">
        <v>737</v>
      </c>
      <c r="B852" s="102" t="s">
        <v>1065</v>
      </c>
      <c r="C852" s="79" t="s">
        <v>55</v>
      </c>
      <c r="D852" s="81">
        <f t="shared" si="188"/>
        <v>12.48</v>
      </c>
      <c r="E852" s="82">
        <f t="shared" si="189"/>
        <v>0</v>
      </c>
      <c r="F852" s="83">
        <f t="shared" si="190"/>
        <v>12.48</v>
      </c>
      <c r="G852" s="81"/>
      <c r="H852" s="209"/>
      <c r="I852" s="209"/>
      <c r="J852" s="81"/>
      <c r="K852" s="209"/>
      <c r="L852" s="209"/>
      <c r="M852" s="209"/>
      <c r="N852" s="209"/>
      <c r="O852" s="81"/>
      <c r="P852" s="209"/>
      <c r="Q852" s="209"/>
      <c r="R852" s="209"/>
      <c r="S852" s="81"/>
      <c r="T852" s="209"/>
      <c r="U852" s="209"/>
      <c r="V852" s="82"/>
      <c r="W852" s="83"/>
      <c r="X852" s="82"/>
      <c r="Y852" s="83">
        <v>12.48</v>
      </c>
      <c r="Z852" s="81"/>
      <c r="AA852" s="209"/>
      <c r="AB852" s="81"/>
      <c r="AC852" s="209"/>
      <c r="AD852" s="89"/>
      <c r="AE852" s="83"/>
      <c r="AF852" s="236"/>
      <c r="AG852" s="83"/>
      <c r="AH852" s="83"/>
      <c r="AI852" s="209"/>
      <c r="AJ852" s="81"/>
      <c r="AK852" s="209"/>
      <c r="AL852" s="81"/>
      <c r="AM852" s="209"/>
      <c r="AN852" s="81"/>
      <c r="AO852" s="209"/>
      <c r="AP852" s="81"/>
      <c r="AQ852" s="209"/>
      <c r="AR852" s="209"/>
      <c r="AS852" s="209"/>
      <c r="AT852" s="209"/>
      <c r="AU852" s="209"/>
      <c r="AV852" s="209"/>
      <c r="AW852" s="209"/>
      <c r="AX852" s="81"/>
      <c r="AY852" s="209"/>
      <c r="AZ852" s="82"/>
      <c r="BA852" s="85"/>
      <c r="BB852" s="209"/>
      <c r="BC852" s="209"/>
      <c r="BD852" s="209"/>
      <c r="BE852" s="209"/>
      <c r="BF852" s="209"/>
      <c r="BG852" s="209"/>
      <c r="BH852" s="209"/>
      <c r="BI852" s="209"/>
      <c r="BJ852" s="209"/>
      <c r="BK852" s="209"/>
      <c r="BL852" s="209"/>
      <c r="BM852" s="209"/>
      <c r="BN852" s="209"/>
      <c r="BO852" s="209"/>
      <c r="BP852" s="209"/>
      <c r="BQ852" s="209"/>
      <c r="BR852" s="81"/>
      <c r="BS852" s="209"/>
      <c r="BT852" s="209"/>
      <c r="BU852" s="209"/>
      <c r="BV852" s="81"/>
      <c r="BW852" s="209"/>
      <c r="BX852" s="81"/>
      <c r="BY852" s="209"/>
      <c r="BZ852" s="81"/>
      <c r="CA852" s="209"/>
    </row>
    <row r="853" spans="1:1199" s="101" customFormat="1" ht="50.1" customHeight="1" outlineLevel="1" x14ac:dyDescent="0.3">
      <c r="A853" s="132" t="s">
        <v>747</v>
      </c>
      <c r="B853" s="133"/>
      <c r="C853" s="134" t="s">
        <v>94</v>
      </c>
      <c r="D853" s="81">
        <f t="shared" ref="D853:AI853" si="192">SUBTOTAL(9,D838:D852)</f>
        <v>20857.497889999995</v>
      </c>
      <c r="E853" s="81">
        <f t="shared" si="192"/>
        <v>7310.7459899999994</v>
      </c>
      <c r="F853" s="81">
        <f t="shared" si="192"/>
        <v>13546.751899999999</v>
      </c>
      <c r="G853" s="81">
        <f t="shared" si="192"/>
        <v>0</v>
      </c>
      <c r="H853" s="81">
        <f t="shared" si="192"/>
        <v>0</v>
      </c>
      <c r="I853" s="81">
        <f t="shared" si="192"/>
        <v>0</v>
      </c>
      <c r="J853" s="81">
        <f t="shared" si="192"/>
        <v>0</v>
      </c>
      <c r="K853" s="81">
        <f t="shared" si="192"/>
        <v>0</v>
      </c>
      <c r="L853" s="81">
        <f t="shared" si="192"/>
        <v>0</v>
      </c>
      <c r="M853" s="81">
        <f t="shared" si="192"/>
        <v>0</v>
      </c>
      <c r="N853" s="81">
        <f t="shared" si="192"/>
        <v>0</v>
      </c>
      <c r="O853" s="81">
        <f t="shared" si="192"/>
        <v>0</v>
      </c>
      <c r="P853" s="81">
        <f t="shared" si="192"/>
        <v>0</v>
      </c>
      <c r="Q853" s="81">
        <f t="shared" si="192"/>
        <v>2794.48254</v>
      </c>
      <c r="R853" s="81">
        <f t="shared" si="192"/>
        <v>0</v>
      </c>
      <c r="S853" s="81">
        <f t="shared" si="192"/>
        <v>298.13583</v>
      </c>
      <c r="T853" s="81">
        <f t="shared" si="192"/>
        <v>696.44833000000006</v>
      </c>
      <c r="U853" s="81">
        <f t="shared" si="192"/>
        <v>0</v>
      </c>
      <c r="V853" s="81">
        <f t="shared" si="192"/>
        <v>254.99001999999999</v>
      </c>
      <c r="W853" s="81">
        <f t="shared" si="192"/>
        <v>444.92493999999999</v>
      </c>
      <c r="X853" s="81">
        <f t="shared" si="192"/>
        <v>0</v>
      </c>
      <c r="Y853" s="81">
        <f t="shared" si="192"/>
        <v>1803.36</v>
      </c>
      <c r="Z853" s="81">
        <f t="shared" si="192"/>
        <v>0</v>
      </c>
      <c r="AA853" s="81">
        <f t="shared" si="192"/>
        <v>0</v>
      </c>
      <c r="AB853" s="81">
        <f t="shared" si="192"/>
        <v>0</v>
      </c>
      <c r="AC853" s="81">
        <f t="shared" si="192"/>
        <v>0</v>
      </c>
      <c r="AD853" s="81">
        <f t="shared" si="192"/>
        <v>1485.0044</v>
      </c>
      <c r="AE853" s="81">
        <f t="shared" si="192"/>
        <v>899.35169999999994</v>
      </c>
      <c r="AF853" s="192">
        <f t="shared" si="192"/>
        <v>585.65269999999998</v>
      </c>
      <c r="AG853" s="81">
        <f t="shared" si="192"/>
        <v>0</v>
      </c>
      <c r="AH853" s="81">
        <f t="shared" si="192"/>
        <v>0</v>
      </c>
      <c r="AI853" s="81">
        <f t="shared" si="192"/>
        <v>0</v>
      </c>
      <c r="AJ853" s="81">
        <f t="shared" ref="AJ853:BO853" si="193">SUBTOTAL(9,AJ838:AJ852)</f>
        <v>0</v>
      </c>
      <c r="AK853" s="81">
        <f t="shared" si="193"/>
        <v>0</v>
      </c>
      <c r="AL853" s="81">
        <f t="shared" si="193"/>
        <v>0</v>
      </c>
      <c r="AM853" s="81">
        <f t="shared" si="193"/>
        <v>0</v>
      </c>
      <c r="AN853" s="81">
        <f t="shared" si="193"/>
        <v>0</v>
      </c>
      <c r="AO853" s="81">
        <f t="shared" si="193"/>
        <v>0</v>
      </c>
      <c r="AP853" s="81">
        <f t="shared" si="193"/>
        <v>0</v>
      </c>
      <c r="AQ853" s="81">
        <f t="shared" si="193"/>
        <v>0</v>
      </c>
      <c r="AR853" s="81">
        <f t="shared" si="193"/>
        <v>0</v>
      </c>
      <c r="AS853" s="81">
        <f t="shared" si="193"/>
        <v>0</v>
      </c>
      <c r="AT853" s="81">
        <f t="shared" si="193"/>
        <v>0</v>
      </c>
      <c r="AU853" s="81">
        <f t="shared" si="193"/>
        <v>0</v>
      </c>
      <c r="AV853" s="81">
        <f t="shared" si="193"/>
        <v>1186.7057600000001</v>
      </c>
      <c r="AW853" s="81">
        <f t="shared" si="193"/>
        <v>0</v>
      </c>
      <c r="AX853" s="81">
        <f t="shared" si="193"/>
        <v>0</v>
      </c>
      <c r="AY853" s="81">
        <f t="shared" si="193"/>
        <v>0</v>
      </c>
      <c r="AZ853" s="81">
        <f t="shared" si="193"/>
        <v>3919.8751400000001</v>
      </c>
      <c r="BA853" s="81">
        <f t="shared" si="193"/>
        <v>3549.7604200000001</v>
      </c>
      <c r="BB853" s="81">
        <f t="shared" si="193"/>
        <v>0</v>
      </c>
      <c r="BC853" s="81">
        <f t="shared" si="193"/>
        <v>0</v>
      </c>
      <c r="BD853" s="81">
        <f t="shared" si="193"/>
        <v>0</v>
      </c>
      <c r="BE853" s="81">
        <f t="shared" si="193"/>
        <v>0</v>
      </c>
      <c r="BF853" s="81">
        <f t="shared" si="193"/>
        <v>0</v>
      </c>
      <c r="BG853" s="81">
        <f t="shared" si="193"/>
        <v>359.20640999999995</v>
      </c>
      <c r="BH853" s="81">
        <f t="shared" si="193"/>
        <v>0</v>
      </c>
      <c r="BI853" s="81">
        <f t="shared" si="193"/>
        <v>0</v>
      </c>
      <c r="BJ853" s="81">
        <f t="shared" si="193"/>
        <v>0</v>
      </c>
      <c r="BK853" s="81">
        <f t="shared" si="193"/>
        <v>0</v>
      </c>
      <c r="BL853" s="81">
        <f t="shared" si="193"/>
        <v>0</v>
      </c>
      <c r="BM853" s="81">
        <f t="shared" si="193"/>
        <v>0</v>
      </c>
      <c r="BN853" s="81">
        <f t="shared" si="193"/>
        <v>0</v>
      </c>
      <c r="BO853" s="81">
        <f t="shared" si="193"/>
        <v>0</v>
      </c>
      <c r="BP853" s="81">
        <f t="shared" ref="BP853:CU853" si="194">SUBTOTAL(9,BP838:BP852)</f>
        <v>0</v>
      </c>
      <c r="BQ853" s="81">
        <f t="shared" si="194"/>
        <v>0</v>
      </c>
      <c r="BR853" s="81">
        <f t="shared" si="194"/>
        <v>0</v>
      </c>
      <c r="BS853" s="81">
        <f t="shared" si="194"/>
        <v>0</v>
      </c>
      <c r="BT853" s="81">
        <f t="shared" si="194"/>
        <v>1077.5041000000001</v>
      </c>
      <c r="BU853" s="81">
        <f t="shared" si="194"/>
        <v>0</v>
      </c>
      <c r="BV853" s="81">
        <f t="shared" si="194"/>
        <v>2837.7449999999999</v>
      </c>
      <c r="BW853" s="81">
        <f t="shared" si="194"/>
        <v>149.35499999999999</v>
      </c>
      <c r="BX853" s="81">
        <f t="shared" si="194"/>
        <v>0</v>
      </c>
      <c r="BY853" s="81">
        <f t="shared" si="194"/>
        <v>0</v>
      </c>
      <c r="BZ853" s="81">
        <f t="shared" si="194"/>
        <v>0</v>
      </c>
      <c r="CA853" s="81">
        <f t="shared" si="194"/>
        <v>0</v>
      </c>
      <c r="CB853" s="176"/>
      <c r="CC853" s="176"/>
      <c r="CD853" s="176"/>
      <c r="CE853" s="176"/>
      <c r="CF853" s="176"/>
      <c r="CG853" s="176"/>
      <c r="CH853" s="176"/>
      <c r="CI853" s="176"/>
      <c r="CJ853" s="176"/>
      <c r="CK853" s="176"/>
      <c r="CL853" s="176"/>
      <c r="CM853" s="176"/>
      <c r="CN853" s="176"/>
      <c r="CO853" s="176"/>
      <c r="CP853" s="176"/>
      <c r="CQ853" s="176"/>
      <c r="CR853" s="176"/>
      <c r="CS853" s="176"/>
      <c r="CT853" s="176"/>
      <c r="CU853" s="176"/>
      <c r="CV853" s="176"/>
      <c r="CW853" s="176"/>
      <c r="CX853" s="176"/>
      <c r="CY853" s="176"/>
      <c r="CZ853" s="176"/>
      <c r="DA853" s="176"/>
      <c r="DB853" s="176"/>
      <c r="DC853" s="176"/>
      <c r="DD853" s="176"/>
      <c r="DE853" s="176"/>
      <c r="DF853" s="176"/>
      <c r="DG853" s="176"/>
      <c r="DH853" s="176"/>
      <c r="DI853" s="176"/>
      <c r="DJ853" s="176"/>
      <c r="DK853" s="176"/>
      <c r="DL853" s="176"/>
      <c r="DM853" s="176"/>
      <c r="DN853" s="176"/>
      <c r="DO853" s="176"/>
      <c r="DP853" s="176"/>
      <c r="DQ853" s="176"/>
      <c r="DR853" s="176"/>
      <c r="DS853" s="176"/>
      <c r="DT853" s="176"/>
      <c r="DU853" s="176"/>
      <c r="DV853" s="176"/>
      <c r="DW853" s="176"/>
      <c r="DX853" s="176"/>
      <c r="DY853" s="176"/>
      <c r="DZ853" s="176"/>
      <c r="EA853" s="176"/>
      <c r="EB853" s="176"/>
      <c r="EC853" s="176"/>
      <c r="ED853" s="176"/>
      <c r="EE853" s="176"/>
      <c r="EF853" s="176"/>
      <c r="EG853" s="176"/>
      <c r="EH853" s="176"/>
      <c r="EI853" s="176"/>
      <c r="EJ853" s="176"/>
      <c r="EK853" s="176"/>
      <c r="EL853" s="176"/>
      <c r="EM853" s="176"/>
      <c r="EN853" s="176"/>
      <c r="EO853" s="176"/>
      <c r="EP853" s="176"/>
      <c r="EQ853" s="176"/>
      <c r="ER853" s="176"/>
      <c r="ES853" s="176"/>
      <c r="ET853" s="176"/>
      <c r="EU853" s="176"/>
      <c r="EV853" s="176"/>
      <c r="EW853" s="176"/>
      <c r="EX853" s="176"/>
      <c r="EY853" s="176"/>
      <c r="EZ853" s="176"/>
      <c r="FA853" s="176"/>
      <c r="FB853" s="176"/>
      <c r="FC853" s="176"/>
      <c r="FD853" s="176"/>
      <c r="FE853" s="176"/>
      <c r="FF853" s="176"/>
      <c r="FG853" s="176"/>
      <c r="FH853" s="176"/>
      <c r="FI853" s="176"/>
      <c r="FJ853" s="176"/>
      <c r="FK853" s="176"/>
      <c r="FL853" s="176"/>
      <c r="FM853" s="176"/>
      <c r="FN853" s="176"/>
      <c r="FO853" s="176"/>
      <c r="FP853" s="176"/>
      <c r="FQ853" s="176"/>
      <c r="FR853" s="176"/>
      <c r="FS853" s="176"/>
      <c r="FT853" s="176"/>
      <c r="FU853" s="176"/>
      <c r="FV853" s="176"/>
      <c r="FW853" s="176"/>
      <c r="FX853" s="176"/>
      <c r="FY853" s="176"/>
      <c r="FZ853" s="176"/>
      <c r="GA853" s="176"/>
      <c r="GB853" s="176"/>
      <c r="GC853" s="176"/>
      <c r="GD853" s="176"/>
      <c r="GE853" s="176"/>
      <c r="GF853" s="176"/>
      <c r="GG853" s="176"/>
      <c r="GH853" s="176"/>
      <c r="GI853" s="176"/>
      <c r="GJ853" s="176"/>
      <c r="GK853" s="176"/>
      <c r="GL853" s="176"/>
      <c r="GM853" s="176"/>
      <c r="GN853" s="176"/>
      <c r="GO853" s="176"/>
      <c r="GP853" s="176"/>
      <c r="GQ853" s="176"/>
      <c r="GR853" s="176"/>
      <c r="GS853" s="176"/>
      <c r="GT853" s="176"/>
      <c r="GU853" s="176"/>
      <c r="GV853" s="176"/>
      <c r="GW853" s="176"/>
      <c r="GX853" s="176"/>
      <c r="GY853" s="176"/>
      <c r="GZ853" s="176"/>
      <c r="HA853" s="176"/>
      <c r="HB853" s="176"/>
      <c r="HC853" s="176"/>
      <c r="HD853" s="176"/>
      <c r="HE853" s="176"/>
      <c r="HF853" s="176"/>
      <c r="HG853" s="176"/>
      <c r="HH853" s="176"/>
      <c r="HI853" s="176"/>
      <c r="HJ853" s="176"/>
      <c r="HK853" s="176"/>
      <c r="HL853" s="176"/>
      <c r="HM853" s="176"/>
      <c r="HN853" s="176"/>
      <c r="HO853" s="176"/>
      <c r="HP853" s="176"/>
      <c r="HQ853" s="176"/>
      <c r="HR853" s="176"/>
      <c r="HS853" s="176"/>
      <c r="HT853" s="176"/>
      <c r="HU853" s="176"/>
      <c r="HV853" s="176"/>
      <c r="HW853" s="176"/>
      <c r="HX853" s="176"/>
      <c r="HY853" s="176"/>
      <c r="HZ853" s="176"/>
      <c r="IA853" s="176"/>
      <c r="IB853" s="176"/>
      <c r="IC853" s="176"/>
      <c r="ID853" s="176"/>
      <c r="IE853" s="176"/>
      <c r="IF853" s="176"/>
      <c r="IG853" s="176"/>
      <c r="IH853" s="176"/>
      <c r="II853" s="176"/>
      <c r="IJ853" s="176"/>
      <c r="IK853" s="176"/>
      <c r="IL853" s="176"/>
      <c r="IM853" s="176"/>
      <c r="IN853" s="176"/>
      <c r="IO853" s="176"/>
      <c r="IP853" s="176"/>
      <c r="IQ853" s="176"/>
      <c r="IR853" s="176"/>
      <c r="IS853" s="176"/>
      <c r="IT853" s="176"/>
      <c r="IU853" s="176"/>
      <c r="IV853" s="176"/>
      <c r="IW853" s="176"/>
      <c r="IX853" s="176"/>
      <c r="IY853" s="176"/>
      <c r="IZ853" s="176"/>
      <c r="JA853" s="176"/>
      <c r="JB853" s="176"/>
      <c r="JC853" s="176"/>
      <c r="JD853" s="176"/>
      <c r="JE853" s="176"/>
      <c r="JF853" s="176"/>
      <c r="JG853" s="176"/>
      <c r="JH853" s="176"/>
      <c r="JI853" s="176"/>
      <c r="JJ853" s="176"/>
      <c r="JK853" s="176"/>
      <c r="JL853" s="176"/>
      <c r="JM853" s="176"/>
      <c r="JN853" s="176"/>
      <c r="JO853" s="176"/>
      <c r="JP853" s="176"/>
      <c r="JQ853" s="176"/>
      <c r="JR853" s="176"/>
      <c r="JS853" s="176"/>
      <c r="JT853" s="176"/>
      <c r="JU853" s="176"/>
      <c r="JV853" s="176"/>
      <c r="JW853" s="131"/>
      <c r="JX853" s="131"/>
      <c r="JY853" s="131"/>
      <c r="JZ853" s="131"/>
      <c r="KA853" s="131"/>
      <c r="KB853" s="131"/>
      <c r="KC853" s="131"/>
      <c r="KD853" s="131"/>
      <c r="KE853" s="131"/>
      <c r="KF853" s="131"/>
      <c r="KG853" s="131"/>
      <c r="KH853" s="131"/>
      <c r="KI853" s="131"/>
      <c r="KJ853" s="131"/>
      <c r="KK853" s="131"/>
      <c r="KL853" s="131"/>
      <c r="KM853" s="131"/>
      <c r="KN853" s="131"/>
      <c r="KO853" s="131"/>
      <c r="KP853" s="131"/>
      <c r="KQ853" s="131"/>
      <c r="KR853" s="131"/>
      <c r="KS853" s="131"/>
      <c r="KT853" s="131"/>
      <c r="KU853" s="131"/>
      <c r="KV853" s="131"/>
      <c r="KW853" s="131"/>
      <c r="KX853" s="131"/>
      <c r="KY853" s="131"/>
      <c r="KZ853" s="131"/>
      <c r="LA853" s="131"/>
      <c r="LB853" s="131"/>
      <c r="LC853" s="131"/>
      <c r="LD853" s="131"/>
      <c r="LE853" s="131"/>
      <c r="LF853" s="131"/>
      <c r="LG853" s="131"/>
      <c r="LH853" s="131"/>
      <c r="LI853" s="131"/>
      <c r="LJ853" s="131"/>
      <c r="LK853" s="131"/>
      <c r="LL853" s="131"/>
      <c r="LM853" s="131"/>
      <c r="LN853" s="131"/>
      <c r="LO853" s="131"/>
      <c r="LP853" s="131"/>
      <c r="LQ853" s="131"/>
      <c r="LR853" s="131"/>
      <c r="LS853" s="131"/>
      <c r="LT853" s="131"/>
      <c r="LU853" s="131"/>
      <c r="LV853" s="131"/>
      <c r="LW853" s="131"/>
      <c r="LX853" s="131"/>
      <c r="LY853" s="131"/>
      <c r="LZ853" s="131"/>
      <c r="MA853" s="131"/>
      <c r="MB853" s="131"/>
      <c r="MC853" s="131"/>
      <c r="MD853" s="131"/>
      <c r="ME853" s="131"/>
      <c r="MF853" s="131"/>
      <c r="MG853" s="131"/>
      <c r="MH853" s="131"/>
      <c r="MI853" s="131"/>
      <c r="MJ853" s="131"/>
      <c r="MK853" s="131"/>
      <c r="ML853" s="131"/>
      <c r="MM853" s="131"/>
      <c r="MN853" s="131"/>
      <c r="MO853" s="131"/>
      <c r="MP853" s="131"/>
      <c r="MQ853" s="131"/>
      <c r="MR853" s="131"/>
      <c r="MS853" s="131"/>
      <c r="MT853" s="131"/>
      <c r="MU853" s="131"/>
      <c r="MV853" s="131"/>
      <c r="MW853" s="131"/>
      <c r="MX853" s="131"/>
      <c r="MY853" s="131"/>
      <c r="MZ853" s="131"/>
      <c r="NA853" s="131"/>
      <c r="NB853" s="131"/>
      <c r="NC853" s="131"/>
      <c r="ND853" s="131"/>
      <c r="NE853" s="131"/>
      <c r="NF853" s="131"/>
      <c r="NG853" s="131"/>
      <c r="NH853" s="131"/>
      <c r="NI853" s="131"/>
      <c r="NJ853" s="131"/>
      <c r="NK853" s="131"/>
      <c r="NL853" s="131"/>
      <c r="NM853" s="131"/>
      <c r="NN853" s="131"/>
      <c r="NO853" s="131"/>
      <c r="NP853" s="131"/>
      <c r="NQ853" s="131"/>
      <c r="NR853" s="131"/>
      <c r="NS853" s="131"/>
      <c r="NT853" s="131"/>
      <c r="NU853" s="131"/>
      <c r="NV853" s="131"/>
      <c r="NW853" s="131"/>
      <c r="NX853" s="131"/>
      <c r="NY853" s="131"/>
      <c r="NZ853" s="131"/>
      <c r="OA853" s="131"/>
      <c r="OB853" s="131"/>
      <c r="OC853" s="131"/>
      <c r="OD853" s="131"/>
      <c r="OE853" s="131"/>
      <c r="OF853" s="131"/>
      <c r="OG853" s="131"/>
      <c r="OH853" s="131"/>
      <c r="OI853" s="131"/>
      <c r="OJ853" s="131"/>
      <c r="OK853" s="131"/>
      <c r="OL853" s="131"/>
      <c r="OM853" s="131"/>
      <c r="ON853" s="131"/>
      <c r="OO853" s="131"/>
      <c r="OP853" s="131"/>
      <c r="OQ853" s="131"/>
      <c r="OR853" s="131"/>
      <c r="OS853" s="131"/>
      <c r="OT853" s="131"/>
      <c r="OU853" s="131"/>
      <c r="OV853" s="131"/>
      <c r="OW853" s="131"/>
      <c r="OX853" s="131"/>
      <c r="OY853" s="131"/>
      <c r="OZ853" s="131"/>
      <c r="PA853" s="131"/>
      <c r="PB853" s="131"/>
      <c r="PC853" s="131"/>
      <c r="PD853" s="131"/>
      <c r="PE853" s="131"/>
      <c r="PF853" s="131"/>
      <c r="PG853" s="131"/>
      <c r="PH853" s="131"/>
      <c r="PI853" s="131"/>
      <c r="PJ853" s="131"/>
      <c r="PK853" s="131"/>
      <c r="PL853" s="131"/>
      <c r="PM853" s="131"/>
      <c r="PN853" s="131"/>
      <c r="PO853" s="131"/>
      <c r="PP853" s="131"/>
      <c r="PQ853" s="131"/>
      <c r="PR853" s="131"/>
      <c r="PS853" s="131"/>
      <c r="PT853" s="131"/>
      <c r="PU853" s="131"/>
      <c r="PV853" s="131"/>
      <c r="PW853" s="131"/>
      <c r="PX853" s="131"/>
      <c r="PY853" s="131"/>
      <c r="PZ853" s="131"/>
      <c r="QA853" s="131"/>
      <c r="QB853" s="131"/>
      <c r="QC853" s="131"/>
      <c r="QD853" s="131"/>
      <c r="QE853" s="131"/>
      <c r="QF853" s="131"/>
      <c r="QG853" s="131"/>
      <c r="QH853" s="131"/>
      <c r="QI853" s="131"/>
      <c r="QJ853" s="131"/>
      <c r="QK853" s="131"/>
      <c r="QL853" s="131"/>
      <c r="QM853" s="131"/>
      <c r="QN853" s="131"/>
      <c r="QO853" s="131"/>
      <c r="QP853" s="131"/>
      <c r="QQ853" s="131"/>
      <c r="QR853" s="131"/>
      <c r="QS853" s="131"/>
      <c r="QT853" s="131"/>
      <c r="QU853" s="131"/>
      <c r="QV853" s="131"/>
      <c r="QW853" s="131"/>
      <c r="QX853" s="131"/>
      <c r="QY853" s="131"/>
      <c r="QZ853" s="131"/>
      <c r="RA853" s="131"/>
      <c r="RB853" s="131"/>
      <c r="RC853" s="131"/>
      <c r="RD853" s="131"/>
      <c r="RE853" s="131"/>
      <c r="RF853" s="131"/>
      <c r="RG853" s="131"/>
      <c r="RH853" s="131"/>
      <c r="RI853" s="131"/>
      <c r="RJ853" s="131"/>
      <c r="RK853" s="131"/>
      <c r="RL853" s="131"/>
      <c r="RM853" s="131"/>
      <c r="RN853" s="131"/>
      <c r="RO853" s="131"/>
      <c r="RP853" s="131"/>
      <c r="RQ853" s="131"/>
      <c r="RR853" s="131"/>
      <c r="RS853" s="131"/>
      <c r="RT853" s="131"/>
      <c r="RU853" s="131"/>
      <c r="RV853" s="131"/>
      <c r="RW853" s="131"/>
      <c r="RX853" s="131"/>
      <c r="RY853" s="131"/>
      <c r="RZ853" s="131"/>
      <c r="SA853" s="131"/>
      <c r="SB853" s="131"/>
      <c r="SC853" s="131"/>
      <c r="SD853" s="131"/>
      <c r="SE853" s="131"/>
      <c r="SF853" s="131"/>
      <c r="SG853" s="131"/>
      <c r="SH853" s="131"/>
      <c r="SI853" s="131"/>
      <c r="SJ853" s="131"/>
      <c r="SK853" s="131"/>
      <c r="SL853" s="131"/>
      <c r="SM853" s="131"/>
      <c r="SN853" s="131"/>
      <c r="SO853" s="131"/>
      <c r="SP853" s="131"/>
      <c r="SQ853" s="131"/>
      <c r="SR853" s="131"/>
      <c r="SS853" s="131"/>
      <c r="ST853" s="131"/>
      <c r="SU853" s="131"/>
      <c r="SV853" s="131"/>
      <c r="SW853" s="131"/>
      <c r="SX853" s="131"/>
      <c r="SY853" s="131"/>
      <c r="SZ853" s="131"/>
      <c r="TA853" s="131"/>
      <c r="TB853" s="131"/>
      <c r="TC853" s="131"/>
      <c r="TD853" s="131"/>
      <c r="TE853" s="131"/>
      <c r="TF853" s="131"/>
      <c r="TG853" s="131"/>
      <c r="TH853" s="131"/>
      <c r="TI853" s="131"/>
      <c r="TJ853" s="131"/>
      <c r="TK853" s="131"/>
      <c r="TL853" s="131"/>
      <c r="TM853" s="131"/>
      <c r="TN853" s="131"/>
      <c r="TO853" s="131"/>
      <c r="TP853" s="131"/>
      <c r="TQ853" s="131"/>
      <c r="TR853" s="131"/>
      <c r="TS853" s="131"/>
      <c r="TT853" s="131"/>
      <c r="TU853" s="131"/>
      <c r="TV853" s="131"/>
      <c r="TW853" s="131"/>
      <c r="TX853" s="131"/>
      <c r="TY853" s="131"/>
      <c r="TZ853" s="131"/>
      <c r="UA853" s="131"/>
      <c r="UB853" s="131"/>
      <c r="UC853" s="131"/>
      <c r="UD853" s="131"/>
      <c r="UE853" s="131"/>
      <c r="UF853" s="131"/>
      <c r="UG853" s="131"/>
      <c r="UH853" s="131"/>
      <c r="UI853" s="131"/>
      <c r="UJ853" s="131"/>
      <c r="UK853" s="131"/>
      <c r="UL853" s="131"/>
      <c r="UM853" s="131"/>
      <c r="UN853" s="131"/>
      <c r="UO853" s="131"/>
      <c r="UP853" s="131"/>
      <c r="UQ853" s="131"/>
      <c r="UR853" s="131"/>
      <c r="US853" s="131"/>
      <c r="UT853" s="131"/>
      <c r="UU853" s="131"/>
      <c r="UV853" s="131"/>
      <c r="UW853" s="131"/>
      <c r="UX853" s="131"/>
      <c r="UY853" s="131"/>
      <c r="UZ853" s="131"/>
      <c r="VA853" s="131"/>
      <c r="VB853" s="131"/>
      <c r="VC853" s="131"/>
      <c r="VD853" s="131"/>
      <c r="VE853" s="131"/>
      <c r="VF853" s="131"/>
      <c r="VG853" s="131"/>
      <c r="VH853" s="131"/>
      <c r="VI853" s="131"/>
      <c r="VJ853" s="131"/>
      <c r="VK853" s="131"/>
      <c r="VL853" s="131"/>
      <c r="VM853" s="131"/>
      <c r="VN853" s="131"/>
      <c r="VO853" s="131"/>
      <c r="VP853" s="131"/>
      <c r="VQ853" s="131"/>
      <c r="VR853" s="131"/>
      <c r="VS853" s="131"/>
      <c r="VT853" s="131"/>
      <c r="VU853" s="131"/>
      <c r="VV853" s="131"/>
      <c r="VW853" s="131"/>
      <c r="VX853" s="131"/>
      <c r="VY853" s="131"/>
      <c r="VZ853" s="131"/>
      <c r="WA853" s="131"/>
      <c r="WB853" s="131"/>
      <c r="WC853" s="131"/>
      <c r="WD853" s="131"/>
      <c r="WE853" s="131"/>
      <c r="WF853" s="131"/>
      <c r="WG853" s="131"/>
      <c r="WH853" s="131"/>
      <c r="WI853" s="131"/>
      <c r="WJ853" s="131"/>
      <c r="WK853" s="131"/>
      <c r="WL853" s="131"/>
      <c r="WM853" s="131"/>
      <c r="WN853" s="131"/>
      <c r="WO853" s="131"/>
      <c r="WP853" s="131"/>
      <c r="WQ853" s="131"/>
      <c r="WR853" s="131"/>
      <c r="WS853" s="131"/>
      <c r="WT853" s="131"/>
      <c r="WU853" s="131"/>
      <c r="WV853" s="131"/>
      <c r="WW853" s="131"/>
      <c r="WX853" s="131"/>
      <c r="WY853" s="131"/>
      <c r="WZ853" s="131"/>
      <c r="XA853" s="131"/>
      <c r="XB853" s="131"/>
      <c r="XC853" s="131"/>
      <c r="XD853" s="131"/>
      <c r="XE853" s="131"/>
      <c r="XF853" s="131"/>
      <c r="XG853" s="131"/>
      <c r="XH853" s="131"/>
      <c r="XI853" s="131"/>
      <c r="XJ853" s="131"/>
      <c r="XK853" s="131"/>
      <c r="XL853" s="131"/>
      <c r="XM853" s="131"/>
      <c r="XN853" s="131"/>
      <c r="XO853" s="131"/>
      <c r="XP853" s="131"/>
      <c r="XQ853" s="131"/>
      <c r="XR853" s="131"/>
      <c r="XS853" s="131"/>
      <c r="XT853" s="131"/>
      <c r="XU853" s="131"/>
      <c r="XV853" s="131"/>
      <c r="XW853" s="131"/>
      <c r="XX853" s="131"/>
      <c r="XY853" s="131"/>
      <c r="XZ853" s="131"/>
      <c r="YA853" s="131"/>
      <c r="YB853" s="131"/>
      <c r="YC853" s="131"/>
      <c r="YD853" s="131"/>
      <c r="YE853" s="131"/>
      <c r="YF853" s="131"/>
      <c r="YG853" s="131"/>
      <c r="YH853" s="131"/>
      <c r="YI853" s="131"/>
      <c r="YJ853" s="131"/>
      <c r="YK853" s="131"/>
      <c r="YL853" s="131"/>
      <c r="YM853" s="131"/>
      <c r="YN853" s="131"/>
      <c r="YO853" s="131"/>
      <c r="YP853" s="131"/>
      <c r="YQ853" s="131"/>
      <c r="YR853" s="131"/>
      <c r="YS853" s="131"/>
      <c r="YT853" s="131"/>
      <c r="YU853" s="131"/>
      <c r="YV853" s="131"/>
      <c r="YW853" s="131"/>
      <c r="YX853" s="131"/>
      <c r="YY853" s="131"/>
      <c r="YZ853" s="131"/>
      <c r="ZA853" s="131"/>
      <c r="ZB853" s="131"/>
      <c r="ZC853" s="131"/>
      <c r="ZD853" s="131"/>
      <c r="ZE853" s="131"/>
      <c r="ZF853" s="131"/>
      <c r="ZG853" s="131"/>
      <c r="ZH853" s="131"/>
      <c r="ZI853" s="131"/>
      <c r="ZJ853" s="131"/>
      <c r="ZK853" s="131"/>
      <c r="ZL853" s="131"/>
      <c r="ZM853" s="131"/>
      <c r="ZN853" s="131"/>
      <c r="ZO853" s="131"/>
      <c r="ZP853" s="131"/>
      <c r="ZQ853" s="131"/>
      <c r="ZR853" s="131"/>
      <c r="ZS853" s="131"/>
      <c r="ZT853" s="131"/>
      <c r="ZU853" s="131"/>
      <c r="ZV853" s="131"/>
      <c r="ZW853" s="131"/>
      <c r="ZX853" s="131"/>
      <c r="ZY853" s="131"/>
      <c r="ZZ853" s="131"/>
      <c r="AAA853" s="131"/>
      <c r="AAB853" s="131"/>
      <c r="AAC853" s="131"/>
      <c r="AAD853" s="131"/>
      <c r="AAE853" s="131"/>
      <c r="AAF853" s="131"/>
      <c r="AAG853" s="131"/>
      <c r="AAH853" s="131"/>
      <c r="AAI853" s="131"/>
      <c r="AAJ853" s="131"/>
      <c r="AAK853" s="131"/>
      <c r="AAL853" s="131"/>
      <c r="AAM853" s="131"/>
      <c r="AAN853" s="131"/>
      <c r="AAO853" s="131"/>
      <c r="AAP853" s="131"/>
      <c r="AAQ853" s="131"/>
      <c r="AAR853" s="131"/>
      <c r="AAS853" s="131"/>
      <c r="AAT853" s="131"/>
      <c r="AAU853" s="131"/>
      <c r="AAV853" s="131"/>
      <c r="AAW853" s="131"/>
      <c r="AAX853" s="131"/>
      <c r="AAY853" s="131"/>
      <c r="AAZ853" s="131"/>
      <c r="ABA853" s="131"/>
      <c r="ABB853" s="131"/>
      <c r="ABC853" s="131"/>
      <c r="ABD853" s="131"/>
      <c r="ABE853" s="131"/>
      <c r="ABF853" s="131"/>
      <c r="ABG853" s="131"/>
      <c r="ABH853" s="131"/>
      <c r="ABI853" s="131"/>
      <c r="ABJ853" s="131"/>
      <c r="ABK853" s="131"/>
      <c r="ABL853" s="131"/>
      <c r="ABM853" s="131"/>
      <c r="ABN853" s="131"/>
      <c r="ABO853" s="131"/>
      <c r="ABP853" s="131"/>
      <c r="ABQ853" s="131"/>
      <c r="ABR853" s="131"/>
      <c r="ABS853" s="131"/>
      <c r="ABT853" s="131"/>
      <c r="ABU853" s="131"/>
      <c r="ABV853" s="131"/>
      <c r="ABW853" s="131"/>
      <c r="ABX853" s="131"/>
      <c r="ABY853" s="131"/>
      <c r="ABZ853" s="131"/>
      <c r="ACA853" s="131"/>
      <c r="ACB853" s="131"/>
      <c r="ACC853" s="131"/>
      <c r="ACD853" s="131"/>
      <c r="ACE853" s="131"/>
      <c r="ACF853" s="131"/>
      <c r="ACG853" s="131"/>
      <c r="ACH853" s="131"/>
      <c r="ACI853" s="131"/>
      <c r="ACJ853" s="131"/>
      <c r="ACK853" s="131"/>
      <c r="ACL853" s="131"/>
      <c r="ACM853" s="131"/>
      <c r="ACN853" s="131"/>
      <c r="ACO853" s="131"/>
      <c r="ACP853" s="131"/>
      <c r="ACQ853" s="131"/>
      <c r="ACR853" s="131"/>
      <c r="ACS853" s="131"/>
      <c r="ACT853" s="131"/>
      <c r="ACU853" s="131"/>
      <c r="ACV853" s="131"/>
      <c r="ACW853" s="131"/>
      <c r="ACX853" s="131"/>
      <c r="ACY853" s="131"/>
      <c r="ACZ853" s="131"/>
      <c r="ADA853" s="131"/>
      <c r="ADB853" s="131"/>
      <c r="ADC853" s="131"/>
      <c r="ADD853" s="131"/>
      <c r="ADE853" s="131"/>
      <c r="ADF853" s="131"/>
      <c r="ADG853" s="131"/>
      <c r="ADH853" s="131"/>
      <c r="ADI853" s="131"/>
      <c r="ADJ853" s="131"/>
      <c r="ADK853" s="131"/>
      <c r="ADL853" s="131"/>
      <c r="ADM853" s="131"/>
      <c r="ADN853" s="131"/>
      <c r="ADO853" s="131"/>
      <c r="ADP853" s="131"/>
      <c r="ADQ853" s="131"/>
      <c r="ADR853" s="131"/>
      <c r="ADS853" s="131"/>
      <c r="ADT853" s="131"/>
      <c r="ADU853" s="131"/>
      <c r="ADV853" s="131"/>
      <c r="ADW853" s="131"/>
      <c r="ADX853" s="131"/>
      <c r="ADY853" s="131"/>
      <c r="ADZ853" s="131"/>
      <c r="AEA853" s="131"/>
      <c r="AEB853" s="131"/>
      <c r="AEC853" s="131"/>
      <c r="AED853" s="131"/>
      <c r="AEE853" s="131"/>
      <c r="AEF853" s="131"/>
      <c r="AEG853" s="131"/>
      <c r="AEH853" s="131"/>
      <c r="AEI853" s="131"/>
      <c r="AEJ853" s="131"/>
      <c r="AEK853" s="131"/>
      <c r="AEL853" s="131"/>
      <c r="AEM853" s="131"/>
      <c r="AEN853" s="131"/>
      <c r="AEO853" s="131"/>
      <c r="AEP853" s="131"/>
      <c r="AEQ853" s="131"/>
      <c r="AER853" s="131"/>
      <c r="AES853" s="131"/>
      <c r="AET853" s="131"/>
      <c r="AEU853" s="131"/>
      <c r="AEV853" s="131"/>
      <c r="AEW853" s="131"/>
      <c r="AEX853" s="131"/>
      <c r="AEY853" s="131"/>
      <c r="AEZ853" s="131"/>
      <c r="AFA853" s="131"/>
      <c r="AFB853" s="131"/>
      <c r="AFC853" s="131"/>
      <c r="AFD853" s="131"/>
      <c r="AFE853" s="131"/>
      <c r="AFF853" s="131"/>
      <c r="AFG853" s="131"/>
      <c r="AFH853" s="131"/>
      <c r="AFI853" s="131"/>
      <c r="AFJ853" s="131"/>
      <c r="AFK853" s="131"/>
      <c r="AFL853" s="131"/>
      <c r="AFM853" s="131"/>
      <c r="AFN853" s="131"/>
      <c r="AFO853" s="131"/>
      <c r="AFP853" s="131"/>
      <c r="AFQ853" s="131"/>
      <c r="AFR853" s="131"/>
      <c r="AFS853" s="131"/>
      <c r="AFT853" s="131"/>
      <c r="AFU853" s="131"/>
      <c r="AFV853" s="131"/>
      <c r="AFW853" s="131"/>
      <c r="AFX853" s="131"/>
      <c r="AFY853" s="131"/>
      <c r="AFZ853" s="131"/>
      <c r="AGA853" s="131"/>
      <c r="AGB853" s="131"/>
      <c r="AGC853" s="131"/>
      <c r="AGD853" s="131"/>
      <c r="AGE853" s="131"/>
      <c r="AGF853" s="131"/>
      <c r="AGG853" s="131"/>
      <c r="AGH853" s="131"/>
      <c r="AGI853" s="131"/>
      <c r="AGJ853" s="131"/>
      <c r="AGK853" s="131"/>
      <c r="AGL853" s="131"/>
      <c r="AGM853" s="131"/>
      <c r="AGN853" s="131"/>
      <c r="AGO853" s="131"/>
      <c r="AGP853" s="131"/>
      <c r="AGQ853" s="131"/>
      <c r="AGR853" s="131"/>
      <c r="AGS853" s="131"/>
      <c r="AGT853" s="131"/>
      <c r="AGU853" s="131"/>
      <c r="AGV853" s="131"/>
      <c r="AGW853" s="131"/>
      <c r="AGX853" s="131"/>
      <c r="AGY853" s="131"/>
      <c r="AGZ853" s="131"/>
      <c r="AHA853" s="131"/>
      <c r="AHB853" s="131"/>
      <c r="AHC853" s="131"/>
      <c r="AHD853" s="131"/>
      <c r="AHE853" s="131"/>
      <c r="AHF853" s="131"/>
      <c r="AHG853" s="131"/>
      <c r="AHH853" s="131"/>
      <c r="AHI853" s="131"/>
      <c r="AHJ853" s="131"/>
      <c r="AHK853" s="131"/>
      <c r="AHL853" s="131"/>
      <c r="AHM853" s="131"/>
      <c r="AHN853" s="131"/>
      <c r="AHO853" s="131"/>
      <c r="AHP853" s="131"/>
      <c r="AHQ853" s="131"/>
      <c r="AHR853" s="131"/>
      <c r="AHS853" s="131"/>
      <c r="AHT853" s="131"/>
      <c r="AHU853" s="131"/>
      <c r="AHV853" s="131"/>
      <c r="AHW853" s="131"/>
      <c r="AHX853" s="131"/>
      <c r="AHY853" s="131"/>
      <c r="AHZ853" s="131"/>
      <c r="AIA853" s="131"/>
      <c r="AIB853" s="131"/>
      <c r="AIC853" s="131"/>
      <c r="AID853" s="131"/>
      <c r="AIE853" s="131"/>
      <c r="AIF853" s="131"/>
      <c r="AIG853" s="131"/>
      <c r="AIH853" s="131"/>
      <c r="AII853" s="131"/>
      <c r="AIJ853" s="131"/>
      <c r="AIK853" s="131"/>
      <c r="AIL853" s="131"/>
      <c r="AIM853" s="131"/>
      <c r="AIN853" s="131"/>
      <c r="AIO853" s="131"/>
      <c r="AIP853" s="131"/>
      <c r="AIQ853" s="131"/>
      <c r="AIR853" s="131"/>
      <c r="AIS853" s="131"/>
      <c r="AIT853" s="131"/>
      <c r="AIU853" s="131"/>
      <c r="AIV853" s="131"/>
      <c r="AIW853" s="131"/>
      <c r="AIX853" s="131"/>
      <c r="AIY853" s="131"/>
      <c r="AIZ853" s="131"/>
      <c r="AJA853" s="131"/>
      <c r="AJB853" s="131"/>
      <c r="AJC853" s="131"/>
      <c r="AJD853" s="131"/>
      <c r="AJE853" s="131"/>
      <c r="AJF853" s="131"/>
      <c r="AJG853" s="131"/>
      <c r="AJH853" s="131"/>
      <c r="AJI853" s="131"/>
      <c r="AJJ853" s="131"/>
      <c r="AJK853" s="131"/>
      <c r="AJL853" s="131"/>
      <c r="AJM853" s="131"/>
      <c r="AJN853" s="131"/>
      <c r="AJO853" s="131"/>
      <c r="AJP853" s="131"/>
      <c r="AJQ853" s="131"/>
      <c r="AJR853" s="131"/>
      <c r="AJS853" s="131"/>
      <c r="AJT853" s="131"/>
      <c r="AJU853" s="131"/>
      <c r="AJV853" s="131"/>
      <c r="AJW853" s="131"/>
      <c r="AJX853" s="131"/>
      <c r="AJY853" s="131"/>
      <c r="AJZ853" s="131"/>
      <c r="AKA853" s="131"/>
      <c r="AKB853" s="131"/>
      <c r="AKC853" s="131"/>
      <c r="AKD853" s="131"/>
      <c r="AKE853" s="131"/>
      <c r="AKF853" s="131"/>
      <c r="AKG853" s="131"/>
      <c r="AKH853" s="131"/>
      <c r="AKI853" s="131"/>
      <c r="AKJ853" s="131"/>
      <c r="AKK853" s="131"/>
      <c r="AKL853" s="131"/>
      <c r="AKM853" s="131"/>
      <c r="AKN853" s="131"/>
      <c r="AKO853" s="131"/>
      <c r="AKP853" s="131"/>
      <c r="AKQ853" s="131"/>
      <c r="AKR853" s="131"/>
      <c r="AKS853" s="131"/>
      <c r="AKT853" s="131"/>
      <c r="AKU853" s="131"/>
      <c r="AKV853" s="131"/>
      <c r="AKW853" s="131"/>
      <c r="AKX853" s="131"/>
      <c r="AKY853" s="131"/>
      <c r="AKZ853" s="131"/>
      <c r="ALA853" s="131"/>
      <c r="ALB853" s="131"/>
      <c r="ALC853" s="131"/>
      <c r="ALD853" s="131"/>
      <c r="ALE853" s="131"/>
      <c r="ALF853" s="131"/>
      <c r="ALG853" s="131"/>
      <c r="ALH853" s="131"/>
      <c r="ALI853" s="131"/>
      <c r="ALJ853" s="131"/>
      <c r="ALK853" s="131"/>
      <c r="ALL853" s="131"/>
      <c r="ALM853" s="131"/>
      <c r="ALN853" s="131"/>
      <c r="ALO853" s="131"/>
      <c r="ALP853" s="131"/>
      <c r="ALQ853" s="131"/>
      <c r="ALR853" s="131"/>
      <c r="ALS853" s="131"/>
      <c r="ALT853" s="131"/>
      <c r="ALU853" s="131"/>
      <c r="ALV853" s="131"/>
      <c r="ALW853" s="131"/>
      <c r="ALX853" s="131"/>
      <c r="ALY853" s="131"/>
      <c r="ALZ853" s="131"/>
      <c r="AMA853" s="131"/>
      <c r="AMB853" s="131"/>
      <c r="AMC853" s="131"/>
      <c r="AMD853" s="131"/>
      <c r="AME853" s="131"/>
      <c r="AMF853" s="131"/>
      <c r="AMG853" s="131"/>
      <c r="AMH853" s="131"/>
      <c r="AMI853" s="131"/>
      <c r="AMJ853" s="131"/>
      <c r="AMK853" s="131"/>
      <c r="AML853" s="131"/>
      <c r="AMM853" s="131"/>
      <c r="AMN853" s="131"/>
      <c r="AMO853" s="131"/>
      <c r="AMP853" s="131"/>
      <c r="AMQ853" s="131"/>
      <c r="AMR853" s="131"/>
      <c r="AMS853" s="131"/>
      <c r="AMT853" s="131"/>
      <c r="AMU853" s="131"/>
      <c r="AMV853" s="131"/>
      <c r="AMW853" s="131"/>
      <c r="AMX853" s="131"/>
      <c r="AMY853" s="131"/>
      <c r="AMZ853" s="131"/>
      <c r="ANA853" s="131"/>
      <c r="ANB853" s="131"/>
      <c r="ANC853" s="131"/>
      <c r="AND853" s="131"/>
      <c r="ANE853" s="131"/>
      <c r="ANF853" s="131"/>
      <c r="ANG853" s="131"/>
      <c r="ANH853" s="131"/>
      <c r="ANI853" s="131"/>
      <c r="ANJ853" s="131"/>
      <c r="ANK853" s="131"/>
      <c r="ANL853" s="131"/>
      <c r="ANM853" s="131"/>
      <c r="ANN853" s="131"/>
      <c r="ANO853" s="131"/>
      <c r="ANP853" s="131"/>
      <c r="ANQ853" s="131"/>
      <c r="ANR853" s="131"/>
      <c r="ANS853" s="131"/>
      <c r="ANT853" s="131"/>
      <c r="ANU853" s="131"/>
      <c r="ANV853" s="131"/>
      <c r="ANW853" s="131"/>
      <c r="ANX853" s="131"/>
      <c r="ANY853" s="131"/>
      <c r="ANZ853" s="131"/>
      <c r="AOA853" s="131"/>
      <c r="AOB853" s="131"/>
      <c r="AOC853" s="131"/>
      <c r="AOD853" s="131"/>
      <c r="AOE853" s="131"/>
      <c r="AOF853" s="131"/>
      <c r="AOG853" s="131"/>
      <c r="AOH853" s="131"/>
      <c r="AOI853" s="131"/>
      <c r="AOJ853" s="131"/>
      <c r="AOK853" s="131"/>
      <c r="AOL853" s="131"/>
      <c r="AOM853" s="131"/>
      <c r="AON853" s="131"/>
      <c r="AOO853" s="131"/>
      <c r="AOP853" s="131"/>
      <c r="AOQ853" s="131"/>
      <c r="AOR853" s="131"/>
      <c r="AOS853" s="131"/>
      <c r="AOT853" s="131"/>
      <c r="AOU853" s="131"/>
      <c r="AOV853" s="131"/>
      <c r="AOW853" s="131"/>
      <c r="AOX853" s="131"/>
      <c r="AOY853" s="131"/>
      <c r="AOZ853" s="131"/>
      <c r="APA853" s="131"/>
      <c r="APB853" s="131"/>
      <c r="APC853" s="131"/>
      <c r="APD853" s="131"/>
      <c r="APE853" s="131"/>
      <c r="APF853" s="131"/>
      <c r="APG853" s="131"/>
      <c r="APH853" s="131"/>
      <c r="API853" s="131"/>
      <c r="APJ853" s="131"/>
      <c r="APK853" s="131"/>
      <c r="APL853" s="131"/>
      <c r="APM853" s="131"/>
      <c r="APN853" s="131"/>
      <c r="APO853" s="131"/>
      <c r="APP853" s="131"/>
      <c r="APQ853" s="131"/>
      <c r="APR853" s="131"/>
      <c r="APS853" s="131"/>
      <c r="APT853" s="131"/>
      <c r="APU853" s="131"/>
      <c r="APV853" s="131"/>
      <c r="APW853" s="131"/>
      <c r="APX853" s="131"/>
      <c r="APY853" s="131"/>
      <c r="APZ853" s="131"/>
      <c r="AQA853" s="131"/>
      <c r="AQB853" s="131"/>
      <c r="AQC853" s="131"/>
      <c r="AQD853" s="131"/>
      <c r="AQE853" s="131"/>
      <c r="AQF853" s="131"/>
      <c r="AQG853" s="131"/>
      <c r="AQH853" s="131"/>
      <c r="AQI853" s="131"/>
      <c r="AQJ853" s="131"/>
      <c r="AQK853" s="131"/>
      <c r="AQL853" s="131"/>
      <c r="AQM853" s="131"/>
      <c r="AQN853" s="131"/>
      <c r="AQO853" s="131"/>
      <c r="AQP853" s="131"/>
      <c r="AQQ853" s="131"/>
      <c r="AQR853" s="131"/>
      <c r="AQS853" s="131"/>
      <c r="AQT853" s="131"/>
      <c r="AQU853" s="131"/>
      <c r="AQV853" s="131"/>
      <c r="AQW853" s="131"/>
      <c r="AQX853" s="131"/>
      <c r="AQY853" s="131"/>
      <c r="AQZ853" s="131"/>
      <c r="ARA853" s="131"/>
      <c r="ARB853" s="131"/>
      <c r="ARC853" s="131"/>
      <c r="ARD853" s="131"/>
      <c r="ARE853" s="131"/>
      <c r="ARF853" s="131"/>
      <c r="ARG853" s="131"/>
      <c r="ARH853" s="131"/>
      <c r="ARI853" s="131"/>
      <c r="ARJ853" s="131"/>
      <c r="ARK853" s="131"/>
      <c r="ARL853" s="131"/>
      <c r="ARM853" s="131"/>
      <c r="ARN853" s="131"/>
      <c r="ARO853" s="131"/>
      <c r="ARP853" s="131"/>
      <c r="ARQ853" s="131"/>
      <c r="ARR853" s="131"/>
      <c r="ARS853" s="131"/>
      <c r="ART853" s="131"/>
      <c r="ARU853" s="131"/>
      <c r="ARV853" s="131"/>
      <c r="ARW853" s="131"/>
      <c r="ARX853" s="131"/>
      <c r="ARY853" s="131"/>
      <c r="ARZ853" s="131"/>
      <c r="ASA853" s="131"/>
      <c r="ASB853" s="131"/>
      <c r="ASC853" s="131"/>
      <c r="ASD853" s="131"/>
      <c r="ASE853" s="131"/>
      <c r="ASF853" s="131"/>
      <c r="ASG853" s="131"/>
      <c r="ASH853" s="131"/>
      <c r="ASI853" s="131"/>
      <c r="ASJ853" s="131"/>
      <c r="ASK853" s="131"/>
      <c r="ASL853" s="131"/>
      <c r="ASM853" s="131"/>
      <c r="ASN853" s="131"/>
      <c r="ASO853" s="131"/>
      <c r="ASP853" s="131"/>
      <c r="ASQ853" s="131"/>
      <c r="ASR853" s="131"/>
      <c r="ASS853" s="131"/>
      <c r="AST853" s="131"/>
      <c r="ASU853" s="131"/>
      <c r="ASV853" s="131"/>
      <c r="ASW853" s="131"/>
      <c r="ASX853" s="131"/>
      <c r="ASY853" s="131"/>
      <c r="ASZ853" s="131"/>
      <c r="ATA853" s="131"/>
      <c r="ATB853" s="131"/>
      <c r="ATC853" s="131"/>
    </row>
    <row r="854" spans="1:1199" ht="50.1" customHeight="1" outlineLevel="2" x14ac:dyDescent="0.3">
      <c r="A854" s="103" t="s">
        <v>748</v>
      </c>
      <c r="B854" s="102" t="s">
        <v>749</v>
      </c>
      <c r="C854" s="79" t="s">
        <v>37</v>
      </c>
      <c r="D854" s="81">
        <f t="shared" ref="D854:D862" si="195">E854+F854</f>
        <v>345.12392</v>
      </c>
      <c r="E854" s="82">
        <f t="shared" ref="E854:E899" si="196">G854+J854+O854+S854+V854+X854+Z854+AB854+AJ854+AL854+AN854+AP854+AX854+AZ854+BD854+BV854+BX854+BZ854+BR854</f>
        <v>99.680090000000007</v>
      </c>
      <c r="F854" s="83">
        <f t="shared" ref="F854:F901" si="197">H854+I854+K854+L854+M854+N854+P854+Q854+R854+T854+U854+W854+Y854+AA854+AC854+AD854+AG854+AH854+AI854+AK854+AM854+AO854+AQ854+AR854+AS854+AT854+AU854+AV854+AW854+AY854+BA854+BB854+BC854+BE854+BF854+BG854+BH854+BI854+BJ854+BK854+BL854+BO854+BP854+BQ854+BS854+BT854+BU854+BW854+BY854+CA854+BM854+BN854</f>
        <v>245.44382999999999</v>
      </c>
      <c r="G854" s="84"/>
      <c r="H854" s="85"/>
      <c r="I854" s="85"/>
      <c r="J854" s="84"/>
      <c r="K854" s="85"/>
      <c r="L854" s="85"/>
      <c r="M854" s="85"/>
      <c r="N854" s="85"/>
      <c r="O854" s="82"/>
      <c r="P854" s="83"/>
      <c r="Q854" s="83"/>
      <c r="R854" s="83"/>
      <c r="S854" s="82"/>
      <c r="T854" s="83"/>
      <c r="U854" s="83"/>
      <c r="V854" s="84"/>
      <c r="W854" s="85"/>
      <c r="X854" s="87"/>
      <c r="Y854" s="83">
        <v>61.776000000000003</v>
      </c>
      <c r="Z854" s="84"/>
      <c r="AA854" s="85"/>
      <c r="AB854" s="84"/>
      <c r="AC854" s="85"/>
      <c r="AD854" s="89">
        <f t="shared" ref="AD854:AD917" si="198">AE854+AF854</f>
        <v>0</v>
      </c>
      <c r="AE854" s="89"/>
      <c r="AF854" s="186"/>
      <c r="AG854" s="85"/>
      <c r="AH854" s="85"/>
      <c r="AI854" s="85"/>
      <c r="AJ854" s="84"/>
      <c r="AK854" s="85"/>
      <c r="AL854" s="84"/>
      <c r="AM854" s="88"/>
      <c r="AN854" s="84"/>
      <c r="AO854" s="85"/>
      <c r="AP854" s="84"/>
      <c r="AQ854" s="83"/>
      <c r="AR854" s="83"/>
      <c r="AS854" s="83"/>
      <c r="AT854" s="85"/>
      <c r="AU854" s="85"/>
      <c r="AV854" s="85"/>
      <c r="AW854" s="88"/>
      <c r="AX854" s="84"/>
      <c r="AY854" s="85"/>
      <c r="AZ854" s="84">
        <v>99.680090000000007</v>
      </c>
      <c r="BA854" s="85">
        <v>90.268500000000003</v>
      </c>
      <c r="BB854" s="88"/>
      <c r="BC854" s="85"/>
      <c r="BD854" s="84"/>
      <c r="BE854" s="88"/>
      <c r="BF854" s="85"/>
      <c r="BG854" s="85"/>
      <c r="BH854" s="85"/>
      <c r="BI854" s="85"/>
      <c r="BJ854" s="85"/>
      <c r="BK854" s="85">
        <v>93.399330000000006</v>
      </c>
      <c r="BL854" s="85"/>
      <c r="BM854" s="85"/>
      <c r="BN854" s="85"/>
      <c r="BO854" s="85"/>
      <c r="BP854" s="85"/>
      <c r="BQ854" s="85"/>
      <c r="BR854" s="84"/>
      <c r="BS854" s="85"/>
      <c r="BT854" s="85"/>
      <c r="BU854" s="198"/>
      <c r="BV854" s="90"/>
      <c r="BW854" s="198"/>
      <c r="BX854" s="90"/>
      <c r="BY854" s="198"/>
      <c r="BZ854" s="90"/>
      <c r="CA854" s="91"/>
    </row>
    <row r="855" spans="1:1199" ht="50.1" customHeight="1" outlineLevel="2" x14ac:dyDescent="0.3">
      <c r="A855" s="103" t="s">
        <v>748</v>
      </c>
      <c r="B855" s="102" t="s">
        <v>750</v>
      </c>
      <c r="C855" s="79" t="s">
        <v>37</v>
      </c>
      <c r="D855" s="81">
        <f t="shared" si="195"/>
        <v>3537.1566300000004</v>
      </c>
      <c r="E855" s="82">
        <f t="shared" si="196"/>
        <v>1046.00127</v>
      </c>
      <c r="F855" s="83">
        <f t="shared" si="197"/>
        <v>2491.1553600000002</v>
      </c>
      <c r="G855" s="84"/>
      <c r="H855" s="85"/>
      <c r="I855" s="85"/>
      <c r="J855" s="84">
        <f>51.66785+287.85232</f>
        <v>339.52017000000001</v>
      </c>
      <c r="K855" s="85">
        <f>16.26102+102.59818</f>
        <v>118.8592</v>
      </c>
      <c r="L855" s="85"/>
      <c r="M855" s="85"/>
      <c r="N855" s="85"/>
      <c r="O855" s="82"/>
      <c r="P855" s="83"/>
      <c r="Q855" s="83"/>
      <c r="R855" s="83"/>
      <c r="S855" s="82"/>
      <c r="T855" s="83"/>
      <c r="U855" s="83"/>
      <c r="V855" s="84">
        <v>69.584999999999994</v>
      </c>
      <c r="W855" s="85">
        <v>121.5</v>
      </c>
      <c r="X855" s="87"/>
      <c r="Y855" s="83">
        <v>316.36799999999999</v>
      </c>
      <c r="Z855" s="84"/>
      <c r="AA855" s="85"/>
      <c r="AB855" s="84"/>
      <c r="AC855" s="85"/>
      <c r="AD855" s="89">
        <f t="shared" si="198"/>
        <v>68.099149999999995</v>
      </c>
      <c r="AE855" s="89"/>
      <c r="AF855" s="187">
        <v>68.099149999999995</v>
      </c>
      <c r="AG855" s="85"/>
      <c r="AH855" s="85"/>
      <c r="AI855" s="85"/>
      <c r="AJ855" s="84"/>
      <c r="AK855" s="85"/>
      <c r="AL855" s="84"/>
      <c r="AM855" s="88"/>
      <c r="AN855" s="84"/>
      <c r="AO855" s="85"/>
      <c r="AP855" s="84"/>
      <c r="AQ855" s="83"/>
      <c r="AR855" s="83"/>
      <c r="AS855" s="83"/>
      <c r="AT855" s="85"/>
      <c r="AU855" s="85"/>
      <c r="AV855" s="85">
        <v>1128.9856299999999</v>
      </c>
      <c r="AW855" s="88"/>
      <c r="AX855" s="84"/>
      <c r="AY855" s="85"/>
      <c r="AZ855" s="84">
        <v>551.32973000000004</v>
      </c>
      <c r="BA855" s="85">
        <v>499.27415000000002</v>
      </c>
      <c r="BB855" s="88"/>
      <c r="BC855" s="85"/>
      <c r="BD855" s="84"/>
      <c r="BE855" s="88"/>
      <c r="BF855" s="85"/>
      <c r="BG855" s="85">
        <v>23.753080000000001</v>
      </c>
      <c r="BH855" s="85"/>
      <c r="BI855" s="85"/>
      <c r="BJ855" s="85"/>
      <c r="BK855" s="85">
        <v>214.31614999999999</v>
      </c>
      <c r="BL855" s="85"/>
      <c r="BM855" s="85"/>
      <c r="BN855" s="85"/>
      <c r="BO855" s="85"/>
      <c r="BP855" s="85"/>
      <c r="BQ855" s="85"/>
      <c r="BR855" s="84">
        <v>85.566370000000006</v>
      </c>
      <c r="BS855" s="85"/>
      <c r="BT855" s="85"/>
      <c r="BU855" s="198"/>
      <c r="BV855" s="90"/>
      <c r="BW855" s="198"/>
      <c r="BX855" s="90"/>
      <c r="BY855" s="198"/>
      <c r="BZ855" s="90"/>
      <c r="CA855" s="91"/>
    </row>
    <row r="856" spans="1:1199" ht="50.1" customHeight="1" outlineLevel="2" x14ac:dyDescent="0.3">
      <c r="A856" s="103" t="s">
        <v>748</v>
      </c>
      <c r="B856" s="102" t="s">
        <v>751</v>
      </c>
      <c r="C856" s="79" t="s">
        <v>37</v>
      </c>
      <c r="D856" s="81">
        <f t="shared" si="195"/>
        <v>30.529209999999999</v>
      </c>
      <c r="E856" s="82">
        <f t="shared" si="196"/>
        <v>16.02092</v>
      </c>
      <c r="F856" s="83">
        <f t="shared" si="197"/>
        <v>14.508290000000001</v>
      </c>
      <c r="G856" s="84"/>
      <c r="H856" s="85"/>
      <c r="I856" s="85"/>
      <c r="J856" s="84"/>
      <c r="K856" s="85"/>
      <c r="L856" s="85"/>
      <c r="M856" s="85"/>
      <c r="N856" s="85"/>
      <c r="O856" s="82"/>
      <c r="P856" s="83"/>
      <c r="Q856" s="83"/>
      <c r="R856" s="83"/>
      <c r="S856" s="82"/>
      <c r="T856" s="83"/>
      <c r="U856" s="83"/>
      <c r="V856" s="84"/>
      <c r="W856" s="85"/>
      <c r="X856" s="87"/>
      <c r="Y856" s="83"/>
      <c r="Z856" s="84"/>
      <c r="AA856" s="85"/>
      <c r="AB856" s="84"/>
      <c r="AC856" s="85"/>
      <c r="AD856" s="89">
        <f t="shared" si="198"/>
        <v>0</v>
      </c>
      <c r="AE856" s="89"/>
      <c r="AF856" s="186"/>
      <c r="AG856" s="85"/>
      <c r="AH856" s="85"/>
      <c r="AI856" s="85"/>
      <c r="AJ856" s="84"/>
      <c r="AK856" s="85"/>
      <c r="AL856" s="84"/>
      <c r="AM856" s="88"/>
      <c r="AN856" s="84"/>
      <c r="AO856" s="85"/>
      <c r="AP856" s="84"/>
      <c r="AQ856" s="83"/>
      <c r="AR856" s="83"/>
      <c r="AS856" s="83"/>
      <c r="AT856" s="85"/>
      <c r="AU856" s="85"/>
      <c r="AV856" s="85"/>
      <c r="AW856" s="88"/>
      <c r="AX856" s="84"/>
      <c r="AY856" s="85"/>
      <c r="AZ856" s="84">
        <v>16.02092</v>
      </c>
      <c r="BA856" s="85">
        <v>14.508290000000001</v>
      </c>
      <c r="BB856" s="88"/>
      <c r="BC856" s="85"/>
      <c r="BD856" s="84"/>
      <c r="BE856" s="88"/>
      <c r="BF856" s="85"/>
      <c r="BG856" s="85"/>
      <c r="BH856" s="85"/>
      <c r="BI856" s="85"/>
      <c r="BJ856" s="85"/>
      <c r="BK856" s="85"/>
      <c r="BL856" s="85"/>
      <c r="BM856" s="85"/>
      <c r="BN856" s="85"/>
      <c r="BO856" s="85"/>
      <c r="BP856" s="85"/>
      <c r="BQ856" s="85"/>
      <c r="BR856" s="84"/>
      <c r="BS856" s="85"/>
      <c r="BT856" s="85"/>
      <c r="BU856" s="198"/>
      <c r="BV856" s="90"/>
      <c r="BW856" s="198"/>
      <c r="BX856" s="90"/>
      <c r="BY856" s="198"/>
      <c r="BZ856" s="90"/>
      <c r="CA856" s="91"/>
    </row>
    <row r="857" spans="1:1199" ht="50.1" customHeight="1" outlineLevel="2" x14ac:dyDescent="0.3">
      <c r="A857" s="103" t="s">
        <v>748</v>
      </c>
      <c r="B857" s="102" t="s">
        <v>752</v>
      </c>
      <c r="C857" s="79" t="s">
        <v>37</v>
      </c>
      <c r="D857" s="81">
        <f t="shared" si="195"/>
        <v>66.369650000000007</v>
      </c>
      <c r="E857" s="82">
        <f t="shared" si="196"/>
        <v>34.829050000000002</v>
      </c>
      <c r="F857" s="83">
        <f t="shared" si="197"/>
        <v>31.540600000000001</v>
      </c>
      <c r="G857" s="84"/>
      <c r="H857" s="85"/>
      <c r="I857" s="85"/>
      <c r="J857" s="84"/>
      <c r="K857" s="85"/>
      <c r="L857" s="85"/>
      <c r="M857" s="85"/>
      <c r="N857" s="85"/>
      <c r="O857" s="82"/>
      <c r="P857" s="83"/>
      <c r="Q857" s="83"/>
      <c r="R857" s="83"/>
      <c r="S857" s="82"/>
      <c r="T857" s="83"/>
      <c r="U857" s="83"/>
      <c r="V857" s="84"/>
      <c r="W857" s="85"/>
      <c r="X857" s="82"/>
      <c r="Y857" s="83"/>
      <c r="Z857" s="84"/>
      <c r="AA857" s="85"/>
      <c r="AB857" s="84"/>
      <c r="AC857" s="85"/>
      <c r="AD857" s="89">
        <f t="shared" si="198"/>
        <v>0</v>
      </c>
      <c r="AE857" s="89"/>
      <c r="AF857" s="186"/>
      <c r="AG857" s="85"/>
      <c r="AH857" s="85"/>
      <c r="AI857" s="85"/>
      <c r="AJ857" s="84"/>
      <c r="AK857" s="85"/>
      <c r="AL857" s="84"/>
      <c r="AM857" s="88"/>
      <c r="AN857" s="84"/>
      <c r="AO857" s="85"/>
      <c r="AP857" s="84"/>
      <c r="AQ857" s="83"/>
      <c r="AR857" s="83"/>
      <c r="AS857" s="83"/>
      <c r="AT857" s="85"/>
      <c r="AU857" s="85"/>
      <c r="AV857" s="85"/>
      <c r="AW857" s="88"/>
      <c r="AX857" s="84"/>
      <c r="AY857" s="85"/>
      <c r="AZ857" s="84">
        <v>34.829050000000002</v>
      </c>
      <c r="BA857" s="85">
        <v>31.540600000000001</v>
      </c>
      <c r="BB857" s="88"/>
      <c r="BC857" s="85"/>
      <c r="BD857" s="84"/>
      <c r="BE857" s="88"/>
      <c r="BF857" s="85"/>
      <c r="BG857" s="85"/>
      <c r="BH857" s="85"/>
      <c r="BI857" s="85"/>
      <c r="BJ857" s="85"/>
      <c r="BK857" s="85"/>
      <c r="BL857" s="85"/>
      <c r="BM857" s="85"/>
      <c r="BN857" s="85"/>
      <c r="BO857" s="85"/>
      <c r="BP857" s="85"/>
      <c r="BQ857" s="85"/>
      <c r="BR857" s="84"/>
      <c r="BS857" s="85"/>
      <c r="BT857" s="85"/>
      <c r="BU857" s="198"/>
      <c r="BV857" s="90"/>
      <c r="BW857" s="198"/>
      <c r="BX857" s="90"/>
      <c r="BY857" s="198"/>
      <c r="BZ857" s="90"/>
      <c r="CA857" s="91"/>
    </row>
    <row r="858" spans="1:1199" ht="50.1" customHeight="1" outlineLevel="2" x14ac:dyDescent="0.3">
      <c r="A858" s="103" t="s">
        <v>748</v>
      </c>
      <c r="B858" s="102" t="s">
        <v>976</v>
      </c>
      <c r="C858" s="79" t="s">
        <v>55</v>
      </c>
      <c r="D858" s="81">
        <f t="shared" si="195"/>
        <v>3063.6950000000002</v>
      </c>
      <c r="E858" s="82">
        <f t="shared" si="196"/>
        <v>2873.1950000000002</v>
      </c>
      <c r="F858" s="83">
        <f t="shared" si="197"/>
        <v>190.5</v>
      </c>
      <c r="G858" s="84"/>
      <c r="H858" s="85"/>
      <c r="I858" s="85"/>
      <c r="J858" s="84"/>
      <c r="K858" s="85"/>
      <c r="L858" s="85"/>
      <c r="M858" s="85"/>
      <c r="N858" s="85"/>
      <c r="O858" s="82"/>
      <c r="P858" s="83"/>
      <c r="Q858" s="83"/>
      <c r="R858" s="83"/>
      <c r="S858" s="82"/>
      <c r="T858" s="83"/>
      <c r="U858" s="83"/>
      <c r="V858" s="84">
        <v>23.195</v>
      </c>
      <c r="W858" s="85">
        <v>40.5</v>
      </c>
      <c r="X858" s="82"/>
      <c r="Y858" s="83"/>
      <c r="Z858" s="84"/>
      <c r="AA858" s="85"/>
      <c r="AB858" s="84"/>
      <c r="AC858" s="85"/>
      <c r="AD858" s="89">
        <f t="shared" si="198"/>
        <v>0</v>
      </c>
      <c r="AE858" s="83"/>
      <c r="AF858" s="123"/>
      <c r="AG858" s="85"/>
      <c r="AH858" s="85"/>
      <c r="AI858" s="85"/>
      <c r="AJ858" s="84"/>
      <c r="AK858" s="85"/>
      <c r="AL858" s="84"/>
      <c r="AM858" s="85"/>
      <c r="AN858" s="84"/>
      <c r="AO858" s="85"/>
      <c r="AP858" s="84"/>
      <c r="AQ858" s="83"/>
      <c r="AR858" s="83"/>
      <c r="AS858" s="83"/>
      <c r="AT858" s="85"/>
      <c r="AU858" s="85"/>
      <c r="AV858" s="85"/>
      <c r="AW858" s="85"/>
      <c r="AX858" s="84"/>
      <c r="AY858" s="85"/>
      <c r="AZ858" s="84"/>
      <c r="BA858" s="85"/>
      <c r="BB858" s="85"/>
      <c r="BC858" s="85"/>
      <c r="BD858" s="84"/>
      <c r="BE858" s="85"/>
      <c r="BF858" s="85"/>
      <c r="BG858" s="85"/>
      <c r="BH858" s="85"/>
      <c r="BI858" s="85"/>
      <c r="BJ858" s="85"/>
      <c r="BK858" s="85"/>
      <c r="BL858" s="85"/>
      <c r="BM858" s="85"/>
      <c r="BN858" s="85"/>
      <c r="BO858" s="85"/>
      <c r="BP858" s="85"/>
      <c r="BQ858" s="85"/>
      <c r="BR858" s="84"/>
      <c r="BS858" s="85"/>
      <c r="BT858" s="85"/>
      <c r="BU858" s="198"/>
      <c r="BV858" s="90">
        <v>2850</v>
      </c>
      <c r="BW858" s="198">
        <v>150</v>
      </c>
      <c r="BX858" s="90"/>
      <c r="BY858" s="198"/>
      <c r="BZ858" s="90"/>
      <c r="CA858" s="91"/>
    </row>
    <row r="859" spans="1:1199" ht="61.5" customHeight="1" outlineLevel="2" x14ac:dyDescent="0.3">
      <c r="A859" s="103" t="s">
        <v>748</v>
      </c>
      <c r="B859" s="102" t="s">
        <v>1174</v>
      </c>
      <c r="C859" s="79" t="s">
        <v>55</v>
      </c>
      <c r="D859" s="81">
        <f t="shared" si="195"/>
        <v>2774.7000000000003</v>
      </c>
      <c r="E859" s="82">
        <f t="shared" si="196"/>
        <v>2635.9650000000001</v>
      </c>
      <c r="F859" s="83">
        <f t="shared" si="197"/>
        <v>138.73500000000001</v>
      </c>
      <c r="G859" s="84"/>
      <c r="H859" s="85"/>
      <c r="I859" s="85"/>
      <c r="J859" s="84"/>
      <c r="K859" s="85"/>
      <c r="L859" s="85"/>
      <c r="M859" s="85"/>
      <c r="N859" s="85"/>
      <c r="O859" s="82"/>
      <c r="P859" s="83"/>
      <c r="Q859" s="83"/>
      <c r="R859" s="83"/>
      <c r="S859" s="82"/>
      <c r="T859" s="83"/>
      <c r="U859" s="83"/>
      <c r="V859" s="84"/>
      <c r="W859" s="85"/>
      <c r="X859" s="82"/>
      <c r="Y859" s="83"/>
      <c r="Z859" s="84"/>
      <c r="AA859" s="85"/>
      <c r="AB859" s="84"/>
      <c r="AC859" s="85"/>
      <c r="AD859" s="89"/>
      <c r="AE859" s="83"/>
      <c r="AF859" s="123"/>
      <c r="AG859" s="85"/>
      <c r="AH859" s="85"/>
      <c r="AI859" s="85"/>
      <c r="AJ859" s="84"/>
      <c r="AK859" s="85"/>
      <c r="AL859" s="84"/>
      <c r="AM859" s="85"/>
      <c r="AN859" s="84"/>
      <c r="AO859" s="85"/>
      <c r="AP859" s="84"/>
      <c r="AQ859" s="83"/>
      <c r="AR859" s="83"/>
      <c r="AS859" s="83"/>
      <c r="AT859" s="85"/>
      <c r="AU859" s="85"/>
      <c r="AV859" s="85"/>
      <c r="AW859" s="85"/>
      <c r="AX859" s="84"/>
      <c r="AY859" s="85"/>
      <c r="AZ859" s="84"/>
      <c r="BA859" s="85"/>
      <c r="BB859" s="85"/>
      <c r="BC859" s="85"/>
      <c r="BD859" s="84"/>
      <c r="BE859" s="85"/>
      <c r="BF859" s="85"/>
      <c r="BG859" s="85"/>
      <c r="BH859" s="85"/>
      <c r="BI859" s="85"/>
      <c r="BJ859" s="85"/>
      <c r="BK859" s="85"/>
      <c r="BL859" s="85"/>
      <c r="BM859" s="85"/>
      <c r="BN859" s="85"/>
      <c r="BO859" s="85"/>
      <c r="BP859" s="85"/>
      <c r="BQ859" s="85"/>
      <c r="BR859" s="84"/>
      <c r="BS859" s="85"/>
      <c r="BT859" s="85"/>
      <c r="BU859" s="198"/>
      <c r="BV859" s="90">
        <v>2635.9650000000001</v>
      </c>
      <c r="BW859" s="198">
        <v>138.73500000000001</v>
      </c>
      <c r="BX859" s="90"/>
      <c r="BY859" s="198"/>
      <c r="BZ859" s="90"/>
      <c r="CA859" s="91"/>
    </row>
    <row r="860" spans="1:1199" ht="50.1" customHeight="1" outlineLevel="2" x14ac:dyDescent="0.3">
      <c r="A860" s="103" t="s">
        <v>748</v>
      </c>
      <c r="B860" s="102" t="s">
        <v>1177</v>
      </c>
      <c r="C860" s="79" t="s">
        <v>55</v>
      </c>
      <c r="D860" s="81">
        <f t="shared" si="195"/>
        <v>3000</v>
      </c>
      <c r="E860" s="82">
        <f t="shared" si="196"/>
        <v>2850</v>
      </c>
      <c r="F860" s="83">
        <f t="shared" si="197"/>
        <v>150</v>
      </c>
      <c r="G860" s="84"/>
      <c r="H860" s="85"/>
      <c r="I860" s="85"/>
      <c r="J860" s="84"/>
      <c r="K860" s="85"/>
      <c r="L860" s="85"/>
      <c r="M860" s="85"/>
      <c r="N860" s="85"/>
      <c r="O860" s="82"/>
      <c r="P860" s="83"/>
      <c r="Q860" s="83"/>
      <c r="R860" s="83"/>
      <c r="S860" s="82"/>
      <c r="T860" s="83"/>
      <c r="U860" s="83"/>
      <c r="V860" s="84"/>
      <c r="W860" s="85"/>
      <c r="X860" s="82"/>
      <c r="Y860" s="83"/>
      <c r="Z860" s="84"/>
      <c r="AA860" s="85"/>
      <c r="AB860" s="84"/>
      <c r="AC860" s="85"/>
      <c r="AD860" s="89"/>
      <c r="AE860" s="83"/>
      <c r="AF860" s="123"/>
      <c r="AG860" s="85"/>
      <c r="AH860" s="85"/>
      <c r="AI860" s="85"/>
      <c r="AJ860" s="84"/>
      <c r="AK860" s="85"/>
      <c r="AL860" s="84"/>
      <c r="AM860" s="85"/>
      <c r="AN860" s="84"/>
      <c r="AO860" s="85"/>
      <c r="AP860" s="84"/>
      <c r="AQ860" s="83"/>
      <c r="AR860" s="83"/>
      <c r="AS860" s="83"/>
      <c r="AT860" s="85"/>
      <c r="AU860" s="85"/>
      <c r="AV860" s="85"/>
      <c r="AW860" s="85"/>
      <c r="AX860" s="84"/>
      <c r="AY860" s="85"/>
      <c r="AZ860" s="84"/>
      <c r="BA860" s="85"/>
      <c r="BB860" s="85"/>
      <c r="BC860" s="85"/>
      <c r="BD860" s="84"/>
      <c r="BE860" s="85"/>
      <c r="BF860" s="85"/>
      <c r="BG860" s="85"/>
      <c r="BH860" s="85"/>
      <c r="BI860" s="85"/>
      <c r="BJ860" s="85"/>
      <c r="BK860" s="85"/>
      <c r="BL860" s="85"/>
      <c r="BM860" s="85"/>
      <c r="BN860" s="85"/>
      <c r="BO860" s="85"/>
      <c r="BP860" s="85"/>
      <c r="BQ860" s="85"/>
      <c r="BR860" s="84"/>
      <c r="BS860" s="85"/>
      <c r="BT860" s="85"/>
      <c r="BU860" s="198"/>
      <c r="BV860" s="90">
        <v>2850</v>
      </c>
      <c r="BW860" s="198">
        <v>150</v>
      </c>
      <c r="BX860" s="90"/>
      <c r="BY860" s="198"/>
      <c r="BZ860" s="90"/>
      <c r="CA860" s="91"/>
    </row>
    <row r="861" spans="1:1199" ht="50.1" customHeight="1" outlineLevel="2" x14ac:dyDescent="0.3">
      <c r="A861" s="103" t="s">
        <v>748</v>
      </c>
      <c r="B861" s="102" t="s">
        <v>753</v>
      </c>
      <c r="C861" s="79" t="s">
        <v>37</v>
      </c>
      <c r="D861" s="81">
        <f t="shared" si="195"/>
        <v>304.87067999999999</v>
      </c>
      <c r="E861" s="82">
        <f t="shared" si="196"/>
        <v>68.938680000000005</v>
      </c>
      <c r="F861" s="83">
        <f t="shared" si="197"/>
        <v>235.93200000000002</v>
      </c>
      <c r="G861" s="84"/>
      <c r="H861" s="85"/>
      <c r="I861" s="85"/>
      <c r="J861" s="84"/>
      <c r="K861" s="85"/>
      <c r="L861" s="85"/>
      <c r="M861" s="85"/>
      <c r="N861" s="85"/>
      <c r="O861" s="82"/>
      <c r="P861" s="83"/>
      <c r="Q861" s="83"/>
      <c r="R861" s="83"/>
      <c r="S861" s="82"/>
      <c r="T861" s="83"/>
      <c r="U861" s="83"/>
      <c r="V861" s="84"/>
      <c r="W861" s="85"/>
      <c r="X861" s="87"/>
      <c r="Y861" s="83"/>
      <c r="Z861" s="84"/>
      <c r="AA861" s="85"/>
      <c r="AB861" s="84"/>
      <c r="AC861" s="85"/>
      <c r="AD861" s="89">
        <f t="shared" si="198"/>
        <v>0</v>
      </c>
      <c r="AE861" s="89"/>
      <c r="AF861" s="186"/>
      <c r="AG861" s="85"/>
      <c r="AH861" s="85"/>
      <c r="AI861" s="85"/>
      <c r="AJ861" s="84"/>
      <c r="AK861" s="85"/>
      <c r="AL861" s="84"/>
      <c r="AM861" s="88"/>
      <c r="AN861" s="84"/>
      <c r="AO861" s="85"/>
      <c r="AP861" s="84"/>
      <c r="AQ861" s="83"/>
      <c r="AR861" s="83"/>
      <c r="AS861" s="83"/>
      <c r="AT861" s="85"/>
      <c r="AU861" s="85"/>
      <c r="AV861" s="85">
        <v>173.50235000000001</v>
      </c>
      <c r="AW861" s="88"/>
      <c r="AX861" s="84"/>
      <c r="AY861" s="85"/>
      <c r="AZ861" s="84">
        <v>68.938680000000005</v>
      </c>
      <c r="BA861" s="85">
        <v>62.429650000000002</v>
      </c>
      <c r="BB861" s="88"/>
      <c r="BC861" s="85"/>
      <c r="BD861" s="84"/>
      <c r="BE861" s="88"/>
      <c r="BF861" s="85"/>
      <c r="BG861" s="85"/>
      <c r="BH861" s="85"/>
      <c r="BI861" s="85"/>
      <c r="BJ861" s="85"/>
      <c r="BK861" s="85"/>
      <c r="BL861" s="85"/>
      <c r="BM861" s="85"/>
      <c r="BN861" s="85"/>
      <c r="BO861" s="85"/>
      <c r="BP861" s="85"/>
      <c r="BQ861" s="85"/>
      <c r="BR861" s="84"/>
      <c r="BS861" s="85"/>
      <c r="BT861" s="85"/>
      <c r="BU861" s="198"/>
      <c r="BV861" s="90"/>
      <c r="BW861" s="198"/>
      <c r="BX861" s="90"/>
      <c r="BY861" s="198"/>
      <c r="BZ861" s="90"/>
      <c r="CA861" s="91"/>
    </row>
    <row r="862" spans="1:1199" ht="50.1" customHeight="1" outlineLevel="2" x14ac:dyDescent="0.3">
      <c r="A862" s="103" t="s">
        <v>748</v>
      </c>
      <c r="B862" s="102" t="s">
        <v>88</v>
      </c>
      <c r="C862" s="79" t="s">
        <v>37</v>
      </c>
      <c r="D862" s="81">
        <f t="shared" si="195"/>
        <v>1027.8777599999999</v>
      </c>
      <c r="E862" s="82">
        <f t="shared" si="196"/>
        <v>271.31646000000001</v>
      </c>
      <c r="F862" s="83">
        <f t="shared" si="197"/>
        <v>756.56129999999996</v>
      </c>
      <c r="G862" s="84"/>
      <c r="H862" s="85"/>
      <c r="I862" s="85"/>
      <c r="J862" s="84"/>
      <c r="K862" s="85"/>
      <c r="L862" s="85"/>
      <c r="M862" s="85"/>
      <c r="N862" s="85"/>
      <c r="O862" s="82"/>
      <c r="P862" s="83"/>
      <c r="Q862" s="83"/>
      <c r="R862" s="83"/>
      <c r="S862" s="82"/>
      <c r="T862" s="83"/>
      <c r="U862" s="83"/>
      <c r="V862" s="84"/>
      <c r="W862" s="85"/>
      <c r="X862" s="87"/>
      <c r="Y862" s="83">
        <v>181.27199999999999</v>
      </c>
      <c r="Z862" s="84"/>
      <c r="AA862" s="85"/>
      <c r="AB862" s="84"/>
      <c r="AC862" s="85"/>
      <c r="AD862" s="89">
        <f t="shared" si="198"/>
        <v>45.72372</v>
      </c>
      <c r="AE862" s="89"/>
      <c r="AF862" s="187">
        <v>45.72372</v>
      </c>
      <c r="AG862" s="85"/>
      <c r="AH862" s="85"/>
      <c r="AI862" s="85"/>
      <c r="AJ862" s="84"/>
      <c r="AK862" s="85"/>
      <c r="AL862" s="84"/>
      <c r="AM862" s="88"/>
      <c r="AN862" s="84"/>
      <c r="AO862" s="85"/>
      <c r="AP862" s="84"/>
      <c r="AQ862" s="83"/>
      <c r="AR862" s="83"/>
      <c r="AS862" s="83"/>
      <c r="AT862" s="85"/>
      <c r="AU862" s="85"/>
      <c r="AV862" s="85"/>
      <c r="AW862" s="88"/>
      <c r="AX862" s="84"/>
      <c r="AY862" s="85"/>
      <c r="AZ862" s="84">
        <v>271.31646000000001</v>
      </c>
      <c r="BA862" s="85">
        <v>245.69931</v>
      </c>
      <c r="BB862" s="88"/>
      <c r="BC862" s="85"/>
      <c r="BD862" s="84"/>
      <c r="BE862" s="88"/>
      <c r="BF862" s="85"/>
      <c r="BG862" s="85"/>
      <c r="BH862" s="85"/>
      <c r="BI862" s="85"/>
      <c r="BJ862" s="85"/>
      <c r="BK862" s="85">
        <v>206.36626999999999</v>
      </c>
      <c r="BL862" s="85"/>
      <c r="BM862" s="85"/>
      <c r="BN862" s="85"/>
      <c r="BO862" s="85"/>
      <c r="BP862" s="85"/>
      <c r="BQ862" s="85"/>
      <c r="BR862" s="84"/>
      <c r="BS862" s="85"/>
      <c r="BT862" s="85">
        <v>77.5</v>
      </c>
      <c r="BU862" s="198"/>
      <c r="BV862" s="90"/>
      <c r="BW862" s="198"/>
      <c r="BX862" s="90"/>
      <c r="BY862" s="198"/>
      <c r="BZ862" s="90"/>
      <c r="CA862" s="91"/>
    </row>
    <row r="863" spans="1:1199" s="136" customFormat="1" ht="50.1" customHeight="1" outlineLevel="1" x14ac:dyDescent="0.3">
      <c r="A863" s="237" t="s">
        <v>754</v>
      </c>
      <c r="B863" s="238"/>
      <c r="C863" s="239" t="s">
        <v>94</v>
      </c>
      <c r="D863" s="81">
        <f t="shared" ref="D863:AI863" si="199">SUBTOTAL(9,D854:D862)</f>
        <v>14150.32285</v>
      </c>
      <c r="E863" s="81">
        <f t="shared" si="199"/>
        <v>9895.9464700000008</v>
      </c>
      <c r="F863" s="81">
        <f t="shared" si="199"/>
        <v>4254.3763800000006</v>
      </c>
      <c r="G863" s="81">
        <f t="shared" si="199"/>
        <v>0</v>
      </c>
      <c r="H863" s="81">
        <f t="shared" si="199"/>
        <v>0</v>
      </c>
      <c r="I863" s="81">
        <f t="shared" si="199"/>
        <v>0</v>
      </c>
      <c r="J863" s="81">
        <f t="shared" si="199"/>
        <v>339.52017000000001</v>
      </c>
      <c r="K863" s="81">
        <f t="shared" si="199"/>
        <v>118.8592</v>
      </c>
      <c r="L863" s="81">
        <f t="shared" si="199"/>
        <v>0</v>
      </c>
      <c r="M863" s="81">
        <f t="shared" si="199"/>
        <v>0</v>
      </c>
      <c r="N863" s="81">
        <f t="shared" si="199"/>
        <v>0</v>
      </c>
      <c r="O863" s="81">
        <f t="shared" si="199"/>
        <v>0</v>
      </c>
      <c r="P863" s="81">
        <f t="shared" si="199"/>
        <v>0</v>
      </c>
      <c r="Q863" s="81">
        <f t="shared" si="199"/>
        <v>0</v>
      </c>
      <c r="R863" s="81">
        <f t="shared" si="199"/>
        <v>0</v>
      </c>
      <c r="S863" s="81">
        <f t="shared" si="199"/>
        <v>0</v>
      </c>
      <c r="T863" s="81">
        <f t="shared" si="199"/>
        <v>0</v>
      </c>
      <c r="U863" s="81">
        <f t="shared" si="199"/>
        <v>0</v>
      </c>
      <c r="V863" s="81">
        <f t="shared" si="199"/>
        <v>92.78</v>
      </c>
      <c r="W863" s="81">
        <f t="shared" si="199"/>
        <v>162</v>
      </c>
      <c r="X863" s="81">
        <f t="shared" si="199"/>
        <v>0</v>
      </c>
      <c r="Y863" s="81">
        <f t="shared" si="199"/>
        <v>559.41599999999994</v>
      </c>
      <c r="Z863" s="81">
        <f t="shared" si="199"/>
        <v>0</v>
      </c>
      <c r="AA863" s="81">
        <f t="shared" si="199"/>
        <v>0</v>
      </c>
      <c r="AB863" s="81">
        <f t="shared" si="199"/>
        <v>0</v>
      </c>
      <c r="AC863" s="81">
        <f t="shared" si="199"/>
        <v>0</v>
      </c>
      <c r="AD863" s="81">
        <f t="shared" si="199"/>
        <v>113.82286999999999</v>
      </c>
      <c r="AE863" s="81">
        <f t="shared" si="199"/>
        <v>0</v>
      </c>
      <c r="AF863" s="192">
        <f t="shared" si="199"/>
        <v>113.82286999999999</v>
      </c>
      <c r="AG863" s="81">
        <f t="shared" si="199"/>
        <v>0</v>
      </c>
      <c r="AH863" s="81">
        <f t="shared" si="199"/>
        <v>0</v>
      </c>
      <c r="AI863" s="81">
        <f t="shared" si="199"/>
        <v>0</v>
      </c>
      <c r="AJ863" s="81">
        <f t="shared" ref="AJ863:BO863" si="200">SUBTOTAL(9,AJ854:AJ862)</f>
        <v>0</v>
      </c>
      <c r="AK863" s="81">
        <f t="shared" si="200"/>
        <v>0</v>
      </c>
      <c r="AL863" s="81">
        <f t="shared" si="200"/>
        <v>0</v>
      </c>
      <c r="AM863" s="81">
        <f t="shared" si="200"/>
        <v>0</v>
      </c>
      <c r="AN863" s="81">
        <f t="shared" si="200"/>
        <v>0</v>
      </c>
      <c r="AO863" s="81">
        <f t="shared" si="200"/>
        <v>0</v>
      </c>
      <c r="AP863" s="81">
        <f t="shared" si="200"/>
        <v>0</v>
      </c>
      <c r="AQ863" s="81">
        <f t="shared" si="200"/>
        <v>0</v>
      </c>
      <c r="AR863" s="81">
        <f t="shared" si="200"/>
        <v>0</v>
      </c>
      <c r="AS863" s="81">
        <f t="shared" si="200"/>
        <v>0</v>
      </c>
      <c r="AT863" s="81">
        <f t="shared" si="200"/>
        <v>0</v>
      </c>
      <c r="AU863" s="81">
        <f t="shared" si="200"/>
        <v>0</v>
      </c>
      <c r="AV863" s="81">
        <f t="shared" si="200"/>
        <v>1302.4879799999999</v>
      </c>
      <c r="AW863" s="81">
        <f t="shared" si="200"/>
        <v>0</v>
      </c>
      <c r="AX863" s="81">
        <f t="shared" si="200"/>
        <v>0</v>
      </c>
      <c r="AY863" s="81">
        <f t="shared" si="200"/>
        <v>0</v>
      </c>
      <c r="AZ863" s="81">
        <f t="shared" si="200"/>
        <v>1042.1149300000002</v>
      </c>
      <c r="BA863" s="81">
        <f t="shared" si="200"/>
        <v>943.72050000000002</v>
      </c>
      <c r="BB863" s="81">
        <f t="shared" si="200"/>
        <v>0</v>
      </c>
      <c r="BC863" s="81">
        <f t="shared" si="200"/>
        <v>0</v>
      </c>
      <c r="BD863" s="81">
        <f t="shared" si="200"/>
        <v>0</v>
      </c>
      <c r="BE863" s="81">
        <f t="shared" si="200"/>
        <v>0</v>
      </c>
      <c r="BF863" s="81">
        <f t="shared" si="200"/>
        <v>0</v>
      </c>
      <c r="BG863" s="81">
        <f t="shared" si="200"/>
        <v>23.753080000000001</v>
      </c>
      <c r="BH863" s="81">
        <f t="shared" si="200"/>
        <v>0</v>
      </c>
      <c r="BI863" s="81">
        <f t="shared" si="200"/>
        <v>0</v>
      </c>
      <c r="BJ863" s="81">
        <f t="shared" si="200"/>
        <v>0</v>
      </c>
      <c r="BK863" s="81">
        <f t="shared" si="200"/>
        <v>514.08175000000006</v>
      </c>
      <c r="BL863" s="81">
        <f t="shared" si="200"/>
        <v>0</v>
      </c>
      <c r="BM863" s="81">
        <f t="shared" si="200"/>
        <v>0</v>
      </c>
      <c r="BN863" s="81">
        <f t="shared" si="200"/>
        <v>0</v>
      </c>
      <c r="BO863" s="81">
        <f t="shared" si="200"/>
        <v>0</v>
      </c>
      <c r="BP863" s="81">
        <f t="shared" ref="BP863:CU863" si="201">SUBTOTAL(9,BP854:BP862)</f>
        <v>0</v>
      </c>
      <c r="BQ863" s="81">
        <f t="shared" si="201"/>
        <v>0</v>
      </c>
      <c r="BR863" s="81">
        <f t="shared" si="201"/>
        <v>85.566370000000006</v>
      </c>
      <c r="BS863" s="81">
        <f t="shared" si="201"/>
        <v>0</v>
      </c>
      <c r="BT863" s="81">
        <f t="shared" si="201"/>
        <v>77.5</v>
      </c>
      <c r="BU863" s="81">
        <f t="shared" si="201"/>
        <v>0</v>
      </c>
      <c r="BV863" s="81">
        <f t="shared" si="201"/>
        <v>8335.9650000000001</v>
      </c>
      <c r="BW863" s="81">
        <f t="shared" si="201"/>
        <v>438.73500000000001</v>
      </c>
      <c r="BX863" s="81">
        <f t="shared" si="201"/>
        <v>0</v>
      </c>
      <c r="BY863" s="81">
        <f t="shared" si="201"/>
        <v>0</v>
      </c>
      <c r="BZ863" s="81">
        <f t="shared" si="201"/>
        <v>0</v>
      </c>
      <c r="CA863" s="81">
        <f t="shared" si="201"/>
        <v>0</v>
      </c>
      <c r="CB863" s="208"/>
      <c r="CC863" s="208"/>
      <c r="CD863" s="208"/>
      <c r="CE863" s="208"/>
      <c r="CF863" s="208"/>
      <c r="CG863" s="208"/>
      <c r="CH863" s="208"/>
      <c r="CI863" s="208"/>
      <c r="CJ863" s="208"/>
      <c r="CK863" s="208"/>
      <c r="CL863" s="208"/>
      <c r="CM863" s="208"/>
      <c r="CN863" s="208"/>
      <c r="CO863" s="208"/>
      <c r="CP863" s="208"/>
      <c r="CQ863" s="208"/>
      <c r="CR863" s="208"/>
      <c r="CS863" s="208"/>
      <c r="CT863" s="208"/>
      <c r="CU863" s="208"/>
      <c r="CV863" s="208"/>
      <c r="CW863" s="208"/>
      <c r="CX863" s="208"/>
      <c r="CY863" s="208"/>
      <c r="CZ863" s="208"/>
      <c r="DA863" s="208"/>
      <c r="DB863" s="208"/>
      <c r="DC863" s="208"/>
      <c r="DD863" s="208"/>
      <c r="DE863" s="208"/>
      <c r="DF863" s="208"/>
      <c r="DG863" s="208"/>
      <c r="DH863" s="208"/>
      <c r="DI863" s="208"/>
      <c r="DJ863" s="208"/>
      <c r="DK863" s="208"/>
      <c r="DL863" s="208"/>
      <c r="DM863" s="208"/>
      <c r="DN863" s="208"/>
      <c r="DO863" s="208"/>
      <c r="DP863" s="208"/>
      <c r="DQ863" s="208"/>
      <c r="DR863" s="208"/>
      <c r="DS863" s="208"/>
      <c r="DT863" s="208"/>
      <c r="DU863" s="208"/>
      <c r="DV863" s="208"/>
      <c r="DW863" s="208"/>
      <c r="DX863" s="208"/>
      <c r="DY863" s="208"/>
      <c r="DZ863" s="208"/>
      <c r="EA863" s="208"/>
      <c r="EB863" s="208"/>
      <c r="EC863" s="208"/>
      <c r="ED863" s="208"/>
      <c r="EE863" s="208"/>
      <c r="EF863" s="208"/>
      <c r="EG863" s="208"/>
      <c r="EH863" s="208"/>
      <c r="EI863" s="208"/>
      <c r="EJ863" s="208"/>
      <c r="EK863" s="208"/>
      <c r="EL863" s="208"/>
      <c r="EM863" s="208"/>
      <c r="EN863" s="208"/>
      <c r="EO863" s="208"/>
      <c r="EP863" s="208"/>
      <c r="EQ863" s="208"/>
      <c r="ER863" s="208"/>
      <c r="ES863" s="208"/>
      <c r="ET863" s="208"/>
      <c r="EU863" s="208"/>
      <c r="EV863" s="208"/>
      <c r="EW863" s="208"/>
      <c r="EX863" s="208"/>
      <c r="EY863" s="208"/>
      <c r="EZ863" s="208"/>
      <c r="FA863" s="208"/>
      <c r="FB863" s="208"/>
      <c r="FC863" s="208"/>
      <c r="FD863" s="208"/>
      <c r="FE863" s="208"/>
      <c r="FF863" s="208"/>
      <c r="FG863" s="208"/>
      <c r="FH863" s="208"/>
      <c r="FI863" s="208"/>
      <c r="FJ863" s="208"/>
      <c r="FK863" s="208"/>
      <c r="FL863" s="208"/>
      <c r="FM863" s="208"/>
      <c r="FN863" s="208"/>
      <c r="FO863" s="208"/>
      <c r="FP863" s="208"/>
      <c r="FQ863" s="208"/>
      <c r="FR863" s="208"/>
      <c r="FS863" s="208"/>
      <c r="FT863" s="208"/>
      <c r="FU863" s="208"/>
      <c r="FV863" s="208"/>
      <c r="FW863" s="208"/>
      <c r="FX863" s="208"/>
      <c r="FY863" s="208"/>
      <c r="FZ863" s="208"/>
      <c r="GA863" s="208"/>
      <c r="GB863" s="208"/>
      <c r="GC863" s="208"/>
      <c r="GD863" s="208"/>
      <c r="GE863" s="208"/>
      <c r="GF863" s="208"/>
      <c r="GG863" s="208"/>
      <c r="GH863" s="208"/>
      <c r="GI863" s="208"/>
      <c r="GJ863" s="208"/>
      <c r="GK863" s="208"/>
      <c r="GL863" s="208"/>
      <c r="GM863" s="208"/>
      <c r="GN863" s="208"/>
      <c r="GO863" s="208"/>
      <c r="GP863" s="208"/>
      <c r="GQ863" s="208"/>
      <c r="GR863" s="208"/>
      <c r="GS863" s="208"/>
      <c r="GT863" s="208"/>
      <c r="GU863" s="208"/>
      <c r="GV863" s="208"/>
      <c r="GW863" s="208"/>
      <c r="GX863" s="208"/>
      <c r="GY863" s="208"/>
      <c r="GZ863" s="208"/>
      <c r="HA863" s="208"/>
      <c r="HB863" s="208"/>
      <c r="HC863" s="208"/>
      <c r="HD863" s="208"/>
      <c r="HE863" s="208"/>
      <c r="HF863" s="208"/>
      <c r="HG863" s="208"/>
      <c r="HH863" s="208"/>
      <c r="HI863" s="208"/>
      <c r="HJ863" s="208"/>
      <c r="HK863" s="208"/>
      <c r="HL863" s="208"/>
      <c r="HM863" s="208"/>
      <c r="HN863" s="208"/>
      <c r="HO863" s="208"/>
      <c r="HP863" s="208"/>
      <c r="HQ863" s="208"/>
      <c r="HR863" s="208"/>
      <c r="HS863" s="208"/>
      <c r="HT863" s="208"/>
      <c r="HU863" s="208"/>
      <c r="HV863" s="208"/>
      <c r="HW863" s="208"/>
      <c r="HX863" s="208"/>
      <c r="HY863" s="208"/>
      <c r="HZ863" s="208"/>
      <c r="IA863" s="208"/>
      <c r="IB863" s="208"/>
      <c r="IC863" s="208"/>
      <c r="ID863" s="208"/>
      <c r="IE863" s="208"/>
      <c r="IF863" s="208"/>
      <c r="IG863" s="208"/>
      <c r="IH863" s="208"/>
      <c r="II863" s="208"/>
      <c r="IJ863" s="208"/>
      <c r="IK863" s="208"/>
      <c r="IL863" s="208"/>
      <c r="IM863" s="208"/>
      <c r="IN863" s="208"/>
      <c r="IO863" s="208"/>
      <c r="IP863" s="208"/>
      <c r="IQ863" s="208"/>
      <c r="IR863" s="208"/>
      <c r="IS863" s="208"/>
      <c r="IT863" s="208"/>
      <c r="IU863" s="208"/>
      <c r="IV863" s="208"/>
      <c r="IW863" s="208"/>
      <c r="IX863" s="208"/>
      <c r="IY863" s="208"/>
      <c r="IZ863" s="208"/>
      <c r="JA863" s="208"/>
      <c r="JB863" s="208"/>
      <c r="JC863" s="208"/>
      <c r="JD863" s="208"/>
      <c r="JE863" s="208"/>
      <c r="JF863" s="208"/>
      <c r="JG863" s="208"/>
      <c r="JH863" s="208"/>
      <c r="JI863" s="208"/>
      <c r="JJ863" s="208"/>
      <c r="JK863" s="208"/>
      <c r="JL863" s="208"/>
      <c r="JM863" s="208"/>
      <c r="JN863" s="208"/>
      <c r="JO863" s="208"/>
      <c r="JP863" s="208"/>
      <c r="JQ863" s="208"/>
      <c r="JR863" s="208"/>
      <c r="JS863" s="208"/>
      <c r="JT863" s="208"/>
      <c r="JU863" s="208"/>
      <c r="JV863" s="208"/>
      <c r="JW863" s="273"/>
      <c r="JX863" s="273"/>
      <c r="JY863" s="273"/>
      <c r="JZ863" s="273"/>
      <c r="KA863" s="273"/>
      <c r="KB863" s="273"/>
      <c r="KC863" s="273"/>
      <c r="KD863" s="273"/>
      <c r="KE863" s="273"/>
      <c r="KF863" s="273"/>
      <c r="KG863" s="273"/>
      <c r="KH863" s="273"/>
      <c r="KI863" s="273"/>
      <c r="KJ863" s="273"/>
      <c r="KK863" s="273"/>
      <c r="KL863" s="273"/>
      <c r="KM863" s="273"/>
      <c r="KN863" s="273"/>
      <c r="KO863" s="273"/>
      <c r="KP863" s="273"/>
      <c r="KQ863" s="273"/>
      <c r="KR863" s="273"/>
      <c r="KS863" s="273"/>
      <c r="KT863" s="273"/>
      <c r="KU863" s="273"/>
      <c r="KV863" s="273"/>
      <c r="KW863" s="273"/>
      <c r="KX863" s="273"/>
      <c r="KY863" s="273"/>
      <c r="KZ863" s="273"/>
      <c r="LA863" s="273"/>
      <c r="LB863" s="273"/>
      <c r="LC863" s="273"/>
      <c r="LD863" s="273"/>
      <c r="LE863" s="273"/>
      <c r="LF863" s="273"/>
      <c r="LG863" s="273"/>
      <c r="LH863" s="273"/>
      <c r="LI863" s="273"/>
      <c r="LJ863" s="273"/>
      <c r="LK863" s="273"/>
      <c r="LL863" s="273"/>
      <c r="LM863" s="273"/>
      <c r="LN863" s="273"/>
      <c r="LO863" s="273"/>
      <c r="LP863" s="273"/>
      <c r="LQ863" s="273"/>
      <c r="LR863" s="273"/>
      <c r="LS863" s="273"/>
      <c r="LT863" s="273"/>
      <c r="LU863" s="273"/>
      <c r="LV863" s="273"/>
      <c r="LW863" s="273"/>
      <c r="LX863" s="273"/>
      <c r="LY863" s="273"/>
      <c r="LZ863" s="273"/>
      <c r="MA863" s="273"/>
      <c r="MB863" s="273"/>
      <c r="MC863" s="273"/>
      <c r="MD863" s="273"/>
      <c r="ME863" s="273"/>
      <c r="MF863" s="273"/>
      <c r="MG863" s="273"/>
      <c r="MH863" s="273"/>
      <c r="MI863" s="273"/>
      <c r="MJ863" s="273"/>
      <c r="MK863" s="273"/>
      <c r="ML863" s="273"/>
      <c r="MM863" s="273"/>
      <c r="MN863" s="273"/>
      <c r="MO863" s="273"/>
      <c r="MP863" s="273"/>
      <c r="MQ863" s="273"/>
      <c r="MR863" s="273"/>
      <c r="MS863" s="273"/>
      <c r="MT863" s="273"/>
      <c r="MU863" s="273"/>
      <c r="MV863" s="273"/>
      <c r="MW863" s="273"/>
      <c r="MX863" s="273"/>
      <c r="MY863" s="273"/>
      <c r="MZ863" s="273"/>
      <c r="NA863" s="273"/>
      <c r="NB863" s="273"/>
      <c r="NC863" s="273"/>
      <c r="ND863" s="273"/>
      <c r="NE863" s="273"/>
      <c r="NF863" s="273"/>
      <c r="NG863" s="273"/>
      <c r="NH863" s="273"/>
      <c r="NI863" s="273"/>
      <c r="NJ863" s="273"/>
      <c r="NK863" s="273"/>
      <c r="NL863" s="273"/>
      <c r="NM863" s="273"/>
      <c r="NN863" s="273"/>
      <c r="NO863" s="273"/>
      <c r="NP863" s="273"/>
      <c r="NQ863" s="273"/>
      <c r="NR863" s="273"/>
      <c r="NS863" s="273"/>
      <c r="NT863" s="273"/>
      <c r="NU863" s="273"/>
      <c r="NV863" s="273"/>
      <c r="NW863" s="273"/>
      <c r="NX863" s="273"/>
      <c r="NY863" s="273"/>
      <c r="NZ863" s="273"/>
      <c r="OA863" s="273"/>
      <c r="OB863" s="273"/>
      <c r="OC863" s="273"/>
      <c r="OD863" s="273"/>
      <c r="OE863" s="273"/>
      <c r="OF863" s="273"/>
      <c r="OG863" s="273"/>
      <c r="OH863" s="273"/>
      <c r="OI863" s="273"/>
      <c r="OJ863" s="273"/>
      <c r="OK863" s="273"/>
      <c r="OL863" s="273"/>
      <c r="OM863" s="273"/>
      <c r="ON863" s="273"/>
      <c r="OO863" s="273"/>
      <c r="OP863" s="273"/>
      <c r="OQ863" s="273"/>
      <c r="OR863" s="273"/>
      <c r="OS863" s="273"/>
      <c r="OT863" s="273"/>
      <c r="OU863" s="273"/>
      <c r="OV863" s="273"/>
      <c r="OW863" s="273"/>
      <c r="OX863" s="273"/>
      <c r="OY863" s="273"/>
      <c r="OZ863" s="273"/>
      <c r="PA863" s="273"/>
      <c r="PB863" s="273"/>
      <c r="PC863" s="273"/>
      <c r="PD863" s="273"/>
      <c r="PE863" s="273"/>
      <c r="PF863" s="273"/>
      <c r="PG863" s="273"/>
      <c r="PH863" s="273"/>
      <c r="PI863" s="273"/>
      <c r="PJ863" s="273"/>
      <c r="PK863" s="273"/>
      <c r="PL863" s="273"/>
      <c r="PM863" s="273"/>
      <c r="PN863" s="273"/>
      <c r="PO863" s="273"/>
      <c r="PP863" s="273"/>
      <c r="PQ863" s="273"/>
      <c r="PR863" s="273"/>
      <c r="PS863" s="273"/>
      <c r="PT863" s="273"/>
      <c r="PU863" s="273"/>
      <c r="PV863" s="273"/>
      <c r="PW863" s="273"/>
      <c r="PX863" s="273"/>
      <c r="PY863" s="273"/>
      <c r="PZ863" s="273"/>
      <c r="QA863" s="273"/>
      <c r="QB863" s="273"/>
      <c r="QC863" s="273"/>
      <c r="QD863" s="273"/>
      <c r="QE863" s="273"/>
      <c r="QF863" s="273"/>
      <c r="QG863" s="273"/>
      <c r="QH863" s="273"/>
      <c r="QI863" s="273"/>
      <c r="QJ863" s="273"/>
      <c r="QK863" s="273"/>
      <c r="QL863" s="273"/>
      <c r="QM863" s="273"/>
      <c r="QN863" s="273"/>
      <c r="QO863" s="273"/>
      <c r="QP863" s="273"/>
      <c r="QQ863" s="273"/>
      <c r="QR863" s="273"/>
      <c r="QS863" s="273"/>
      <c r="QT863" s="273"/>
      <c r="QU863" s="273"/>
      <c r="QV863" s="273"/>
      <c r="QW863" s="273"/>
      <c r="QX863" s="273"/>
      <c r="QY863" s="273"/>
      <c r="QZ863" s="273"/>
      <c r="RA863" s="273"/>
      <c r="RB863" s="273"/>
      <c r="RC863" s="273"/>
      <c r="RD863" s="273"/>
      <c r="RE863" s="273"/>
      <c r="RF863" s="273"/>
      <c r="RG863" s="273"/>
      <c r="RH863" s="273"/>
      <c r="RI863" s="273"/>
      <c r="RJ863" s="273"/>
      <c r="RK863" s="273"/>
      <c r="RL863" s="273"/>
      <c r="RM863" s="273"/>
      <c r="RN863" s="273"/>
      <c r="RO863" s="273"/>
      <c r="RP863" s="273"/>
      <c r="RQ863" s="273"/>
      <c r="RR863" s="273"/>
      <c r="RS863" s="273"/>
      <c r="RT863" s="273"/>
      <c r="RU863" s="273"/>
      <c r="RV863" s="273"/>
      <c r="RW863" s="273"/>
      <c r="RX863" s="273"/>
      <c r="RY863" s="273"/>
      <c r="RZ863" s="273"/>
      <c r="SA863" s="273"/>
      <c r="SB863" s="273"/>
      <c r="SC863" s="273"/>
      <c r="SD863" s="273"/>
      <c r="SE863" s="273"/>
      <c r="SF863" s="273"/>
      <c r="SG863" s="273"/>
      <c r="SH863" s="273"/>
      <c r="SI863" s="273"/>
      <c r="SJ863" s="273"/>
      <c r="SK863" s="273"/>
      <c r="SL863" s="273"/>
      <c r="SM863" s="273"/>
      <c r="SN863" s="273"/>
      <c r="SO863" s="273"/>
      <c r="SP863" s="273"/>
      <c r="SQ863" s="273"/>
      <c r="SR863" s="273"/>
      <c r="SS863" s="273"/>
      <c r="ST863" s="273"/>
      <c r="SU863" s="273"/>
      <c r="SV863" s="273"/>
      <c r="SW863" s="273"/>
      <c r="SX863" s="273"/>
      <c r="SY863" s="273"/>
      <c r="SZ863" s="273"/>
      <c r="TA863" s="273"/>
      <c r="TB863" s="273"/>
      <c r="TC863" s="273"/>
      <c r="TD863" s="273"/>
      <c r="TE863" s="273"/>
      <c r="TF863" s="273"/>
      <c r="TG863" s="273"/>
      <c r="TH863" s="273"/>
      <c r="TI863" s="273"/>
      <c r="TJ863" s="273"/>
      <c r="TK863" s="273"/>
      <c r="TL863" s="273"/>
      <c r="TM863" s="273"/>
      <c r="TN863" s="273"/>
      <c r="TO863" s="273"/>
      <c r="TP863" s="273"/>
      <c r="TQ863" s="273"/>
      <c r="TR863" s="273"/>
      <c r="TS863" s="273"/>
      <c r="TT863" s="273"/>
      <c r="TU863" s="273"/>
      <c r="TV863" s="273"/>
      <c r="TW863" s="273"/>
      <c r="TX863" s="273"/>
      <c r="TY863" s="273"/>
      <c r="TZ863" s="273"/>
      <c r="UA863" s="273"/>
      <c r="UB863" s="273"/>
      <c r="UC863" s="273"/>
      <c r="UD863" s="273"/>
      <c r="UE863" s="273"/>
      <c r="UF863" s="273"/>
      <c r="UG863" s="273"/>
      <c r="UH863" s="273"/>
      <c r="UI863" s="273"/>
      <c r="UJ863" s="273"/>
      <c r="UK863" s="273"/>
      <c r="UL863" s="273"/>
      <c r="UM863" s="273"/>
      <c r="UN863" s="273"/>
      <c r="UO863" s="273"/>
      <c r="UP863" s="273"/>
      <c r="UQ863" s="273"/>
      <c r="UR863" s="273"/>
      <c r="US863" s="273"/>
      <c r="UT863" s="273"/>
      <c r="UU863" s="273"/>
      <c r="UV863" s="273"/>
      <c r="UW863" s="273"/>
      <c r="UX863" s="273"/>
      <c r="UY863" s="273"/>
      <c r="UZ863" s="273"/>
      <c r="VA863" s="273"/>
      <c r="VB863" s="273"/>
      <c r="VC863" s="273"/>
      <c r="VD863" s="273"/>
      <c r="VE863" s="273"/>
      <c r="VF863" s="273"/>
      <c r="VG863" s="273"/>
      <c r="VH863" s="273"/>
      <c r="VI863" s="273"/>
      <c r="VJ863" s="273"/>
      <c r="VK863" s="273"/>
      <c r="VL863" s="273"/>
      <c r="VM863" s="273"/>
      <c r="VN863" s="273"/>
      <c r="VO863" s="273"/>
      <c r="VP863" s="273"/>
      <c r="VQ863" s="273"/>
      <c r="VR863" s="273"/>
      <c r="VS863" s="273"/>
      <c r="VT863" s="273"/>
      <c r="VU863" s="273"/>
      <c r="VV863" s="273"/>
      <c r="VW863" s="273"/>
      <c r="VX863" s="273"/>
      <c r="VY863" s="273"/>
      <c r="VZ863" s="273"/>
      <c r="WA863" s="273"/>
      <c r="WB863" s="273"/>
      <c r="WC863" s="273"/>
      <c r="WD863" s="273"/>
      <c r="WE863" s="273"/>
      <c r="WF863" s="273"/>
      <c r="WG863" s="273"/>
      <c r="WH863" s="273"/>
      <c r="WI863" s="273"/>
      <c r="WJ863" s="273"/>
      <c r="WK863" s="273"/>
      <c r="WL863" s="273"/>
      <c r="WM863" s="273"/>
      <c r="WN863" s="273"/>
      <c r="WO863" s="273"/>
      <c r="WP863" s="273"/>
      <c r="WQ863" s="273"/>
      <c r="WR863" s="273"/>
      <c r="WS863" s="273"/>
      <c r="WT863" s="273"/>
      <c r="WU863" s="273"/>
      <c r="WV863" s="273"/>
      <c r="WW863" s="273"/>
      <c r="WX863" s="273"/>
      <c r="WY863" s="273"/>
      <c r="WZ863" s="273"/>
      <c r="XA863" s="273"/>
      <c r="XB863" s="273"/>
      <c r="XC863" s="273"/>
      <c r="XD863" s="273"/>
      <c r="XE863" s="273"/>
      <c r="XF863" s="273"/>
      <c r="XG863" s="273"/>
      <c r="XH863" s="273"/>
      <c r="XI863" s="273"/>
      <c r="XJ863" s="273"/>
      <c r="XK863" s="273"/>
      <c r="XL863" s="273"/>
      <c r="XM863" s="273"/>
      <c r="XN863" s="273"/>
      <c r="XO863" s="273"/>
      <c r="XP863" s="273"/>
      <c r="XQ863" s="273"/>
      <c r="XR863" s="273"/>
      <c r="XS863" s="273"/>
      <c r="XT863" s="273"/>
      <c r="XU863" s="273"/>
      <c r="XV863" s="273"/>
      <c r="XW863" s="273"/>
      <c r="XX863" s="273"/>
      <c r="XY863" s="273"/>
      <c r="XZ863" s="273"/>
      <c r="YA863" s="273"/>
      <c r="YB863" s="273"/>
      <c r="YC863" s="273"/>
      <c r="YD863" s="273"/>
      <c r="YE863" s="273"/>
      <c r="YF863" s="273"/>
      <c r="YG863" s="273"/>
      <c r="YH863" s="273"/>
      <c r="YI863" s="273"/>
      <c r="YJ863" s="273"/>
      <c r="YK863" s="273"/>
      <c r="YL863" s="273"/>
      <c r="YM863" s="273"/>
      <c r="YN863" s="273"/>
      <c r="YO863" s="273"/>
      <c r="YP863" s="273"/>
      <c r="YQ863" s="273"/>
      <c r="YR863" s="273"/>
      <c r="YS863" s="273"/>
      <c r="YT863" s="273"/>
      <c r="YU863" s="273"/>
      <c r="YV863" s="273"/>
      <c r="YW863" s="273"/>
      <c r="YX863" s="273"/>
      <c r="YY863" s="273"/>
      <c r="YZ863" s="273"/>
      <c r="ZA863" s="273"/>
      <c r="ZB863" s="273"/>
      <c r="ZC863" s="273"/>
      <c r="ZD863" s="273"/>
      <c r="ZE863" s="273"/>
      <c r="ZF863" s="273"/>
      <c r="ZG863" s="273"/>
      <c r="ZH863" s="273"/>
      <c r="ZI863" s="273"/>
      <c r="ZJ863" s="273"/>
      <c r="ZK863" s="273"/>
      <c r="ZL863" s="273"/>
      <c r="ZM863" s="273"/>
      <c r="ZN863" s="273"/>
      <c r="ZO863" s="273"/>
      <c r="ZP863" s="273"/>
      <c r="ZQ863" s="273"/>
      <c r="ZR863" s="273"/>
      <c r="ZS863" s="273"/>
      <c r="ZT863" s="273"/>
      <c r="ZU863" s="273"/>
      <c r="ZV863" s="273"/>
      <c r="ZW863" s="273"/>
      <c r="ZX863" s="273"/>
      <c r="ZY863" s="273"/>
      <c r="ZZ863" s="273"/>
      <c r="AAA863" s="273"/>
      <c r="AAB863" s="273"/>
      <c r="AAC863" s="273"/>
      <c r="AAD863" s="273"/>
      <c r="AAE863" s="273"/>
      <c r="AAF863" s="273"/>
      <c r="AAG863" s="273"/>
      <c r="AAH863" s="273"/>
      <c r="AAI863" s="273"/>
      <c r="AAJ863" s="273"/>
      <c r="AAK863" s="273"/>
      <c r="AAL863" s="273"/>
      <c r="AAM863" s="273"/>
      <c r="AAN863" s="273"/>
      <c r="AAO863" s="273"/>
      <c r="AAP863" s="273"/>
      <c r="AAQ863" s="273"/>
      <c r="AAR863" s="273"/>
      <c r="AAS863" s="273"/>
      <c r="AAT863" s="273"/>
      <c r="AAU863" s="273"/>
      <c r="AAV863" s="273"/>
      <c r="AAW863" s="273"/>
      <c r="AAX863" s="273"/>
      <c r="AAY863" s="273"/>
      <c r="AAZ863" s="273"/>
      <c r="ABA863" s="273"/>
      <c r="ABB863" s="273"/>
      <c r="ABC863" s="273"/>
      <c r="ABD863" s="273"/>
      <c r="ABE863" s="273"/>
      <c r="ABF863" s="273"/>
      <c r="ABG863" s="273"/>
      <c r="ABH863" s="273"/>
      <c r="ABI863" s="273"/>
      <c r="ABJ863" s="273"/>
      <c r="ABK863" s="273"/>
      <c r="ABL863" s="273"/>
      <c r="ABM863" s="273"/>
      <c r="ABN863" s="273"/>
      <c r="ABO863" s="273"/>
      <c r="ABP863" s="273"/>
      <c r="ABQ863" s="273"/>
      <c r="ABR863" s="273"/>
      <c r="ABS863" s="273"/>
      <c r="ABT863" s="273"/>
      <c r="ABU863" s="273"/>
      <c r="ABV863" s="273"/>
      <c r="ABW863" s="273"/>
      <c r="ABX863" s="273"/>
      <c r="ABY863" s="273"/>
      <c r="ABZ863" s="273"/>
      <c r="ACA863" s="273"/>
      <c r="ACB863" s="273"/>
      <c r="ACC863" s="273"/>
      <c r="ACD863" s="273"/>
      <c r="ACE863" s="273"/>
      <c r="ACF863" s="273"/>
      <c r="ACG863" s="273"/>
      <c r="ACH863" s="273"/>
      <c r="ACI863" s="273"/>
      <c r="ACJ863" s="273"/>
      <c r="ACK863" s="273"/>
      <c r="ACL863" s="273"/>
      <c r="ACM863" s="273"/>
      <c r="ACN863" s="273"/>
      <c r="ACO863" s="273"/>
      <c r="ACP863" s="273"/>
      <c r="ACQ863" s="273"/>
      <c r="ACR863" s="273"/>
      <c r="ACS863" s="273"/>
      <c r="ACT863" s="273"/>
      <c r="ACU863" s="273"/>
      <c r="ACV863" s="273"/>
      <c r="ACW863" s="273"/>
      <c r="ACX863" s="273"/>
      <c r="ACY863" s="273"/>
      <c r="ACZ863" s="273"/>
      <c r="ADA863" s="273"/>
      <c r="ADB863" s="273"/>
      <c r="ADC863" s="273"/>
      <c r="ADD863" s="273"/>
      <c r="ADE863" s="273"/>
      <c r="ADF863" s="273"/>
      <c r="ADG863" s="273"/>
      <c r="ADH863" s="273"/>
      <c r="ADI863" s="273"/>
      <c r="ADJ863" s="273"/>
      <c r="ADK863" s="273"/>
      <c r="ADL863" s="273"/>
      <c r="ADM863" s="273"/>
      <c r="ADN863" s="273"/>
      <c r="ADO863" s="273"/>
      <c r="ADP863" s="273"/>
      <c r="ADQ863" s="273"/>
      <c r="ADR863" s="273"/>
      <c r="ADS863" s="273"/>
      <c r="ADT863" s="273"/>
      <c r="ADU863" s="273"/>
      <c r="ADV863" s="273"/>
      <c r="ADW863" s="273"/>
      <c r="ADX863" s="273"/>
      <c r="ADY863" s="273"/>
      <c r="ADZ863" s="273"/>
      <c r="AEA863" s="273"/>
      <c r="AEB863" s="273"/>
      <c r="AEC863" s="273"/>
      <c r="AED863" s="273"/>
      <c r="AEE863" s="273"/>
      <c r="AEF863" s="273"/>
      <c r="AEG863" s="273"/>
      <c r="AEH863" s="273"/>
      <c r="AEI863" s="273"/>
      <c r="AEJ863" s="273"/>
      <c r="AEK863" s="273"/>
      <c r="AEL863" s="273"/>
      <c r="AEM863" s="273"/>
      <c r="AEN863" s="273"/>
      <c r="AEO863" s="273"/>
      <c r="AEP863" s="273"/>
      <c r="AEQ863" s="273"/>
      <c r="AER863" s="273"/>
      <c r="AES863" s="273"/>
      <c r="AET863" s="273"/>
      <c r="AEU863" s="273"/>
      <c r="AEV863" s="273"/>
      <c r="AEW863" s="273"/>
      <c r="AEX863" s="273"/>
      <c r="AEY863" s="273"/>
      <c r="AEZ863" s="273"/>
      <c r="AFA863" s="273"/>
      <c r="AFB863" s="273"/>
      <c r="AFC863" s="273"/>
      <c r="AFD863" s="273"/>
      <c r="AFE863" s="273"/>
      <c r="AFF863" s="273"/>
      <c r="AFG863" s="273"/>
      <c r="AFH863" s="273"/>
      <c r="AFI863" s="273"/>
      <c r="AFJ863" s="273"/>
      <c r="AFK863" s="273"/>
      <c r="AFL863" s="273"/>
      <c r="AFM863" s="273"/>
      <c r="AFN863" s="273"/>
      <c r="AFO863" s="273"/>
      <c r="AFP863" s="273"/>
      <c r="AFQ863" s="273"/>
      <c r="AFR863" s="273"/>
      <c r="AFS863" s="273"/>
      <c r="AFT863" s="273"/>
      <c r="AFU863" s="273"/>
      <c r="AFV863" s="273"/>
      <c r="AFW863" s="273"/>
      <c r="AFX863" s="273"/>
      <c r="AFY863" s="273"/>
      <c r="AFZ863" s="273"/>
      <c r="AGA863" s="273"/>
      <c r="AGB863" s="273"/>
      <c r="AGC863" s="273"/>
      <c r="AGD863" s="273"/>
      <c r="AGE863" s="273"/>
      <c r="AGF863" s="273"/>
      <c r="AGG863" s="273"/>
      <c r="AGH863" s="273"/>
      <c r="AGI863" s="273"/>
      <c r="AGJ863" s="273"/>
      <c r="AGK863" s="273"/>
      <c r="AGL863" s="273"/>
      <c r="AGM863" s="273"/>
      <c r="AGN863" s="273"/>
      <c r="AGO863" s="273"/>
      <c r="AGP863" s="273"/>
      <c r="AGQ863" s="273"/>
      <c r="AGR863" s="273"/>
      <c r="AGS863" s="273"/>
      <c r="AGT863" s="273"/>
      <c r="AGU863" s="273"/>
      <c r="AGV863" s="273"/>
      <c r="AGW863" s="273"/>
      <c r="AGX863" s="273"/>
      <c r="AGY863" s="273"/>
      <c r="AGZ863" s="273"/>
      <c r="AHA863" s="273"/>
      <c r="AHB863" s="273"/>
      <c r="AHC863" s="273"/>
      <c r="AHD863" s="273"/>
      <c r="AHE863" s="273"/>
      <c r="AHF863" s="273"/>
      <c r="AHG863" s="273"/>
      <c r="AHH863" s="273"/>
      <c r="AHI863" s="273"/>
      <c r="AHJ863" s="273"/>
      <c r="AHK863" s="273"/>
      <c r="AHL863" s="273"/>
      <c r="AHM863" s="273"/>
      <c r="AHN863" s="273"/>
      <c r="AHO863" s="273"/>
      <c r="AHP863" s="273"/>
      <c r="AHQ863" s="273"/>
      <c r="AHR863" s="273"/>
      <c r="AHS863" s="273"/>
      <c r="AHT863" s="273"/>
      <c r="AHU863" s="273"/>
      <c r="AHV863" s="273"/>
      <c r="AHW863" s="273"/>
      <c r="AHX863" s="273"/>
      <c r="AHY863" s="273"/>
      <c r="AHZ863" s="273"/>
      <c r="AIA863" s="273"/>
      <c r="AIB863" s="273"/>
      <c r="AIC863" s="273"/>
      <c r="AID863" s="273"/>
      <c r="AIE863" s="273"/>
      <c r="AIF863" s="273"/>
      <c r="AIG863" s="273"/>
      <c r="AIH863" s="273"/>
      <c r="AII863" s="273"/>
      <c r="AIJ863" s="273"/>
      <c r="AIK863" s="273"/>
      <c r="AIL863" s="273"/>
      <c r="AIM863" s="273"/>
      <c r="AIN863" s="273"/>
      <c r="AIO863" s="273"/>
      <c r="AIP863" s="273"/>
      <c r="AIQ863" s="273"/>
      <c r="AIR863" s="273"/>
      <c r="AIS863" s="273"/>
      <c r="AIT863" s="273"/>
      <c r="AIU863" s="273"/>
      <c r="AIV863" s="273"/>
      <c r="AIW863" s="273"/>
      <c r="AIX863" s="273"/>
      <c r="AIY863" s="273"/>
      <c r="AIZ863" s="273"/>
      <c r="AJA863" s="273"/>
      <c r="AJB863" s="273"/>
      <c r="AJC863" s="273"/>
      <c r="AJD863" s="273"/>
      <c r="AJE863" s="273"/>
      <c r="AJF863" s="273"/>
      <c r="AJG863" s="273"/>
      <c r="AJH863" s="273"/>
      <c r="AJI863" s="273"/>
      <c r="AJJ863" s="273"/>
      <c r="AJK863" s="273"/>
      <c r="AJL863" s="273"/>
      <c r="AJM863" s="273"/>
      <c r="AJN863" s="273"/>
      <c r="AJO863" s="273"/>
      <c r="AJP863" s="273"/>
      <c r="AJQ863" s="273"/>
      <c r="AJR863" s="273"/>
      <c r="AJS863" s="273"/>
      <c r="AJT863" s="273"/>
      <c r="AJU863" s="273"/>
      <c r="AJV863" s="273"/>
      <c r="AJW863" s="273"/>
      <c r="AJX863" s="273"/>
      <c r="AJY863" s="273"/>
      <c r="AJZ863" s="273"/>
      <c r="AKA863" s="273"/>
      <c r="AKB863" s="273"/>
      <c r="AKC863" s="273"/>
      <c r="AKD863" s="273"/>
      <c r="AKE863" s="273"/>
      <c r="AKF863" s="273"/>
      <c r="AKG863" s="273"/>
      <c r="AKH863" s="273"/>
      <c r="AKI863" s="273"/>
      <c r="AKJ863" s="273"/>
      <c r="AKK863" s="273"/>
      <c r="AKL863" s="273"/>
      <c r="AKM863" s="273"/>
      <c r="AKN863" s="273"/>
      <c r="AKO863" s="273"/>
      <c r="AKP863" s="273"/>
      <c r="AKQ863" s="273"/>
      <c r="AKR863" s="273"/>
      <c r="AKS863" s="273"/>
      <c r="AKT863" s="273"/>
      <c r="AKU863" s="273"/>
      <c r="AKV863" s="273"/>
      <c r="AKW863" s="273"/>
      <c r="AKX863" s="273"/>
      <c r="AKY863" s="273"/>
      <c r="AKZ863" s="273"/>
      <c r="ALA863" s="273"/>
      <c r="ALB863" s="273"/>
      <c r="ALC863" s="273"/>
      <c r="ALD863" s="273"/>
      <c r="ALE863" s="273"/>
      <c r="ALF863" s="273"/>
      <c r="ALG863" s="273"/>
      <c r="ALH863" s="273"/>
      <c r="ALI863" s="273"/>
      <c r="ALJ863" s="273"/>
      <c r="ALK863" s="273"/>
      <c r="ALL863" s="273"/>
      <c r="ALM863" s="273"/>
      <c r="ALN863" s="273"/>
      <c r="ALO863" s="273"/>
      <c r="ALP863" s="273"/>
      <c r="ALQ863" s="273"/>
      <c r="ALR863" s="273"/>
      <c r="ALS863" s="273"/>
      <c r="ALT863" s="273"/>
      <c r="ALU863" s="273"/>
      <c r="ALV863" s="273"/>
      <c r="ALW863" s="273"/>
      <c r="ALX863" s="273"/>
      <c r="ALY863" s="273"/>
      <c r="ALZ863" s="273"/>
      <c r="AMA863" s="273"/>
      <c r="AMB863" s="273"/>
      <c r="AMC863" s="273"/>
      <c r="AMD863" s="273"/>
      <c r="AME863" s="273"/>
      <c r="AMF863" s="273"/>
      <c r="AMG863" s="273"/>
      <c r="AMH863" s="273"/>
      <c r="AMI863" s="273"/>
      <c r="AMJ863" s="273"/>
      <c r="AMK863" s="273"/>
      <c r="AML863" s="273"/>
      <c r="AMM863" s="273"/>
      <c r="AMN863" s="273"/>
      <c r="AMO863" s="273"/>
      <c r="AMP863" s="273"/>
      <c r="AMQ863" s="273"/>
      <c r="AMR863" s="273"/>
      <c r="AMS863" s="273"/>
      <c r="AMT863" s="273"/>
      <c r="AMU863" s="273"/>
      <c r="AMV863" s="273"/>
      <c r="AMW863" s="273"/>
      <c r="AMX863" s="273"/>
      <c r="AMY863" s="273"/>
      <c r="AMZ863" s="273"/>
      <c r="ANA863" s="273"/>
      <c r="ANB863" s="273"/>
      <c r="ANC863" s="273"/>
      <c r="AND863" s="273"/>
      <c r="ANE863" s="273"/>
      <c r="ANF863" s="273"/>
      <c r="ANG863" s="273"/>
      <c r="ANH863" s="273"/>
      <c r="ANI863" s="273"/>
      <c r="ANJ863" s="273"/>
      <c r="ANK863" s="273"/>
      <c r="ANL863" s="273"/>
      <c r="ANM863" s="273"/>
      <c r="ANN863" s="273"/>
      <c r="ANO863" s="273"/>
      <c r="ANP863" s="273"/>
      <c r="ANQ863" s="273"/>
      <c r="ANR863" s="273"/>
      <c r="ANS863" s="273"/>
      <c r="ANT863" s="273"/>
      <c r="ANU863" s="273"/>
      <c r="ANV863" s="273"/>
      <c r="ANW863" s="273"/>
      <c r="ANX863" s="273"/>
      <c r="ANY863" s="273"/>
      <c r="ANZ863" s="273"/>
      <c r="AOA863" s="273"/>
      <c r="AOB863" s="273"/>
      <c r="AOC863" s="273"/>
      <c r="AOD863" s="273"/>
      <c r="AOE863" s="273"/>
      <c r="AOF863" s="273"/>
      <c r="AOG863" s="273"/>
      <c r="AOH863" s="273"/>
      <c r="AOI863" s="273"/>
      <c r="AOJ863" s="273"/>
      <c r="AOK863" s="273"/>
      <c r="AOL863" s="273"/>
      <c r="AOM863" s="273"/>
      <c r="AON863" s="273"/>
      <c r="AOO863" s="273"/>
      <c r="AOP863" s="273"/>
      <c r="AOQ863" s="273"/>
      <c r="AOR863" s="273"/>
      <c r="AOS863" s="273"/>
      <c r="AOT863" s="273"/>
      <c r="AOU863" s="273"/>
      <c r="AOV863" s="273"/>
      <c r="AOW863" s="273"/>
      <c r="AOX863" s="273"/>
      <c r="AOY863" s="273"/>
      <c r="AOZ863" s="273"/>
      <c r="APA863" s="273"/>
      <c r="APB863" s="273"/>
      <c r="APC863" s="273"/>
      <c r="APD863" s="273"/>
      <c r="APE863" s="273"/>
      <c r="APF863" s="273"/>
      <c r="APG863" s="273"/>
      <c r="APH863" s="273"/>
      <c r="API863" s="273"/>
      <c r="APJ863" s="273"/>
      <c r="APK863" s="273"/>
      <c r="APL863" s="273"/>
      <c r="APM863" s="273"/>
      <c r="APN863" s="273"/>
      <c r="APO863" s="273"/>
      <c r="APP863" s="273"/>
      <c r="APQ863" s="273"/>
      <c r="APR863" s="273"/>
      <c r="APS863" s="273"/>
      <c r="APT863" s="273"/>
      <c r="APU863" s="273"/>
      <c r="APV863" s="273"/>
      <c r="APW863" s="273"/>
      <c r="APX863" s="273"/>
      <c r="APY863" s="273"/>
      <c r="APZ863" s="273"/>
      <c r="AQA863" s="273"/>
      <c r="AQB863" s="273"/>
      <c r="AQC863" s="273"/>
      <c r="AQD863" s="273"/>
      <c r="AQE863" s="273"/>
      <c r="AQF863" s="273"/>
      <c r="AQG863" s="273"/>
      <c r="AQH863" s="273"/>
      <c r="AQI863" s="273"/>
      <c r="AQJ863" s="273"/>
      <c r="AQK863" s="273"/>
      <c r="AQL863" s="273"/>
      <c r="AQM863" s="273"/>
      <c r="AQN863" s="273"/>
      <c r="AQO863" s="273"/>
      <c r="AQP863" s="273"/>
      <c r="AQQ863" s="273"/>
      <c r="AQR863" s="273"/>
      <c r="AQS863" s="273"/>
      <c r="AQT863" s="273"/>
      <c r="AQU863" s="273"/>
      <c r="AQV863" s="273"/>
      <c r="AQW863" s="273"/>
      <c r="AQX863" s="273"/>
      <c r="AQY863" s="273"/>
      <c r="AQZ863" s="273"/>
      <c r="ARA863" s="273"/>
      <c r="ARB863" s="273"/>
      <c r="ARC863" s="273"/>
      <c r="ARD863" s="273"/>
      <c r="ARE863" s="273"/>
      <c r="ARF863" s="273"/>
      <c r="ARG863" s="273"/>
      <c r="ARH863" s="273"/>
      <c r="ARI863" s="273"/>
      <c r="ARJ863" s="273"/>
      <c r="ARK863" s="273"/>
      <c r="ARL863" s="273"/>
      <c r="ARM863" s="273"/>
      <c r="ARN863" s="273"/>
      <c r="ARO863" s="273"/>
      <c r="ARP863" s="273"/>
      <c r="ARQ863" s="273"/>
      <c r="ARR863" s="273"/>
      <c r="ARS863" s="273"/>
      <c r="ART863" s="273"/>
      <c r="ARU863" s="273"/>
      <c r="ARV863" s="273"/>
      <c r="ARW863" s="273"/>
      <c r="ARX863" s="273"/>
      <c r="ARY863" s="273"/>
      <c r="ARZ863" s="273"/>
      <c r="ASA863" s="273"/>
      <c r="ASB863" s="273"/>
      <c r="ASC863" s="273"/>
      <c r="ASD863" s="273"/>
      <c r="ASE863" s="273"/>
      <c r="ASF863" s="273"/>
      <c r="ASG863" s="273"/>
      <c r="ASH863" s="273"/>
      <c r="ASI863" s="273"/>
      <c r="ASJ863" s="273"/>
      <c r="ASK863" s="273"/>
      <c r="ASL863" s="273"/>
      <c r="ASM863" s="273"/>
      <c r="ASN863" s="273"/>
      <c r="ASO863" s="273"/>
      <c r="ASP863" s="273"/>
      <c r="ASQ863" s="273"/>
      <c r="ASR863" s="273"/>
      <c r="ASS863" s="273"/>
      <c r="AST863" s="273"/>
      <c r="ASU863" s="273"/>
      <c r="ASV863" s="273"/>
      <c r="ASW863" s="273"/>
      <c r="ASX863" s="273"/>
      <c r="ASY863" s="273"/>
      <c r="ASZ863" s="273"/>
      <c r="ATA863" s="273"/>
      <c r="ATB863" s="273"/>
      <c r="ATC863" s="273"/>
    </row>
    <row r="864" spans="1:1199" ht="50.1" customHeight="1" outlineLevel="2" x14ac:dyDescent="0.3">
      <c r="A864" s="103" t="s">
        <v>755</v>
      </c>
      <c r="B864" s="102" t="s">
        <v>756</v>
      </c>
      <c r="C864" s="79" t="s">
        <v>37</v>
      </c>
      <c r="D864" s="81">
        <f t="shared" ref="D864" si="202">E864+F864</f>
        <v>280.08933000000002</v>
      </c>
      <c r="E864" s="82">
        <f t="shared" si="196"/>
        <v>124.74697</v>
      </c>
      <c r="F864" s="83">
        <f t="shared" si="197"/>
        <v>155.34235999999999</v>
      </c>
      <c r="G864" s="84"/>
      <c r="H864" s="85"/>
      <c r="I864" s="85"/>
      <c r="J864" s="84"/>
      <c r="K864" s="85"/>
      <c r="L864" s="85"/>
      <c r="M864" s="85"/>
      <c r="N864" s="85"/>
      <c r="O864" s="82"/>
      <c r="P864" s="83"/>
      <c r="Q864" s="83"/>
      <c r="R864" s="83"/>
      <c r="S864" s="82"/>
      <c r="T864" s="83"/>
      <c r="U864" s="83"/>
      <c r="V864" s="84"/>
      <c r="W864" s="85"/>
      <c r="X864" s="87"/>
      <c r="Y864" s="83"/>
      <c r="Z864" s="84"/>
      <c r="AA864" s="85"/>
      <c r="AB864" s="84"/>
      <c r="AC864" s="85"/>
      <c r="AD864" s="89">
        <f t="shared" si="198"/>
        <v>42.373800000000003</v>
      </c>
      <c r="AE864" s="89">
        <v>42.373800000000003</v>
      </c>
      <c r="AF864" s="186"/>
      <c r="AG864" s="85"/>
      <c r="AH864" s="85"/>
      <c r="AI864" s="85"/>
      <c r="AJ864" s="84"/>
      <c r="AK864" s="85"/>
      <c r="AL864" s="84"/>
      <c r="AM864" s="88"/>
      <c r="AN864" s="84"/>
      <c r="AO864" s="85"/>
      <c r="AP864" s="84"/>
      <c r="AQ864" s="83"/>
      <c r="AR864" s="83"/>
      <c r="AS864" s="83"/>
      <c r="AT864" s="85"/>
      <c r="AU864" s="85"/>
      <c r="AV864" s="85"/>
      <c r="AW864" s="88"/>
      <c r="AX864" s="84"/>
      <c r="AY864" s="85"/>
      <c r="AZ864" s="84">
        <v>124.74697</v>
      </c>
      <c r="BA864" s="85">
        <v>112.96856</v>
      </c>
      <c r="BB864" s="88"/>
      <c r="BC864" s="85"/>
      <c r="BD864" s="84"/>
      <c r="BE864" s="88"/>
      <c r="BF864" s="85"/>
      <c r="BG864" s="85"/>
      <c r="BH864" s="85"/>
      <c r="BI864" s="85"/>
      <c r="BJ864" s="85"/>
      <c r="BK864" s="85"/>
      <c r="BL864" s="85"/>
      <c r="BM864" s="85"/>
      <c r="BN864" s="85"/>
      <c r="BO864" s="85"/>
      <c r="BP864" s="85"/>
      <c r="BQ864" s="85"/>
      <c r="BR864" s="84"/>
      <c r="BS864" s="85"/>
      <c r="BT864" s="85"/>
      <c r="BU864" s="198"/>
      <c r="BV864" s="90"/>
      <c r="BW864" s="198"/>
      <c r="BX864" s="90"/>
      <c r="BY864" s="198"/>
      <c r="BZ864" s="90"/>
      <c r="CA864" s="91"/>
    </row>
    <row r="865" spans="1:79" ht="50.1" customHeight="1" outlineLevel="2" x14ac:dyDescent="0.3">
      <c r="A865" s="106" t="s">
        <v>755</v>
      </c>
      <c r="B865" s="96" t="s">
        <v>757</v>
      </c>
      <c r="C865" s="79" t="s">
        <v>37</v>
      </c>
      <c r="D865" s="81">
        <f t="shared" ref="D865:D914" si="203">E865+F865</f>
        <v>7210.2269299999998</v>
      </c>
      <c r="E865" s="82">
        <f t="shared" si="196"/>
        <v>1469.7045000000001</v>
      </c>
      <c r="F865" s="83">
        <f t="shared" si="197"/>
        <v>5740.52243</v>
      </c>
      <c r="G865" s="84"/>
      <c r="H865" s="85"/>
      <c r="I865" s="85"/>
      <c r="J865" s="84"/>
      <c r="K865" s="85"/>
      <c r="L865" s="85"/>
      <c r="M865" s="85"/>
      <c r="N865" s="85"/>
      <c r="O865" s="82"/>
      <c r="P865" s="83"/>
      <c r="Q865" s="83"/>
      <c r="R865" s="83"/>
      <c r="S865" s="82"/>
      <c r="T865" s="83"/>
      <c r="U865" s="83"/>
      <c r="V865" s="84">
        <v>46.39</v>
      </c>
      <c r="W865" s="85">
        <v>81</v>
      </c>
      <c r="X865" s="87"/>
      <c r="Y865" s="83">
        <v>638.976</v>
      </c>
      <c r="Z865" s="84"/>
      <c r="AA865" s="85"/>
      <c r="AB865" s="84"/>
      <c r="AC865" s="85"/>
      <c r="AD865" s="89">
        <f t="shared" si="198"/>
        <v>592.03353000000004</v>
      </c>
      <c r="AE865" s="89">
        <f>282.492+42.982</f>
        <v>325.47400000000005</v>
      </c>
      <c r="AF865" s="186">
        <v>266.55953</v>
      </c>
      <c r="AG865" s="85"/>
      <c r="AH865" s="85"/>
      <c r="AI865" s="85"/>
      <c r="AJ865" s="84"/>
      <c r="AK865" s="85"/>
      <c r="AL865" s="84"/>
      <c r="AM865" s="88"/>
      <c r="AN865" s="84"/>
      <c r="AO865" s="85"/>
      <c r="AP865" s="84"/>
      <c r="AQ865" s="83"/>
      <c r="AR865" s="83"/>
      <c r="AS865" s="83"/>
      <c r="AT865" s="85"/>
      <c r="AU865" s="85"/>
      <c r="AV865" s="85">
        <v>2911.2380499999999</v>
      </c>
      <c r="AW865" s="88"/>
      <c r="AX865" s="84"/>
      <c r="AY865" s="85"/>
      <c r="AZ865" s="84">
        <v>1423.3145</v>
      </c>
      <c r="BA865" s="85">
        <v>1288.9265399999999</v>
      </c>
      <c r="BB865" s="88"/>
      <c r="BC865" s="85"/>
      <c r="BD865" s="84"/>
      <c r="BE865" s="88"/>
      <c r="BF865" s="85"/>
      <c r="BG865" s="85">
        <v>228.34831</v>
      </c>
      <c r="BH865" s="85"/>
      <c r="BI865" s="85"/>
      <c r="BJ865" s="85"/>
      <c r="BK865" s="85"/>
      <c r="BL865" s="85"/>
      <c r="BM865" s="85"/>
      <c r="BN865" s="85"/>
      <c r="BO865" s="85"/>
      <c r="BP865" s="85"/>
      <c r="BQ865" s="85"/>
      <c r="BR865" s="84"/>
      <c r="BS865" s="85"/>
      <c r="BT865" s="85"/>
      <c r="BU865" s="198"/>
      <c r="BV865" s="90"/>
      <c r="BW865" s="198"/>
      <c r="BX865" s="90"/>
      <c r="BY865" s="198"/>
      <c r="BZ865" s="90"/>
      <c r="CA865" s="91"/>
    </row>
    <row r="866" spans="1:79" ht="50.1" customHeight="1" outlineLevel="2" x14ac:dyDescent="0.3">
      <c r="A866" s="103" t="s">
        <v>755</v>
      </c>
      <c r="B866" s="102" t="s">
        <v>570</v>
      </c>
      <c r="C866" s="79" t="s">
        <v>37</v>
      </c>
      <c r="D866" s="81">
        <f t="shared" si="203"/>
        <v>64064.570480000002</v>
      </c>
      <c r="E866" s="82">
        <f t="shared" si="196"/>
        <v>11335.94752</v>
      </c>
      <c r="F866" s="83">
        <f t="shared" si="197"/>
        <v>52728.622960000001</v>
      </c>
      <c r="G866" s="84"/>
      <c r="H866" s="85"/>
      <c r="I866" s="85"/>
      <c r="J866" s="84"/>
      <c r="K866" s="85"/>
      <c r="L866" s="85"/>
      <c r="M866" s="85"/>
      <c r="N866" s="85"/>
      <c r="O866" s="82"/>
      <c r="P866" s="83"/>
      <c r="Q866" s="83"/>
      <c r="R866" s="83"/>
      <c r="S866" s="82"/>
      <c r="T866" s="83"/>
      <c r="U866" s="83"/>
      <c r="V866" s="84">
        <v>618.98450000000003</v>
      </c>
      <c r="W866" s="85">
        <v>1751.944</v>
      </c>
      <c r="X866" s="87"/>
      <c r="Y866" s="83">
        <v>2073.2399999999998</v>
      </c>
      <c r="Z866" s="84"/>
      <c r="AA866" s="85"/>
      <c r="AB866" s="84"/>
      <c r="AC866" s="85"/>
      <c r="AD866" s="89">
        <f t="shared" si="198"/>
        <v>2871.4268299999999</v>
      </c>
      <c r="AE866" s="89">
        <f>394.2675+282.492+85.964+64.473</f>
        <v>827.19650000000001</v>
      </c>
      <c r="AF866" s="186">
        <f>1147.42197+196.12928+227.64643+473.03265</f>
        <v>2044.2303299999999</v>
      </c>
      <c r="AG866" s="85"/>
      <c r="AH866" s="85"/>
      <c r="AI866" s="85"/>
      <c r="AJ866" s="84"/>
      <c r="AK866" s="85"/>
      <c r="AL866" s="84"/>
      <c r="AM866" s="88"/>
      <c r="AN866" s="84"/>
      <c r="AO866" s="85"/>
      <c r="AP866" s="84">
        <v>4305.5559000000003</v>
      </c>
      <c r="AQ866" s="83">
        <v>5847.0072700000001</v>
      </c>
      <c r="AR866" s="83"/>
      <c r="AS866" s="83"/>
      <c r="AT866" s="85"/>
      <c r="AU866" s="85">
        <v>18830</v>
      </c>
      <c r="AV866" s="85">
        <f>11546.44501</f>
        <v>11546.445009999999</v>
      </c>
      <c r="AW866" s="199"/>
      <c r="AX866" s="263"/>
      <c r="AY866" s="85"/>
      <c r="AZ866" s="84">
        <v>4130.0709500000003</v>
      </c>
      <c r="BA866" s="85">
        <v>3735.60392</v>
      </c>
      <c r="BB866" s="88">
        <v>324.12387999999999</v>
      </c>
      <c r="BC866" s="85"/>
      <c r="BD866" s="84">
        <v>2281.33617</v>
      </c>
      <c r="BE866" s="88">
        <v>4552.3846899999999</v>
      </c>
      <c r="BF866" s="85"/>
      <c r="BG866" s="85">
        <v>46.5</v>
      </c>
      <c r="BH866" s="85"/>
      <c r="BI866" s="85"/>
      <c r="BJ866" s="85"/>
      <c r="BK866" s="85">
        <v>1005.1415500000001</v>
      </c>
      <c r="BL866" s="85"/>
      <c r="BM866" s="85"/>
      <c r="BN866" s="85"/>
      <c r="BO866" s="85"/>
      <c r="BP866" s="85"/>
      <c r="BQ866" s="85"/>
      <c r="BR866" s="84"/>
      <c r="BS866" s="85"/>
      <c r="BT866" s="85">
        <v>74.335809999999995</v>
      </c>
      <c r="BU866" s="97">
        <v>70.47</v>
      </c>
      <c r="BV866" s="90"/>
      <c r="BW866" s="198"/>
      <c r="BX866" s="90"/>
      <c r="BY866" s="198"/>
      <c r="BZ866" s="90"/>
      <c r="CA866" s="91"/>
    </row>
    <row r="867" spans="1:79" ht="50.1" customHeight="1" outlineLevel="2" x14ac:dyDescent="0.3">
      <c r="A867" s="106" t="s">
        <v>755</v>
      </c>
      <c r="B867" s="96" t="s">
        <v>758</v>
      </c>
      <c r="C867" s="79" t="s">
        <v>37</v>
      </c>
      <c r="D867" s="81">
        <f t="shared" si="203"/>
        <v>30350.464210000006</v>
      </c>
      <c r="E867" s="82">
        <f t="shared" si="196"/>
        <v>4947.7738600000002</v>
      </c>
      <c r="F867" s="83">
        <f t="shared" si="197"/>
        <v>25402.690350000004</v>
      </c>
      <c r="G867" s="84"/>
      <c r="H867" s="85"/>
      <c r="I867" s="85"/>
      <c r="J867" s="84"/>
      <c r="K867" s="85"/>
      <c r="L867" s="85"/>
      <c r="M867" s="85"/>
      <c r="N867" s="85"/>
      <c r="O867" s="82"/>
      <c r="P867" s="83"/>
      <c r="Q867" s="83"/>
      <c r="R867" s="83"/>
      <c r="S867" s="82">
        <v>284.64384000000001</v>
      </c>
      <c r="T867" s="83">
        <v>142.32192000000001</v>
      </c>
      <c r="U867" s="83"/>
      <c r="V867" s="84">
        <v>278.33999999999997</v>
      </c>
      <c r="W867" s="85">
        <v>486</v>
      </c>
      <c r="X867" s="87"/>
      <c r="Y867" s="83">
        <v>1614.912</v>
      </c>
      <c r="Z867" s="84"/>
      <c r="AA867" s="85"/>
      <c r="AB867" s="84"/>
      <c r="AC867" s="85"/>
      <c r="AD867" s="89">
        <f t="shared" si="198"/>
        <v>1863.4476</v>
      </c>
      <c r="AE867" s="89">
        <f>1009.9089+85.964</f>
        <v>1095.8729000000001</v>
      </c>
      <c r="AF867" s="186">
        <v>767.57470000000001</v>
      </c>
      <c r="AG867" s="85"/>
      <c r="AH867" s="85"/>
      <c r="AI867" s="85"/>
      <c r="AJ867" s="84"/>
      <c r="AK867" s="85"/>
      <c r="AL867" s="84"/>
      <c r="AM867" s="88"/>
      <c r="AN867" s="84"/>
      <c r="AO867" s="85"/>
      <c r="AP867" s="84"/>
      <c r="AQ867" s="83"/>
      <c r="AR867" s="83"/>
      <c r="AS867" s="83"/>
      <c r="AT867" s="85"/>
      <c r="AU867" s="85"/>
      <c r="AV867" s="85">
        <v>16535.451010000001</v>
      </c>
      <c r="AW867" s="88"/>
      <c r="AX867" s="84"/>
      <c r="AY867" s="85"/>
      <c r="AZ867" s="84">
        <v>4384.7900200000004</v>
      </c>
      <c r="BA867" s="85">
        <v>3970.7768500000002</v>
      </c>
      <c r="BB867" s="88"/>
      <c r="BC867" s="85"/>
      <c r="BD867" s="84"/>
      <c r="BE867" s="88"/>
      <c r="BF867" s="85"/>
      <c r="BG867" s="85"/>
      <c r="BH867" s="85"/>
      <c r="BI867" s="85"/>
      <c r="BJ867" s="85"/>
      <c r="BK867" s="85"/>
      <c r="BL867" s="85"/>
      <c r="BM867" s="85"/>
      <c r="BN867" s="85"/>
      <c r="BO867" s="85"/>
      <c r="BP867" s="85"/>
      <c r="BQ867" s="85"/>
      <c r="BR867" s="84"/>
      <c r="BS867" s="85"/>
      <c r="BT867" s="85">
        <v>789.78097000000002</v>
      </c>
      <c r="BU867" s="198"/>
      <c r="BV867" s="90"/>
      <c r="BW867" s="198"/>
      <c r="BX867" s="90"/>
      <c r="BY867" s="198"/>
      <c r="BZ867" s="90"/>
      <c r="CA867" s="91"/>
    </row>
    <row r="868" spans="1:79" ht="50.1" customHeight="1" outlineLevel="2" x14ac:dyDescent="0.3">
      <c r="A868" s="106" t="s">
        <v>755</v>
      </c>
      <c r="B868" s="96" t="s">
        <v>759</v>
      </c>
      <c r="C868" s="79" t="s">
        <v>37</v>
      </c>
      <c r="D868" s="81">
        <f t="shared" si="203"/>
        <v>242.71155999999999</v>
      </c>
      <c r="E868" s="82">
        <f t="shared" si="196"/>
        <v>0</v>
      </c>
      <c r="F868" s="83">
        <f t="shared" si="197"/>
        <v>242.71155999999999</v>
      </c>
      <c r="G868" s="84"/>
      <c r="H868" s="85"/>
      <c r="I868" s="85"/>
      <c r="J868" s="84"/>
      <c r="K868" s="85"/>
      <c r="L868" s="85"/>
      <c r="M868" s="85"/>
      <c r="N868" s="85"/>
      <c r="O868" s="82"/>
      <c r="P868" s="83"/>
      <c r="Q868" s="83"/>
      <c r="R868" s="83"/>
      <c r="S868" s="82"/>
      <c r="T868" s="83"/>
      <c r="U868" s="83"/>
      <c r="V868" s="84"/>
      <c r="W868" s="85"/>
      <c r="X868" s="87"/>
      <c r="Y868" s="83"/>
      <c r="Z868" s="84"/>
      <c r="AA868" s="85"/>
      <c r="AB868" s="84"/>
      <c r="AC868" s="85"/>
      <c r="AD868" s="89">
        <f t="shared" si="198"/>
        <v>0</v>
      </c>
      <c r="AE868" s="89"/>
      <c r="AF868" s="186"/>
      <c r="AG868" s="85"/>
      <c r="AH868" s="85"/>
      <c r="AI868" s="85"/>
      <c r="AJ868" s="84"/>
      <c r="AK868" s="85"/>
      <c r="AL868" s="84"/>
      <c r="AM868" s="88"/>
      <c r="AN868" s="84"/>
      <c r="AO868" s="85"/>
      <c r="AP868" s="84"/>
      <c r="AQ868" s="83"/>
      <c r="AR868" s="83"/>
      <c r="AS868" s="83"/>
      <c r="AT868" s="85"/>
      <c r="AU868" s="85"/>
      <c r="AV868" s="85"/>
      <c r="AW868" s="88"/>
      <c r="AX868" s="84"/>
      <c r="AY868" s="85"/>
      <c r="AZ868" s="84"/>
      <c r="BA868" s="85"/>
      <c r="BB868" s="88"/>
      <c r="BC868" s="85"/>
      <c r="BD868" s="84"/>
      <c r="BE868" s="88"/>
      <c r="BF868" s="85"/>
      <c r="BG868" s="85"/>
      <c r="BH868" s="85"/>
      <c r="BI868" s="85"/>
      <c r="BJ868" s="85"/>
      <c r="BK868" s="85">
        <v>242.71155999999999</v>
      </c>
      <c r="BL868" s="85"/>
      <c r="BM868" s="85"/>
      <c r="BN868" s="85"/>
      <c r="BO868" s="85"/>
      <c r="BP868" s="85"/>
      <c r="BQ868" s="85"/>
      <c r="BR868" s="84"/>
      <c r="BS868" s="85"/>
      <c r="BT868" s="85"/>
      <c r="BU868" s="198"/>
      <c r="BV868" s="90"/>
      <c r="BW868" s="198"/>
      <c r="BX868" s="90"/>
      <c r="BY868" s="198"/>
      <c r="BZ868" s="90"/>
      <c r="CA868" s="91"/>
    </row>
    <row r="869" spans="1:79" ht="50.1" customHeight="1" outlineLevel="2" x14ac:dyDescent="0.3">
      <c r="A869" s="103" t="s">
        <v>755</v>
      </c>
      <c r="B869" s="102" t="s">
        <v>46</v>
      </c>
      <c r="C869" s="79" t="s">
        <v>37</v>
      </c>
      <c r="D869" s="81">
        <f t="shared" si="203"/>
        <v>4337.1734900000001</v>
      </c>
      <c r="E869" s="82">
        <f t="shared" si="196"/>
        <v>1528.20334</v>
      </c>
      <c r="F869" s="83">
        <f t="shared" si="197"/>
        <v>2808.9701500000001</v>
      </c>
      <c r="G869" s="84"/>
      <c r="H869" s="85"/>
      <c r="I869" s="85"/>
      <c r="J869" s="84"/>
      <c r="K869" s="85"/>
      <c r="L869" s="85"/>
      <c r="M869" s="85"/>
      <c r="N869" s="85"/>
      <c r="O869" s="82"/>
      <c r="P869" s="83"/>
      <c r="Q869" s="83"/>
      <c r="R869" s="83"/>
      <c r="S869" s="82"/>
      <c r="T869" s="83"/>
      <c r="U869" s="83"/>
      <c r="V869" s="84">
        <v>395.29705000000001</v>
      </c>
      <c r="W869" s="85">
        <v>691.245</v>
      </c>
      <c r="X869" s="82"/>
      <c r="Y869" s="83">
        <v>201.24</v>
      </c>
      <c r="Z869" s="84"/>
      <c r="AA869" s="85"/>
      <c r="AB869" s="84"/>
      <c r="AC869" s="85"/>
      <c r="AD869" s="89">
        <f t="shared" si="198"/>
        <v>27.239660000000001</v>
      </c>
      <c r="AE869" s="89"/>
      <c r="AF869" s="186">
        <v>27.239660000000001</v>
      </c>
      <c r="AG869" s="85"/>
      <c r="AH869" s="85"/>
      <c r="AI869" s="85"/>
      <c r="AJ869" s="84"/>
      <c r="AK869" s="85"/>
      <c r="AL869" s="84"/>
      <c r="AM869" s="88"/>
      <c r="AN869" s="84"/>
      <c r="AO869" s="85"/>
      <c r="AP869" s="84">
        <v>709.44938999999999</v>
      </c>
      <c r="AQ869" s="83">
        <v>1505.77097</v>
      </c>
      <c r="AR869" s="83"/>
      <c r="AS869" s="83"/>
      <c r="AT869" s="85"/>
      <c r="AU869" s="85"/>
      <c r="AV869" s="85"/>
      <c r="AW869" s="88"/>
      <c r="AX869" s="84"/>
      <c r="AY869" s="85"/>
      <c r="AZ869" s="84">
        <v>423.45690000000002</v>
      </c>
      <c r="BA869" s="85">
        <v>383.47451999999998</v>
      </c>
      <c r="BB869" s="88"/>
      <c r="BC869" s="85"/>
      <c r="BD869" s="84"/>
      <c r="BE869" s="88"/>
      <c r="BF869" s="85"/>
      <c r="BG869" s="85"/>
      <c r="BH869" s="85"/>
      <c r="BI869" s="85"/>
      <c r="BJ869" s="85"/>
      <c r="BK869" s="85"/>
      <c r="BL869" s="85"/>
      <c r="BM869" s="85"/>
      <c r="BN869" s="85"/>
      <c r="BO869" s="85"/>
      <c r="BP869" s="85"/>
      <c r="BQ869" s="85"/>
      <c r="BR869" s="84"/>
      <c r="BS869" s="85"/>
      <c r="BT869" s="85"/>
      <c r="BU869" s="198"/>
      <c r="BV869" s="90"/>
      <c r="BW869" s="198"/>
      <c r="BX869" s="90"/>
      <c r="BY869" s="198"/>
      <c r="BZ869" s="90"/>
      <c r="CA869" s="91"/>
    </row>
    <row r="870" spans="1:79" ht="50.1" customHeight="1" outlineLevel="2" x14ac:dyDescent="0.3">
      <c r="A870" s="103" t="s">
        <v>755</v>
      </c>
      <c r="B870" s="102" t="s">
        <v>760</v>
      </c>
      <c r="C870" s="79" t="s">
        <v>37</v>
      </c>
      <c r="D870" s="81">
        <f t="shared" si="203"/>
        <v>52640.640319999991</v>
      </c>
      <c r="E870" s="82">
        <f t="shared" si="196"/>
        <v>9397.5171799999989</v>
      </c>
      <c r="F870" s="83">
        <f t="shared" si="197"/>
        <v>43243.123139999996</v>
      </c>
      <c r="G870" s="84"/>
      <c r="H870" s="85"/>
      <c r="I870" s="83">
        <v>450.87205</v>
      </c>
      <c r="J870" s="84">
        <f>51.05711+327.62777+717.71485+379.83791</f>
        <v>1476.2376400000001</v>
      </c>
      <c r="K870" s="85">
        <f>14.58775+93.60793+236.67536+147.03405</f>
        <v>491.90508999999997</v>
      </c>
      <c r="L870" s="85">
        <v>308.30218000000002</v>
      </c>
      <c r="M870" s="85"/>
      <c r="N870" s="85"/>
      <c r="O870" s="82"/>
      <c r="P870" s="83"/>
      <c r="Q870" s="83">
        <v>455.61637999999999</v>
      </c>
      <c r="R870" s="83"/>
      <c r="S870" s="82"/>
      <c r="T870" s="83"/>
      <c r="U870" s="83"/>
      <c r="V870" s="84"/>
      <c r="W870" s="85"/>
      <c r="X870" s="87"/>
      <c r="Y870" s="83">
        <v>1085.76</v>
      </c>
      <c r="Z870" s="84"/>
      <c r="AA870" s="85"/>
      <c r="AB870" s="84"/>
      <c r="AC870" s="85"/>
      <c r="AD870" s="89">
        <f t="shared" si="198"/>
        <v>8636.0467900000003</v>
      </c>
      <c r="AE870" s="89">
        <f>1087.5942+10.7455</f>
        <v>1098.3397</v>
      </c>
      <c r="AF870" s="186">
        <f>287.6573+1675.4112+4839.534+233.4828+165.38364+30.1582+306.07995</f>
        <v>7537.7070899999999</v>
      </c>
      <c r="AG870" s="85"/>
      <c r="AH870" s="85"/>
      <c r="AI870" s="85"/>
      <c r="AJ870" s="84"/>
      <c r="AK870" s="85"/>
      <c r="AL870" s="84"/>
      <c r="AM870" s="88"/>
      <c r="AN870" s="84"/>
      <c r="AO870" s="85"/>
      <c r="AP870" s="84">
        <v>4260.8974799999996</v>
      </c>
      <c r="AQ870" s="83">
        <v>13579.80106</v>
      </c>
      <c r="AR870" s="83"/>
      <c r="AS870" s="83"/>
      <c r="AT870" s="85"/>
      <c r="AU870" s="85"/>
      <c r="AV870" s="85">
        <f>4334.7909+2063.65848</f>
        <v>6398.44938</v>
      </c>
      <c r="AW870" s="88"/>
      <c r="AX870" s="84"/>
      <c r="AY870" s="85"/>
      <c r="AZ870" s="84">
        <v>3660.3820599999999</v>
      </c>
      <c r="BA870" s="85">
        <v>3314.7709799999998</v>
      </c>
      <c r="BB870" s="88">
        <v>65.484200000000001</v>
      </c>
      <c r="BC870" s="85"/>
      <c r="BD870" s="84"/>
      <c r="BE870" s="88"/>
      <c r="BF870" s="85"/>
      <c r="BG870" s="85"/>
      <c r="BH870" s="85"/>
      <c r="BI870" s="85"/>
      <c r="BJ870" s="85">
        <v>5764.9774299999999</v>
      </c>
      <c r="BK870" s="85">
        <v>2532.4387000000002</v>
      </c>
      <c r="BL870" s="85">
        <v>73.698899999999995</v>
      </c>
      <c r="BM870" s="85"/>
      <c r="BN870" s="85"/>
      <c r="BO870" s="85"/>
      <c r="BP870" s="85"/>
      <c r="BQ870" s="85"/>
      <c r="BR870" s="84"/>
      <c r="BS870" s="85"/>
      <c r="BT870" s="85">
        <v>85</v>
      </c>
      <c r="BU870" s="198"/>
      <c r="BV870" s="90"/>
      <c r="BW870" s="198"/>
      <c r="BX870" s="90"/>
      <c r="BY870" s="198"/>
      <c r="BZ870" s="90"/>
      <c r="CA870" s="91"/>
    </row>
    <row r="871" spans="1:79" ht="50.1" customHeight="1" outlineLevel="2" x14ac:dyDescent="0.3">
      <c r="A871" s="103" t="s">
        <v>755</v>
      </c>
      <c r="B871" s="102" t="s">
        <v>1092</v>
      </c>
      <c r="C871" s="79" t="s">
        <v>37</v>
      </c>
      <c r="D871" s="81">
        <f t="shared" si="203"/>
        <v>1520.25621</v>
      </c>
      <c r="E871" s="82">
        <f t="shared" si="196"/>
        <v>501.29118</v>
      </c>
      <c r="F871" s="83">
        <f t="shared" si="197"/>
        <v>1018.96503</v>
      </c>
      <c r="G871" s="84"/>
      <c r="H871" s="85"/>
      <c r="I871" s="85"/>
      <c r="J871" s="84"/>
      <c r="K871" s="85"/>
      <c r="L871" s="85"/>
      <c r="M871" s="85"/>
      <c r="N871" s="85"/>
      <c r="O871" s="82"/>
      <c r="P871" s="83"/>
      <c r="Q871" s="83"/>
      <c r="R871" s="83"/>
      <c r="S871" s="82"/>
      <c r="T871" s="83"/>
      <c r="U871" s="83"/>
      <c r="V871" s="84"/>
      <c r="W871" s="85"/>
      <c r="X871" s="87"/>
      <c r="Y871" s="83"/>
      <c r="Z871" s="84"/>
      <c r="AA871" s="85"/>
      <c r="AB871" s="84"/>
      <c r="AC871" s="85"/>
      <c r="AD871" s="89"/>
      <c r="AE871" s="89"/>
      <c r="AF871" s="186"/>
      <c r="AG871" s="85"/>
      <c r="AH871" s="85"/>
      <c r="AI871" s="85"/>
      <c r="AJ871" s="84"/>
      <c r="AK871" s="85"/>
      <c r="AL871" s="84"/>
      <c r="AM871" s="88"/>
      <c r="AN871" s="84"/>
      <c r="AO871" s="85"/>
      <c r="AP871" s="84">
        <v>501.29118</v>
      </c>
      <c r="AQ871" s="83">
        <v>1018.96503</v>
      </c>
      <c r="AR871" s="83"/>
      <c r="AS871" s="83"/>
      <c r="AT871" s="85"/>
      <c r="AU871" s="85"/>
      <c r="AV871" s="85"/>
      <c r="AW871" s="88"/>
      <c r="AX871" s="84"/>
      <c r="AY871" s="85"/>
      <c r="AZ871" s="84"/>
      <c r="BA871" s="85"/>
      <c r="BB871" s="88"/>
      <c r="BC871" s="85"/>
      <c r="BD871" s="84"/>
      <c r="BE871" s="88"/>
      <c r="BF871" s="85"/>
      <c r="BG871" s="85"/>
      <c r="BH871" s="85"/>
      <c r="BI871" s="85"/>
      <c r="BJ871" s="85"/>
      <c r="BK871" s="85"/>
      <c r="BL871" s="85"/>
      <c r="BM871" s="85"/>
      <c r="BN871" s="85"/>
      <c r="BO871" s="85"/>
      <c r="BP871" s="85"/>
      <c r="BQ871" s="85"/>
      <c r="BR871" s="84"/>
      <c r="BS871" s="85"/>
      <c r="BT871" s="85"/>
      <c r="BU871" s="198"/>
      <c r="BV871" s="90"/>
      <c r="BW871" s="198"/>
      <c r="BX871" s="90"/>
      <c r="BY871" s="198"/>
      <c r="BZ871" s="90"/>
      <c r="CA871" s="91"/>
    </row>
    <row r="872" spans="1:79" ht="50.1" customHeight="1" outlineLevel="2" x14ac:dyDescent="0.3">
      <c r="A872" s="106" t="s">
        <v>755</v>
      </c>
      <c r="B872" s="96" t="s">
        <v>761</v>
      </c>
      <c r="C872" s="79" t="s">
        <v>55</v>
      </c>
      <c r="D872" s="81">
        <f t="shared" si="203"/>
        <v>625.96001000000001</v>
      </c>
      <c r="E872" s="82">
        <f t="shared" si="196"/>
        <v>118.79745</v>
      </c>
      <c r="F872" s="83">
        <f t="shared" si="197"/>
        <v>507.16255999999998</v>
      </c>
      <c r="G872" s="84"/>
      <c r="H872" s="85"/>
      <c r="I872" s="85"/>
      <c r="J872" s="84"/>
      <c r="K872" s="85"/>
      <c r="L872" s="85"/>
      <c r="M872" s="85"/>
      <c r="N872" s="85"/>
      <c r="O872" s="82"/>
      <c r="P872" s="83"/>
      <c r="Q872" s="83"/>
      <c r="R872" s="83"/>
      <c r="S872" s="82"/>
      <c r="T872" s="83"/>
      <c r="U872" s="83"/>
      <c r="V872" s="84"/>
      <c r="W872" s="85"/>
      <c r="X872" s="87"/>
      <c r="Y872" s="83">
        <v>78</v>
      </c>
      <c r="Z872" s="84"/>
      <c r="AA872" s="85"/>
      <c r="AB872" s="84"/>
      <c r="AC872" s="85"/>
      <c r="AD872" s="89">
        <f t="shared" si="198"/>
        <v>64.74924</v>
      </c>
      <c r="AE872" s="89">
        <v>42.373800000000003</v>
      </c>
      <c r="AF872" s="186">
        <v>22.375440000000001</v>
      </c>
      <c r="AG872" s="85"/>
      <c r="AH872" s="85"/>
      <c r="AI872" s="85"/>
      <c r="AJ872" s="84"/>
      <c r="AK872" s="85"/>
      <c r="AL872" s="84"/>
      <c r="AM872" s="88"/>
      <c r="AN872" s="84"/>
      <c r="AO872" s="85"/>
      <c r="AP872" s="84"/>
      <c r="AQ872" s="83"/>
      <c r="AR872" s="83"/>
      <c r="AS872" s="83"/>
      <c r="AT872" s="85"/>
      <c r="AU872" s="85"/>
      <c r="AV872" s="88">
        <v>256.83265</v>
      </c>
      <c r="AW872" s="88"/>
      <c r="AX872" s="84"/>
      <c r="AY872" s="85"/>
      <c r="AZ872" s="84">
        <v>118.79745</v>
      </c>
      <c r="BA872" s="85">
        <v>107.58067</v>
      </c>
      <c r="BB872" s="88"/>
      <c r="BC872" s="85"/>
      <c r="BD872" s="84"/>
      <c r="BE872" s="88"/>
      <c r="BF872" s="85"/>
      <c r="BG872" s="85"/>
      <c r="BH872" s="85"/>
      <c r="BI872" s="85"/>
      <c r="BJ872" s="85"/>
      <c r="BK872" s="85"/>
      <c r="BL872" s="85"/>
      <c r="BM872" s="85"/>
      <c r="BN872" s="85"/>
      <c r="BO872" s="85"/>
      <c r="BP872" s="85"/>
      <c r="BQ872" s="85"/>
      <c r="BR872" s="84"/>
      <c r="BS872" s="85"/>
      <c r="BT872" s="85"/>
      <c r="BU872" s="198"/>
      <c r="BV872" s="90"/>
      <c r="BW872" s="198"/>
      <c r="BX872" s="90"/>
      <c r="BY872" s="198"/>
      <c r="BZ872" s="90"/>
      <c r="CA872" s="91"/>
    </row>
    <row r="873" spans="1:79" ht="50.1" customHeight="1" outlineLevel="2" x14ac:dyDescent="0.3">
      <c r="A873" s="106" t="s">
        <v>755</v>
      </c>
      <c r="B873" s="96" t="s">
        <v>762</v>
      </c>
      <c r="C873" s="79" t="s">
        <v>55</v>
      </c>
      <c r="D873" s="81">
        <f t="shared" si="203"/>
        <v>554.82470999999998</v>
      </c>
      <c r="E873" s="82">
        <f t="shared" si="196"/>
        <v>70.050790000000006</v>
      </c>
      <c r="F873" s="83">
        <f t="shared" si="197"/>
        <v>484.77391999999998</v>
      </c>
      <c r="G873" s="84"/>
      <c r="H873" s="85"/>
      <c r="I873" s="85"/>
      <c r="J873" s="84"/>
      <c r="K873" s="85"/>
      <c r="L873" s="85"/>
      <c r="M873" s="85"/>
      <c r="N873" s="85"/>
      <c r="O873" s="82"/>
      <c r="P873" s="83"/>
      <c r="Q873" s="83"/>
      <c r="R873" s="83"/>
      <c r="S873" s="82"/>
      <c r="T873" s="83"/>
      <c r="U873" s="83"/>
      <c r="V873" s="84"/>
      <c r="W873" s="85">
        <v>225.74812</v>
      </c>
      <c r="X873" s="82"/>
      <c r="Y873" s="83">
        <v>18.72</v>
      </c>
      <c r="Z873" s="84"/>
      <c r="AA873" s="85"/>
      <c r="AB873" s="84"/>
      <c r="AC873" s="85"/>
      <c r="AD873" s="89">
        <f t="shared" si="198"/>
        <v>2.1490999999999998</v>
      </c>
      <c r="AE873" s="89">
        <v>2.1490999999999998</v>
      </c>
      <c r="AF873" s="186"/>
      <c r="AG873" s="85"/>
      <c r="AH873" s="85"/>
      <c r="AI873" s="85"/>
      <c r="AJ873" s="84"/>
      <c r="AK873" s="85"/>
      <c r="AL873" s="84"/>
      <c r="AM873" s="88"/>
      <c r="AN873" s="84"/>
      <c r="AO873" s="85">
        <v>174.72</v>
      </c>
      <c r="AP873" s="84"/>
      <c r="AQ873" s="83"/>
      <c r="AR873" s="83"/>
      <c r="AS873" s="83"/>
      <c r="AT873" s="85"/>
      <c r="AU873" s="85"/>
      <c r="AV873" s="85"/>
      <c r="AW873" s="88"/>
      <c r="AX873" s="84"/>
      <c r="AY873" s="85"/>
      <c r="AZ873" s="84">
        <v>70.050790000000006</v>
      </c>
      <c r="BA873" s="85">
        <v>63.436700000000002</v>
      </c>
      <c r="BB873" s="88"/>
      <c r="BC873" s="85"/>
      <c r="BD873" s="84"/>
      <c r="BE873" s="88"/>
      <c r="BF873" s="85"/>
      <c r="BG873" s="85"/>
      <c r="BH873" s="85"/>
      <c r="BI873" s="85"/>
      <c r="BJ873" s="85"/>
      <c r="BK873" s="85"/>
      <c r="BL873" s="85"/>
      <c r="BM873" s="85"/>
      <c r="BN873" s="85"/>
      <c r="BO873" s="85"/>
      <c r="BP873" s="85"/>
      <c r="BQ873" s="85"/>
      <c r="BR873" s="84"/>
      <c r="BS873" s="85"/>
      <c r="BT873" s="85"/>
      <c r="BU873" s="198"/>
      <c r="BV873" s="90"/>
      <c r="BW873" s="198"/>
      <c r="BX873" s="90"/>
      <c r="BY873" s="198"/>
      <c r="BZ873" s="90"/>
      <c r="CA873" s="233"/>
    </row>
    <row r="874" spans="1:79" ht="50.1" customHeight="1" outlineLevel="2" x14ac:dyDescent="0.3">
      <c r="A874" s="106" t="s">
        <v>755</v>
      </c>
      <c r="B874" s="96" t="s">
        <v>763</v>
      </c>
      <c r="C874" s="79" t="s">
        <v>55</v>
      </c>
      <c r="D874" s="81">
        <f t="shared" si="203"/>
        <v>769.61303999999996</v>
      </c>
      <c r="E874" s="82">
        <f t="shared" si="196"/>
        <v>138.79053999999999</v>
      </c>
      <c r="F874" s="83">
        <f t="shared" si="197"/>
        <v>630.82249999999999</v>
      </c>
      <c r="G874" s="84"/>
      <c r="H874" s="85"/>
      <c r="I874" s="85"/>
      <c r="J874" s="84"/>
      <c r="K874" s="85"/>
      <c r="L874" s="85"/>
      <c r="M874" s="85"/>
      <c r="N874" s="85"/>
      <c r="O874" s="82"/>
      <c r="P874" s="83"/>
      <c r="Q874" s="83"/>
      <c r="R874" s="83"/>
      <c r="S874" s="82"/>
      <c r="T874" s="83"/>
      <c r="U874" s="83"/>
      <c r="V874" s="84"/>
      <c r="W874" s="85"/>
      <c r="X874" s="82"/>
      <c r="Y874" s="83">
        <v>71.760000000000005</v>
      </c>
      <c r="Z874" s="84"/>
      <c r="AA874" s="85"/>
      <c r="AB874" s="84"/>
      <c r="AC874" s="85"/>
      <c r="AD874" s="89">
        <f t="shared" si="198"/>
        <v>0</v>
      </c>
      <c r="AE874" s="89"/>
      <c r="AF874" s="186"/>
      <c r="AG874" s="85"/>
      <c r="AH874" s="85"/>
      <c r="AI874" s="85"/>
      <c r="AJ874" s="84"/>
      <c r="AK874" s="85"/>
      <c r="AL874" s="84"/>
      <c r="AM874" s="88"/>
      <c r="AN874" s="84"/>
      <c r="AO874" s="85"/>
      <c r="AP874" s="84"/>
      <c r="AQ874" s="83"/>
      <c r="AR874" s="83"/>
      <c r="AS874" s="83"/>
      <c r="AT874" s="85"/>
      <c r="AU874" s="85"/>
      <c r="AV874" s="85">
        <v>433.37643000000003</v>
      </c>
      <c r="AW874" s="88"/>
      <c r="AX874" s="84"/>
      <c r="AY874" s="85"/>
      <c r="AZ874" s="84">
        <v>138.79053999999999</v>
      </c>
      <c r="BA874" s="85">
        <v>125.68607</v>
      </c>
      <c r="BB874" s="88"/>
      <c r="BC874" s="85"/>
      <c r="BD874" s="84"/>
      <c r="BE874" s="88"/>
      <c r="BF874" s="85"/>
      <c r="BG874" s="85"/>
      <c r="BH874" s="85"/>
      <c r="BI874" s="85"/>
      <c r="BJ874" s="85"/>
      <c r="BK874" s="85"/>
      <c r="BL874" s="85"/>
      <c r="BM874" s="85"/>
      <c r="BN874" s="85"/>
      <c r="BO874" s="85"/>
      <c r="BP874" s="85"/>
      <c r="BQ874" s="85"/>
      <c r="BR874" s="84"/>
      <c r="BS874" s="85"/>
      <c r="BT874" s="85"/>
      <c r="BU874" s="198"/>
      <c r="BV874" s="90"/>
      <c r="BW874" s="198"/>
      <c r="BX874" s="90"/>
      <c r="BY874" s="198"/>
      <c r="BZ874" s="90"/>
      <c r="CA874" s="91"/>
    </row>
    <row r="875" spans="1:79" ht="50.1" customHeight="1" outlineLevel="2" x14ac:dyDescent="0.3">
      <c r="A875" s="106" t="s">
        <v>755</v>
      </c>
      <c r="B875" s="96" t="s">
        <v>764</v>
      </c>
      <c r="C875" s="79" t="s">
        <v>55</v>
      </c>
      <c r="D875" s="81">
        <f t="shared" si="203"/>
        <v>104.74231</v>
      </c>
      <c r="E875" s="82">
        <f t="shared" si="196"/>
        <v>33.871310000000001</v>
      </c>
      <c r="F875" s="83">
        <f t="shared" si="197"/>
        <v>70.871000000000009</v>
      </c>
      <c r="G875" s="84"/>
      <c r="H875" s="85"/>
      <c r="I875" s="85"/>
      <c r="J875" s="84"/>
      <c r="K875" s="85"/>
      <c r="L875" s="85"/>
      <c r="M875" s="85"/>
      <c r="N875" s="85"/>
      <c r="O875" s="82"/>
      <c r="P875" s="83"/>
      <c r="Q875" s="83"/>
      <c r="R875" s="83"/>
      <c r="S875" s="82"/>
      <c r="T875" s="83"/>
      <c r="U875" s="83"/>
      <c r="V875" s="84"/>
      <c r="W875" s="85"/>
      <c r="X875" s="82"/>
      <c r="Y875" s="83">
        <v>27.143999999999998</v>
      </c>
      <c r="Z875" s="84"/>
      <c r="AA875" s="85"/>
      <c r="AB875" s="84"/>
      <c r="AC875" s="85"/>
      <c r="AD875" s="89">
        <f t="shared" si="198"/>
        <v>13.053799999999999</v>
      </c>
      <c r="AE875" s="89">
        <v>4.2981999999999996</v>
      </c>
      <c r="AF875" s="186">
        <v>8.7555999999999994</v>
      </c>
      <c r="AG875" s="85"/>
      <c r="AH875" s="85"/>
      <c r="AI875" s="85"/>
      <c r="AJ875" s="84"/>
      <c r="AK875" s="85"/>
      <c r="AL875" s="84"/>
      <c r="AM875" s="88"/>
      <c r="AN875" s="84"/>
      <c r="AO875" s="85"/>
      <c r="AP875" s="84"/>
      <c r="AQ875" s="83"/>
      <c r="AR875" s="83"/>
      <c r="AS875" s="83"/>
      <c r="AT875" s="85"/>
      <c r="AU875" s="85"/>
      <c r="AV875" s="85"/>
      <c r="AW875" s="88"/>
      <c r="AX875" s="84"/>
      <c r="AY875" s="85"/>
      <c r="AZ875" s="84">
        <v>33.871310000000001</v>
      </c>
      <c r="BA875" s="85">
        <v>30.673200000000001</v>
      </c>
      <c r="BB875" s="88"/>
      <c r="BC875" s="85"/>
      <c r="BD875" s="84"/>
      <c r="BE875" s="88"/>
      <c r="BF875" s="85"/>
      <c r="BG875" s="85"/>
      <c r="BH875" s="85"/>
      <c r="BI875" s="85"/>
      <c r="BJ875" s="85"/>
      <c r="BK875" s="85"/>
      <c r="BL875" s="85"/>
      <c r="BM875" s="85"/>
      <c r="BN875" s="85"/>
      <c r="BO875" s="85"/>
      <c r="BP875" s="85"/>
      <c r="BQ875" s="85"/>
      <c r="BR875" s="84"/>
      <c r="BS875" s="85"/>
      <c r="BT875" s="85"/>
      <c r="BU875" s="198"/>
      <c r="BV875" s="90"/>
      <c r="BW875" s="198"/>
      <c r="BX875" s="90"/>
      <c r="BY875" s="198"/>
      <c r="BZ875" s="90"/>
      <c r="CA875" s="91"/>
    </row>
    <row r="876" spans="1:79" ht="50.1" customHeight="1" outlineLevel="2" x14ac:dyDescent="0.3">
      <c r="A876" s="106" t="s">
        <v>755</v>
      </c>
      <c r="B876" s="96" t="s">
        <v>765</v>
      </c>
      <c r="C876" s="79" t="s">
        <v>55</v>
      </c>
      <c r="D876" s="81">
        <f t="shared" si="203"/>
        <v>32.76</v>
      </c>
      <c r="E876" s="82">
        <f t="shared" si="196"/>
        <v>0</v>
      </c>
      <c r="F876" s="83">
        <f t="shared" si="197"/>
        <v>32.76</v>
      </c>
      <c r="G876" s="84"/>
      <c r="H876" s="85"/>
      <c r="I876" s="85"/>
      <c r="J876" s="84"/>
      <c r="K876" s="85"/>
      <c r="L876" s="85"/>
      <c r="M876" s="85"/>
      <c r="N876" s="85"/>
      <c r="O876" s="82"/>
      <c r="P876" s="83"/>
      <c r="Q876" s="83"/>
      <c r="R876" s="83"/>
      <c r="S876" s="82"/>
      <c r="T876" s="83"/>
      <c r="U876" s="83"/>
      <c r="V876" s="84"/>
      <c r="W876" s="85"/>
      <c r="X876" s="87"/>
      <c r="Y876" s="83">
        <v>32.76</v>
      </c>
      <c r="Z876" s="84"/>
      <c r="AA876" s="85"/>
      <c r="AB876" s="84"/>
      <c r="AC876" s="85"/>
      <c r="AD876" s="89">
        <f t="shared" si="198"/>
        <v>0</v>
      </c>
      <c r="AE876" s="89"/>
      <c r="AF876" s="186"/>
      <c r="AG876" s="85"/>
      <c r="AH876" s="85"/>
      <c r="AI876" s="85"/>
      <c r="AJ876" s="84"/>
      <c r="AK876" s="85"/>
      <c r="AL876" s="84"/>
      <c r="AM876" s="88"/>
      <c r="AN876" s="84"/>
      <c r="AO876" s="85"/>
      <c r="AP876" s="84"/>
      <c r="AQ876" s="83"/>
      <c r="AR876" s="83"/>
      <c r="AS876" s="83"/>
      <c r="AT876" s="85"/>
      <c r="AU876" s="85"/>
      <c r="AV876" s="85"/>
      <c r="AW876" s="88"/>
      <c r="AX876" s="84"/>
      <c r="AY876" s="85"/>
      <c r="AZ876" s="84"/>
      <c r="BA876" s="85"/>
      <c r="BB876" s="88"/>
      <c r="BC876" s="85"/>
      <c r="BD876" s="84"/>
      <c r="BE876" s="88"/>
      <c r="BF876" s="85"/>
      <c r="BG876" s="85"/>
      <c r="BH876" s="85"/>
      <c r="BI876" s="85"/>
      <c r="BJ876" s="85"/>
      <c r="BK876" s="85"/>
      <c r="BL876" s="85"/>
      <c r="BM876" s="85"/>
      <c r="BN876" s="85"/>
      <c r="BO876" s="85"/>
      <c r="BP876" s="85"/>
      <c r="BQ876" s="85"/>
      <c r="BR876" s="84"/>
      <c r="BS876" s="85"/>
      <c r="BT876" s="85"/>
      <c r="BU876" s="198"/>
      <c r="BV876" s="90"/>
      <c r="BW876" s="198"/>
      <c r="BX876" s="90"/>
      <c r="BY876" s="198"/>
      <c r="BZ876" s="90"/>
      <c r="CA876" s="91"/>
    </row>
    <row r="877" spans="1:79" ht="50.1" customHeight="1" outlineLevel="2" x14ac:dyDescent="0.3">
      <c r="A877" s="106" t="s">
        <v>755</v>
      </c>
      <c r="B877" s="96" t="s">
        <v>766</v>
      </c>
      <c r="C877" s="79" t="s">
        <v>55</v>
      </c>
      <c r="D877" s="81">
        <f t="shared" si="203"/>
        <v>98.442000000000007</v>
      </c>
      <c r="E877" s="82">
        <f t="shared" si="196"/>
        <v>6.9871800000000004</v>
      </c>
      <c r="F877" s="83">
        <f t="shared" si="197"/>
        <v>91.454820000000012</v>
      </c>
      <c r="G877" s="84"/>
      <c r="H877" s="85"/>
      <c r="I877" s="85"/>
      <c r="J877" s="84"/>
      <c r="K877" s="85"/>
      <c r="L877" s="85"/>
      <c r="M877" s="85"/>
      <c r="N877" s="85"/>
      <c r="O877" s="82"/>
      <c r="P877" s="83"/>
      <c r="Q877" s="83"/>
      <c r="R877" s="83"/>
      <c r="S877" s="82"/>
      <c r="T877" s="83"/>
      <c r="U877" s="83"/>
      <c r="V877" s="84"/>
      <c r="W877" s="85"/>
      <c r="X877" s="87"/>
      <c r="Y877" s="83"/>
      <c r="Z877" s="84"/>
      <c r="AA877" s="85"/>
      <c r="AB877" s="84"/>
      <c r="AC877" s="85"/>
      <c r="AD877" s="89">
        <f t="shared" si="198"/>
        <v>0</v>
      </c>
      <c r="AE877" s="89"/>
      <c r="AF877" s="186"/>
      <c r="AG877" s="85"/>
      <c r="AH877" s="85"/>
      <c r="AI877" s="85"/>
      <c r="AJ877" s="84"/>
      <c r="AK877" s="85"/>
      <c r="AL877" s="84"/>
      <c r="AM877" s="88"/>
      <c r="AN877" s="84"/>
      <c r="AO877" s="85"/>
      <c r="AP877" s="84"/>
      <c r="AQ877" s="83"/>
      <c r="AR877" s="83"/>
      <c r="AS877" s="83"/>
      <c r="AT877" s="85"/>
      <c r="AU877" s="85"/>
      <c r="AV877" s="85">
        <v>85.127350000000007</v>
      </c>
      <c r="AW877" s="88"/>
      <c r="AX877" s="84"/>
      <c r="AY877" s="85"/>
      <c r="AZ877" s="84">
        <v>6.9871800000000004</v>
      </c>
      <c r="BA877" s="85">
        <v>6.3274699999999999</v>
      </c>
      <c r="BB877" s="88"/>
      <c r="BC877" s="85"/>
      <c r="BD877" s="84"/>
      <c r="BE877" s="88"/>
      <c r="BF877" s="85"/>
      <c r="BG877" s="85"/>
      <c r="BH877" s="85"/>
      <c r="BI877" s="85"/>
      <c r="BJ877" s="85"/>
      <c r="BK877" s="85"/>
      <c r="BL877" s="85"/>
      <c r="BM877" s="85"/>
      <c r="BN877" s="85"/>
      <c r="BO877" s="85"/>
      <c r="BP877" s="85"/>
      <c r="BQ877" s="85"/>
      <c r="BR877" s="84"/>
      <c r="BS877" s="85"/>
      <c r="BT877" s="85"/>
      <c r="BU877" s="198"/>
      <c r="BV877" s="90"/>
      <c r="BW877" s="198"/>
      <c r="BX877" s="90"/>
      <c r="BY877" s="198"/>
      <c r="BZ877" s="90"/>
      <c r="CA877" s="91"/>
    </row>
    <row r="878" spans="1:79" ht="50.1" customHeight="1" outlineLevel="2" x14ac:dyDescent="0.3">
      <c r="A878" s="106" t="s">
        <v>1258</v>
      </c>
      <c r="B878" s="96" t="s">
        <v>1162</v>
      </c>
      <c r="C878" s="79" t="s">
        <v>55</v>
      </c>
      <c r="D878" s="81">
        <f t="shared" si="203"/>
        <v>53.975999999999999</v>
      </c>
      <c r="E878" s="82">
        <f t="shared" si="196"/>
        <v>0</v>
      </c>
      <c r="F878" s="83">
        <f t="shared" si="197"/>
        <v>53.975999999999999</v>
      </c>
      <c r="G878" s="84"/>
      <c r="H878" s="85"/>
      <c r="I878" s="85"/>
      <c r="J878" s="84"/>
      <c r="K878" s="85"/>
      <c r="L878" s="85"/>
      <c r="M878" s="85"/>
      <c r="N878" s="85"/>
      <c r="O878" s="82"/>
      <c r="P878" s="83"/>
      <c r="Q878" s="83"/>
      <c r="R878" s="83"/>
      <c r="S878" s="82"/>
      <c r="T878" s="83"/>
      <c r="U878" s="83"/>
      <c r="V878" s="84"/>
      <c r="W878" s="85"/>
      <c r="X878" s="87"/>
      <c r="Y878" s="83">
        <v>53.975999999999999</v>
      </c>
      <c r="Z878" s="84"/>
      <c r="AA878" s="85"/>
      <c r="AB878" s="84"/>
      <c r="AC878" s="85"/>
      <c r="AD878" s="89"/>
      <c r="AE878" s="89"/>
      <c r="AF878" s="186"/>
      <c r="AG878" s="85"/>
      <c r="AH878" s="85"/>
      <c r="AI878" s="85"/>
      <c r="AJ878" s="84"/>
      <c r="AK878" s="85"/>
      <c r="AL878" s="84"/>
      <c r="AM878" s="88"/>
      <c r="AN878" s="84"/>
      <c r="AO878" s="85"/>
      <c r="AP878" s="84"/>
      <c r="AQ878" s="83"/>
      <c r="AR878" s="83"/>
      <c r="AS878" s="83"/>
      <c r="AT878" s="85"/>
      <c r="AU878" s="85"/>
      <c r="AV878" s="85"/>
      <c r="AW878" s="88"/>
      <c r="AX878" s="84"/>
      <c r="AY878" s="85"/>
      <c r="AZ878" s="84"/>
      <c r="BA878" s="85"/>
      <c r="BB878" s="88"/>
      <c r="BC878" s="85"/>
      <c r="BD878" s="84"/>
      <c r="BE878" s="88"/>
      <c r="BF878" s="85"/>
      <c r="BG878" s="85"/>
      <c r="BH878" s="85"/>
      <c r="BI878" s="85"/>
      <c r="BJ878" s="85"/>
      <c r="BK878" s="85"/>
      <c r="BL878" s="85"/>
      <c r="BM878" s="85"/>
      <c r="BN878" s="85"/>
      <c r="BO878" s="85"/>
      <c r="BP878" s="85"/>
      <c r="BQ878" s="85"/>
      <c r="BR878" s="84"/>
      <c r="BS878" s="85"/>
      <c r="BT878" s="85"/>
      <c r="BU878" s="198"/>
      <c r="BV878" s="90"/>
      <c r="BW878" s="198"/>
      <c r="BX878" s="90"/>
      <c r="BY878" s="198"/>
      <c r="BZ878" s="90"/>
      <c r="CA878" s="91"/>
    </row>
    <row r="879" spans="1:79" ht="50.1" customHeight="1" outlineLevel="2" x14ac:dyDescent="0.3">
      <c r="A879" s="106" t="s">
        <v>755</v>
      </c>
      <c r="B879" s="96" t="s">
        <v>767</v>
      </c>
      <c r="C879" s="79" t="s">
        <v>55</v>
      </c>
      <c r="D879" s="81">
        <f t="shared" si="203"/>
        <v>233.25694000000001</v>
      </c>
      <c r="E879" s="82">
        <f t="shared" si="196"/>
        <v>78.173000000000002</v>
      </c>
      <c r="F879" s="83">
        <f t="shared" si="197"/>
        <v>155.08394000000001</v>
      </c>
      <c r="G879" s="84"/>
      <c r="H879" s="85"/>
      <c r="I879" s="85"/>
      <c r="J879" s="84"/>
      <c r="K879" s="85"/>
      <c r="L879" s="85"/>
      <c r="M879" s="85"/>
      <c r="N879" s="85"/>
      <c r="O879" s="82"/>
      <c r="P879" s="83"/>
      <c r="Q879" s="83"/>
      <c r="R879" s="83"/>
      <c r="S879" s="82"/>
      <c r="T879" s="83"/>
      <c r="U879" s="83"/>
      <c r="V879" s="84">
        <v>11.5975</v>
      </c>
      <c r="W879" s="85">
        <v>20.25</v>
      </c>
      <c r="X879" s="87"/>
      <c r="Y879" s="83">
        <v>46.8</v>
      </c>
      <c r="Z879" s="84"/>
      <c r="AA879" s="85"/>
      <c r="AB879" s="84"/>
      <c r="AC879" s="85"/>
      <c r="AD879" s="89">
        <f t="shared" si="198"/>
        <v>27.744430000000001</v>
      </c>
      <c r="AE879" s="89">
        <v>14.124599999999999</v>
      </c>
      <c r="AF879" s="186">
        <v>13.61983</v>
      </c>
      <c r="AG879" s="85"/>
      <c r="AH879" s="85"/>
      <c r="AI879" s="85"/>
      <c r="AJ879" s="84"/>
      <c r="AK879" s="85"/>
      <c r="AL879" s="84"/>
      <c r="AM879" s="88"/>
      <c r="AN879" s="84"/>
      <c r="AO879" s="85"/>
      <c r="AP879" s="84"/>
      <c r="AQ879" s="83"/>
      <c r="AR879" s="83"/>
      <c r="AS879" s="83"/>
      <c r="AT879" s="85"/>
      <c r="AU879" s="85"/>
      <c r="AV879" s="85"/>
      <c r="AW879" s="88"/>
      <c r="AX879" s="84"/>
      <c r="AY879" s="85"/>
      <c r="AZ879" s="84">
        <v>66.575500000000005</v>
      </c>
      <c r="BA879" s="85">
        <v>60.28951</v>
      </c>
      <c r="BB879" s="88"/>
      <c r="BC879" s="85"/>
      <c r="BD879" s="84"/>
      <c r="BE879" s="88"/>
      <c r="BF879" s="85"/>
      <c r="BG879" s="85"/>
      <c r="BH879" s="85"/>
      <c r="BI879" s="85"/>
      <c r="BJ879" s="85"/>
      <c r="BK879" s="85"/>
      <c r="BL879" s="85"/>
      <c r="BM879" s="85"/>
      <c r="BN879" s="85"/>
      <c r="BO879" s="85"/>
      <c r="BP879" s="85"/>
      <c r="BQ879" s="85"/>
      <c r="BR879" s="84"/>
      <c r="BS879" s="85"/>
      <c r="BT879" s="85"/>
      <c r="BU879" s="198"/>
      <c r="BV879" s="90"/>
      <c r="BW879" s="198"/>
      <c r="BX879" s="90"/>
      <c r="BY879" s="198"/>
      <c r="BZ879" s="90"/>
      <c r="CA879" s="91"/>
    </row>
    <row r="880" spans="1:79" ht="50.1" customHeight="1" outlineLevel="2" x14ac:dyDescent="0.3">
      <c r="A880" s="106" t="s">
        <v>755</v>
      </c>
      <c r="B880" s="96" t="s">
        <v>768</v>
      </c>
      <c r="C880" s="79" t="s">
        <v>55</v>
      </c>
      <c r="D880" s="81">
        <f t="shared" si="203"/>
        <v>61.262450000000001</v>
      </c>
      <c r="E880" s="82">
        <f t="shared" si="196"/>
        <v>32.148949999999999</v>
      </c>
      <c r="F880" s="83">
        <f t="shared" si="197"/>
        <v>29.113499999999998</v>
      </c>
      <c r="G880" s="84"/>
      <c r="H880" s="85"/>
      <c r="I880" s="85"/>
      <c r="J880" s="84"/>
      <c r="K880" s="85"/>
      <c r="L880" s="85"/>
      <c r="M880" s="85"/>
      <c r="N880" s="85"/>
      <c r="O880" s="82"/>
      <c r="P880" s="83"/>
      <c r="Q880" s="83"/>
      <c r="R880" s="83"/>
      <c r="S880" s="82"/>
      <c r="T880" s="83"/>
      <c r="U880" s="83"/>
      <c r="V880" s="84"/>
      <c r="W880" s="85"/>
      <c r="X880" s="87"/>
      <c r="Y880" s="83"/>
      <c r="Z880" s="84"/>
      <c r="AA880" s="85"/>
      <c r="AB880" s="84"/>
      <c r="AC880" s="85"/>
      <c r="AD880" s="89">
        <f t="shared" si="198"/>
        <v>0</v>
      </c>
      <c r="AE880" s="89"/>
      <c r="AF880" s="186"/>
      <c r="AG880" s="85"/>
      <c r="AH880" s="85"/>
      <c r="AI880" s="85"/>
      <c r="AJ880" s="84"/>
      <c r="AK880" s="85"/>
      <c r="AL880" s="84"/>
      <c r="AM880" s="88"/>
      <c r="AN880" s="84"/>
      <c r="AO880" s="85"/>
      <c r="AP880" s="84"/>
      <c r="AQ880" s="83"/>
      <c r="AR880" s="83"/>
      <c r="AS880" s="83"/>
      <c r="AT880" s="85"/>
      <c r="AU880" s="85"/>
      <c r="AV880" s="85"/>
      <c r="AW880" s="88"/>
      <c r="AX880" s="84"/>
      <c r="AY880" s="85"/>
      <c r="AZ880" s="84">
        <v>32.148949999999999</v>
      </c>
      <c r="BA880" s="85">
        <v>29.113499999999998</v>
      </c>
      <c r="BB880" s="88"/>
      <c r="BC880" s="85"/>
      <c r="BD880" s="84"/>
      <c r="BE880" s="88"/>
      <c r="BF880" s="85"/>
      <c r="BG880" s="85"/>
      <c r="BH880" s="85"/>
      <c r="BI880" s="85"/>
      <c r="BJ880" s="85"/>
      <c r="BK880" s="85"/>
      <c r="BL880" s="85"/>
      <c r="BM880" s="85"/>
      <c r="BN880" s="85"/>
      <c r="BO880" s="85"/>
      <c r="BP880" s="85"/>
      <c r="BQ880" s="85"/>
      <c r="BR880" s="84"/>
      <c r="BS880" s="85"/>
      <c r="BT880" s="85"/>
      <c r="BU880" s="198"/>
      <c r="BV880" s="90"/>
      <c r="BW880" s="198"/>
      <c r="BX880" s="90"/>
      <c r="BY880" s="198"/>
      <c r="BZ880" s="90"/>
      <c r="CA880" s="91"/>
    </row>
    <row r="881" spans="1:79" ht="50.1" customHeight="1" outlineLevel="2" x14ac:dyDescent="0.3">
      <c r="A881" s="106" t="s">
        <v>755</v>
      </c>
      <c r="B881" s="96" t="s">
        <v>769</v>
      </c>
      <c r="C881" s="79" t="s">
        <v>55</v>
      </c>
      <c r="D881" s="81">
        <f t="shared" si="203"/>
        <v>126.69973999999999</v>
      </c>
      <c r="E881" s="82">
        <f t="shared" si="196"/>
        <v>40.767209999999999</v>
      </c>
      <c r="F881" s="83">
        <f t="shared" si="197"/>
        <v>85.93253</v>
      </c>
      <c r="G881" s="84"/>
      <c r="H881" s="85"/>
      <c r="I881" s="85"/>
      <c r="J881" s="84"/>
      <c r="K881" s="85"/>
      <c r="L881" s="85"/>
      <c r="M881" s="85"/>
      <c r="N881" s="85"/>
      <c r="O881" s="82"/>
      <c r="P881" s="83"/>
      <c r="Q881" s="83"/>
      <c r="R881" s="83"/>
      <c r="S881" s="82"/>
      <c r="T881" s="83"/>
      <c r="U881" s="83"/>
      <c r="V881" s="84"/>
      <c r="W881" s="85"/>
      <c r="X881" s="87"/>
      <c r="Y881" s="83">
        <v>28.08</v>
      </c>
      <c r="Z881" s="84"/>
      <c r="AA881" s="85"/>
      <c r="AB881" s="84"/>
      <c r="AC881" s="85"/>
      <c r="AD881" s="89">
        <f t="shared" si="198"/>
        <v>20.934519999999999</v>
      </c>
      <c r="AE881" s="89">
        <v>14.124599999999999</v>
      </c>
      <c r="AF881" s="186">
        <v>6.80992</v>
      </c>
      <c r="AG881" s="85"/>
      <c r="AH881" s="85"/>
      <c r="AI881" s="85"/>
      <c r="AJ881" s="84"/>
      <c r="AK881" s="85"/>
      <c r="AL881" s="84"/>
      <c r="AM881" s="88"/>
      <c r="AN881" s="84"/>
      <c r="AO881" s="85"/>
      <c r="AP881" s="84"/>
      <c r="AQ881" s="83"/>
      <c r="AR881" s="83"/>
      <c r="AS881" s="83"/>
      <c r="AT881" s="85"/>
      <c r="AU881" s="85"/>
      <c r="AV881" s="85"/>
      <c r="AW881" s="88"/>
      <c r="AX881" s="84"/>
      <c r="AY881" s="85"/>
      <c r="AZ881" s="84">
        <v>40.767209999999999</v>
      </c>
      <c r="BA881" s="85">
        <v>36.918010000000002</v>
      </c>
      <c r="BB881" s="88"/>
      <c r="BC881" s="85"/>
      <c r="BD881" s="84"/>
      <c r="BE881" s="88"/>
      <c r="BF881" s="85"/>
      <c r="BG881" s="85"/>
      <c r="BH881" s="85"/>
      <c r="BI881" s="85"/>
      <c r="BJ881" s="85"/>
      <c r="BK881" s="85"/>
      <c r="BL881" s="85"/>
      <c r="BM881" s="85"/>
      <c r="BN881" s="85"/>
      <c r="BO881" s="85"/>
      <c r="BP881" s="85"/>
      <c r="BQ881" s="85"/>
      <c r="BR881" s="84"/>
      <c r="BS881" s="85"/>
      <c r="BT881" s="85"/>
      <c r="BU881" s="198"/>
      <c r="BV881" s="90"/>
      <c r="BW881" s="198"/>
      <c r="BX881" s="90"/>
      <c r="BY881" s="198"/>
      <c r="BZ881" s="90"/>
      <c r="CA881" s="91"/>
    </row>
    <row r="882" spans="1:79" ht="50.1" customHeight="1" outlineLevel="2" x14ac:dyDescent="0.3">
      <c r="A882" s="106" t="s">
        <v>755</v>
      </c>
      <c r="B882" s="96" t="s">
        <v>770</v>
      </c>
      <c r="C882" s="79" t="s">
        <v>55</v>
      </c>
      <c r="D882" s="81">
        <f t="shared" si="203"/>
        <v>424.32781999999997</v>
      </c>
      <c r="E882" s="82">
        <f t="shared" si="196"/>
        <v>243.65868</v>
      </c>
      <c r="F882" s="83">
        <f t="shared" si="197"/>
        <v>180.66914</v>
      </c>
      <c r="G882" s="84"/>
      <c r="H882" s="85"/>
      <c r="I882" s="85"/>
      <c r="J882" s="84"/>
      <c r="K882" s="85"/>
      <c r="L882" s="85"/>
      <c r="M882" s="85"/>
      <c r="N882" s="85"/>
      <c r="O882" s="82"/>
      <c r="P882" s="83"/>
      <c r="Q882" s="83"/>
      <c r="R882" s="83"/>
      <c r="S882" s="82"/>
      <c r="T882" s="83"/>
      <c r="U882" s="83"/>
      <c r="V882" s="84"/>
      <c r="W882" s="85"/>
      <c r="X882" s="87"/>
      <c r="Y882" s="83">
        <v>9.048</v>
      </c>
      <c r="Z882" s="84"/>
      <c r="AA882" s="85"/>
      <c r="AB882" s="84"/>
      <c r="AC882" s="85"/>
      <c r="AD882" s="89">
        <f t="shared" si="198"/>
        <v>0</v>
      </c>
      <c r="AE882" s="89"/>
      <c r="AF882" s="186"/>
      <c r="AG882" s="85"/>
      <c r="AH882" s="85"/>
      <c r="AI882" s="85"/>
      <c r="AJ882" s="84"/>
      <c r="AK882" s="85"/>
      <c r="AL882" s="84"/>
      <c r="AM882" s="88"/>
      <c r="AN882" s="84"/>
      <c r="AO882" s="85"/>
      <c r="AP882" s="84"/>
      <c r="AQ882" s="83"/>
      <c r="AR882" s="83"/>
      <c r="AS882" s="83"/>
      <c r="AT882" s="85"/>
      <c r="AU882" s="85"/>
      <c r="AV882" s="85"/>
      <c r="AW882" s="88"/>
      <c r="AX882" s="84"/>
      <c r="AY882" s="85"/>
      <c r="AZ882" s="84">
        <v>243.65868</v>
      </c>
      <c r="BA882" s="85">
        <v>171.62114</v>
      </c>
      <c r="BB882" s="88"/>
      <c r="BC882" s="85"/>
      <c r="BD882" s="84"/>
      <c r="BE882" s="88"/>
      <c r="BF882" s="85"/>
      <c r="BG882" s="85"/>
      <c r="BH882" s="85"/>
      <c r="BI882" s="85"/>
      <c r="BJ882" s="85"/>
      <c r="BK882" s="85"/>
      <c r="BL882" s="85"/>
      <c r="BM882" s="85"/>
      <c r="BN882" s="85"/>
      <c r="BO882" s="85"/>
      <c r="BP882" s="85"/>
      <c r="BQ882" s="85"/>
      <c r="BR882" s="84"/>
      <c r="BS882" s="85"/>
      <c r="BT882" s="85"/>
      <c r="BU882" s="198"/>
      <c r="BV882" s="90"/>
      <c r="BW882" s="198"/>
      <c r="BX882" s="90"/>
      <c r="BY882" s="198"/>
      <c r="BZ882" s="90"/>
      <c r="CA882" s="91"/>
    </row>
    <row r="883" spans="1:79" ht="50.1" customHeight="1" outlineLevel="2" x14ac:dyDescent="0.3">
      <c r="A883" s="106" t="s">
        <v>755</v>
      </c>
      <c r="B883" s="96" t="s">
        <v>1049</v>
      </c>
      <c r="C883" s="79" t="s">
        <v>55</v>
      </c>
      <c r="D883" s="81">
        <f t="shared" si="203"/>
        <v>3374.2919999999999</v>
      </c>
      <c r="E883" s="82">
        <f t="shared" si="196"/>
        <v>0</v>
      </c>
      <c r="F883" s="83">
        <f t="shared" si="197"/>
        <v>3374.2919999999999</v>
      </c>
      <c r="G883" s="84"/>
      <c r="H883" s="85"/>
      <c r="I883" s="85"/>
      <c r="J883" s="84"/>
      <c r="K883" s="85"/>
      <c r="L883" s="85"/>
      <c r="M883" s="85"/>
      <c r="N883" s="85"/>
      <c r="O883" s="82"/>
      <c r="P883" s="83"/>
      <c r="Q883" s="83"/>
      <c r="R883" s="83"/>
      <c r="S883" s="82"/>
      <c r="T883" s="83"/>
      <c r="U883" s="83"/>
      <c r="V883" s="84"/>
      <c r="W883" s="85"/>
      <c r="X883" s="87"/>
      <c r="Y883" s="83"/>
      <c r="Z883" s="84"/>
      <c r="AA883" s="85"/>
      <c r="AB883" s="84"/>
      <c r="AC883" s="85"/>
      <c r="AD883" s="89">
        <f t="shared" si="198"/>
        <v>0</v>
      </c>
      <c r="AE883" s="89"/>
      <c r="AF883" s="186"/>
      <c r="AG883" s="85"/>
      <c r="AH883" s="85"/>
      <c r="AI883" s="85"/>
      <c r="AJ883" s="84"/>
      <c r="AK883" s="85"/>
      <c r="AL883" s="84"/>
      <c r="AM883" s="88"/>
      <c r="AN883" s="84"/>
      <c r="AO883" s="85"/>
      <c r="AP883" s="84"/>
      <c r="AQ883" s="83"/>
      <c r="AR883" s="83"/>
      <c r="AS883" s="83"/>
      <c r="AT883" s="85"/>
      <c r="AU883" s="85"/>
      <c r="AV883" s="85"/>
      <c r="AW883" s="88"/>
      <c r="AX883" s="84"/>
      <c r="AY883" s="85"/>
      <c r="AZ883" s="84"/>
      <c r="BA883" s="85"/>
      <c r="BB883" s="88"/>
      <c r="BC883" s="85"/>
      <c r="BD883" s="84"/>
      <c r="BE883" s="88"/>
      <c r="BF883" s="85"/>
      <c r="BG883" s="85">
        <v>3374.2919999999999</v>
      </c>
      <c r="BH883" s="85"/>
      <c r="BI883" s="85"/>
      <c r="BJ883" s="85"/>
      <c r="BK883" s="85"/>
      <c r="BL883" s="85"/>
      <c r="BM883" s="85"/>
      <c r="BN883" s="85"/>
      <c r="BO883" s="85"/>
      <c r="BP883" s="85"/>
      <c r="BQ883" s="85"/>
      <c r="BR883" s="84"/>
      <c r="BS883" s="85"/>
      <c r="BT883" s="85"/>
      <c r="BU883" s="198"/>
      <c r="BV883" s="90"/>
      <c r="BW883" s="198"/>
      <c r="BX883" s="90"/>
      <c r="BY883" s="198"/>
      <c r="BZ883" s="90"/>
      <c r="CA883" s="91"/>
    </row>
    <row r="884" spans="1:79" ht="50.1" customHeight="1" outlineLevel="2" x14ac:dyDescent="0.3">
      <c r="A884" s="106" t="s">
        <v>755</v>
      </c>
      <c r="B884" s="96" t="s">
        <v>1161</v>
      </c>
      <c r="C884" s="79" t="s">
        <v>55</v>
      </c>
      <c r="D884" s="81">
        <f t="shared" si="203"/>
        <v>13.728</v>
      </c>
      <c r="E884" s="82">
        <f t="shared" si="196"/>
        <v>0</v>
      </c>
      <c r="F884" s="83">
        <f t="shared" si="197"/>
        <v>13.728</v>
      </c>
      <c r="G884" s="84"/>
      <c r="H884" s="85"/>
      <c r="I884" s="85"/>
      <c r="J884" s="84"/>
      <c r="K884" s="85"/>
      <c r="L884" s="85"/>
      <c r="M884" s="85"/>
      <c r="N884" s="85"/>
      <c r="O884" s="82"/>
      <c r="P884" s="83"/>
      <c r="Q884" s="83"/>
      <c r="R884" s="83"/>
      <c r="S884" s="82"/>
      <c r="T884" s="83"/>
      <c r="U884" s="83"/>
      <c r="V884" s="84"/>
      <c r="W884" s="85"/>
      <c r="X884" s="87"/>
      <c r="Y884" s="83">
        <v>13.728</v>
      </c>
      <c r="Z884" s="84"/>
      <c r="AA884" s="85"/>
      <c r="AB884" s="84"/>
      <c r="AC884" s="85"/>
      <c r="AD884" s="89"/>
      <c r="AE884" s="89"/>
      <c r="AF884" s="186"/>
      <c r="AG884" s="85"/>
      <c r="AH884" s="85"/>
      <c r="AI884" s="85"/>
      <c r="AJ884" s="84"/>
      <c r="AK884" s="85"/>
      <c r="AL884" s="84"/>
      <c r="AM884" s="88"/>
      <c r="AN884" s="84"/>
      <c r="AO884" s="85"/>
      <c r="AP884" s="84"/>
      <c r="AQ884" s="83"/>
      <c r="AR884" s="83"/>
      <c r="AS884" s="83"/>
      <c r="AT884" s="85"/>
      <c r="AU884" s="85"/>
      <c r="AV884" s="85"/>
      <c r="AW884" s="88"/>
      <c r="AX884" s="84"/>
      <c r="AY884" s="85"/>
      <c r="AZ884" s="84"/>
      <c r="BA884" s="85"/>
      <c r="BB884" s="88"/>
      <c r="BC884" s="85"/>
      <c r="BD884" s="84"/>
      <c r="BE884" s="88"/>
      <c r="BF884" s="85"/>
      <c r="BG884" s="85"/>
      <c r="BH884" s="85"/>
      <c r="BI884" s="85"/>
      <c r="BJ884" s="85"/>
      <c r="BK884" s="85"/>
      <c r="BL884" s="85"/>
      <c r="BM884" s="85"/>
      <c r="BN884" s="85"/>
      <c r="BO884" s="85"/>
      <c r="BP884" s="85"/>
      <c r="BQ884" s="85"/>
      <c r="BR884" s="84"/>
      <c r="BS884" s="85"/>
      <c r="BT884" s="85"/>
      <c r="BU884" s="198"/>
      <c r="BV884" s="90"/>
      <c r="BW884" s="198"/>
      <c r="BX884" s="90"/>
      <c r="BY884" s="198"/>
      <c r="BZ884" s="90"/>
      <c r="CA884" s="91"/>
    </row>
    <row r="885" spans="1:79" ht="50.1" customHeight="1" outlineLevel="2" x14ac:dyDescent="0.3">
      <c r="A885" s="106" t="s">
        <v>755</v>
      </c>
      <c r="B885" s="96" t="s">
        <v>771</v>
      </c>
      <c r="C885" s="79" t="s">
        <v>55</v>
      </c>
      <c r="D885" s="81">
        <f t="shared" si="203"/>
        <v>36.009100000000004</v>
      </c>
      <c r="E885" s="82">
        <f t="shared" si="196"/>
        <v>11.672190000000001</v>
      </c>
      <c r="F885" s="83">
        <f t="shared" si="197"/>
        <v>24.33691</v>
      </c>
      <c r="G885" s="84"/>
      <c r="H885" s="85"/>
      <c r="I885" s="85"/>
      <c r="J885" s="84"/>
      <c r="K885" s="85"/>
      <c r="L885" s="85"/>
      <c r="M885" s="85"/>
      <c r="N885" s="85"/>
      <c r="O885" s="82"/>
      <c r="P885" s="83"/>
      <c r="Q885" s="83"/>
      <c r="R885" s="83"/>
      <c r="S885" s="82"/>
      <c r="T885" s="83"/>
      <c r="U885" s="83"/>
      <c r="V885" s="84"/>
      <c r="W885" s="85"/>
      <c r="X885" s="87"/>
      <c r="Y885" s="83">
        <v>9.6720000000000006</v>
      </c>
      <c r="Z885" s="84"/>
      <c r="AA885" s="85"/>
      <c r="AB885" s="84"/>
      <c r="AC885" s="85"/>
      <c r="AD885" s="89">
        <f t="shared" si="198"/>
        <v>4.0947899999999997</v>
      </c>
      <c r="AE885" s="89">
        <v>2.1490999999999998</v>
      </c>
      <c r="AF885" s="186">
        <v>1.9456899999999999</v>
      </c>
      <c r="AG885" s="85"/>
      <c r="AH885" s="85"/>
      <c r="AI885" s="85"/>
      <c r="AJ885" s="84"/>
      <c r="AK885" s="85"/>
      <c r="AL885" s="84"/>
      <c r="AM885" s="88"/>
      <c r="AN885" s="84"/>
      <c r="AO885" s="85"/>
      <c r="AP885" s="84"/>
      <c r="AQ885" s="83"/>
      <c r="AR885" s="83"/>
      <c r="AS885" s="83"/>
      <c r="AT885" s="85"/>
      <c r="AU885" s="85"/>
      <c r="AV885" s="85"/>
      <c r="AW885" s="88"/>
      <c r="AX885" s="84"/>
      <c r="AY885" s="85"/>
      <c r="AZ885" s="84">
        <v>11.672190000000001</v>
      </c>
      <c r="BA885" s="85">
        <v>10.570119999999999</v>
      </c>
      <c r="BB885" s="88"/>
      <c r="BC885" s="85"/>
      <c r="BD885" s="84"/>
      <c r="BE885" s="88"/>
      <c r="BF885" s="85"/>
      <c r="BG885" s="85"/>
      <c r="BH885" s="85"/>
      <c r="BI885" s="85"/>
      <c r="BJ885" s="85"/>
      <c r="BK885" s="85"/>
      <c r="BL885" s="85"/>
      <c r="BM885" s="85"/>
      <c r="BN885" s="85"/>
      <c r="BO885" s="85"/>
      <c r="BP885" s="85"/>
      <c r="BQ885" s="85"/>
      <c r="BR885" s="84"/>
      <c r="BS885" s="85"/>
      <c r="BT885" s="85"/>
      <c r="BU885" s="198"/>
      <c r="BV885" s="90"/>
      <c r="BW885" s="198"/>
      <c r="BX885" s="90"/>
      <c r="BY885" s="198"/>
      <c r="BZ885" s="90"/>
      <c r="CA885" s="91"/>
    </row>
    <row r="886" spans="1:79" ht="50.1" customHeight="1" outlineLevel="2" x14ac:dyDescent="0.3">
      <c r="A886" s="106" t="s">
        <v>1259</v>
      </c>
      <c r="B886" s="96" t="s">
        <v>772</v>
      </c>
      <c r="C886" s="79" t="s">
        <v>55</v>
      </c>
      <c r="D886" s="81">
        <f t="shared" si="203"/>
        <v>241.10361999999998</v>
      </c>
      <c r="E886" s="82">
        <f t="shared" si="196"/>
        <v>63.356939999999994</v>
      </c>
      <c r="F886" s="83">
        <f t="shared" si="197"/>
        <v>177.74667999999997</v>
      </c>
      <c r="G886" s="84"/>
      <c r="H886" s="85"/>
      <c r="I886" s="85"/>
      <c r="J886" s="84"/>
      <c r="K886" s="85"/>
      <c r="L886" s="85"/>
      <c r="M886" s="85"/>
      <c r="N886" s="85"/>
      <c r="O886" s="82"/>
      <c r="P886" s="83"/>
      <c r="Q886" s="83"/>
      <c r="R886" s="83"/>
      <c r="S886" s="82"/>
      <c r="T886" s="83"/>
      <c r="U886" s="83"/>
      <c r="V886" s="84">
        <v>48.709499999999998</v>
      </c>
      <c r="W886" s="85">
        <v>85.05</v>
      </c>
      <c r="X886" s="87"/>
      <c r="Y886" s="83">
        <v>74.567999999999998</v>
      </c>
      <c r="Z886" s="84"/>
      <c r="AA886" s="85"/>
      <c r="AB886" s="84"/>
      <c r="AC886" s="85"/>
      <c r="AD886" s="89">
        <f t="shared" si="198"/>
        <v>4.8642200000000004</v>
      </c>
      <c r="AE886" s="89"/>
      <c r="AF886" s="186">
        <v>4.8642200000000004</v>
      </c>
      <c r="AG886" s="85"/>
      <c r="AH886" s="85"/>
      <c r="AI886" s="85"/>
      <c r="AJ886" s="84"/>
      <c r="AK886" s="85"/>
      <c r="AL886" s="84"/>
      <c r="AM886" s="88"/>
      <c r="AN886" s="84"/>
      <c r="AO886" s="85"/>
      <c r="AP886" s="84"/>
      <c r="AQ886" s="83"/>
      <c r="AR886" s="83"/>
      <c r="AS886" s="83"/>
      <c r="AT886" s="85"/>
      <c r="AU886" s="85"/>
      <c r="AV886" s="85"/>
      <c r="AW886" s="88"/>
      <c r="AX886" s="84"/>
      <c r="AY886" s="85"/>
      <c r="AZ886" s="84">
        <v>14.64744</v>
      </c>
      <c r="BA886" s="85">
        <v>13.26446</v>
      </c>
      <c r="BB886" s="88"/>
      <c r="BC886" s="85"/>
      <c r="BD886" s="84"/>
      <c r="BE886" s="88"/>
      <c r="BF886" s="85"/>
      <c r="BG886" s="85"/>
      <c r="BH886" s="85"/>
      <c r="BI886" s="85"/>
      <c r="BJ886" s="85"/>
      <c r="BK886" s="85"/>
      <c r="BL886" s="85"/>
      <c r="BM886" s="85"/>
      <c r="BN886" s="85"/>
      <c r="BO886" s="85"/>
      <c r="BP886" s="85"/>
      <c r="BQ886" s="85"/>
      <c r="BR886" s="84"/>
      <c r="BS886" s="85"/>
      <c r="BT886" s="85"/>
      <c r="BU886" s="198"/>
      <c r="BV886" s="90"/>
      <c r="BW886" s="198"/>
      <c r="BX886" s="90"/>
      <c r="BY886" s="198"/>
      <c r="BZ886" s="90"/>
      <c r="CA886" s="91"/>
    </row>
    <row r="887" spans="1:79" ht="50.1" customHeight="1" outlineLevel="2" x14ac:dyDescent="0.3">
      <c r="A887" s="106" t="s">
        <v>755</v>
      </c>
      <c r="B887" s="96" t="s">
        <v>773</v>
      </c>
      <c r="C887" s="79" t="s">
        <v>55</v>
      </c>
      <c r="D887" s="81">
        <f t="shared" si="203"/>
        <v>26.588420000000003</v>
      </c>
      <c r="E887" s="82">
        <f t="shared" si="196"/>
        <v>8.7135700000000007</v>
      </c>
      <c r="F887" s="83">
        <f t="shared" si="197"/>
        <v>17.874850000000002</v>
      </c>
      <c r="G887" s="84"/>
      <c r="H887" s="85"/>
      <c r="I887" s="85"/>
      <c r="J887" s="84"/>
      <c r="K887" s="85"/>
      <c r="L887" s="85"/>
      <c r="M887" s="85"/>
      <c r="N887" s="79"/>
      <c r="O887" s="138"/>
      <c r="P887" s="79"/>
      <c r="Q887" s="79"/>
      <c r="R887" s="79"/>
      <c r="S887" s="138"/>
      <c r="T887" s="79"/>
      <c r="U887" s="83"/>
      <c r="V887" s="84"/>
      <c r="W887" s="85"/>
      <c r="X887" s="87"/>
      <c r="Y887" s="83">
        <v>9.984</v>
      </c>
      <c r="Z887" s="84"/>
      <c r="AA887" s="85"/>
      <c r="AB887" s="84"/>
      <c r="AC887" s="85"/>
      <c r="AD887" s="89">
        <f t="shared" si="198"/>
        <v>0</v>
      </c>
      <c r="AE887" s="83"/>
      <c r="AF887" s="123"/>
      <c r="AG887" s="85"/>
      <c r="AH887" s="85"/>
      <c r="AI887" s="85"/>
      <c r="AJ887" s="84"/>
      <c r="AK887" s="85"/>
      <c r="AL887" s="84"/>
      <c r="AM887" s="85"/>
      <c r="AN887" s="84"/>
      <c r="AO887" s="85"/>
      <c r="AP887" s="84"/>
      <c r="AQ887" s="83"/>
      <c r="AR887" s="83"/>
      <c r="AS887" s="83"/>
      <c r="AT887" s="85"/>
      <c r="AU887" s="85"/>
      <c r="AV887" s="85"/>
      <c r="AW887" s="85"/>
      <c r="AX887" s="84"/>
      <c r="AY887" s="85"/>
      <c r="AZ887" s="84">
        <v>8.7135700000000007</v>
      </c>
      <c r="BA887" s="85">
        <v>7.8908500000000004</v>
      </c>
      <c r="BB887" s="85"/>
      <c r="BC887" s="85"/>
      <c r="BD887" s="85"/>
      <c r="BE887" s="85"/>
      <c r="BF887" s="85"/>
      <c r="BG887" s="85"/>
      <c r="BH887" s="85"/>
      <c r="BI887" s="85"/>
      <c r="BJ887" s="85"/>
      <c r="BK887" s="85"/>
      <c r="BL887" s="85"/>
      <c r="BM887" s="85"/>
      <c r="BN887" s="85"/>
      <c r="BO887" s="85"/>
      <c r="BP887" s="85"/>
      <c r="BQ887" s="85"/>
      <c r="BR887" s="84"/>
      <c r="BS887" s="85"/>
      <c r="BT887" s="85"/>
      <c r="BU887" s="198"/>
      <c r="BV887" s="90"/>
      <c r="BW887" s="198"/>
      <c r="BX887" s="90"/>
      <c r="BY887" s="198"/>
      <c r="BZ887" s="90"/>
      <c r="CA887" s="91"/>
    </row>
    <row r="888" spans="1:79" ht="50.1" customHeight="1" outlineLevel="2" x14ac:dyDescent="0.3">
      <c r="A888" s="106" t="s">
        <v>755</v>
      </c>
      <c r="B888" s="96" t="s">
        <v>774</v>
      </c>
      <c r="C888" s="79" t="s">
        <v>55</v>
      </c>
      <c r="D888" s="81">
        <f t="shared" si="203"/>
        <v>265.38772000000006</v>
      </c>
      <c r="E888" s="82">
        <f t="shared" si="196"/>
        <v>82.270360000000011</v>
      </c>
      <c r="F888" s="83">
        <f t="shared" si="197"/>
        <v>183.11736000000002</v>
      </c>
      <c r="G888" s="84"/>
      <c r="H888" s="85"/>
      <c r="I888" s="85"/>
      <c r="J888" s="84"/>
      <c r="K888" s="85"/>
      <c r="L888" s="85"/>
      <c r="M888" s="85"/>
      <c r="N888" s="85"/>
      <c r="O888" s="82"/>
      <c r="P888" s="83"/>
      <c r="Q888" s="83"/>
      <c r="R888" s="83"/>
      <c r="S888" s="82"/>
      <c r="T888" s="83"/>
      <c r="U888" s="83"/>
      <c r="V888" s="84">
        <v>51.029000000000003</v>
      </c>
      <c r="W888" s="85">
        <v>89.1</v>
      </c>
      <c r="X888" s="87"/>
      <c r="Y888" s="83">
        <v>48.984000000000002</v>
      </c>
      <c r="Z888" s="84"/>
      <c r="AA888" s="85"/>
      <c r="AB888" s="84"/>
      <c r="AC888" s="85"/>
      <c r="AD888" s="89">
        <f t="shared" si="198"/>
        <v>16.741779999999999</v>
      </c>
      <c r="AE888" s="83">
        <v>2.1490999999999998</v>
      </c>
      <c r="AF888" s="123">
        <v>14.59268</v>
      </c>
      <c r="AG888" s="85"/>
      <c r="AH888" s="85"/>
      <c r="AI888" s="85"/>
      <c r="AJ888" s="84"/>
      <c r="AK888" s="85"/>
      <c r="AL888" s="84"/>
      <c r="AM888" s="85"/>
      <c r="AN888" s="84"/>
      <c r="AO888" s="85"/>
      <c r="AP888" s="84"/>
      <c r="AQ888" s="83"/>
      <c r="AR888" s="83"/>
      <c r="AS888" s="83"/>
      <c r="AT888" s="85"/>
      <c r="AU888" s="85"/>
      <c r="AV888" s="85"/>
      <c r="AW888" s="85"/>
      <c r="AX888" s="84"/>
      <c r="AY888" s="85"/>
      <c r="AZ888" s="84">
        <v>31.24136</v>
      </c>
      <c r="BA888" s="85">
        <v>28.29158</v>
      </c>
      <c r="BB888" s="85"/>
      <c r="BC888" s="85"/>
      <c r="BD888" s="85"/>
      <c r="BE888" s="85"/>
      <c r="BF888" s="85"/>
      <c r="BG888" s="85"/>
      <c r="BH888" s="85"/>
      <c r="BI888" s="85"/>
      <c r="BJ888" s="85"/>
      <c r="BK888" s="85"/>
      <c r="BL888" s="85"/>
      <c r="BM888" s="85"/>
      <c r="BN888" s="85"/>
      <c r="BO888" s="85"/>
      <c r="BP888" s="85"/>
      <c r="BQ888" s="85"/>
      <c r="BR888" s="84"/>
      <c r="BS888" s="85"/>
      <c r="BT888" s="85"/>
      <c r="BU888" s="198"/>
      <c r="BV888" s="90"/>
      <c r="BW888" s="198"/>
      <c r="BX888" s="90"/>
      <c r="BY888" s="198"/>
      <c r="BZ888" s="90"/>
      <c r="CA888" s="91"/>
    </row>
    <row r="889" spans="1:79" ht="50.1" customHeight="1" outlineLevel="2" x14ac:dyDescent="0.3">
      <c r="A889" s="106" t="s">
        <v>755</v>
      </c>
      <c r="B889" s="96" t="s">
        <v>775</v>
      </c>
      <c r="C889" s="79" t="s">
        <v>53</v>
      </c>
      <c r="D889" s="81">
        <f t="shared" si="203"/>
        <v>164.21555000000001</v>
      </c>
      <c r="E889" s="82">
        <f t="shared" si="196"/>
        <v>63.242640000000002</v>
      </c>
      <c r="F889" s="83">
        <f t="shared" si="197"/>
        <v>100.97291</v>
      </c>
      <c r="G889" s="84"/>
      <c r="H889" s="85"/>
      <c r="I889" s="85"/>
      <c r="J889" s="84"/>
      <c r="K889" s="85"/>
      <c r="L889" s="85"/>
      <c r="M889" s="85"/>
      <c r="N889" s="85"/>
      <c r="O889" s="82"/>
      <c r="P889" s="83"/>
      <c r="Q889" s="83"/>
      <c r="R889" s="83"/>
      <c r="S889" s="82"/>
      <c r="T889" s="83"/>
      <c r="U889" s="83"/>
      <c r="V889" s="84"/>
      <c r="W889" s="85"/>
      <c r="X889" s="87"/>
      <c r="Y889" s="83">
        <v>31.824000000000002</v>
      </c>
      <c r="Z889" s="84"/>
      <c r="AA889" s="85"/>
      <c r="AB889" s="84"/>
      <c r="AC889" s="85"/>
      <c r="AD889" s="89">
        <f t="shared" si="198"/>
        <v>11.877549999999999</v>
      </c>
      <c r="AE889" s="89">
        <v>2.1490999999999998</v>
      </c>
      <c r="AF889" s="186">
        <v>9.7284500000000005</v>
      </c>
      <c r="AG889" s="85"/>
      <c r="AH889" s="85"/>
      <c r="AI889" s="85"/>
      <c r="AJ889" s="84"/>
      <c r="AK889" s="85"/>
      <c r="AL889" s="84"/>
      <c r="AM889" s="88"/>
      <c r="AN889" s="84"/>
      <c r="AO889" s="85"/>
      <c r="AP889" s="84"/>
      <c r="AQ889" s="83"/>
      <c r="AR889" s="83"/>
      <c r="AS889" s="83"/>
      <c r="AT889" s="85"/>
      <c r="AU889" s="85"/>
      <c r="AV889" s="85"/>
      <c r="AW889" s="88"/>
      <c r="AX889" s="84"/>
      <c r="AY889" s="85"/>
      <c r="AZ889" s="84">
        <v>63.242640000000002</v>
      </c>
      <c r="BA889" s="85">
        <v>57.271360000000001</v>
      </c>
      <c r="BB889" s="88"/>
      <c r="BC889" s="85"/>
      <c r="BD889" s="84"/>
      <c r="BE889" s="88"/>
      <c r="BF889" s="85"/>
      <c r="BG889" s="85"/>
      <c r="BH889" s="85"/>
      <c r="BI889" s="85"/>
      <c r="BJ889" s="85"/>
      <c r="BK889" s="85"/>
      <c r="BL889" s="85"/>
      <c r="BM889" s="85"/>
      <c r="BN889" s="85"/>
      <c r="BO889" s="85"/>
      <c r="BP889" s="85"/>
      <c r="BQ889" s="85"/>
      <c r="BR889" s="84"/>
      <c r="BS889" s="85"/>
      <c r="BT889" s="85"/>
      <c r="BU889" s="198"/>
      <c r="BV889" s="90"/>
      <c r="BW889" s="198"/>
      <c r="BX889" s="90"/>
      <c r="BY889" s="198"/>
      <c r="BZ889" s="90"/>
      <c r="CA889" s="91"/>
    </row>
    <row r="890" spans="1:79" ht="50.1" customHeight="1" outlineLevel="2" x14ac:dyDescent="0.3">
      <c r="A890" s="106" t="s">
        <v>755</v>
      </c>
      <c r="B890" s="96" t="s">
        <v>1066</v>
      </c>
      <c r="C890" s="79" t="s">
        <v>55</v>
      </c>
      <c r="D890" s="81">
        <f t="shared" si="203"/>
        <v>40.56</v>
      </c>
      <c r="E890" s="82">
        <f t="shared" si="196"/>
        <v>0</v>
      </c>
      <c r="F890" s="83">
        <f t="shared" si="197"/>
        <v>40.56</v>
      </c>
      <c r="G890" s="84"/>
      <c r="H890" s="85"/>
      <c r="I890" s="85"/>
      <c r="J890" s="84"/>
      <c r="K890" s="85"/>
      <c r="L890" s="85"/>
      <c r="M890" s="85"/>
      <c r="N890" s="85"/>
      <c r="O890" s="82"/>
      <c r="P890" s="83"/>
      <c r="Q890" s="83"/>
      <c r="R890" s="83"/>
      <c r="S890" s="82"/>
      <c r="T890" s="83"/>
      <c r="U890" s="83"/>
      <c r="V890" s="84"/>
      <c r="W890" s="85"/>
      <c r="X890" s="87"/>
      <c r="Y890" s="83">
        <v>40.56</v>
      </c>
      <c r="Z890" s="84"/>
      <c r="AA890" s="85"/>
      <c r="AB890" s="84"/>
      <c r="AC890" s="85"/>
      <c r="AD890" s="89"/>
      <c r="AE890" s="89"/>
      <c r="AF890" s="186"/>
      <c r="AG890" s="85"/>
      <c r="AH890" s="85"/>
      <c r="AI890" s="85"/>
      <c r="AJ890" s="84"/>
      <c r="AK890" s="85"/>
      <c r="AL890" s="84"/>
      <c r="AM890" s="88"/>
      <c r="AN890" s="84"/>
      <c r="AO890" s="85"/>
      <c r="AP890" s="84"/>
      <c r="AQ890" s="83"/>
      <c r="AR890" s="83"/>
      <c r="AS890" s="83"/>
      <c r="AT890" s="85"/>
      <c r="AU890" s="85"/>
      <c r="AV890" s="85"/>
      <c r="AW890" s="88"/>
      <c r="AX890" s="84"/>
      <c r="AY890" s="85"/>
      <c r="AZ890" s="84"/>
      <c r="BA890" s="85"/>
      <c r="BB890" s="88"/>
      <c r="BC890" s="85"/>
      <c r="BD890" s="84"/>
      <c r="BE890" s="88"/>
      <c r="BF890" s="85"/>
      <c r="BG890" s="85"/>
      <c r="BH890" s="85"/>
      <c r="BI890" s="85"/>
      <c r="BJ890" s="85"/>
      <c r="BK890" s="85"/>
      <c r="BL890" s="85"/>
      <c r="BM890" s="85"/>
      <c r="BN890" s="85"/>
      <c r="BO890" s="85"/>
      <c r="BP890" s="85"/>
      <c r="BQ890" s="85"/>
      <c r="BR890" s="84"/>
      <c r="BS890" s="85"/>
      <c r="BT890" s="85"/>
      <c r="BU890" s="198"/>
      <c r="BV890" s="90"/>
      <c r="BW890" s="198"/>
      <c r="BX890" s="90"/>
      <c r="BY890" s="198"/>
      <c r="BZ890" s="90"/>
      <c r="CA890" s="91"/>
    </row>
    <row r="891" spans="1:79" ht="50.1" customHeight="1" outlineLevel="2" x14ac:dyDescent="0.3">
      <c r="A891" s="106" t="s">
        <v>755</v>
      </c>
      <c r="B891" s="96" t="s">
        <v>776</v>
      </c>
      <c r="C891" s="79" t="s">
        <v>89</v>
      </c>
      <c r="D891" s="81">
        <f t="shared" si="203"/>
        <v>1271.29619</v>
      </c>
      <c r="E891" s="82">
        <f t="shared" si="196"/>
        <v>0</v>
      </c>
      <c r="F891" s="83">
        <f t="shared" si="197"/>
        <v>1271.29619</v>
      </c>
      <c r="G891" s="84"/>
      <c r="H891" s="85"/>
      <c r="I891" s="85"/>
      <c r="J891" s="84"/>
      <c r="K891" s="85"/>
      <c r="L891" s="85"/>
      <c r="M891" s="85"/>
      <c r="N891" s="85"/>
      <c r="O891" s="82"/>
      <c r="P891" s="83"/>
      <c r="Q891" s="83"/>
      <c r="R891" s="83"/>
      <c r="S891" s="82"/>
      <c r="T891" s="83"/>
      <c r="U891" s="83"/>
      <c r="V891" s="84"/>
      <c r="W891" s="85"/>
      <c r="X891" s="82"/>
      <c r="Y891" s="83"/>
      <c r="Z891" s="84"/>
      <c r="AA891" s="85"/>
      <c r="AB891" s="84"/>
      <c r="AC891" s="85"/>
      <c r="AD891" s="89">
        <f t="shared" si="198"/>
        <v>0</v>
      </c>
      <c r="AE891" s="89"/>
      <c r="AF891" s="186"/>
      <c r="AG891" s="85"/>
      <c r="AH891" s="85"/>
      <c r="AI891" s="85"/>
      <c r="AJ891" s="84"/>
      <c r="AK891" s="85"/>
      <c r="AL891" s="84"/>
      <c r="AM891" s="88"/>
      <c r="AN891" s="84"/>
      <c r="AO891" s="85"/>
      <c r="AP891" s="84"/>
      <c r="AQ891" s="83"/>
      <c r="AR891" s="83"/>
      <c r="AS891" s="83"/>
      <c r="AT891" s="85"/>
      <c r="AU891" s="85"/>
      <c r="AV891" s="85"/>
      <c r="AW891" s="88"/>
      <c r="AX891" s="84"/>
      <c r="AY891" s="85"/>
      <c r="AZ891" s="84"/>
      <c r="BA891" s="85"/>
      <c r="BB891" s="88"/>
      <c r="BC891" s="85"/>
      <c r="BD891" s="84"/>
      <c r="BE891" s="88"/>
      <c r="BF891" s="85"/>
      <c r="BG891" s="85"/>
      <c r="BH891" s="85"/>
      <c r="BI891" s="85"/>
      <c r="BJ891" s="85"/>
      <c r="BK891" s="85"/>
      <c r="BL891" s="85"/>
      <c r="BM891" s="85"/>
      <c r="BN891" s="85"/>
      <c r="BO891" s="85"/>
      <c r="BP891" s="85"/>
      <c r="BQ891" s="85"/>
      <c r="BR891" s="84"/>
      <c r="BS891" s="85"/>
      <c r="BT891" s="85">
        <v>1271.29619</v>
      </c>
      <c r="BU891" s="198"/>
      <c r="BV891" s="90"/>
      <c r="BW891" s="198"/>
      <c r="BX891" s="90"/>
      <c r="BY891" s="198"/>
      <c r="BZ891" s="90"/>
      <c r="CA891" s="91"/>
    </row>
    <row r="892" spans="1:79" ht="50.1" customHeight="1" outlineLevel="2" x14ac:dyDescent="0.3">
      <c r="A892" s="103" t="s">
        <v>755</v>
      </c>
      <c r="B892" s="102" t="s">
        <v>777</v>
      </c>
      <c r="C892" s="79" t="s">
        <v>1268</v>
      </c>
      <c r="D892" s="81">
        <f t="shared" si="203"/>
        <v>310.25164000000001</v>
      </c>
      <c r="E892" s="82">
        <f t="shared" si="196"/>
        <v>0</v>
      </c>
      <c r="F892" s="83">
        <f t="shared" si="197"/>
        <v>310.25164000000001</v>
      </c>
      <c r="G892" s="84"/>
      <c r="H892" s="85"/>
      <c r="I892" s="85"/>
      <c r="J892" s="84"/>
      <c r="K892" s="85"/>
      <c r="L892" s="85"/>
      <c r="M892" s="85"/>
      <c r="N892" s="85"/>
      <c r="O892" s="82"/>
      <c r="P892" s="83"/>
      <c r="Q892" s="83"/>
      <c r="R892" s="83"/>
      <c r="S892" s="82"/>
      <c r="T892" s="83"/>
      <c r="U892" s="83"/>
      <c r="V892" s="84"/>
      <c r="W892" s="85"/>
      <c r="X892" s="82"/>
      <c r="Y892" s="83"/>
      <c r="Z892" s="84"/>
      <c r="AA892" s="85"/>
      <c r="AB892" s="84"/>
      <c r="AC892" s="85"/>
      <c r="AD892" s="89">
        <f t="shared" si="198"/>
        <v>0</v>
      </c>
      <c r="AE892" s="89"/>
      <c r="AF892" s="186"/>
      <c r="AG892" s="85"/>
      <c r="AH892" s="85"/>
      <c r="AI892" s="85"/>
      <c r="AJ892" s="84"/>
      <c r="AK892" s="85"/>
      <c r="AL892" s="84"/>
      <c r="AM892" s="88"/>
      <c r="AN892" s="84"/>
      <c r="AO892" s="85"/>
      <c r="AP892" s="84"/>
      <c r="AQ892" s="83"/>
      <c r="AR892" s="83"/>
      <c r="AS892" s="83"/>
      <c r="AT892" s="85"/>
      <c r="AU892" s="85"/>
      <c r="AV892" s="85"/>
      <c r="AW892" s="88"/>
      <c r="AX892" s="84"/>
      <c r="AY892" s="85"/>
      <c r="AZ892" s="84"/>
      <c r="BA892" s="85"/>
      <c r="BB892" s="88"/>
      <c r="BC892" s="85"/>
      <c r="BD892" s="84"/>
      <c r="BE892" s="88"/>
      <c r="BF892" s="85"/>
      <c r="BG892" s="85">
        <v>310.25164000000001</v>
      </c>
      <c r="BH892" s="85"/>
      <c r="BI892" s="85"/>
      <c r="BJ892" s="85"/>
      <c r="BK892" s="85"/>
      <c r="BL892" s="85"/>
      <c r="BM892" s="85"/>
      <c r="BN892" s="85"/>
      <c r="BO892" s="85"/>
      <c r="BP892" s="85"/>
      <c r="BQ892" s="85"/>
      <c r="BR892" s="84"/>
      <c r="BS892" s="85"/>
      <c r="BT892" s="85"/>
      <c r="BU892" s="198"/>
      <c r="BV892" s="90"/>
      <c r="BW892" s="198"/>
      <c r="BX892" s="90"/>
      <c r="BY892" s="198"/>
      <c r="BZ892" s="90"/>
      <c r="CA892" s="91"/>
    </row>
    <row r="893" spans="1:79" ht="63" customHeight="1" outlineLevel="2" x14ac:dyDescent="0.3">
      <c r="A893" s="103" t="s">
        <v>755</v>
      </c>
      <c r="B893" s="109" t="s">
        <v>778</v>
      </c>
      <c r="C893" s="79" t="s">
        <v>1268</v>
      </c>
      <c r="D893" s="81">
        <f t="shared" si="203"/>
        <v>45.760409999999993</v>
      </c>
      <c r="E893" s="82">
        <f t="shared" si="196"/>
        <v>0</v>
      </c>
      <c r="F893" s="83">
        <f t="shared" si="197"/>
        <v>45.760409999999993</v>
      </c>
      <c r="G893" s="84"/>
      <c r="H893" s="85"/>
      <c r="I893" s="85"/>
      <c r="J893" s="84"/>
      <c r="K893" s="85"/>
      <c r="L893" s="85"/>
      <c r="M893" s="85"/>
      <c r="N893" s="85"/>
      <c r="O893" s="82"/>
      <c r="P893" s="83"/>
      <c r="Q893" s="83"/>
      <c r="R893" s="83"/>
      <c r="S893" s="82"/>
      <c r="T893" s="83"/>
      <c r="U893" s="83"/>
      <c r="V893" s="84"/>
      <c r="W893" s="85"/>
      <c r="X893" s="82"/>
      <c r="Y893" s="83"/>
      <c r="Z893" s="84"/>
      <c r="AA893" s="85"/>
      <c r="AB893" s="84"/>
      <c r="AC893" s="85"/>
      <c r="AD893" s="89">
        <f t="shared" si="198"/>
        <v>45.760409999999993</v>
      </c>
      <c r="AE893" s="89">
        <v>28.249199999999998</v>
      </c>
      <c r="AF893" s="186">
        <v>17.511209999999998</v>
      </c>
      <c r="AG893" s="85"/>
      <c r="AH893" s="85"/>
      <c r="AI893" s="85"/>
      <c r="AJ893" s="84"/>
      <c r="AK893" s="85"/>
      <c r="AL893" s="84"/>
      <c r="AM893" s="88"/>
      <c r="AN893" s="84"/>
      <c r="AO893" s="85"/>
      <c r="AP893" s="84"/>
      <c r="AQ893" s="83"/>
      <c r="AR893" s="83"/>
      <c r="AS893" s="83"/>
      <c r="AT893" s="85"/>
      <c r="AU893" s="85"/>
      <c r="AV893" s="85"/>
      <c r="AW893" s="88"/>
      <c r="AX893" s="84"/>
      <c r="AY893" s="85"/>
      <c r="AZ893" s="84"/>
      <c r="BA893" s="85"/>
      <c r="BB893" s="88"/>
      <c r="BC893" s="85"/>
      <c r="BD893" s="84"/>
      <c r="BE893" s="88"/>
      <c r="BF893" s="85"/>
      <c r="BG893" s="85"/>
      <c r="BH893" s="85"/>
      <c r="BI893" s="85"/>
      <c r="BJ893" s="85"/>
      <c r="BK893" s="85"/>
      <c r="BL893" s="85"/>
      <c r="BM893" s="85"/>
      <c r="BN893" s="85"/>
      <c r="BO893" s="85"/>
      <c r="BP893" s="85"/>
      <c r="BQ893" s="85"/>
      <c r="BR893" s="84"/>
      <c r="BS893" s="85"/>
      <c r="BT893" s="85"/>
      <c r="BU893" s="198"/>
      <c r="BV893" s="90"/>
      <c r="BW893" s="198"/>
      <c r="BX893" s="90"/>
      <c r="BY893" s="198"/>
      <c r="BZ893" s="90"/>
      <c r="CA893" s="91"/>
    </row>
    <row r="894" spans="1:79" ht="50.1" customHeight="1" outlineLevel="2" x14ac:dyDescent="0.3">
      <c r="A894" s="103" t="s">
        <v>755</v>
      </c>
      <c r="B894" s="111" t="s">
        <v>779</v>
      </c>
      <c r="C894" s="79"/>
      <c r="D894" s="81">
        <f t="shared" si="203"/>
        <v>34</v>
      </c>
      <c r="E894" s="82">
        <f t="shared" si="196"/>
        <v>0</v>
      </c>
      <c r="F894" s="83">
        <f t="shared" si="197"/>
        <v>34</v>
      </c>
      <c r="G894" s="84"/>
      <c r="H894" s="85"/>
      <c r="I894" s="85"/>
      <c r="J894" s="84"/>
      <c r="K894" s="85"/>
      <c r="L894" s="85"/>
      <c r="M894" s="85"/>
      <c r="N894" s="85"/>
      <c r="O894" s="82"/>
      <c r="P894" s="83"/>
      <c r="Q894" s="83"/>
      <c r="R894" s="83"/>
      <c r="S894" s="82"/>
      <c r="T894" s="83"/>
      <c r="U894" s="83"/>
      <c r="V894" s="84"/>
      <c r="W894" s="85"/>
      <c r="X894" s="82"/>
      <c r="Y894" s="83"/>
      <c r="Z894" s="84"/>
      <c r="AA894" s="85"/>
      <c r="AB894" s="84"/>
      <c r="AC894" s="85"/>
      <c r="AD894" s="89">
        <f t="shared" si="198"/>
        <v>0</v>
      </c>
      <c r="AE894" s="89"/>
      <c r="AF894" s="186"/>
      <c r="AG894" s="85"/>
      <c r="AH894" s="85"/>
      <c r="AI894" s="85"/>
      <c r="AJ894" s="84"/>
      <c r="AK894" s="85"/>
      <c r="AL894" s="84"/>
      <c r="AM894" s="88"/>
      <c r="AN894" s="84"/>
      <c r="AO894" s="85"/>
      <c r="AP894" s="84"/>
      <c r="AQ894" s="83"/>
      <c r="AR894" s="83"/>
      <c r="AS894" s="83"/>
      <c r="AT894" s="85"/>
      <c r="AU894" s="85"/>
      <c r="AV894" s="85"/>
      <c r="AW894" s="88"/>
      <c r="AX894" s="84"/>
      <c r="AY894" s="85"/>
      <c r="AZ894" s="84"/>
      <c r="BA894" s="85"/>
      <c r="BB894" s="88"/>
      <c r="BC894" s="85"/>
      <c r="BD894" s="84"/>
      <c r="BE894" s="88"/>
      <c r="BF894" s="85"/>
      <c r="BG894" s="85"/>
      <c r="BH894" s="85"/>
      <c r="BI894" s="85">
        <f>17+17</f>
        <v>34</v>
      </c>
      <c r="BJ894" s="85"/>
      <c r="BK894" s="85"/>
      <c r="BL894" s="85"/>
      <c r="BM894" s="85"/>
      <c r="BN894" s="85"/>
      <c r="BO894" s="85"/>
      <c r="BP894" s="85"/>
      <c r="BQ894" s="85"/>
      <c r="BR894" s="84"/>
      <c r="BS894" s="85"/>
      <c r="BT894" s="85"/>
      <c r="BU894" s="198"/>
      <c r="BV894" s="90"/>
      <c r="BW894" s="198"/>
      <c r="BX894" s="90"/>
      <c r="BY894" s="198"/>
      <c r="BZ894" s="90"/>
      <c r="CA894" s="91"/>
    </row>
    <row r="895" spans="1:79" ht="50.1" customHeight="1" outlineLevel="2" x14ac:dyDescent="0.3">
      <c r="A895" s="103" t="s">
        <v>755</v>
      </c>
      <c r="B895" s="111" t="s">
        <v>1006</v>
      </c>
      <c r="C895" s="79"/>
      <c r="D895" s="81">
        <f t="shared" si="203"/>
        <v>300</v>
      </c>
      <c r="E895" s="82">
        <f t="shared" si="196"/>
        <v>0</v>
      </c>
      <c r="F895" s="83">
        <f t="shared" si="197"/>
        <v>300</v>
      </c>
      <c r="G895" s="84"/>
      <c r="H895" s="85"/>
      <c r="I895" s="85"/>
      <c r="J895" s="84"/>
      <c r="K895" s="85"/>
      <c r="L895" s="85"/>
      <c r="M895" s="85"/>
      <c r="N895" s="85"/>
      <c r="O895" s="82"/>
      <c r="P895" s="83"/>
      <c r="Q895" s="83"/>
      <c r="R895" s="83"/>
      <c r="S895" s="82"/>
      <c r="T895" s="83"/>
      <c r="U895" s="83"/>
      <c r="V895" s="84"/>
      <c r="W895" s="85"/>
      <c r="X895" s="87"/>
      <c r="Y895" s="83"/>
      <c r="Z895" s="84"/>
      <c r="AA895" s="85"/>
      <c r="AB895" s="84"/>
      <c r="AC895" s="85"/>
      <c r="AD895" s="89">
        <f t="shared" si="198"/>
        <v>0</v>
      </c>
      <c r="AE895" s="89"/>
      <c r="AF895" s="186"/>
      <c r="AG895" s="85"/>
      <c r="AH895" s="85"/>
      <c r="AI895" s="85"/>
      <c r="AJ895" s="84"/>
      <c r="AK895" s="85"/>
      <c r="AL895" s="84"/>
      <c r="AM895" s="88"/>
      <c r="AN895" s="84"/>
      <c r="AO895" s="85"/>
      <c r="AP895" s="84"/>
      <c r="AQ895" s="83"/>
      <c r="AR895" s="83"/>
      <c r="AS895" s="83"/>
      <c r="AT895" s="85"/>
      <c r="AU895" s="85"/>
      <c r="AV895" s="85"/>
      <c r="AW895" s="88"/>
      <c r="AX895" s="84"/>
      <c r="AY895" s="85"/>
      <c r="AZ895" s="84"/>
      <c r="BA895" s="85"/>
      <c r="BB895" s="88"/>
      <c r="BC895" s="85"/>
      <c r="BD895" s="84"/>
      <c r="BE895" s="88"/>
      <c r="BF895" s="85"/>
      <c r="BG895" s="85"/>
      <c r="BH895" s="85">
        <v>300</v>
      </c>
      <c r="BI895" s="85"/>
      <c r="BJ895" s="85"/>
      <c r="BK895" s="85"/>
      <c r="BL895" s="85"/>
      <c r="BM895" s="85"/>
      <c r="BN895" s="85"/>
      <c r="BO895" s="85"/>
      <c r="BP895" s="85"/>
      <c r="BQ895" s="85"/>
      <c r="BR895" s="84"/>
      <c r="BS895" s="85"/>
      <c r="BT895" s="85"/>
      <c r="BU895" s="198"/>
      <c r="BV895" s="90"/>
      <c r="BW895" s="198"/>
      <c r="BX895" s="90"/>
      <c r="BY895" s="198"/>
      <c r="BZ895" s="90"/>
      <c r="CA895" s="91"/>
    </row>
    <row r="896" spans="1:79" ht="50.1" customHeight="1" outlineLevel="2" x14ac:dyDescent="0.3">
      <c r="A896" s="103" t="s">
        <v>755</v>
      </c>
      <c r="B896" s="111" t="s">
        <v>1007</v>
      </c>
      <c r="C896" s="79"/>
      <c r="D896" s="81">
        <f t="shared" si="203"/>
        <v>300</v>
      </c>
      <c r="E896" s="82">
        <f t="shared" si="196"/>
        <v>0</v>
      </c>
      <c r="F896" s="83">
        <f t="shared" si="197"/>
        <v>300</v>
      </c>
      <c r="G896" s="84"/>
      <c r="H896" s="85"/>
      <c r="I896" s="85"/>
      <c r="J896" s="84"/>
      <c r="K896" s="85"/>
      <c r="L896" s="85"/>
      <c r="M896" s="85"/>
      <c r="N896" s="85"/>
      <c r="O896" s="82"/>
      <c r="P896" s="83"/>
      <c r="Q896" s="83"/>
      <c r="R896" s="83"/>
      <c r="S896" s="82"/>
      <c r="T896" s="83"/>
      <c r="U896" s="83"/>
      <c r="V896" s="84"/>
      <c r="W896" s="85"/>
      <c r="X896" s="87"/>
      <c r="Y896" s="83"/>
      <c r="Z896" s="84"/>
      <c r="AA896" s="85"/>
      <c r="AB896" s="84"/>
      <c r="AC896" s="85"/>
      <c r="AD896" s="89">
        <f t="shared" si="198"/>
        <v>0</v>
      </c>
      <c r="AE896" s="89"/>
      <c r="AF896" s="186"/>
      <c r="AG896" s="85"/>
      <c r="AH896" s="85"/>
      <c r="AI896" s="85"/>
      <c r="AJ896" s="84"/>
      <c r="AK896" s="85"/>
      <c r="AL896" s="84"/>
      <c r="AM896" s="88"/>
      <c r="AN896" s="84"/>
      <c r="AO896" s="85"/>
      <c r="AP896" s="84"/>
      <c r="AQ896" s="83"/>
      <c r="AR896" s="83"/>
      <c r="AS896" s="83"/>
      <c r="AT896" s="85"/>
      <c r="AU896" s="85"/>
      <c r="AV896" s="85"/>
      <c r="AW896" s="88"/>
      <c r="AX896" s="84"/>
      <c r="AY896" s="85"/>
      <c r="AZ896" s="84"/>
      <c r="BA896" s="85"/>
      <c r="BB896" s="88"/>
      <c r="BC896" s="85"/>
      <c r="BD896" s="84"/>
      <c r="BE896" s="88"/>
      <c r="BF896" s="85"/>
      <c r="BG896" s="85"/>
      <c r="BH896" s="85">
        <v>300</v>
      </c>
      <c r="BI896" s="85"/>
      <c r="BJ896" s="85"/>
      <c r="BK896" s="85"/>
      <c r="BL896" s="85"/>
      <c r="BM896" s="85"/>
      <c r="BN896" s="85"/>
      <c r="BO896" s="85"/>
      <c r="BP896" s="85"/>
      <c r="BQ896" s="85"/>
      <c r="BR896" s="84"/>
      <c r="BS896" s="85"/>
      <c r="BT896" s="85"/>
      <c r="BU896" s="198"/>
      <c r="BV896" s="90"/>
      <c r="BW896" s="198"/>
      <c r="BX896" s="90"/>
      <c r="BY896" s="198"/>
      <c r="BZ896" s="90"/>
      <c r="CA896" s="91"/>
    </row>
    <row r="897" spans="1:79" ht="50.1" customHeight="1" outlineLevel="2" x14ac:dyDescent="0.3">
      <c r="A897" s="103" t="s">
        <v>755</v>
      </c>
      <c r="B897" s="111" t="s">
        <v>1008</v>
      </c>
      <c r="C897" s="79"/>
      <c r="D897" s="81">
        <f t="shared" si="203"/>
        <v>298</v>
      </c>
      <c r="E897" s="82">
        <f t="shared" si="196"/>
        <v>0</v>
      </c>
      <c r="F897" s="83">
        <f t="shared" si="197"/>
        <v>298</v>
      </c>
      <c r="G897" s="84"/>
      <c r="H897" s="85"/>
      <c r="I897" s="85"/>
      <c r="J897" s="84"/>
      <c r="K897" s="85"/>
      <c r="L897" s="85"/>
      <c r="M897" s="85"/>
      <c r="N897" s="85"/>
      <c r="O897" s="82"/>
      <c r="P897" s="83"/>
      <c r="Q897" s="83"/>
      <c r="R897" s="83"/>
      <c r="S897" s="82"/>
      <c r="T897" s="83"/>
      <c r="U897" s="83"/>
      <c r="V897" s="84"/>
      <c r="W897" s="85"/>
      <c r="X897" s="87"/>
      <c r="Y897" s="83"/>
      <c r="Z897" s="84"/>
      <c r="AA897" s="85"/>
      <c r="AB897" s="84"/>
      <c r="AC897" s="85"/>
      <c r="AD897" s="89">
        <f t="shared" si="198"/>
        <v>0</v>
      </c>
      <c r="AE897" s="89"/>
      <c r="AF897" s="186"/>
      <c r="AG897" s="85"/>
      <c r="AH897" s="85"/>
      <c r="AI897" s="85"/>
      <c r="AJ897" s="84"/>
      <c r="AK897" s="85"/>
      <c r="AL897" s="84"/>
      <c r="AM897" s="88"/>
      <c r="AN897" s="84"/>
      <c r="AO897" s="85"/>
      <c r="AP897" s="84"/>
      <c r="AQ897" s="83"/>
      <c r="AR897" s="83"/>
      <c r="AS897" s="83"/>
      <c r="AT897" s="85"/>
      <c r="AU897" s="85"/>
      <c r="AV897" s="85"/>
      <c r="AW897" s="88"/>
      <c r="AX897" s="84"/>
      <c r="AY897" s="85"/>
      <c r="AZ897" s="84"/>
      <c r="BA897" s="85"/>
      <c r="BB897" s="88"/>
      <c r="BC897" s="85"/>
      <c r="BD897" s="84"/>
      <c r="BE897" s="88"/>
      <c r="BF897" s="85"/>
      <c r="BG897" s="85"/>
      <c r="BH897" s="85">
        <v>298</v>
      </c>
      <c r="BI897" s="85"/>
      <c r="BJ897" s="85"/>
      <c r="BK897" s="85"/>
      <c r="BL897" s="85"/>
      <c r="BM897" s="85"/>
      <c r="BN897" s="85"/>
      <c r="BO897" s="85"/>
      <c r="BP897" s="85"/>
      <c r="BQ897" s="85"/>
      <c r="BR897" s="84"/>
      <c r="BS897" s="85"/>
      <c r="BT897" s="85"/>
      <c r="BU897" s="198"/>
      <c r="BV897" s="90"/>
      <c r="BW897" s="198"/>
      <c r="BX897" s="90"/>
      <c r="BY897" s="198"/>
      <c r="BZ897" s="90"/>
      <c r="CA897" s="91"/>
    </row>
    <row r="898" spans="1:79" ht="50.1" customHeight="1" outlineLevel="2" x14ac:dyDescent="0.3">
      <c r="A898" s="103" t="s">
        <v>755</v>
      </c>
      <c r="B898" s="111" t="s">
        <v>1029</v>
      </c>
      <c r="C898" s="79"/>
      <c r="D898" s="81">
        <f t="shared" si="203"/>
        <v>300</v>
      </c>
      <c r="E898" s="82">
        <f t="shared" si="196"/>
        <v>0</v>
      </c>
      <c r="F898" s="83">
        <f t="shared" si="197"/>
        <v>300</v>
      </c>
      <c r="G898" s="84"/>
      <c r="H898" s="85"/>
      <c r="I898" s="85"/>
      <c r="J898" s="84"/>
      <c r="K898" s="85"/>
      <c r="L898" s="85"/>
      <c r="M898" s="85"/>
      <c r="N898" s="85"/>
      <c r="O898" s="82"/>
      <c r="P898" s="83"/>
      <c r="Q898" s="83"/>
      <c r="R898" s="83"/>
      <c r="S898" s="82"/>
      <c r="T898" s="83"/>
      <c r="U898" s="83"/>
      <c r="V898" s="84"/>
      <c r="W898" s="85"/>
      <c r="X898" s="87"/>
      <c r="Y898" s="83"/>
      <c r="Z898" s="84"/>
      <c r="AA898" s="85"/>
      <c r="AB898" s="84"/>
      <c r="AC898" s="85"/>
      <c r="AD898" s="89">
        <f t="shared" si="198"/>
        <v>0</v>
      </c>
      <c r="AE898" s="89"/>
      <c r="AF898" s="186"/>
      <c r="AG898" s="85"/>
      <c r="AH898" s="85"/>
      <c r="AI898" s="85"/>
      <c r="AJ898" s="84"/>
      <c r="AK898" s="85"/>
      <c r="AL898" s="84"/>
      <c r="AM898" s="88"/>
      <c r="AN898" s="84"/>
      <c r="AO898" s="85"/>
      <c r="AP898" s="84"/>
      <c r="AQ898" s="83"/>
      <c r="AR898" s="83"/>
      <c r="AS898" s="83"/>
      <c r="AT898" s="85"/>
      <c r="AU898" s="85"/>
      <c r="AV898" s="85"/>
      <c r="AW898" s="88"/>
      <c r="AX898" s="84"/>
      <c r="AY898" s="85"/>
      <c r="AZ898" s="84"/>
      <c r="BA898" s="85"/>
      <c r="BB898" s="88"/>
      <c r="BC898" s="85"/>
      <c r="BD898" s="84"/>
      <c r="BE898" s="88"/>
      <c r="BF898" s="85"/>
      <c r="BG898" s="85"/>
      <c r="BH898" s="85">
        <v>300</v>
      </c>
      <c r="BI898" s="85"/>
      <c r="BJ898" s="85"/>
      <c r="BK898" s="85"/>
      <c r="BL898" s="85"/>
      <c r="BM898" s="85"/>
      <c r="BN898" s="85"/>
      <c r="BO898" s="85"/>
      <c r="BP898" s="85"/>
      <c r="BQ898" s="85"/>
      <c r="BR898" s="84"/>
      <c r="BS898" s="85"/>
      <c r="BT898" s="85"/>
      <c r="BU898" s="198"/>
      <c r="BV898" s="90"/>
      <c r="BW898" s="198"/>
      <c r="BX898" s="90"/>
      <c r="BY898" s="198"/>
      <c r="BZ898" s="90"/>
      <c r="CA898" s="91"/>
    </row>
    <row r="899" spans="1:79" ht="50.1" customHeight="1" outlineLevel="2" x14ac:dyDescent="0.3">
      <c r="A899" s="103" t="s">
        <v>755</v>
      </c>
      <c r="B899" s="111" t="s">
        <v>1037</v>
      </c>
      <c r="C899" s="79"/>
      <c r="D899" s="81">
        <f t="shared" si="203"/>
        <v>300</v>
      </c>
      <c r="E899" s="82">
        <f t="shared" si="196"/>
        <v>0</v>
      </c>
      <c r="F899" s="83">
        <f t="shared" si="197"/>
        <v>300</v>
      </c>
      <c r="G899" s="84"/>
      <c r="H899" s="85"/>
      <c r="I899" s="85"/>
      <c r="J899" s="84"/>
      <c r="K899" s="85"/>
      <c r="L899" s="85"/>
      <c r="M899" s="85"/>
      <c r="N899" s="85"/>
      <c r="O899" s="82"/>
      <c r="P899" s="83"/>
      <c r="Q899" s="83"/>
      <c r="R899" s="83"/>
      <c r="S899" s="82"/>
      <c r="T899" s="83"/>
      <c r="U899" s="83"/>
      <c r="V899" s="84"/>
      <c r="W899" s="85"/>
      <c r="X899" s="87"/>
      <c r="Y899" s="83"/>
      <c r="Z899" s="84"/>
      <c r="AA899" s="85"/>
      <c r="AB899" s="84"/>
      <c r="AC899" s="85"/>
      <c r="AD899" s="89">
        <f t="shared" si="198"/>
        <v>0</v>
      </c>
      <c r="AE899" s="89"/>
      <c r="AF899" s="186"/>
      <c r="AG899" s="85"/>
      <c r="AH899" s="85"/>
      <c r="AI899" s="85"/>
      <c r="AJ899" s="84"/>
      <c r="AK899" s="85"/>
      <c r="AL899" s="84"/>
      <c r="AM899" s="88"/>
      <c r="AN899" s="84"/>
      <c r="AO899" s="85"/>
      <c r="AP899" s="84"/>
      <c r="AQ899" s="83"/>
      <c r="AR899" s="83"/>
      <c r="AS899" s="83"/>
      <c r="AT899" s="85"/>
      <c r="AU899" s="85"/>
      <c r="AV899" s="85"/>
      <c r="AW899" s="88"/>
      <c r="AX899" s="84"/>
      <c r="AY899" s="85"/>
      <c r="AZ899" s="84"/>
      <c r="BA899" s="85"/>
      <c r="BB899" s="88"/>
      <c r="BC899" s="85"/>
      <c r="BD899" s="84"/>
      <c r="BE899" s="88"/>
      <c r="BF899" s="85"/>
      <c r="BG899" s="85"/>
      <c r="BH899" s="85">
        <v>300</v>
      </c>
      <c r="BI899" s="85"/>
      <c r="BJ899" s="85"/>
      <c r="BK899" s="85"/>
      <c r="BL899" s="85"/>
      <c r="BM899" s="85"/>
      <c r="BN899" s="85"/>
      <c r="BO899" s="85"/>
      <c r="BP899" s="85"/>
      <c r="BQ899" s="85"/>
      <c r="BR899" s="84"/>
      <c r="BS899" s="85"/>
      <c r="BT899" s="85"/>
      <c r="BU899" s="198"/>
      <c r="BV899" s="90"/>
      <c r="BW899" s="198"/>
      <c r="BX899" s="90"/>
      <c r="BY899" s="198"/>
      <c r="BZ899" s="90"/>
      <c r="CA899" s="91"/>
    </row>
    <row r="900" spans="1:79" ht="50.1" customHeight="1" outlineLevel="2" x14ac:dyDescent="0.3">
      <c r="A900" s="103" t="s">
        <v>755</v>
      </c>
      <c r="B900" s="111" t="s">
        <v>1084</v>
      </c>
      <c r="C900" s="79"/>
      <c r="D900" s="81">
        <f t="shared" si="203"/>
        <v>300</v>
      </c>
      <c r="E900" s="82">
        <f t="shared" ref="E900:E952" si="204">G900+J900+O900+S900+V900+X900+Z900+AB900+AJ900+AL900+AN900+AP900+AX900+AZ900+BD900+BV900+BX900+BZ900+BR900</f>
        <v>0</v>
      </c>
      <c r="F900" s="83">
        <f t="shared" si="197"/>
        <v>300</v>
      </c>
      <c r="G900" s="84"/>
      <c r="H900" s="85"/>
      <c r="I900" s="85"/>
      <c r="J900" s="84"/>
      <c r="K900" s="85"/>
      <c r="L900" s="85"/>
      <c r="M900" s="85"/>
      <c r="N900" s="85"/>
      <c r="O900" s="82"/>
      <c r="P900" s="83"/>
      <c r="Q900" s="83"/>
      <c r="R900" s="83"/>
      <c r="S900" s="82"/>
      <c r="T900" s="83"/>
      <c r="U900" s="83"/>
      <c r="V900" s="84"/>
      <c r="W900" s="85"/>
      <c r="X900" s="87"/>
      <c r="Y900" s="83"/>
      <c r="Z900" s="84"/>
      <c r="AA900" s="85"/>
      <c r="AB900" s="84"/>
      <c r="AC900" s="85"/>
      <c r="AD900" s="89">
        <f t="shared" si="198"/>
        <v>0</v>
      </c>
      <c r="AE900" s="89"/>
      <c r="AF900" s="186"/>
      <c r="AG900" s="85"/>
      <c r="AH900" s="85"/>
      <c r="AI900" s="85"/>
      <c r="AJ900" s="84"/>
      <c r="AK900" s="85"/>
      <c r="AL900" s="84"/>
      <c r="AM900" s="88"/>
      <c r="AN900" s="84"/>
      <c r="AO900" s="85"/>
      <c r="AP900" s="84"/>
      <c r="AQ900" s="83"/>
      <c r="AR900" s="83"/>
      <c r="AS900" s="83"/>
      <c r="AT900" s="85"/>
      <c r="AU900" s="85"/>
      <c r="AV900" s="85"/>
      <c r="AW900" s="88"/>
      <c r="AX900" s="84"/>
      <c r="AY900" s="85"/>
      <c r="AZ900" s="84"/>
      <c r="BA900" s="85"/>
      <c r="BB900" s="88"/>
      <c r="BC900" s="85"/>
      <c r="BD900" s="84"/>
      <c r="BE900" s="88"/>
      <c r="BF900" s="85"/>
      <c r="BG900" s="85"/>
      <c r="BH900" s="85">
        <v>300</v>
      </c>
      <c r="BI900" s="85"/>
      <c r="BJ900" s="85"/>
      <c r="BK900" s="85"/>
      <c r="BL900" s="85"/>
      <c r="BM900" s="85"/>
      <c r="BN900" s="85"/>
      <c r="BO900" s="85"/>
      <c r="BP900" s="85"/>
      <c r="BQ900" s="85"/>
      <c r="BR900" s="84"/>
      <c r="BS900" s="85"/>
      <c r="BT900" s="85"/>
      <c r="BU900" s="198"/>
      <c r="BV900" s="90"/>
      <c r="BW900" s="198"/>
      <c r="BX900" s="90"/>
      <c r="BY900" s="198"/>
      <c r="BZ900" s="90"/>
      <c r="CA900" s="91"/>
    </row>
    <row r="901" spans="1:79" ht="50.1" customHeight="1" outlineLevel="2" x14ac:dyDescent="0.3">
      <c r="A901" s="103" t="s">
        <v>755</v>
      </c>
      <c r="B901" s="111" t="s">
        <v>1085</v>
      </c>
      <c r="C901" s="79"/>
      <c r="D901" s="81">
        <f t="shared" si="203"/>
        <v>300</v>
      </c>
      <c r="E901" s="82">
        <f t="shared" si="204"/>
        <v>0</v>
      </c>
      <c r="F901" s="83">
        <f t="shared" si="197"/>
        <v>300</v>
      </c>
      <c r="G901" s="84"/>
      <c r="H901" s="85"/>
      <c r="I901" s="85"/>
      <c r="J901" s="84"/>
      <c r="K901" s="85"/>
      <c r="L901" s="85"/>
      <c r="M901" s="85"/>
      <c r="N901" s="85"/>
      <c r="O901" s="82"/>
      <c r="P901" s="83"/>
      <c r="Q901" s="83"/>
      <c r="R901" s="83"/>
      <c r="S901" s="82"/>
      <c r="T901" s="83"/>
      <c r="U901" s="83"/>
      <c r="V901" s="84"/>
      <c r="W901" s="85"/>
      <c r="X901" s="87"/>
      <c r="Y901" s="83"/>
      <c r="Z901" s="84"/>
      <c r="AA901" s="85"/>
      <c r="AB901" s="84"/>
      <c r="AC901" s="85"/>
      <c r="AD901" s="89">
        <f t="shared" si="198"/>
        <v>0</v>
      </c>
      <c r="AE901" s="89"/>
      <c r="AF901" s="186"/>
      <c r="AG901" s="85"/>
      <c r="AH901" s="85"/>
      <c r="AI901" s="85"/>
      <c r="AJ901" s="84"/>
      <c r="AK901" s="85"/>
      <c r="AL901" s="84"/>
      <c r="AM901" s="88"/>
      <c r="AN901" s="84"/>
      <c r="AO901" s="85"/>
      <c r="AP901" s="84"/>
      <c r="AQ901" s="83"/>
      <c r="AR901" s="83"/>
      <c r="AS901" s="83"/>
      <c r="AT901" s="85"/>
      <c r="AU901" s="85"/>
      <c r="AV901" s="85"/>
      <c r="AW901" s="88"/>
      <c r="AX901" s="84"/>
      <c r="AY901" s="85"/>
      <c r="AZ901" s="84"/>
      <c r="BA901" s="85"/>
      <c r="BB901" s="88"/>
      <c r="BC901" s="85"/>
      <c r="BD901" s="84"/>
      <c r="BE901" s="88"/>
      <c r="BF901" s="85"/>
      <c r="BG901" s="85"/>
      <c r="BH901" s="85">
        <v>300</v>
      </c>
      <c r="BI901" s="85"/>
      <c r="BJ901" s="85"/>
      <c r="BK901" s="85"/>
      <c r="BL901" s="85"/>
      <c r="BM901" s="85"/>
      <c r="BN901" s="85"/>
      <c r="BO901" s="85"/>
      <c r="BP901" s="85"/>
      <c r="BQ901" s="85"/>
      <c r="BR901" s="84"/>
      <c r="BS901" s="85"/>
      <c r="BT901" s="85"/>
      <c r="BU901" s="198"/>
      <c r="BV901" s="90"/>
      <c r="BW901" s="198"/>
      <c r="BX901" s="90"/>
      <c r="BY901" s="198"/>
      <c r="BZ901" s="90"/>
      <c r="CA901" s="91"/>
    </row>
    <row r="902" spans="1:79" ht="50.1" customHeight="1" outlineLevel="2" x14ac:dyDescent="0.3">
      <c r="A902" s="103" t="s">
        <v>755</v>
      </c>
      <c r="B902" s="111" t="s">
        <v>1086</v>
      </c>
      <c r="C902" s="79"/>
      <c r="D902" s="81">
        <f t="shared" si="203"/>
        <v>300</v>
      </c>
      <c r="E902" s="82">
        <f t="shared" si="204"/>
        <v>0</v>
      </c>
      <c r="F902" s="83">
        <f t="shared" ref="F902:F954" si="205">H902+I902+K902+L902+M902+N902+P902+Q902+R902+T902+U902+W902+Y902+AA902+AC902+AD902+AG902+AH902+AI902+AK902+AM902+AO902+AQ902+AR902+AS902+AT902+AU902+AV902+AW902+AY902+BA902+BB902+BC902+BE902+BF902+BG902+BH902+BI902+BJ902+BK902+BL902+BO902+BP902+BQ902+BS902+BT902+BU902+BW902+BY902+CA902+BM902+BN902</f>
        <v>300</v>
      </c>
      <c r="G902" s="84"/>
      <c r="H902" s="85"/>
      <c r="I902" s="85"/>
      <c r="J902" s="84"/>
      <c r="K902" s="85"/>
      <c r="L902" s="85"/>
      <c r="M902" s="85"/>
      <c r="N902" s="85"/>
      <c r="O902" s="82"/>
      <c r="P902" s="83"/>
      <c r="Q902" s="83"/>
      <c r="R902" s="83"/>
      <c r="S902" s="82"/>
      <c r="T902" s="83"/>
      <c r="U902" s="83"/>
      <c r="V902" s="84"/>
      <c r="W902" s="85"/>
      <c r="X902" s="87"/>
      <c r="Y902" s="83"/>
      <c r="Z902" s="84"/>
      <c r="AA902" s="85"/>
      <c r="AB902" s="84"/>
      <c r="AC902" s="85"/>
      <c r="AD902" s="89"/>
      <c r="AE902" s="89"/>
      <c r="AF902" s="186"/>
      <c r="AG902" s="85"/>
      <c r="AH902" s="85"/>
      <c r="AI902" s="85"/>
      <c r="AJ902" s="84"/>
      <c r="AK902" s="85"/>
      <c r="AL902" s="84"/>
      <c r="AM902" s="88"/>
      <c r="AN902" s="84"/>
      <c r="AO902" s="85"/>
      <c r="AP902" s="84"/>
      <c r="AQ902" s="83"/>
      <c r="AR902" s="83"/>
      <c r="AS902" s="83"/>
      <c r="AT902" s="85"/>
      <c r="AU902" s="85"/>
      <c r="AV902" s="85"/>
      <c r="AW902" s="88"/>
      <c r="AX902" s="84"/>
      <c r="AY902" s="85"/>
      <c r="AZ902" s="84"/>
      <c r="BA902" s="85"/>
      <c r="BB902" s="88"/>
      <c r="BC902" s="85"/>
      <c r="BD902" s="84"/>
      <c r="BE902" s="88"/>
      <c r="BF902" s="85"/>
      <c r="BG902" s="85"/>
      <c r="BH902" s="85">
        <v>300</v>
      </c>
      <c r="BI902" s="85"/>
      <c r="BJ902" s="85"/>
      <c r="BK902" s="85"/>
      <c r="BL902" s="85"/>
      <c r="BM902" s="85"/>
      <c r="BN902" s="85"/>
      <c r="BO902" s="85"/>
      <c r="BP902" s="85"/>
      <c r="BQ902" s="85"/>
      <c r="BR902" s="84"/>
      <c r="BS902" s="85"/>
      <c r="BT902" s="85"/>
      <c r="BU902" s="198"/>
      <c r="BV902" s="90"/>
      <c r="BW902" s="198"/>
      <c r="BX902" s="90"/>
      <c r="BY902" s="198"/>
      <c r="BZ902" s="90"/>
      <c r="CA902" s="91"/>
    </row>
    <row r="903" spans="1:79" ht="50.1" customHeight="1" outlineLevel="2" x14ac:dyDescent="0.3">
      <c r="A903" s="103" t="s">
        <v>755</v>
      </c>
      <c r="B903" s="111" t="s">
        <v>1087</v>
      </c>
      <c r="C903" s="79"/>
      <c r="D903" s="81">
        <f t="shared" si="203"/>
        <v>300</v>
      </c>
      <c r="E903" s="82">
        <f t="shared" si="204"/>
        <v>0</v>
      </c>
      <c r="F903" s="83">
        <f t="shared" si="205"/>
        <v>300</v>
      </c>
      <c r="G903" s="84"/>
      <c r="H903" s="85"/>
      <c r="I903" s="85"/>
      <c r="J903" s="84"/>
      <c r="K903" s="85"/>
      <c r="L903" s="85"/>
      <c r="M903" s="85"/>
      <c r="N903" s="85"/>
      <c r="O903" s="82"/>
      <c r="P903" s="83"/>
      <c r="Q903" s="83"/>
      <c r="R903" s="83"/>
      <c r="S903" s="82"/>
      <c r="T903" s="83"/>
      <c r="U903" s="83"/>
      <c r="V903" s="84"/>
      <c r="W903" s="85"/>
      <c r="X903" s="87"/>
      <c r="Y903" s="83"/>
      <c r="Z903" s="84"/>
      <c r="AA903" s="85"/>
      <c r="AB903" s="84"/>
      <c r="AC903" s="85"/>
      <c r="AD903" s="89"/>
      <c r="AE903" s="89"/>
      <c r="AF903" s="186"/>
      <c r="AG903" s="85"/>
      <c r="AH903" s="85"/>
      <c r="AI903" s="85"/>
      <c r="AJ903" s="84"/>
      <c r="AK903" s="85"/>
      <c r="AL903" s="84"/>
      <c r="AM903" s="88"/>
      <c r="AN903" s="84"/>
      <c r="AO903" s="85"/>
      <c r="AP903" s="84"/>
      <c r="AQ903" s="83"/>
      <c r="AR903" s="83"/>
      <c r="AS903" s="83"/>
      <c r="AT903" s="85"/>
      <c r="AU903" s="85"/>
      <c r="AV903" s="85"/>
      <c r="AW903" s="88"/>
      <c r="AX903" s="84"/>
      <c r="AY903" s="85"/>
      <c r="AZ903" s="84"/>
      <c r="BA903" s="85"/>
      <c r="BB903" s="88"/>
      <c r="BC903" s="85"/>
      <c r="BD903" s="84"/>
      <c r="BE903" s="88"/>
      <c r="BF903" s="85"/>
      <c r="BG903" s="85"/>
      <c r="BH903" s="85">
        <v>300</v>
      </c>
      <c r="BI903" s="85"/>
      <c r="BJ903" s="85"/>
      <c r="BK903" s="85"/>
      <c r="BL903" s="85"/>
      <c r="BM903" s="85"/>
      <c r="BN903" s="85"/>
      <c r="BO903" s="85"/>
      <c r="BP903" s="85"/>
      <c r="BQ903" s="85"/>
      <c r="BR903" s="84"/>
      <c r="BS903" s="85"/>
      <c r="BT903" s="85"/>
      <c r="BU903" s="198"/>
      <c r="BV903" s="90"/>
      <c r="BW903" s="198"/>
      <c r="BX903" s="90"/>
      <c r="BY903" s="198"/>
      <c r="BZ903" s="90"/>
      <c r="CA903" s="91"/>
    </row>
    <row r="904" spans="1:79" ht="50.1" customHeight="1" outlineLevel="2" x14ac:dyDescent="0.3">
      <c r="A904" s="103" t="s">
        <v>755</v>
      </c>
      <c r="B904" s="111" t="s">
        <v>1088</v>
      </c>
      <c r="C904" s="79"/>
      <c r="D904" s="81">
        <f t="shared" si="203"/>
        <v>300</v>
      </c>
      <c r="E904" s="82">
        <f t="shared" si="204"/>
        <v>0</v>
      </c>
      <c r="F904" s="83">
        <f t="shared" si="205"/>
        <v>300</v>
      </c>
      <c r="G904" s="84"/>
      <c r="H904" s="85"/>
      <c r="I904" s="85"/>
      <c r="J904" s="84"/>
      <c r="K904" s="85"/>
      <c r="L904" s="85"/>
      <c r="M904" s="85"/>
      <c r="N904" s="85"/>
      <c r="O904" s="82"/>
      <c r="P904" s="83"/>
      <c r="Q904" s="83"/>
      <c r="R904" s="83"/>
      <c r="S904" s="82"/>
      <c r="T904" s="83"/>
      <c r="U904" s="83"/>
      <c r="V904" s="84"/>
      <c r="W904" s="85"/>
      <c r="X904" s="87"/>
      <c r="Y904" s="83"/>
      <c r="Z904" s="84"/>
      <c r="AA904" s="85"/>
      <c r="AB904" s="84"/>
      <c r="AC904" s="85"/>
      <c r="AD904" s="89"/>
      <c r="AE904" s="89"/>
      <c r="AF904" s="186"/>
      <c r="AG904" s="85"/>
      <c r="AH904" s="85"/>
      <c r="AI904" s="85"/>
      <c r="AJ904" s="84"/>
      <c r="AK904" s="85"/>
      <c r="AL904" s="84"/>
      <c r="AM904" s="88"/>
      <c r="AN904" s="84"/>
      <c r="AO904" s="85"/>
      <c r="AP904" s="84"/>
      <c r="AQ904" s="83"/>
      <c r="AR904" s="83"/>
      <c r="AS904" s="83"/>
      <c r="AT904" s="85"/>
      <c r="AU904" s="85"/>
      <c r="AV904" s="85"/>
      <c r="AW904" s="88"/>
      <c r="AX904" s="84"/>
      <c r="AY904" s="85"/>
      <c r="AZ904" s="84"/>
      <c r="BA904" s="85"/>
      <c r="BB904" s="88"/>
      <c r="BC904" s="85"/>
      <c r="BD904" s="84"/>
      <c r="BE904" s="88"/>
      <c r="BF904" s="85"/>
      <c r="BG904" s="85"/>
      <c r="BH904" s="85">
        <v>300</v>
      </c>
      <c r="BI904" s="85"/>
      <c r="BJ904" s="85"/>
      <c r="BK904" s="85"/>
      <c r="BL904" s="85"/>
      <c r="BM904" s="85"/>
      <c r="BN904" s="85"/>
      <c r="BO904" s="85"/>
      <c r="BP904" s="85"/>
      <c r="BQ904" s="85"/>
      <c r="BR904" s="84"/>
      <c r="BS904" s="85"/>
      <c r="BT904" s="85"/>
      <c r="BU904" s="198"/>
      <c r="BV904" s="90"/>
      <c r="BW904" s="198"/>
      <c r="BX904" s="90"/>
      <c r="BY904" s="198"/>
      <c r="BZ904" s="90"/>
      <c r="CA904" s="91"/>
    </row>
    <row r="905" spans="1:79" ht="50.1" customHeight="1" outlineLevel="2" x14ac:dyDescent="0.3">
      <c r="A905" s="103" t="s">
        <v>755</v>
      </c>
      <c r="B905" s="111" t="s">
        <v>1089</v>
      </c>
      <c r="C905" s="79"/>
      <c r="D905" s="81">
        <f t="shared" si="203"/>
        <v>300</v>
      </c>
      <c r="E905" s="82">
        <f t="shared" si="204"/>
        <v>0</v>
      </c>
      <c r="F905" s="83">
        <f t="shared" si="205"/>
        <v>300</v>
      </c>
      <c r="G905" s="84"/>
      <c r="H905" s="85"/>
      <c r="I905" s="85"/>
      <c r="J905" s="84"/>
      <c r="K905" s="85"/>
      <c r="L905" s="85"/>
      <c r="M905" s="85"/>
      <c r="N905" s="85"/>
      <c r="O905" s="82"/>
      <c r="P905" s="83"/>
      <c r="Q905" s="83"/>
      <c r="R905" s="83"/>
      <c r="S905" s="82"/>
      <c r="T905" s="83"/>
      <c r="U905" s="83"/>
      <c r="V905" s="84"/>
      <c r="W905" s="85"/>
      <c r="X905" s="87"/>
      <c r="Y905" s="83"/>
      <c r="Z905" s="84"/>
      <c r="AA905" s="85"/>
      <c r="AB905" s="84"/>
      <c r="AC905" s="85"/>
      <c r="AD905" s="89"/>
      <c r="AE905" s="89"/>
      <c r="AF905" s="186"/>
      <c r="AG905" s="85"/>
      <c r="AH905" s="85"/>
      <c r="AI905" s="85"/>
      <c r="AJ905" s="84"/>
      <c r="AK905" s="85"/>
      <c r="AL905" s="84"/>
      <c r="AM905" s="88"/>
      <c r="AN905" s="84"/>
      <c r="AO905" s="85"/>
      <c r="AP905" s="84"/>
      <c r="AQ905" s="83"/>
      <c r="AR905" s="83"/>
      <c r="AS905" s="83"/>
      <c r="AT905" s="85"/>
      <c r="AU905" s="85"/>
      <c r="AV905" s="85"/>
      <c r="AW905" s="88"/>
      <c r="AX905" s="84"/>
      <c r="AY905" s="85"/>
      <c r="AZ905" s="84"/>
      <c r="BA905" s="85"/>
      <c r="BB905" s="88"/>
      <c r="BC905" s="85"/>
      <c r="BD905" s="84"/>
      <c r="BE905" s="88"/>
      <c r="BF905" s="85"/>
      <c r="BG905" s="85"/>
      <c r="BH905" s="85">
        <v>300</v>
      </c>
      <c r="BI905" s="85"/>
      <c r="BJ905" s="85"/>
      <c r="BK905" s="85"/>
      <c r="BL905" s="85"/>
      <c r="BM905" s="85"/>
      <c r="BN905" s="85"/>
      <c r="BO905" s="85"/>
      <c r="BP905" s="85"/>
      <c r="BQ905" s="85"/>
      <c r="BR905" s="84"/>
      <c r="BS905" s="85"/>
      <c r="BT905" s="85"/>
      <c r="BU905" s="198"/>
      <c r="BV905" s="90"/>
      <c r="BW905" s="198"/>
      <c r="BX905" s="90"/>
      <c r="BY905" s="198"/>
      <c r="BZ905" s="90"/>
      <c r="CA905" s="91"/>
    </row>
    <row r="906" spans="1:79" ht="50.1" customHeight="1" outlineLevel="2" x14ac:dyDescent="0.3">
      <c r="A906" s="103" t="s">
        <v>755</v>
      </c>
      <c r="B906" s="111" t="s">
        <v>1130</v>
      </c>
      <c r="C906" s="79"/>
      <c r="D906" s="81">
        <f t="shared" si="203"/>
        <v>300</v>
      </c>
      <c r="E906" s="82">
        <f t="shared" si="204"/>
        <v>0</v>
      </c>
      <c r="F906" s="83">
        <f t="shared" si="205"/>
        <v>300</v>
      </c>
      <c r="G906" s="84"/>
      <c r="H906" s="85"/>
      <c r="I906" s="85"/>
      <c r="J906" s="84"/>
      <c r="K906" s="85"/>
      <c r="L906" s="85"/>
      <c r="M906" s="85"/>
      <c r="N906" s="85"/>
      <c r="O906" s="82"/>
      <c r="P906" s="83"/>
      <c r="Q906" s="83"/>
      <c r="R906" s="83"/>
      <c r="S906" s="82"/>
      <c r="T906" s="83"/>
      <c r="U906" s="83"/>
      <c r="V906" s="84"/>
      <c r="W906" s="85"/>
      <c r="X906" s="87"/>
      <c r="Y906" s="83"/>
      <c r="Z906" s="84"/>
      <c r="AA906" s="85"/>
      <c r="AB906" s="84"/>
      <c r="AC906" s="85"/>
      <c r="AD906" s="89"/>
      <c r="AE906" s="89"/>
      <c r="AF906" s="186"/>
      <c r="AG906" s="85"/>
      <c r="AH906" s="85"/>
      <c r="AI906" s="85"/>
      <c r="AJ906" s="84"/>
      <c r="AK906" s="85"/>
      <c r="AL906" s="84"/>
      <c r="AM906" s="88"/>
      <c r="AN906" s="84"/>
      <c r="AO906" s="85"/>
      <c r="AP906" s="84"/>
      <c r="AQ906" s="83"/>
      <c r="AR906" s="83"/>
      <c r="AS906" s="83"/>
      <c r="AT906" s="85"/>
      <c r="AU906" s="85"/>
      <c r="AV906" s="85"/>
      <c r="AW906" s="88"/>
      <c r="AX906" s="84"/>
      <c r="AY906" s="85"/>
      <c r="AZ906" s="84"/>
      <c r="BA906" s="85"/>
      <c r="BB906" s="88"/>
      <c r="BC906" s="85"/>
      <c r="BD906" s="84"/>
      <c r="BE906" s="88"/>
      <c r="BF906" s="85"/>
      <c r="BG906" s="85"/>
      <c r="BH906" s="85">
        <v>300</v>
      </c>
      <c r="BI906" s="85"/>
      <c r="BJ906" s="85"/>
      <c r="BK906" s="85"/>
      <c r="BL906" s="85"/>
      <c r="BM906" s="85"/>
      <c r="BN906" s="85"/>
      <c r="BO906" s="85"/>
      <c r="BP906" s="85"/>
      <c r="BQ906" s="85"/>
      <c r="BR906" s="84"/>
      <c r="BS906" s="85"/>
      <c r="BT906" s="85"/>
      <c r="BU906" s="198"/>
      <c r="BV906" s="90"/>
      <c r="BW906" s="198"/>
      <c r="BX906" s="90"/>
      <c r="BY906" s="198"/>
      <c r="BZ906" s="90"/>
      <c r="CA906" s="91"/>
    </row>
    <row r="907" spans="1:79" ht="50.1" customHeight="1" outlineLevel="2" x14ac:dyDescent="0.3">
      <c r="A907" s="103" t="s">
        <v>755</v>
      </c>
      <c r="B907" s="111" t="s">
        <v>1137</v>
      </c>
      <c r="C907" s="79"/>
      <c r="D907" s="81">
        <f t="shared" si="203"/>
        <v>300</v>
      </c>
      <c r="E907" s="82">
        <f t="shared" si="204"/>
        <v>0</v>
      </c>
      <c r="F907" s="83">
        <f t="shared" si="205"/>
        <v>300</v>
      </c>
      <c r="G907" s="84"/>
      <c r="H907" s="85"/>
      <c r="I907" s="85"/>
      <c r="J907" s="84"/>
      <c r="K907" s="85"/>
      <c r="L907" s="85"/>
      <c r="M907" s="85"/>
      <c r="N907" s="85"/>
      <c r="O907" s="82"/>
      <c r="P907" s="83"/>
      <c r="Q907" s="83"/>
      <c r="R907" s="83"/>
      <c r="S907" s="82"/>
      <c r="T907" s="83"/>
      <c r="U907" s="83"/>
      <c r="V907" s="84"/>
      <c r="W907" s="85"/>
      <c r="X907" s="87"/>
      <c r="Y907" s="83"/>
      <c r="Z907" s="84"/>
      <c r="AA907" s="85"/>
      <c r="AB907" s="84"/>
      <c r="AC907" s="85"/>
      <c r="AD907" s="89"/>
      <c r="AE907" s="89"/>
      <c r="AF907" s="186"/>
      <c r="AG907" s="85"/>
      <c r="AH907" s="85"/>
      <c r="AI907" s="85"/>
      <c r="AJ907" s="84"/>
      <c r="AK907" s="85"/>
      <c r="AL907" s="84"/>
      <c r="AM907" s="88"/>
      <c r="AN907" s="84"/>
      <c r="AO907" s="85"/>
      <c r="AP907" s="84"/>
      <c r="AQ907" s="83"/>
      <c r="AR907" s="83"/>
      <c r="AS907" s="83"/>
      <c r="AT907" s="85"/>
      <c r="AU907" s="85"/>
      <c r="AV907" s="85"/>
      <c r="AW907" s="88"/>
      <c r="AX907" s="84"/>
      <c r="AY907" s="85"/>
      <c r="AZ907" s="84"/>
      <c r="BA907" s="85"/>
      <c r="BB907" s="88"/>
      <c r="BC907" s="85"/>
      <c r="BD907" s="84"/>
      <c r="BE907" s="88"/>
      <c r="BF907" s="85"/>
      <c r="BG907" s="85"/>
      <c r="BH907" s="85">
        <v>300</v>
      </c>
      <c r="BI907" s="85"/>
      <c r="BJ907" s="85"/>
      <c r="BK907" s="85"/>
      <c r="BL907" s="85"/>
      <c r="BM907" s="85"/>
      <c r="BN907" s="85"/>
      <c r="BO907" s="85"/>
      <c r="BP907" s="85"/>
      <c r="BQ907" s="85"/>
      <c r="BR907" s="84"/>
      <c r="BS907" s="85"/>
      <c r="BT907" s="85"/>
      <c r="BU907" s="198"/>
      <c r="BV907" s="90"/>
      <c r="BW907" s="198"/>
      <c r="BX907" s="90"/>
      <c r="BY907" s="198"/>
      <c r="BZ907" s="90"/>
      <c r="CA907" s="91"/>
    </row>
    <row r="908" spans="1:79" ht="50.1" customHeight="1" outlineLevel="2" x14ac:dyDescent="0.3">
      <c r="A908" s="103" t="s">
        <v>755</v>
      </c>
      <c r="B908" s="111" t="s">
        <v>1138</v>
      </c>
      <c r="C908" s="79"/>
      <c r="D908" s="81">
        <f t="shared" si="203"/>
        <v>300</v>
      </c>
      <c r="E908" s="82">
        <f t="shared" si="204"/>
        <v>0</v>
      </c>
      <c r="F908" s="83">
        <f t="shared" si="205"/>
        <v>300</v>
      </c>
      <c r="G908" s="84"/>
      <c r="H908" s="85"/>
      <c r="I908" s="85"/>
      <c r="J908" s="84"/>
      <c r="K908" s="85"/>
      <c r="L908" s="85"/>
      <c r="M908" s="85"/>
      <c r="N908" s="85"/>
      <c r="O908" s="82"/>
      <c r="P908" s="83"/>
      <c r="Q908" s="83"/>
      <c r="R908" s="83"/>
      <c r="S908" s="82"/>
      <c r="T908" s="83"/>
      <c r="U908" s="83"/>
      <c r="V908" s="84"/>
      <c r="W908" s="85"/>
      <c r="X908" s="87"/>
      <c r="Y908" s="83"/>
      <c r="Z908" s="84"/>
      <c r="AA908" s="85"/>
      <c r="AB908" s="84"/>
      <c r="AC908" s="85"/>
      <c r="AD908" s="89"/>
      <c r="AE908" s="89"/>
      <c r="AF908" s="186"/>
      <c r="AG908" s="85"/>
      <c r="AH908" s="85"/>
      <c r="AI908" s="85"/>
      <c r="AJ908" s="84"/>
      <c r="AK908" s="85"/>
      <c r="AL908" s="84"/>
      <c r="AM908" s="88"/>
      <c r="AN908" s="84"/>
      <c r="AO908" s="85"/>
      <c r="AP908" s="84"/>
      <c r="AQ908" s="83"/>
      <c r="AR908" s="83"/>
      <c r="AS908" s="83"/>
      <c r="AT908" s="85"/>
      <c r="AU908" s="85"/>
      <c r="AV908" s="85"/>
      <c r="AW908" s="88"/>
      <c r="AX908" s="84"/>
      <c r="AY908" s="85"/>
      <c r="AZ908" s="84"/>
      <c r="BA908" s="85"/>
      <c r="BB908" s="88"/>
      <c r="BC908" s="85"/>
      <c r="BD908" s="84"/>
      <c r="BE908" s="88"/>
      <c r="BF908" s="85"/>
      <c r="BG908" s="85"/>
      <c r="BH908" s="85">
        <v>300</v>
      </c>
      <c r="BI908" s="85"/>
      <c r="BJ908" s="85"/>
      <c r="BK908" s="85"/>
      <c r="BL908" s="85"/>
      <c r="BM908" s="85"/>
      <c r="BN908" s="85"/>
      <c r="BO908" s="85"/>
      <c r="BP908" s="85"/>
      <c r="BQ908" s="85"/>
      <c r="BR908" s="84"/>
      <c r="BS908" s="85"/>
      <c r="BT908" s="85"/>
      <c r="BU908" s="198"/>
      <c r="BV908" s="90"/>
      <c r="BW908" s="198"/>
      <c r="BX908" s="90"/>
      <c r="BY908" s="198"/>
      <c r="BZ908" s="90"/>
      <c r="CA908" s="91"/>
    </row>
    <row r="909" spans="1:79" ht="50.1" customHeight="1" outlineLevel="2" x14ac:dyDescent="0.3">
      <c r="A909" s="103" t="s">
        <v>755</v>
      </c>
      <c r="B909" s="111" t="s">
        <v>1139</v>
      </c>
      <c r="C909" s="79"/>
      <c r="D909" s="81">
        <f t="shared" si="203"/>
        <v>300</v>
      </c>
      <c r="E909" s="82">
        <f t="shared" si="204"/>
        <v>0</v>
      </c>
      <c r="F909" s="83">
        <f t="shared" si="205"/>
        <v>300</v>
      </c>
      <c r="G909" s="84"/>
      <c r="H909" s="85"/>
      <c r="I909" s="85"/>
      <c r="J909" s="84"/>
      <c r="K909" s="85"/>
      <c r="L909" s="85"/>
      <c r="M909" s="85"/>
      <c r="N909" s="85"/>
      <c r="O909" s="82"/>
      <c r="P909" s="83"/>
      <c r="Q909" s="83"/>
      <c r="R909" s="83"/>
      <c r="S909" s="82"/>
      <c r="T909" s="83"/>
      <c r="U909" s="83"/>
      <c r="V909" s="84"/>
      <c r="W909" s="85"/>
      <c r="X909" s="87"/>
      <c r="Y909" s="83"/>
      <c r="Z909" s="84"/>
      <c r="AA909" s="85"/>
      <c r="AB909" s="84"/>
      <c r="AC909" s="85"/>
      <c r="AD909" s="89"/>
      <c r="AE909" s="89"/>
      <c r="AF909" s="186"/>
      <c r="AG909" s="85"/>
      <c r="AH909" s="85"/>
      <c r="AI909" s="85"/>
      <c r="AJ909" s="84"/>
      <c r="AK909" s="85"/>
      <c r="AL909" s="84"/>
      <c r="AM909" s="88"/>
      <c r="AN909" s="84"/>
      <c r="AO909" s="85"/>
      <c r="AP909" s="84"/>
      <c r="AQ909" s="83"/>
      <c r="AR909" s="83"/>
      <c r="AS909" s="83"/>
      <c r="AT909" s="85"/>
      <c r="AU909" s="85"/>
      <c r="AV909" s="85"/>
      <c r="AW909" s="88"/>
      <c r="AX909" s="84"/>
      <c r="AY909" s="85"/>
      <c r="AZ909" s="84"/>
      <c r="BA909" s="85"/>
      <c r="BB909" s="88"/>
      <c r="BC909" s="85"/>
      <c r="BD909" s="84"/>
      <c r="BE909" s="88"/>
      <c r="BF909" s="85"/>
      <c r="BG909" s="85"/>
      <c r="BH909" s="85">
        <v>300</v>
      </c>
      <c r="BI909" s="85"/>
      <c r="BJ909" s="85"/>
      <c r="BK909" s="85"/>
      <c r="BL909" s="85"/>
      <c r="BM909" s="85"/>
      <c r="BN909" s="85"/>
      <c r="BO909" s="85"/>
      <c r="BP909" s="85"/>
      <c r="BQ909" s="85"/>
      <c r="BR909" s="84"/>
      <c r="BS909" s="85"/>
      <c r="BT909" s="85"/>
      <c r="BU909" s="198"/>
      <c r="BV909" s="90"/>
      <c r="BW909" s="198"/>
      <c r="BX909" s="90"/>
      <c r="BY909" s="198"/>
      <c r="BZ909" s="90"/>
      <c r="CA909" s="91"/>
    </row>
    <row r="910" spans="1:79" ht="50.1" customHeight="1" outlineLevel="2" x14ac:dyDescent="0.3">
      <c r="A910" s="103" t="s">
        <v>755</v>
      </c>
      <c r="B910" s="111" t="s">
        <v>1144</v>
      </c>
      <c r="C910" s="79"/>
      <c r="D910" s="81">
        <f t="shared" si="203"/>
        <v>300</v>
      </c>
      <c r="E910" s="82">
        <f t="shared" si="204"/>
        <v>0</v>
      </c>
      <c r="F910" s="83">
        <f t="shared" si="205"/>
        <v>300</v>
      </c>
      <c r="G910" s="84"/>
      <c r="H910" s="85"/>
      <c r="I910" s="85"/>
      <c r="J910" s="84"/>
      <c r="K910" s="85"/>
      <c r="L910" s="85"/>
      <c r="M910" s="85"/>
      <c r="N910" s="85"/>
      <c r="O910" s="82"/>
      <c r="P910" s="83"/>
      <c r="Q910" s="83"/>
      <c r="R910" s="83"/>
      <c r="S910" s="82"/>
      <c r="T910" s="83"/>
      <c r="U910" s="83"/>
      <c r="V910" s="84"/>
      <c r="W910" s="85"/>
      <c r="X910" s="87"/>
      <c r="Y910" s="83"/>
      <c r="Z910" s="84"/>
      <c r="AA910" s="85"/>
      <c r="AB910" s="84"/>
      <c r="AC910" s="85"/>
      <c r="AD910" s="89"/>
      <c r="AE910" s="89"/>
      <c r="AF910" s="186"/>
      <c r="AG910" s="85"/>
      <c r="AH910" s="85"/>
      <c r="AI910" s="85"/>
      <c r="AJ910" s="84"/>
      <c r="AK910" s="85"/>
      <c r="AL910" s="84"/>
      <c r="AM910" s="88"/>
      <c r="AN910" s="84"/>
      <c r="AO910" s="85"/>
      <c r="AP910" s="84"/>
      <c r="AQ910" s="83"/>
      <c r="AR910" s="83"/>
      <c r="AS910" s="83"/>
      <c r="AT910" s="85"/>
      <c r="AU910" s="85"/>
      <c r="AV910" s="85"/>
      <c r="AW910" s="88"/>
      <c r="AX910" s="84"/>
      <c r="AY910" s="85"/>
      <c r="AZ910" s="84"/>
      <c r="BA910" s="85"/>
      <c r="BB910" s="88"/>
      <c r="BC910" s="85"/>
      <c r="BD910" s="84"/>
      <c r="BE910" s="88"/>
      <c r="BF910" s="85"/>
      <c r="BG910" s="85"/>
      <c r="BH910" s="85">
        <v>300</v>
      </c>
      <c r="BI910" s="85"/>
      <c r="BJ910" s="85"/>
      <c r="BK910" s="85"/>
      <c r="BL910" s="85"/>
      <c r="BM910" s="85"/>
      <c r="BN910" s="85"/>
      <c r="BO910" s="85"/>
      <c r="BP910" s="85"/>
      <c r="BQ910" s="85"/>
      <c r="BR910" s="84"/>
      <c r="BS910" s="85"/>
      <c r="BT910" s="85"/>
      <c r="BU910" s="198"/>
      <c r="BV910" s="90"/>
      <c r="BW910" s="198"/>
      <c r="BX910" s="90"/>
      <c r="BY910" s="198"/>
      <c r="BZ910" s="90"/>
      <c r="CA910" s="91"/>
    </row>
    <row r="911" spans="1:79" ht="50.1" customHeight="1" outlineLevel="2" x14ac:dyDescent="0.3">
      <c r="A911" s="103" t="s">
        <v>755</v>
      </c>
      <c r="B911" s="111" t="s">
        <v>1112</v>
      </c>
      <c r="C911" s="79"/>
      <c r="D911" s="81">
        <f t="shared" si="203"/>
        <v>300</v>
      </c>
      <c r="E911" s="82">
        <f t="shared" si="204"/>
        <v>0</v>
      </c>
      <c r="F911" s="83">
        <f t="shared" si="205"/>
        <v>300</v>
      </c>
      <c r="G911" s="84"/>
      <c r="H911" s="85"/>
      <c r="I911" s="85"/>
      <c r="J911" s="84"/>
      <c r="K911" s="85"/>
      <c r="L911" s="85"/>
      <c r="M911" s="85"/>
      <c r="N911" s="85"/>
      <c r="O911" s="82"/>
      <c r="P911" s="83"/>
      <c r="Q911" s="83"/>
      <c r="R911" s="83"/>
      <c r="S911" s="82"/>
      <c r="T911" s="83"/>
      <c r="U911" s="83"/>
      <c r="V911" s="84"/>
      <c r="W911" s="85"/>
      <c r="X911" s="87"/>
      <c r="Y911" s="83"/>
      <c r="Z911" s="84"/>
      <c r="AA911" s="85"/>
      <c r="AB911" s="84"/>
      <c r="AC911" s="85"/>
      <c r="AD911" s="89"/>
      <c r="AE911" s="89"/>
      <c r="AF911" s="186"/>
      <c r="AG911" s="85"/>
      <c r="AH911" s="85"/>
      <c r="AI911" s="85"/>
      <c r="AJ911" s="84"/>
      <c r="AK911" s="85"/>
      <c r="AL911" s="84"/>
      <c r="AM911" s="88"/>
      <c r="AN911" s="84"/>
      <c r="AO911" s="85"/>
      <c r="AP911" s="84"/>
      <c r="AQ911" s="83"/>
      <c r="AR911" s="83"/>
      <c r="AS911" s="83"/>
      <c r="AT911" s="85"/>
      <c r="AU911" s="85"/>
      <c r="AV911" s="85"/>
      <c r="AW911" s="88"/>
      <c r="AX911" s="84"/>
      <c r="AY911" s="85"/>
      <c r="AZ911" s="84"/>
      <c r="BA911" s="85"/>
      <c r="BB911" s="88"/>
      <c r="BC911" s="85"/>
      <c r="BD911" s="84"/>
      <c r="BE911" s="88"/>
      <c r="BF911" s="85"/>
      <c r="BG911" s="85"/>
      <c r="BH911" s="85">
        <v>300</v>
      </c>
      <c r="BI911" s="85"/>
      <c r="BJ911" s="85"/>
      <c r="BK911" s="85"/>
      <c r="BL911" s="85"/>
      <c r="BM911" s="85"/>
      <c r="BN911" s="85"/>
      <c r="BO911" s="85"/>
      <c r="BP911" s="85"/>
      <c r="BQ911" s="85"/>
      <c r="BR911" s="84"/>
      <c r="BS911" s="85"/>
      <c r="BT911" s="85"/>
      <c r="BU911" s="198"/>
      <c r="BV911" s="90"/>
      <c r="BW911" s="198"/>
      <c r="BX911" s="90"/>
      <c r="BY911" s="198"/>
      <c r="BZ911" s="90"/>
      <c r="CA911" s="91"/>
    </row>
    <row r="912" spans="1:79" ht="50.1" customHeight="1" outlineLevel="2" x14ac:dyDescent="0.3">
      <c r="A912" s="103" t="s">
        <v>755</v>
      </c>
      <c r="B912" s="111" t="s">
        <v>1147</v>
      </c>
      <c r="C912" s="79"/>
      <c r="D912" s="81">
        <f t="shared" si="203"/>
        <v>300</v>
      </c>
      <c r="E912" s="82">
        <f t="shared" si="204"/>
        <v>0</v>
      </c>
      <c r="F912" s="83">
        <f t="shared" si="205"/>
        <v>300</v>
      </c>
      <c r="G912" s="84"/>
      <c r="H912" s="85"/>
      <c r="I912" s="85"/>
      <c r="J912" s="84"/>
      <c r="K912" s="85"/>
      <c r="L912" s="85"/>
      <c r="M912" s="85"/>
      <c r="N912" s="85"/>
      <c r="O912" s="82"/>
      <c r="P912" s="83"/>
      <c r="Q912" s="83"/>
      <c r="R912" s="83"/>
      <c r="S912" s="82"/>
      <c r="T912" s="83"/>
      <c r="U912" s="83"/>
      <c r="V912" s="84"/>
      <c r="W912" s="85"/>
      <c r="X912" s="87"/>
      <c r="Y912" s="83"/>
      <c r="Z912" s="84"/>
      <c r="AA912" s="85"/>
      <c r="AB912" s="84"/>
      <c r="AC912" s="85"/>
      <c r="AD912" s="89"/>
      <c r="AE912" s="89"/>
      <c r="AF912" s="186"/>
      <c r="AG912" s="85"/>
      <c r="AH912" s="85"/>
      <c r="AI912" s="85"/>
      <c r="AJ912" s="84"/>
      <c r="AK912" s="85"/>
      <c r="AL912" s="84"/>
      <c r="AM912" s="88"/>
      <c r="AN912" s="84"/>
      <c r="AO912" s="85"/>
      <c r="AP912" s="84"/>
      <c r="AQ912" s="83"/>
      <c r="AR912" s="83"/>
      <c r="AS912" s="83"/>
      <c r="AT912" s="85"/>
      <c r="AU912" s="85"/>
      <c r="AV912" s="85"/>
      <c r="AW912" s="88"/>
      <c r="AX912" s="84"/>
      <c r="AY912" s="85"/>
      <c r="AZ912" s="84"/>
      <c r="BA912" s="85"/>
      <c r="BB912" s="88"/>
      <c r="BC912" s="85"/>
      <c r="BD912" s="84"/>
      <c r="BE912" s="88"/>
      <c r="BF912" s="85"/>
      <c r="BG912" s="85"/>
      <c r="BH912" s="85"/>
      <c r="BI912" s="85"/>
      <c r="BJ912" s="85"/>
      <c r="BK912" s="85"/>
      <c r="BL912" s="85"/>
      <c r="BM912" s="85"/>
      <c r="BN912" s="85"/>
      <c r="BO912" s="85">
        <v>300</v>
      </c>
      <c r="BP912" s="85"/>
      <c r="BQ912" s="85"/>
      <c r="BR912" s="84"/>
      <c r="BS912" s="85"/>
      <c r="BT912" s="85"/>
      <c r="BU912" s="198"/>
      <c r="BV912" s="90"/>
      <c r="BW912" s="198"/>
      <c r="BX912" s="90"/>
      <c r="BY912" s="198"/>
      <c r="BZ912" s="90"/>
      <c r="CA912" s="91"/>
    </row>
    <row r="913" spans="1:1199" ht="50.1" customHeight="1" outlineLevel="2" x14ac:dyDescent="0.3">
      <c r="A913" s="103" t="s">
        <v>755</v>
      </c>
      <c r="B913" s="111" t="s">
        <v>1149</v>
      </c>
      <c r="C913" s="79"/>
      <c r="D913" s="81">
        <f t="shared" si="203"/>
        <v>18.286470000000001</v>
      </c>
      <c r="E913" s="82">
        <f t="shared" si="204"/>
        <v>0</v>
      </c>
      <c r="F913" s="83">
        <f t="shared" si="205"/>
        <v>18.286470000000001</v>
      </c>
      <c r="G913" s="84"/>
      <c r="H913" s="85"/>
      <c r="I913" s="85"/>
      <c r="J913" s="84"/>
      <c r="K913" s="85"/>
      <c r="L913" s="85"/>
      <c r="M913" s="85"/>
      <c r="N913" s="85"/>
      <c r="O913" s="82"/>
      <c r="P913" s="83"/>
      <c r="Q913" s="83"/>
      <c r="R913" s="83"/>
      <c r="S913" s="82"/>
      <c r="T913" s="83"/>
      <c r="U913" s="83"/>
      <c r="V913" s="84"/>
      <c r="W913" s="85"/>
      <c r="X913" s="87"/>
      <c r="Y913" s="83"/>
      <c r="Z913" s="84"/>
      <c r="AA913" s="85"/>
      <c r="AB913" s="84"/>
      <c r="AC913" s="85"/>
      <c r="AD913" s="89"/>
      <c r="AE913" s="89"/>
      <c r="AF913" s="186"/>
      <c r="AG913" s="85"/>
      <c r="AH913" s="85"/>
      <c r="AI913" s="85"/>
      <c r="AJ913" s="84"/>
      <c r="AK913" s="85"/>
      <c r="AL913" s="84"/>
      <c r="AM913" s="88"/>
      <c r="AN913" s="84"/>
      <c r="AO913" s="85"/>
      <c r="AP913" s="84"/>
      <c r="AQ913" s="83"/>
      <c r="AR913" s="83"/>
      <c r="AS913" s="83"/>
      <c r="AT913" s="85"/>
      <c r="AU913" s="85"/>
      <c r="AV913" s="85"/>
      <c r="AW913" s="88"/>
      <c r="AX913" s="84"/>
      <c r="AY913" s="85"/>
      <c r="AZ913" s="84"/>
      <c r="BA913" s="85"/>
      <c r="BB913" s="88"/>
      <c r="BC913" s="85"/>
      <c r="BD913" s="84"/>
      <c r="BE913" s="88"/>
      <c r="BF913" s="85"/>
      <c r="BG913" s="85"/>
      <c r="BH913" s="85"/>
      <c r="BI913" s="85">
        <v>18.286470000000001</v>
      </c>
      <c r="BJ913" s="85"/>
      <c r="BK913" s="85"/>
      <c r="BL913" s="85"/>
      <c r="BM913" s="85"/>
      <c r="BN913" s="85"/>
      <c r="BO913" s="85"/>
      <c r="BP913" s="85"/>
      <c r="BQ913" s="85"/>
      <c r="BR913" s="84"/>
      <c r="BS913" s="85"/>
      <c r="BT913" s="85"/>
      <c r="BU913" s="198"/>
      <c r="BV913" s="90"/>
      <c r="BW913" s="198"/>
      <c r="BX913" s="90"/>
      <c r="BY913" s="198"/>
      <c r="BZ913" s="90"/>
      <c r="CA913" s="91"/>
    </row>
    <row r="914" spans="1:1199" ht="50.1" customHeight="1" outlineLevel="2" x14ac:dyDescent="0.3">
      <c r="A914" s="103" t="s">
        <v>755</v>
      </c>
      <c r="B914" s="111" t="s">
        <v>780</v>
      </c>
      <c r="C914" s="79"/>
      <c r="D914" s="81">
        <f t="shared" si="203"/>
        <v>36.33</v>
      </c>
      <c r="E914" s="82">
        <f t="shared" si="204"/>
        <v>0</v>
      </c>
      <c r="F914" s="83">
        <f t="shared" si="205"/>
        <v>36.33</v>
      </c>
      <c r="G914" s="84"/>
      <c r="H914" s="85"/>
      <c r="I914" s="85"/>
      <c r="J914" s="84"/>
      <c r="K914" s="85"/>
      <c r="L914" s="85"/>
      <c r="M914" s="85"/>
      <c r="N914" s="85"/>
      <c r="O914" s="82"/>
      <c r="P914" s="83"/>
      <c r="Q914" s="83"/>
      <c r="R914" s="83"/>
      <c r="S914" s="82"/>
      <c r="T914" s="83"/>
      <c r="U914" s="83"/>
      <c r="V914" s="84"/>
      <c r="W914" s="85"/>
      <c r="X914" s="87"/>
      <c r="Y914" s="83"/>
      <c r="Z914" s="84"/>
      <c r="AA914" s="85"/>
      <c r="AB914" s="84"/>
      <c r="AC914" s="85"/>
      <c r="AD914" s="89">
        <f t="shared" si="198"/>
        <v>0</v>
      </c>
      <c r="AE914" s="89"/>
      <c r="AF914" s="186"/>
      <c r="AG914" s="85"/>
      <c r="AH914" s="85"/>
      <c r="AI914" s="85"/>
      <c r="AJ914" s="84"/>
      <c r="AK914" s="85"/>
      <c r="AL914" s="84"/>
      <c r="AM914" s="88"/>
      <c r="AN914" s="84"/>
      <c r="AO914" s="85"/>
      <c r="AP914" s="84"/>
      <c r="AQ914" s="83"/>
      <c r="AR914" s="83"/>
      <c r="AS914" s="83"/>
      <c r="AT914" s="85"/>
      <c r="AU914" s="85"/>
      <c r="AV914" s="85"/>
      <c r="AW914" s="88"/>
      <c r="AX914" s="84"/>
      <c r="AY914" s="85"/>
      <c r="AZ914" s="84"/>
      <c r="BA914" s="85"/>
      <c r="BB914" s="88"/>
      <c r="BC914" s="85"/>
      <c r="BD914" s="84"/>
      <c r="BE914" s="88"/>
      <c r="BF914" s="85"/>
      <c r="BG914" s="85"/>
      <c r="BH914" s="85"/>
      <c r="BI914" s="135">
        <v>36.33</v>
      </c>
      <c r="BJ914" s="85"/>
      <c r="BK914" s="85"/>
      <c r="BL914" s="85"/>
      <c r="BM914" s="85"/>
      <c r="BN914" s="85"/>
      <c r="BO914" s="85"/>
      <c r="BP914" s="85"/>
      <c r="BQ914" s="85"/>
      <c r="BR914" s="84"/>
      <c r="BS914" s="85"/>
      <c r="BT914" s="85"/>
      <c r="BU914" s="198"/>
      <c r="BV914" s="90"/>
      <c r="BW914" s="198"/>
      <c r="BX914" s="90"/>
      <c r="BY914" s="198"/>
      <c r="BZ914" s="90"/>
      <c r="CA914" s="91"/>
    </row>
    <row r="915" spans="1:1199" s="101" customFormat="1" ht="50.1" customHeight="1" outlineLevel="1" x14ac:dyDescent="0.3">
      <c r="A915" s="132" t="s">
        <v>781</v>
      </c>
      <c r="B915" s="133"/>
      <c r="C915" s="134" t="s">
        <v>94</v>
      </c>
      <c r="D915" s="81">
        <f t="shared" ref="D915:AI915" si="206">SUBTOTAL(9,D864:D914)</f>
        <v>175007.80666999993</v>
      </c>
      <c r="E915" s="81">
        <f t="shared" si="206"/>
        <v>30297.685359999999</v>
      </c>
      <c r="F915" s="81">
        <f t="shared" si="206"/>
        <v>144710.12131000005</v>
      </c>
      <c r="G915" s="81">
        <f t="shared" si="206"/>
        <v>0</v>
      </c>
      <c r="H915" s="81">
        <f t="shared" si="206"/>
        <v>0</v>
      </c>
      <c r="I915" s="81">
        <f t="shared" si="206"/>
        <v>450.87205</v>
      </c>
      <c r="J915" s="81">
        <f t="shared" si="206"/>
        <v>1476.2376400000001</v>
      </c>
      <c r="K915" s="81">
        <f t="shared" si="206"/>
        <v>491.90508999999997</v>
      </c>
      <c r="L915" s="81">
        <f t="shared" si="206"/>
        <v>308.30218000000002</v>
      </c>
      <c r="M915" s="81">
        <f t="shared" si="206"/>
        <v>0</v>
      </c>
      <c r="N915" s="81">
        <f t="shared" si="206"/>
        <v>0</v>
      </c>
      <c r="O915" s="81">
        <f t="shared" si="206"/>
        <v>0</v>
      </c>
      <c r="P915" s="81">
        <f t="shared" si="206"/>
        <v>0</v>
      </c>
      <c r="Q915" s="81">
        <f t="shared" si="206"/>
        <v>455.61637999999999</v>
      </c>
      <c r="R915" s="81">
        <f t="shared" si="206"/>
        <v>0</v>
      </c>
      <c r="S915" s="81">
        <f t="shared" si="206"/>
        <v>284.64384000000001</v>
      </c>
      <c r="T915" s="81">
        <f t="shared" si="206"/>
        <v>142.32192000000001</v>
      </c>
      <c r="U915" s="81">
        <f t="shared" si="206"/>
        <v>0</v>
      </c>
      <c r="V915" s="81">
        <f t="shared" si="206"/>
        <v>1450.3475500000002</v>
      </c>
      <c r="W915" s="81">
        <f t="shared" si="206"/>
        <v>3430.3371200000001</v>
      </c>
      <c r="X915" s="81">
        <f t="shared" si="206"/>
        <v>0</v>
      </c>
      <c r="Y915" s="81">
        <f t="shared" si="206"/>
        <v>6209.7360000000008</v>
      </c>
      <c r="Z915" s="81">
        <f t="shared" si="206"/>
        <v>0</v>
      </c>
      <c r="AA915" s="81">
        <f t="shared" si="206"/>
        <v>0</v>
      </c>
      <c r="AB915" s="81">
        <f t="shared" si="206"/>
        <v>0</v>
      </c>
      <c r="AC915" s="81">
        <f t="shared" si="206"/>
        <v>0</v>
      </c>
      <c r="AD915" s="81">
        <f t="shared" si="206"/>
        <v>14244.538050000001</v>
      </c>
      <c r="AE915" s="81">
        <f t="shared" si="206"/>
        <v>3501.0237000000006</v>
      </c>
      <c r="AF915" s="192">
        <f t="shared" si="206"/>
        <v>10743.514350000001</v>
      </c>
      <c r="AG915" s="81">
        <f t="shared" si="206"/>
        <v>0</v>
      </c>
      <c r="AH915" s="81">
        <f t="shared" si="206"/>
        <v>0</v>
      </c>
      <c r="AI915" s="81">
        <f t="shared" si="206"/>
        <v>0</v>
      </c>
      <c r="AJ915" s="81">
        <f t="shared" ref="AJ915:BO915" si="207">SUBTOTAL(9,AJ864:AJ914)</f>
        <v>0</v>
      </c>
      <c r="AK915" s="81">
        <f t="shared" si="207"/>
        <v>0</v>
      </c>
      <c r="AL915" s="81">
        <f t="shared" si="207"/>
        <v>0</v>
      </c>
      <c r="AM915" s="81">
        <f t="shared" si="207"/>
        <v>0</v>
      </c>
      <c r="AN915" s="81">
        <f t="shared" si="207"/>
        <v>0</v>
      </c>
      <c r="AO915" s="81">
        <f t="shared" si="207"/>
        <v>174.72</v>
      </c>
      <c r="AP915" s="81">
        <f t="shared" si="207"/>
        <v>9777.1939500000008</v>
      </c>
      <c r="AQ915" s="81">
        <f t="shared" si="207"/>
        <v>21951.544329999997</v>
      </c>
      <c r="AR915" s="81">
        <f t="shared" si="207"/>
        <v>0</v>
      </c>
      <c r="AS915" s="81">
        <f t="shared" si="207"/>
        <v>0</v>
      </c>
      <c r="AT915" s="81">
        <f t="shared" si="207"/>
        <v>0</v>
      </c>
      <c r="AU915" s="81">
        <f t="shared" si="207"/>
        <v>18830</v>
      </c>
      <c r="AV915" s="81">
        <f t="shared" si="207"/>
        <v>38166.919879999994</v>
      </c>
      <c r="AW915" s="81">
        <f t="shared" si="207"/>
        <v>0</v>
      </c>
      <c r="AX915" s="81">
        <f t="shared" si="207"/>
        <v>0</v>
      </c>
      <c r="AY915" s="81">
        <f t="shared" si="207"/>
        <v>0</v>
      </c>
      <c r="AZ915" s="81">
        <f t="shared" si="207"/>
        <v>15027.926210000001</v>
      </c>
      <c r="BA915" s="81">
        <f t="shared" si="207"/>
        <v>13555.456009999998</v>
      </c>
      <c r="BB915" s="81">
        <f t="shared" si="207"/>
        <v>389.60807999999997</v>
      </c>
      <c r="BC915" s="81">
        <f t="shared" si="207"/>
        <v>0</v>
      </c>
      <c r="BD915" s="81">
        <f t="shared" si="207"/>
        <v>2281.33617</v>
      </c>
      <c r="BE915" s="81">
        <f t="shared" si="207"/>
        <v>4552.3846899999999</v>
      </c>
      <c r="BF915" s="81">
        <f t="shared" si="207"/>
        <v>0</v>
      </c>
      <c r="BG915" s="81">
        <f t="shared" si="207"/>
        <v>3959.3919499999997</v>
      </c>
      <c r="BH915" s="81">
        <f t="shared" si="207"/>
        <v>5098</v>
      </c>
      <c r="BI915" s="81">
        <f t="shared" si="207"/>
        <v>88.616469999999993</v>
      </c>
      <c r="BJ915" s="81">
        <f t="shared" si="207"/>
        <v>5764.9774299999999</v>
      </c>
      <c r="BK915" s="81">
        <f t="shared" si="207"/>
        <v>3780.2918100000002</v>
      </c>
      <c r="BL915" s="81">
        <f t="shared" si="207"/>
        <v>73.698899999999995</v>
      </c>
      <c r="BM915" s="81">
        <f t="shared" si="207"/>
        <v>0</v>
      </c>
      <c r="BN915" s="81">
        <f t="shared" si="207"/>
        <v>0</v>
      </c>
      <c r="BO915" s="81">
        <f t="shared" si="207"/>
        <v>300</v>
      </c>
      <c r="BP915" s="81">
        <f t="shared" ref="BP915:CU915" si="208">SUBTOTAL(9,BP864:BP914)</f>
        <v>0</v>
      </c>
      <c r="BQ915" s="81">
        <f t="shared" si="208"/>
        <v>0</v>
      </c>
      <c r="BR915" s="81">
        <f t="shared" si="208"/>
        <v>0</v>
      </c>
      <c r="BS915" s="81">
        <f t="shared" si="208"/>
        <v>0</v>
      </c>
      <c r="BT915" s="81">
        <f t="shared" si="208"/>
        <v>2220.4129700000003</v>
      </c>
      <c r="BU915" s="81">
        <f t="shared" si="208"/>
        <v>70.47</v>
      </c>
      <c r="BV915" s="81">
        <f t="shared" si="208"/>
        <v>0</v>
      </c>
      <c r="BW915" s="81">
        <f t="shared" si="208"/>
        <v>0</v>
      </c>
      <c r="BX915" s="81">
        <f t="shared" si="208"/>
        <v>0</v>
      </c>
      <c r="BY915" s="81">
        <f t="shared" si="208"/>
        <v>0</v>
      </c>
      <c r="BZ915" s="81">
        <f t="shared" si="208"/>
        <v>0</v>
      </c>
      <c r="CA915" s="81">
        <f t="shared" si="208"/>
        <v>0</v>
      </c>
      <c r="CB915" s="176"/>
      <c r="CC915" s="176"/>
      <c r="CD915" s="176"/>
      <c r="CE915" s="176"/>
      <c r="CF915" s="176"/>
      <c r="CG915" s="176"/>
      <c r="CH915" s="176"/>
      <c r="CI915" s="176"/>
      <c r="CJ915" s="176"/>
      <c r="CK915" s="176"/>
      <c r="CL915" s="176"/>
      <c r="CM915" s="176"/>
      <c r="CN915" s="176"/>
      <c r="CO915" s="176"/>
      <c r="CP915" s="176"/>
      <c r="CQ915" s="176"/>
      <c r="CR915" s="176"/>
      <c r="CS915" s="176"/>
      <c r="CT915" s="176"/>
      <c r="CU915" s="176"/>
      <c r="CV915" s="176"/>
      <c r="CW915" s="176"/>
      <c r="CX915" s="176"/>
      <c r="CY915" s="176"/>
      <c r="CZ915" s="176"/>
      <c r="DA915" s="176"/>
      <c r="DB915" s="176"/>
      <c r="DC915" s="176"/>
      <c r="DD915" s="176"/>
      <c r="DE915" s="176"/>
      <c r="DF915" s="176"/>
      <c r="DG915" s="176"/>
      <c r="DH915" s="176"/>
      <c r="DI915" s="176"/>
      <c r="DJ915" s="176"/>
      <c r="DK915" s="176"/>
      <c r="DL915" s="176"/>
      <c r="DM915" s="176"/>
      <c r="DN915" s="176"/>
      <c r="DO915" s="176"/>
      <c r="DP915" s="176"/>
      <c r="DQ915" s="176"/>
      <c r="DR915" s="176"/>
      <c r="DS915" s="176"/>
      <c r="DT915" s="176"/>
      <c r="DU915" s="176"/>
      <c r="DV915" s="176"/>
      <c r="DW915" s="176"/>
      <c r="DX915" s="176"/>
      <c r="DY915" s="176"/>
      <c r="DZ915" s="176"/>
      <c r="EA915" s="176"/>
      <c r="EB915" s="176"/>
      <c r="EC915" s="176"/>
      <c r="ED915" s="176"/>
      <c r="EE915" s="176"/>
      <c r="EF915" s="176"/>
      <c r="EG915" s="176"/>
      <c r="EH915" s="176"/>
      <c r="EI915" s="176"/>
      <c r="EJ915" s="176"/>
      <c r="EK915" s="176"/>
      <c r="EL915" s="176"/>
      <c r="EM915" s="176"/>
      <c r="EN915" s="176"/>
      <c r="EO915" s="176"/>
      <c r="EP915" s="176"/>
      <c r="EQ915" s="176"/>
      <c r="ER915" s="176"/>
      <c r="ES915" s="176"/>
      <c r="ET915" s="176"/>
      <c r="EU915" s="176"/>
      <c r="EV915" s="176"/>
      <c r="EW915" s="176"/>
      <c r="EX915" s="176"/>
      <c r="EY915" s="176"/>
      <c r="EZ915" s="176"/>
      <c r="FA915" s="176"/>
      <c r="FB915" s="176"/>
      <c r="FC915" s="176"/>
      <c r="FD915" s="176"/>
      <c r="FE915" s="176"/>
      <c r="FF915" s="176"/>
      <c r="FG915" s="176"/>
      <c r="FH915" s="176"/>
      <c r="FI915" s="176"/>
      <c r="FJ915" s="176"/>
      <c r="FK915" s="176"/>
      <c r="FL915" s="176"/>
      <c r="FM915" s="176"/>
      <c r="FN915" s="176"/>
      <c r="FO915" s="176"/>
      <c r="FP915" s="176"/>
      <c r="FQ915" s="176"/>
      <c r="FR915" s="176"/>
      <c r="FS915" s="176"/>
      <c r="FT915" s="176"/>
      <c r="FU915" s="176"/>
      <c r="FV915" s="176"/>
      <c r="FW915" s="176"/>
      <c r="FX915" s="176"/>
      <c r="FY915" s="176"/>
      <c r="FZ915" s="176"/>
      <c r="GA915" s="176"/>
      <c r="GB915" s="176"/>
      <c r="GC915" s="176"/>
      <c r="GD915" s="176"/>
      <c r="GE915" s="176"/>
      <c r="GF915" s="176"/>
      <c r="GG915" s="176"/>
      <c r="GH915" s="176"/>
      <c r="GI915" s="176"/>
      <c r="GJ915" s="176"/>
      <c r="GK915" s="176"/>
      <c r="GL915" s="176"/>
      <c r="GM915" s="176"/>
      <c r="GN915" s="176"/>
      <c r="GO915" s="176"/>
      <c r="GP915" s="176"/>
      <c r="GQ915" s="176"/>
      <c r="GR915" s="176"/>
      <c r="GS915" s="176"/>
      <c r="GT915" s="176"/>
      <c r="GU915" s="176"/>
      <c r="GV915" s="176"/>
      <c r="GW915" s="176"/>
      <c r="GX915" s="176"/>
      <c r="GY915" s="176"/>
      <c r="GZ915" s="176"/>
      <c r="HA915" s="176"/>
      <c r="HB915" s="176"/>
      <c r="HC915" s="176"/>
      <c r="HD915" s="176"/>
      <c r="HE915" s="176"/>
      <c r="HF915" s="176"/>
      <c r="HG915" s="176"/>
      <c r="HH915" s="176"/>
      <c r="HI915" s="176"/>
      <c r="HJ915" s="176"/>
      <c r="HK915" s="176"/>
      <c r="HL915" s="176"/>
      <c r="HM915" s="176"/>
      <c r="HN915" s="176"/>
      <c r="HO915" s="176"/>
      <c r="HP915" s="176"/>
      <c r="HQ915" s="176"/>
      <c r="HR915" s="176"/>
      <c r="HS915" s="176"/>
      <c r="HT915" s="176"/>
      <c r="HU915" s="176"/>
      <c r="HV915" s="176"/>
      <c r="HW915" s="176"/>
      <c r="HX915" s="176"/>
      <c r="HY915" s="176"/>
      <c r="HZ915" s="176"/>
      <c r="IA915" s="176"/>
      <c r="IB915" s="176"/>
      <c r="IC915" s="176"/>
      <c r="ID915" s="176"/>
      <c r="IE915" s="176"/>
      <c r="IF915" s="176"/>
      <c r="IG915" s="176"/>
      <c r="IH915" s="176"/>
      <c r="II915" s="176"/>
      <c r="IJ915" s="176"/>
      <c r="IK915" s="176"/>
      <c r="IL915" s="176"/>
      <c r="IM915" s="176"/>
      <c r="IN915" s="176"/>
      <c r="IO915" s="176"/>
      <c r="IP915" s="176"/>
      <c r="IQ915" s="176"/>
      <c r="IR915" s="176"/>
      <c r="IS915" s="176"/>
      <c r="IT915" s="176"/>
      <c r="IU915" s="176"/>
      <c r="IV915" s="176"/>
      <c r="IW915" s="176"/>
      <c r="IX915" s="176"/>
      <c r="IY915" s="176"/>
      <c r="IZ915" s="176"/>
      <c r="JA915" s="176"/>
      <c r="JB915" s="176"/>
      <c r="JC915" s="176"/>
      <c r="JD915" s="176"/>
      <c r="JE915" s="176"/>
      <c r="JF915" s="176"/>
      <c r="JG915" s="176"/>
      <c r="JH915" s="176"/>
      <c r="JI915" s="176"/>
      <c r="JJ915" s="176"/>
      <c r="JK915" s="176"/>
      <c r="JL915" s="176"/>
      <c r="JM915" s="176"/>
      <c r="JN915" s="176"/>
      <c r="JO915" s="176"/>
      <c r="JP915" s="176"/>
      <c r="JQ915" s="176"/>
      <c r="JR915" s="176"/>
      <c r="JS915" s="176"/>
      <c r="JT915" s="176"/>
      <c r="JU915" s="176"/>
      <c r="JV915" s="176"/>
      <c r="JW915" s="131"/>
      <c r="JX915" s="131"/>
      <c r="JY915" s="131"/>
      <c r="JZ915" s="131"/>
      <c r="KA915" s="131"/>
      <c r="KB915" s="131"/>
      <c r="KC915" s="131"/>
      <c r="KD915" s="131"/>
      <c r="KE915" s="131"/>
      <c r="KF915" s="131"/>
      <c r="KG915" s="131"/>
      <c r="KH915" s="131"/>
      <c r="KI915" s="131"/>
      <c r="KJ915" s="131"/>
      <c r="KK915" s="131"/>
      <c r="KL915" s="131"/>
      <c r="KM915" s="131"/>
      <c r="KN915" s="131"/>
      <c r="KO915" s="131"/>
      <c r="KP915" s="131"/>
      <c r="KQ915" s="131"/>
      <c r="KR915" s="131"/>
      <c r="KS915" s="131"/>
      <c r="KT915" s="131"/>
      <c r="KU915" s="131"/>
      <c r="KV915" s="131"/>
      <c r="KW915" s="131"/>
      <c r="KX915" s="131"/>
      <c r="KY915" s="131"/>
      <c r="KZ915" s="131"/>
      <c r="LA915" s="131"/>
      <c r="LB915" s="131"/>
      <c r="LC915" s="131"/>
      <c r="LD915" s="131"/>
      <c r="LE915" s="131"/>
      <c r="LF915" s="131"/>
      <c r="LG915" s="131"/>
      <c r="LH915" s="131"/>
      <c r="LI915" s="131"/>
      <c r="LJ915" s="131"/>
      <c r="LK915" s="131"/>
      <c r="LL915" s="131"/>
      <c r="LM915" s="131"/>
      <c r="LN915" s="131"/>
      <c r="LO915" s="131"/>
      <c r="LP915" s="131"/>
      <c r="LQ915" s="131"/>
      <c r="LR915" s="131"/>
      <c r="LS915" s="131"/>
      <c r="LT915" s="131"/>
      <c r="LU915" s="131"/>
      <c r="LV915" s="131"/>
      <c r="LW915" s="131"/>
      <c r="LX915" s="131"/>
      <c r="LY915" s="131"/>
      <c r="LZ915" s="131"/>
      <c r="MA915" s="131"/>
      <c r="MB915" s="131"/>
      <c r="MC915" s="131"/>
      <c r="MD915" s="131"/>
      <c r="ME915" s="131"/>
      <c r="MF915" s="131"/>
      <c r="MG915" s="131"/>
      <c r="MH915" s="131"/>
      <c r="MI915" s="131"/>
      <c r="MJ915" s="131"/>
      <c r="MK915" s="131"/>
      <c r="ML915" s="131"/>
      <c r="MM915" s="131"/>
      <c r="MN915" s="131"/>
      <c r="MO915" s="131"/>
      <c r="MP915" s="131"/>
      <c r="MQ915" s="131"/>
      <c r="MR915" s="131"/>
      <c r="MS915" s="131"/>
      <c r="MT915" s="131"/>
      <c r="MU915" s="131"/>
      <c r="MV915" s="131"/>
      <c r="MW915" s="131"/>
      <c r="MX915" s="131"/>
      <c r="MY915" s="131"/>
      <c r="MZ915" s="131"/>
      <c r="NA915" s="131"/>
      <c r="NB915" s="131"/>
      <c r="NC915" s="131"/>
      <c r="ND915" s="131"/>
      <c r="NE915" s="131"/>
      <c r="NF915" s="131"/>
      <c r="NG915" s="131"/>
      <c r="NH915" s="131"/>
      <c r="NI915" s="131"/>
      <c r="NJ915" s="131"/>
      <c r="NK915" s="131"/>
      <c r="NL915" s="131"/>
      <c r="NM915" s="131"/>
      <c r="NN915" s="131"/>
      <c r="NO915" s="131"/>
      <c r="NP915" s="131"/>
      <c r="NQ915" s="131"/>
      <c r="NR915" s="131"/>
      <c r="NS915" s="131"/>
      <c r="NT915" s="131"/>
      <c r="NU915" s="131"/>
      <c r="NV915" s="131"/>
      <c r="NW915" s="131"/>
      <c r="NX915" s="131"/>
      <c r="NY915" s="131"/>
      <c r="NZ915" s="131"/>
      <c r="OA915" s="131"/>
      <c r="OB915" s="131"/>
      <c r="OC915" s="131"/>
      <c r="OD915" s="131"/>
      <c r="OE915" s="131"/>
      <c r="OF915" s="131"/>
      <c r="OG915" s="131"/>
      <c r="OH915" s="131"/>
      <c r="OI915" s="131"/>
      <c r="OJ915" s="131"/>
      <c r="OK915" s="131"/>
      <c r="OL915" s="131"/>
      <c r="OM915" s="131"/>
      <c r="ON915" s="131"/>
      <c r="OO915" s="131"/>
      <c r="OP915" s="131"/>
      <c r="OQ915" s="131"/>
      <c r="OR915" s="131"/>
      <c r="OS915" s="131"/>
      <c r="OT915" s="131"/>
      <c r="OU915" s="131"/>
      <c r="OV915" s="131"/>
      <c r="OW915" s="131"/>
      <c r="OX915" s="131"/>
      <c r="OY915" s="131"/>
      <c r="OZ915" s="131"/>
      <c r="PA915" s="131"/>
      <c r="PB915" s="131"/>
      <c r="PC915" s="131"/>
      <c r="PD915" s="131"/>
      <c r="PE915" s="131"/>
      <c r="PF915" s="131"/>
      <c r="PG915" s="131"/>
      <c r="PH915" s="131"/>
      <c r="PI915" s="131"/>
      <c r="PJ915" s="131"/>
      <c r="PK915" s="131"/>
      <c r="PL915" s="131"/>
      <c r="PM915" s="131"/>
      <c r="PN915" s="131"/>
      <c r="PO915" s="131"/>
      <c r="PP915" s="131"/>
      <c r="PQ915" s="131"/>
      <c r="PR915" s="131"/>
      <c r="PS915" s="131"/>
      <c r="PT915" s="131"/>
      <c r="PU915" s="131"/>
      <c r="PV915" s="131"/>
      <c r="PW915" s="131"/>
      <c r="PX915" s="131"/>
      <c r="PY915" s="131"/>
      <c r="PZ915" s="131"/>
      <c r="QA915" s="131"/>
      <c r="QB915" s="131"/>
      <c r="QC915" s="131"/>
      <c r="QD915" s="131"/>
      <c r="QE915" s="131"/>
      <c r="QF915" s="131"/>
      <c r="QG915" s="131"/>
      <c r="QH915" s="131"/>
      <c r="QI915" s="131"/>
      <c r="QJ915" s="131"/>
      <c r="QK915" s="131"/>
      <c r="QL915" s="131"/>
      <c r="QM915" s="131"/>
      <c r="QN915" s="131"/>
      <c r="QO915" s="131"/>
      <c r="QP915" s="131"/>
      <c r="QQ915" s="131"/>
      <c r="QR915" s="131"/>
      <c r="QS915" s="131"/>
      <c r="QT915" s="131"/>
      <c r="QU915" s="131"/>
      <c r="QV915" s="131"/>
      <c r="QW915" s="131"/>
      <c r="QX915" s="131"/>
      <c r="QY915" s="131"/>
      <c r="QZ915" s="131"/>
      <c r="RA915" s="131"/>
      <c r="RB915" s="131"/>
      <c r="RC915" s="131"/>
      <c r="RD915" s="131"/>
      <c r="RE915" s="131"/>
      <c r="RF915" s="131"/>
      <c r="RG915" s="131"/>
      <c r="RH915" s="131"/>
      <c r="RI915" s="131"/>
      <c r="RJ915" s="131"/>
      <c r="RK915" s="131"/>
      <c r="RL915" s="131"/>
      <c r="RM915" s="131"/>
      <c r="RN915" s="131"/>
      <c r="RO915" s="131"/>
      <c r="RP915" s="131"/>
      <c r="RQ915" s="131"/>
      <c r="RR915" s="131"/>
      <c r="RS915" s="131"/>
      <c r="RT915" s="131"/>
      <c r="RU915" s="131"/>
      <c r="RV915" s="131"/>
      <c r="RW915" s="131"/>
      <c r="RX915" s="131"/>
      <c r="RY915" s="131"/>
      <c r="RZ915" s="131"/>
      <c r="SA915" s="131"/>
      <c r="SB915" s="131"/>
      <c r="SC915" s="131"/>
      <c r="SD915" s="131"/>
      <c r="SE915" s="131"/>
      <c r="SF915" s="131"/>
      <c r="SG915" s="131"/>
      <c r="SH915" s="131"/>
      <c r="SI915" s="131"/>
      <c r="SJ915" s="131"/>
      <c r="SK915" s="131"/>
      <c r="SL915" s="131"/>
      <c r="SM915" s="131"/>
      <c r="SN915" s="131"/>
      <c r="SO915" s="131"/>
      <c r="SP915" s="131"/>
      <c r="SQ915" s="131"/>
      <c r="SR915" s="131"/>
      <c r="SS915" s="131"/>
      <c r="ST915" s="131"/>
      <c r="SU915" s="131"/>
      <c r="SV915" s="131"/>
      <c r="SW915" s="131"/>
      <c r="SX915" s="131"/>
      <c r="SY915" s="131"/>
      <c r="SZ915" s="131"/>
      <c r="TA915" s="131"/>
      <c r="TB915" s="131"/>
      <c r="TC915" s="131"/>
      <c r="TD915" s="131"/>
      <c r="TE915" s="131"/>
      <c r="TF915" s="131"/>
      <c r="TG915" s="131"/>
      <c r="TH915" s="131"/>
      <c r="TI915" s="131"/>
      <c r="TJ915" s="131"/>
      <c r="TK915" s="131"/>
      <c r="TL915" s="131"/>
      <c r="TM915" s="131"/>
      <c r="TN915" s="131"/>
      <c r="TO915" s="131"/>
      <c r="TP915" s="131"/>
      <c r="TQ915" s="131"/>
      <c r="TR915" s="131"/>
      <c r="TS915" s="131"/>
      <c r="TT915" s="131"/>
      <c r="TU915" s="131"/>
      <c r="TV915" s="131"/>
      <c r="TW915" s="131"/>
      <c r="TX915" s="131"/>
      <c r="TY915" s="131"/>
      <c r="TZ915" s="131"/>
      <c r="UA915" s="131"/>
      <c r="UB915" s="131"/>
      <c r="UC915" s="131"/>
      <c r="UD915" s="131"/>
      <c r="UE915" s="131"/>
      <c r="UF915" s="131"/>
      <c r="UG915" s="131"/>
      <c r="UH915" s="131"/>
      <c r="UI915" s="131"/>
      <c r="UJ915" s="131"/>
      <c r="UK915" s="131"/>
      <c r="UL915" s="131"/>
      <c r="UM915" s="131"/>
      <c r="UN915" s="131"/>
      <c r="UO915" s="131"/>
      <c r="UP915" s="131"/>
      <c r="UQ915" s="131"/>
      <c r="UR915" s="131"/>
      <c r="US915" s="131"/>
      <c r="UT915" s="131"/>
      <c r="UU915" s="131"/>
      <c r="UV915" s="131"/>
      <c r="UW915" s="131"/>
      <c r="UX915" s="131"/>
      <c r="UY915" s="131"/>
      <c r="UZ915" s="131"/>
      <c r="VA915" s="131"/>
      <c r="VB915" s="131"/>
      <c r="VC915" s="131"/>
      <c r="VD915" s="131"/>
      <c r="VE915" s="131"/>
      <c r="VF915" s="131"/>
      <c r="VG915" s="131"/>
      <c r="VH915" s="131"/>
      <c r="VI915" s="131"/>
      <c r="VJ915" s="131"/>
      <c r="VK915" s="131"/>
      <c r="VL915" s="131"/>
      <c r="VM915" s="131"/>
      <c r="VN915" s="131"/>
      <c r="VO915" s="131"/>
      <c r="VP915" s="131"/>
      <c r="VQ915" s="131"/>
      <c r="VR915" s="131"/>
      <c r="VS915" s="131"/>
      <c r="VT915" s="131"/>
      <c r="VU915" s="131"/>
      <c r="VV915" s="131"/>
      <c r="VW915" s="131"/>
      <c r="VX915" s="131"/>
      <c r="VY915" s="131"/>
      <c r="VZ915" s="131"/>
      <c r="WA915" s="131"/>
      <c r="WB915" s="131"/>
      <c r="WC915" s="131"/>
      <c r="WD915" s="131"/>
      <c r="WE915" s="131"/>
      <c r="WF915" s="131"/>
      <c r="WG915" s="131"/>
      <c r="WH915" s="131"/>
      <c r="WI915" s="131"/>
      <c r="WJ915" s="131"/>
      <c r="WK915" s="131"/>
      <c r="WL915" s="131"/>
      <c r="WM915" s="131"/>
      <c r="WN915" s="131"/>
      <c r="WO915" s="131"/>
      <c r="WP915" s="131"/>
      <c r="WQ915" s="131"/>
      <c r="WR915" s="131"/>
      <c r="WS915" s="131"/>
      <c r="WT915" s="131"/>
      <c r="WU915" s="131"/>
      <c r="WV915" s="131"/>
      <c r="WW915" s="131"/>
      <c r="WX915" s="131"/>
      <c r="WY915" s="131"/>
      <c r="WZ915" s="131"/>
      <c r="XA915" s="131"/>
      <c r="XB915" s="131"/>
      <c r="XC915" s="131"/>
      <c r="XD915" s="131"/>
      <c r="XE915" s="131"/>
      <c r="XF915" s="131"/>
      <c r="XG915" s="131"/>
      <c r="XH915" s="131"/>
      <c r="XI915" s="131"/>
      <c r="XJ915" s="131"/>
      <c r="XK915" s="131"/>
      <c r="XL915" s="131"/>
      <c r="XM915" s="131"/>
      <c r="XN915" s="131"/>
      <c r="XO915" s="131"/>
      <c r="XP915" s="131"/>
      <c r="XQ915" s="131"/>
      <c r="XR915" s="131"/>
      <c r="XS915" s="131"/>
      <c r="XT915" s="131"/>
      <c r="XU915" s="131"/>
      <c r="XV915" s="131"/>
      <c r="XW915" s="131"/>
      <c r="XX915" s="131"/>
      <c r="XY915" s="131"/>
      <c r="XZ915" s="131"/>
      <c r="YA915" s="131"/>
      <c r="YB915" s="131"/>
      <c r="YC915" s="131"/>
      <c r="YD915" s="131"/>
      <c r="YE915" s="131"/>
      <c r="YF915" s="131"/>
      <c r="YG915" s="131"/>
      <c r="YH915" s="131"/>
      <c r="YI915" s="131"/>
      <c r="YJ915" s="131"/>
      <c r="YK915" s="131"/>
      <c r="YL915" s="131"/>
      <c r="YM915" s="131"/>
      <c r="YN915" s="131"/>
      <c r="YO915" s="131"/>
      <c r="YP915" s="131"/>
      <c r="YQ915" s="131"/>
      <c r="YR915" s="131"/>
      <c r="YS915" s="131"/>
      <c r="YT915" s="131"/>
      <c r="YU915" s="131"/>
      <c r="YV915" s="131"/>
      <c r="YW915" s="131"/>
      <c r="YX915" s="131"/>
      <c r="YY915" s="131"/>
      <c r="YZ915" s="131"/>
      <c r="ZA915" s="131"/>
      <c r="ZB915" s="131"/>
      <c r="ZC915" s="131"/>
      <c r="ZD915" s="131"/>
      <c r="ZE915" s="131"/>
      <c r="ZF915" s="131"/>
      <c r="ZG915" s="131"/>
      <c r="ZH915" s="131"/>
      <c r="ZI915" s="131"/>
      <c r="ZJ915" s="131"/>
      <c r="ZK915" s="131"/>
      <c r="ZL915" s="131"/>
      <c r="ZM915" s="131"/>
      <c r="ZN915" s="131"/>
      <c r="ZO915" s="131"/>
      <c r="ZP915" s="131"/>
      <c r="ZQ915" s="131"/>
      <c r="ZR915" s="131"/>
      <c r="ZS915" s="131"/>
      <c r="ZT915" s="131"/>
      <c r="ZU915" s="131"/>
      <c r="ZV915" s="131"/>
      <c r="ZW915" s="131"/>
      <c r="ZX915" s="131"/>
      <c r="ZY915" s="131"/>
      <c r="ZZ915" s="131"/>
      <c r="AAA915" s="131"/>
      <c r="AAB915" s="131"/>
      <c r="AAC915" s="131"/>
      <c r="AAD915" s="131"/>
      <c r="AAE915" s="131"/>
      <c r="AAF915" s="131"/>
      <c r="AAG915" s="131"/>
      <c r="AAH915" s="131"/>
      <c r="AAI915" s="131"/>
      <c r="AAJ915" s="131"/>
      <c r="AAK915" s="131"/>
      <c r="AAL915" s="131"/>
      <c r="AAM915" s="131"/>
      <c r="AAN915" s="131"/>
      <c r="AAO915" s="131"/>
      <c r="AAP915" s="131"/>
      <c r="AAQ915" s="131"/>
      <c r="AAR915" s="131"/>
      <c r="AAS915" s="131"/>
      <c r="AAT915" s="131"/>
      <c r="AAU915" s="131"/>
      <c r="AAV915" s="131"/>
      <c r="AAW915" s="131"/>
      <c r="AAX915" s="131"/>
      <c r="AAY915" s="131"/>
      <c r="AAZ915" s="131"/>
      <c r="ABA915" s="131"/>
      <c r="ABB915" s="131"/>
      <c r="ABC915" s="131"/>
      <c r="ABD915" s="131"/>
      <c r="ABE915" s="131"/>
      <c r="ABF915" s="131"/>
      <c r="ABG915" s="131"/>
      <c r="ABH915" s="131"/>
      <c r="ABI915" s="131"/>
      <c r="ABJ915" s="131"/>
      <c r="ABK915" s="131"/>
      <c r="ABL915" s="131"/>
      <c r="ABM915" s="131"/>
      <c r="ABN915" s="131"/>
      <c r="ABO915" s="131"/>
      <c r="ABP915" s="131"/>
      <c r="ABQ915" s="131"/>
      <c r="ABR915" s="131"/>
      <c r="ABS915" s="131"/>
      <c r="ABT915" s="131"/>
      <c r="ABU915" s="131"/>
      <c r="ABV915" s="131"/>
      <c r="ABW915" s="131"/>
      <c r="ABX915" s="131"/>
      <c r="ABY915" s="131"/>
      <c r="ABZ915" s="131"/>
      <c r="ACA915" s="131"/>
      <c r="ACB915" s="131"/>
      <c r="ACC915" s="131"/>
      <c r="ACD915" s="131"/>
      <c r="ACE915" s="131"/>
      <c r="ACF915" s="131"/>
      <c r="ACG915" s="131"/>
      <c r="ACH915" s="131"/>
      <c r="ACI915" s="131"/>
      <c r="ACJ915" s="131"/>
      <c r="ACK915" s="131"/>
      <c r="ACL915" s="131"/>
      <c r="ACM915" s="131"/>
      <c r="ACN915" s="131"/>
      <c r="ACO915" s="131"/>
      <c r="ACP915" s="131"/>
      <c r="ACQ915" s="131"/>
      <c r="ACR915" s="131"/>
      <c r="ACS915" s="131"/>
      <c r="ACT915" s="131"/>
      <c r="ACU915" s="131"/>
      <c r="ACV915" s="131"/>
      <c r="ACW915" s="131"/>
      <c r="ACX915" s="131"/>
      <c r="ACY915" s="131"/>
      <c r="ACZ915" s="131"/>
      <c r="ADA915" s="131"/>
      <c r="ADB915" s="131"/>
      <c r="ADC915" s="131"/>
      <c r="ADD915" s="131"/>
      <c r="ADE915" s="131"/>
      <c r="ADF915" s="131"/>
      <c r="ADG915" s="131"/>
      <c r="ADH915" s="131"/>
      <c r="ADI915" s="131"/>
      <c r="ADJ915" s="131"/>
      <c r="ADK915" s="131"/>
      <c r="ADL915" s="131"/>
      <c r="ADM915" s="131"/>
      <c r="ADN915" s="131"/>
      <c r="ADO915" s="131"/>
      <c r="ADP915" s="131"/>
      <c r="ADQ915" s="131"/>
      <c r="ADR915" s="131"/>
      <c r="ADS915" s="131"/>
      <c r="ADT915" s="131"/>
      <c r="ADU915" s="131"/>
      <c r="ADV915" s="131"/>
      <c r="ADW915" s="131"/>
      <c r="ADX915" s="131"/>
      <c r="ADY915" s="131"/>
      <c r="ADZ915" s="131"/>
      <c r="AEA915" s="131"/>
      <c r="AEB915" s="131"/>
      <c r="AEC915" s="131"/>
      <c r="AED915" s="131"/>
      <c r="AEE915" s="131"/>
      <c r="AEF915" s="131"/>
      <c r="AEG915" s="131"/>
      <c r="AEH915" s="131"/>
      <c r="AEI915" s="131"/>
      <c r="AEJ915" s="131"/>
      <c r="AEK915" s="131"/>
      <c r="AEL915" s="131"/>
      <c r="AEM915" s="131"/>
      <c r="AEN915" s="131"/>
      <c r="AEO915" s="131"/>
      <c r="AEP915" s="131"/>
      <c r="AEQ915" s="131"/>
      <c r="AER915" s="131"/>
      <c r="AES915" s="131"/>
      <c r="AET915" s="131"/>
      <c r="AEU915" s="131"/>
      <c r="AEV915" s="131"/>
      <c r="AEW915" s="131"/>
      <c r="AEX915" s="131"/>
      <c r="AEY915" s="131"/>
      <c r="AEZ915" s="131"/>
      <c r="AFA915" s="131"/>
      <c r="AFB915" s="131"/>
      <c r="AFC915" s="131"/>
      <c r="AFD915" s="131"/>
      <c r="AFE915" s="131"/>
      <c r="AFF915" s="131"/>
      <c r="AFG915" s="131"/>
      <c r="AFH915" s="131"/>
      <c r="AFI915" s="131"/>
      <c r="AFJ915" s="131"/>
      <c r="AFK915" s="131"/>
      <c r="AFL915" s="131"/>
      <c r="AFM915" s="131"/>
      <c r="AFN915" s="131"/>
      <c r="AFO915" s="131"/>
      <c r="AFP915" s="131"/>
      <c r="AFQ915" s="131"/>
      <c r="AFR915" s="131"/>
      <c r="AFS915" s="131"/>
      <c r="AFT915" s="131"/>
      <c r="AFU915" s="131"/>
      <c r="AFV915" s="131"/>
      <c r="AFW915" s="131"/>
      <c r="AFX915" s="131"/>
      <c r="AFY915" s="131"/>
      <c r="AFZ915" s="131"/>
      <c r="AGA915" s="131"/>
      <c r="AGB915" s="131"/>
      <c r="AGC915" s="131"/>
      <c r="AGD915" s="131"/>
      <c r="AGE915" s="131"/>
      <c r="AGF915" s="131"/>
      <c r="AGG915" s="131"/>
      <c r="AGH915" s="131"/>
      <c r="AGI915" s="131"/>
      <c r="AGJ915" s="131"/>
      <c r="AGK915" s="131"/>
      <c r="AGL915" s="131"/>
      <c r="AGM915" s="131"/>
      <c r="AGN915" s="131"/>
      <c r="AGO915" s="131"/>
      <c r="AGP915" s="131"/>
      <c r="AGQ915" s="131"/>
      <c r="AGR915" s="131"/>
      <c r="AGS915" s="131"/>
      <c r="AGT915" s="131"/>
      <c r="AGU915" s="131"/>
      <c r="AGV915" s="131"/>
      <c r="AGW915" s="131"/>
      <c r="AGX915" s="131"/>
      <c r="AGY915" s="131"/>
      <c r="AGZ915" s="131"/>
      <c r="AHA915" s="131"/>
      <c r="AHB915" s="131"/>
      <c r="AHC915" s="131"/>
      <c r="AHD915" s="131"/>
      <c r="AHE915" s="131"/>
      <c r="AHF915" s="131"/>
      <c r="AHG915" s="131"/>
      <c r="AHH915" s="131"/>
      <c r="AHI915" s="131"/>
      <c r="AHJ915" s="131"/>
      <c r="AHK915" s="131"/>
      <c r="AHL915" s="131"/>
      <c r="AHM915" s="131"/>
      <c r="AHN915" s="131"/>
      <c r="AHO915" s="131"/>
      <c r="AHP915" s="131"/>
      <c r="AHQ915" s="131"/>
      <c r="AHR915" s="131"/>
      <c r="AHS915" s="131"/>
      <c r="AHT915" s="131"/>
      <c r="AHU915" s="131"/>
      <c r="AHV915" s="131"/>
      <c r="AHW915" s="131"/>
      <c r="AHX915" s="131"/>
      <c r="AHY915" s="131"/>
      <c r="AHZ915" s="131"/>
      <c r="AIA915" s="131"/>
      <c r="AIB915" s="131"/>
      <c r="AIC915" s="131"/>
      <c r="AID915" s="131"/>
      <c r="AIE915" s="131"/>
      <c r="AIF915" s="131"/>
      <c r="AIG915" s="131"/>
      <c r="AIH915" s="131"/>
      <c r="AII915" s="131"/>
      <c r="AIJ915" s="131"/>
      <c r="AIK915" s="131"/>
      <c r="AIL915" s="131"/>
      <c r="AIM915" s="131"/>
      <c r="AIN915" s="131"/>
      <c r="AIO915" s="131"/>
      <c r="AIP915" s="131"/>
      <c r="AIQ915" s="131"/>
      <c r="AIR915" s="131"/>
      <c r="AIS915" s="131"/>
      <c r="AIT915" s="131"/>
      <c r="AIU915" s="131"/>
      <c r="AIV915" s="131"/>
      <c r="AIW915" s="131"/>
      <c r="AIX915" s="131"/>
      <c r="AIY915" s="131"/>
      <c r="AIZ915" s="131"/>
      <c r="AJA915" s="131"/>
      <c r="AJB915" s="131"/>
      <c r="AJC915" s="131"/>
      <c r="AJD915" s="131"/>
      <c r="AJE915" s="131"/>
      <c r="AJF915" s="131"/>
      <c r="AJG915" s="131"/>
      <c r="AJH915" s="131"/>
      <c r="AJI915" s="131"/>
      <c r="AJJ915" s="131"/>
      <c r="AJK915" s="131"/>
      <c r="AJL915" s="131"/>
      <c r="AJM915" s="131"/>
      <c r="AJN915" s="131"/>
      <c r="AJO915" s="131"/>
      <c r="AJP915" s="131"/>
      <c r="AJQ915" s="131"/>
      <c r="AJR915" s="131"/>
      <c r="AJS915" s="131"/>
      <c r="AJT915" s="131"/>
      <c r="AJU915" s="131"/>
      <c r="AJV915" s="131"/>
      <c r="AJW915" s="131"/>
      <c r="AJX915" s="131"/>
      <c r="AJY915" s="131"/>
      <c r="AJZ915" s="131"/>
      <c r="AKA915" s="131"/>
      <c r="AKB915" s="131"/>
      <c r="AKC915" s="131"/>
      <c r="AKD915" s="131"/>
      <c r="AKE915" s="131"/>
      <c r="AKF915" s="131"/>
      <c r="AKG915" s="131"/>
      <c r="AKH915" s="131"/>
      <c r="AKI915" s="131"/>
      <c r="AKJ915" s="131"/>
      <c r="AKK915" s="131"/>
      <c r="AKL915" s="131"/>
      <c r="AKM915" s="131"/>
      <c r="AKN915" s="131"/>
      <c r="AKO915" s="131"/>
      <c r="AKP915" s="131"/>
      <c r="AKQ915" s="131"/>
      <c r="AKR915" s="131"/>
      <c r="AKS915" s="131"/>
      <c r="AKT915" s="131"/>
      <c r="AKU915" s="131"/>
      <c r="AKV915" s="131"/>
      <c r="AKW915" s="131"/>
      <c r="AKX915" s="131"/>
      <c r="AKY915" s="131"/>
      <c r="AKZ915" s="131"/>
      <c r="ALA915" s="131"/>
      <c r="ALB915" s="131"/>
      <c r="ALC915" s="131"/>
      <c r="ALD915" s="131"/>
      <c r="ALE915" s="131"/>
      <c r="ALF915" s="131"/>
      <c r="ALG915" s="131"/>
      <c r="ALH915" s="131"/>
      <c r="ALI915" s="131"/>
      <c r="ALJ915" s="131"/>
      <c r="ALK915" s="131"/>
      <c r="ALL915" s="131"/>
      <c r="ALM915" s="131"/>
      <c r="ALN915" s="131"/>
      <c r="ALO915" s="131"/>
      <c r="ALP915" s="131"/>
      <c r="ALQ915" s="131"/>
      <c r="ALR915" s="131"/>
      <c r="ALS915" s="131"/>
      <c r="ALT915" s="131"/>
      <c r="ALU915" s="131"/>
      <c r="ALV915" s="131"/>
      <c r="ALW915" s="131"/>
      <c r="ALX915" s="131"/>
      <c r="ALY915" s="131"/>
      <c r="ALZ915" s="131"/>
      <c r="AMA915" s="131"/>
      <c r="AMB915" s="131"/>
      <c r="AMC915" s="131"/>
      <c r="AMD915" s="131"/>
      <c r="AME915" s="131"/>
      <c r="AMF915" s="131"/>
      <c r="AMG915" s="131"/>
      <c r="AMH915" s="131"/>
      <c r="AMI915" s="131"/>
      <c r="AMJ915" s="131"/>
      <c r="AMK915" s="131"/>
      <c r="AML915" s="131"/>
      <c r="AMM915" s="131"/>
      <c r="AMN915" s="131"/>
      <c r="AMO915" s="131"/>
      <c r="AMP915" s="131"/>
      <c r="AMQ915" s="131"/>
      <c r="AMR915" s="131"/>
      <c r="AMS915" s="131"/>
      <c r="AMT915" s="131"/>
      <c r="AMU915" s="131"/>
      <c r="AMV915" s="131"/>
      <c r="AMW915" s="131"/>
      <c r="AMX915" s="131"/>
      <c r="AMY915" s="131"/>
      <c r="AMZ915" s="131"/>
      <c r="ANA915" s="131"/>
      <c r="ANB915" s="131"/>
      <c r="ANC915" s="131"/>
      <c r="AND915" s="131"/>
      <c r="ANE915" s="131"/>
      <c r="ANF915" s="131"/>
      <c r="ANG915" s="131"/>
      <c r="ANH915" s="131"/>
      <c r="ANI915" s="131"/>
      <c r="ANJ915" s="131"/>
      <c r="ANK915" s="131"/>
      <c r="ANL915" s="131"/>
      <c r="ANM915" s="131"/>
      <c r="ANN915" s="131"/>
      <c r="ANO915" s="131"/>
      <c r="ANP915" s="131"/>
      <c r="ANQ915" s="131"/>
      <c r="ANR915" s="131"/>
      <c r="ANS915" s="131"/>
      <c r="ANT915" s="131"/>
      <c r="ANU915" s="131"/>
      <c r="ANV915" s="131"/>
      <c r="ANW915" s="131"/>
      <c r="ANX915" s="131"/>
      <c r="ANY915" s="131"/>
      <c r="ANZ915" s="131"/>
      <c r="AOA915" s="131"/>
      <c r="AOB915" s="131"/>
      <c r="AOC915" s="131"/>
      <c r="AOD915" s="131"/>
      <c r="AOE915" s="131"/>
      <c r="AOF915" s="131"/>
      <c r="AOG915" s="131"/>
      <c r="AOH915" s="131"/>
      <c r="AOI915" s="131"/>
      <c r="AOJ915" s="131"/>
      <c r="AOK915" s="131"/>
      <c r="AOL915" s="131"/>
      <c r="AOM915" s="131"/>
      <c r="AON915" s="131"/>
      <c r="AOO915" s="131"/>
      <c r="AOP915" s="131"/>
      <c r="AOQ915" s="131"/>
      <c r="AOR915" s="131"/>
      <c r="AOS915" s="131"/>
      <c r="AOT915" s="131"/>
      <c r="AOU915" s="131"/>
      <c r="AOV915" s="131"/>
      <c r="AOW915" s="131"/>
      <c r="AOX915" s="131"/>
      <c r="AOY915" s="131"/>
      <c r="AOZ915" s="131"/>
      <c r="APA915" s="131"/>
      <c r="APB915" s="131"/>
      <c r="APC915" s="131"/>
      <c r="APD915" s="131"/>
      <c r="APE915" s="131"/>
      <c r="APF915" s="131"/>
      <c r="APG915" s="131"/>
      <c r="APH915" s="131"/>
      <c r="API915" s="131"/>
      <c r="APJ915" s="131"/>
      <c r="APK915" s="131"/>
      <c r="APL915" s="131"/>
      <c r="APM915" s="131"/>
      <c r="APN915" s="131"/>
      <c r="APO915" s="131"/>
      <c r="APP915" s="131"/>
      <c r="APQ915" s="131"/>
      <c r="APR915" s="131"/>
      <c r="APS915" s="131"/>
      <c r="APT915" s="131"/>
      <c r="APU915" s="131"/>
      <c r="APV915" s="131"/>
      <c r="APW915" s="131"/>
      <c r="APX915" s="131"/>
      <c r="APY915" s="131"/>
      <c r="APZ915" s="131"/>
      <c r="AQA915" s="131"/>
      <c r="AQB915" s="131"/>
      <c r="AQC915" s="131"/>
      <c r="AQD915" s="131"/>
      <c r="AQE915" s="131"/>
      <c r="AQF915" s="131"/>
      <c r="AQG915" s="131"/>
      <c r="AQH915" s="131"/>
      <c r="AQI915" s="131"/>
      <c r="AQJ915" s="131"/>
      <c r="AQK915" s="131"/>
      <c r="AQL915" s="131"/>
      <c r="AQM915" s="131"/>
      <c r="AQN915" s="131"/>
      <c r="AQO915" s="131"/>
      <c r="AQP915" s="131"/>
      <c r="AQQ915" s="131"/>
      <c r="AQR915" s="131"/>
      <c r="AQS915" s="131"/>
      <c r="AQT915" s="131"/>
      <c r="AQU915" s="131"/>
      <c r="AQV915" s="131"/>
      <c r="AQW915" s="131"/>
      <c r="AQX915" s="131"/>
      <c r="AQY915" s="131"/>
      <c r="AQZ915" s="131"/>
      <c r="ARA915" s="131"/>
      <c r="ARB915" s="131"/>
      <c r="ARC915" s="131"/>
      <c r="ARD915" s="131"/>
      <c r="ARE915" s="131"/>
      <c r="ARF915" s="131"/>
      <c r="ARG915" s="131"/>
      <c r="ARH915" s="131"/>
      <c r="ARI915" s="131"/>
      <c r="ARJ915" s="131"/>
      <c r="ARK915" s="131"/>
      <c r="ARL915" s="131"/>
      <c r="ARM915" s="131"/>
      <c r="ARN915" s="131"/>
      <c r="ARO915" s="131"/>
      <c r="ARP915" s="131"/>
      <c r="ARQ915" s="131"/>
      <c r="ARR915" s="131"/>
      <c r="ARS915" s="131"/>
      <c r="ART915" s="131"/>
      <c r="ARU915" s="131"/>
      <c r="ARV915" s="131"/>
      <c r="ARW915" s="131"/>
      <c r="ARX915" s="131"/>
      <c r="ARY915" s="131"/>
      <c r="ARZ915" s="131"/>
      <c r="ASA915" s="131"/>
      <c r="ASB915" s="131"/>
      <c r="ASC915" s="131"/>
      <c r="ASD915" s="131"/>
      <c r="ASE915" s="131"/>
      <c r="ASF915" s="131"/>
      <c r="ASG915" s="131"/>
      <c r="ASH915" s="131"/>
      <c r="ASI915" s="131"/>
      <c r="ASJ915" s="131"/>
      <c r="ASK915" s="131"/>
      <c r="ASL915" s="131"/>
      <c r="ASM915" s="131"/>
      <c r="ASN915" s="131"/>
      <c r="ASO915" s="131"/>
      <c r="ASP915" s="131"/>
      <c r="ASQ915" s="131"/>
      <c r="ASR915" s="131"/>
      <c r="ASS915" s="131"/>
      <c r="AST915" s="131"/>
      <c r="ASU915" s="131"/>
      <c r="ASV915" s="131"/>
      <c r="ASW915" s="131"/>
      <c r="ASX915" s="131"/>
      <c r="ASY915" s="131"/>
      <c r="ASZ915" s="131"/>
      <c r="ATA915" s="131"/>
      <c r="ATB915" s="131"/>
      <c r="ATC915" s="131"/>
    </row>
    <row r="916" spans="1:1199" ht="50.1" customHeight="1" outlineLevel="2" x14ac:dyDescent="0.3">
      <c r="A916" s="106" t="s">
        <v>782</v>
      </c>
      <c r="B916" s="96" t="s">
        <v>783</v>
      </c>
      <c r="C916" s="79" t="s">
        <v>37</v>
      </c>
      <c r="D916" s="81">
        <f t="shared" ref="D916" si="209">E916+F916</f>
        <v>1879.94407</v>
      </c>
      <c r="E916" s="82">
        <f t="shared" si="204"/>
        <v>360.89432999999997</v>
      </c>
      <c r="F916" s="83">
        <f t="shared" si="205"/>
        <v>1519.0497400000002</v>
      </c>
      <c r="G916" s="84"/>
      <c r="H916" s="85"/>
      <c r="I916" s="85"/>
      <c r="J916" s="84"/>
      <c r="K916" s="85"/>
      <c r="L916" s="85"/>
      <c r="M916" s="85"/>
      <c r="N916" s="85"/>
      <c r="O916" s="82"/>
      <c r="P916" s="83"/>
      <c r="Q916" s="83"/>
      <c r="R916" s="83"/>
      <c r="S916" s="82"/>
      <c r="T916" s="83"/>
      <c r="U916" s="83">
        <v>156.81917000000001</v>
      </c>
      <c r="V916" s="84">
        <v>46.39</v>
      </c>
      <c r="W916" s="85">
        <v>81</v>
      </c>
      <c r="X916" s="87"/>
      <c r="Y916" s="83">
        <v>165.36</v>
      </c>
      <c r="Z916" s="84"/>
      <c r="AA916" s="85"/>
      <c r="AB916" s="84"/>
      <c r="AC916" s="85"/>
      <c r="AD916" s="89">
        <f t="shared" si="198"/>
        <v>169.16942</v>
      </c>
      <c r="AE916" s="89">
        <v>105.9345</v>
      </c>
      <c r="AF916" s="186">
        <v>63.234920000000002</v>
      </c>
      <c r="AG916" s="85"/>
      <c r="AH916" s="85"/>
      <c r="AI916" s="85"/>
      <c r="AJ916" s="84"/>
      <c r="AK916" s="85"/>
      <c r="AL916" s="84"/>
      <c r="AM916" s="88"/>
      <c r="AN916" s="84"/>
      <c r="AO916" s="85"/>
      <c r="AP916" s="84"/>
      <c r="AQ916" s="83"/>
      <c r="AR916" s="83"/>
      <c r="AS916" s="83"/>
      <c r="AT916" s="85"/>
      <c r="AU916" s="85"/>
      <c r="AV916" s="85">
        <v>661.89200000000005</v>
      </c>
      <c r="AW916" s="88"/>
      <c r="AX916" s="84"/>
      <c r="AY916" s="85"/>
      <c r="AZ916" s="84">
        <v>314.50432999999998</v>
      </c>
      <c r="BA916" s="85">
        <v>284.80914999999999</v>
      </c>
      <c r="BB916" s="88"/>
      <c r="BC916" s="85"/>
      <c r="BD916" s="84"/>
      <c r="BE916" s="88"/>
      <c r="BF916" s="85"/>
      <c r="BG916" s="85"/>
      <c r="BH916" s="85"/>
      <c r="BI916" s="85"/>
      <c r="BJ916" s="85"/>
      <c r="BK916" s="85"/>
      <c r="BL916" s="85"/>
      <c r="BM916" s="85"/>
      <c r="BN916" s="85"/>
      <c r="BO916" s="85"/>
      <c r="BP916" s="85"/>
      <c r="BQ916" s="85"/>
      <c r="BR916" s="84"/>
      <c r="BS916" s="85"/>
      <c r="BT916" s="85"/>
      <c r="BU916" s="198"/>
      <c r="BV916" s="90"/>
      <c r="BW916" s="198"/>
      <c r="BX916" s="90"/>
      <c r="BY916" s="198"/>
      <c r="BZ916" s="90"/>
      <c r="CA916" s="91"/>
    </row>
    <row r="917" spans="1:1199" ht="50.1" customHeight="1" outlineLevel="2" x14ac:dyDescent="0.3">
      <c r="A917" s="103" t="s">
        <v>782</v>
      </c>
      <c r="B917" s="102" t="s">
        <v>784</v>
      </c>
      <c r="C917" s="79" t="s">
        <v>37</v>
      </c>
      <c r="D917" s="81">
        <f t="shared" ref="D917:D946" si="210">E917+F917</f>
        <v>1134.5054500000001</v>
      </c>
      <c r="E917" s="82">
        <f t="shared" si="204"/>
        <v>372.50644</v>
      </c>
      <c r="F917" s="83">
        <f t="shared" si="205"/>
        <v>761.99901</v>
      </c>
      <c r="G917" s="84"/>
      <c r="H917" s="85"/>
      <c r="I917" s="85"/>
      <c r="J917" s="84">
        <f>56.84722+19.30398+56.54337</f>
        <v>132.69457</v>
      </c>
      <c r="K917" s="85">
        <f>28.42361+4.82599+14.13583</f>
        <v>47.385429999999999</v>
      </c>
      <c r="L917" s="85">
        <v>252.59869</v>
      </c>
      <c r="M917" s="85"/>
      <c r="N917" s="85"/>
      <c r="O917" s="82"/>
      <c r="P917" s="83"/>
      <c r="Q917" s="83"/>
      <c r="R917" s="83"/>
      <c r="S917" s="82"/>
      <c r="T917" s="83"/>
      <c r="U917" s="83"/>
      <c r="V917" s="84">
        <v>92.78</v>
      </c>
      <c r="W917" s="85">
        <v>162</v>
      </c>
      <c r="X917" s="87"/>
      <c r="Y917" s="83">
        <v>102.96</v>
      </c>
      <c r="Z917" s="84"/>
      <c r="AA917" s="85"/>
      <c r="AB917" s="84"/>
      <c r="AC917" s="85"/>
      <c r="AD917" s="89">
        <f t="shared" si="198"/>
        <v>30.158200000000001</v>
      </c>
      <c r="AE917" s="89"/>
      <c r="AF917" s="186">
        <v>30.158200000000001</v>
      </c>
      <c r="AG917" s="85"/>
      <c r="AH917" s="85"/>
      <c r="AI917" s="85"/>
      <c r="AJ917" s="84"/>
      <c r="AK917" s="85"/>
      <c r="AL917" s="84"/>
      <c r="AM917" s="88"/>
      <c r="AN917" s="84"/>
      <c r="AO917" s="85"/>
      <c r="AP917" s="84"/>
      <c r="AQ917" s="83"/>
      <c r="AR917" s="83"/>
      <c r="AS917" s="83"/>
      <c r="AT917" s="85"/>
      <c r="AU917" s="85"/>
      <c r="AV917" s="85">
        <v>33.747349999999997</v>
      </c>
      <c r="AW917" s="88"/>
      <c r="AX917" s="84"/>
      <c r="AY917" s="85"/>
      <c r="AZ917" s="84">
        <v>147.03187</v>
      </c>
      <c r="BA917" s="85">
        <v>133.14934</v>
      </c>
      <c r="BB917" s="88"/>
      <c r="BC917" s="85"/>
      <c r="BD917" s="84"/>
      <c r="BE917" s="88"/>
      <c r="BF917" s="85"/>
      <c r="BG917" s="85"/>
      <c r="BH917" s="85"/>
      <c r="BI917" s="85"/>
      <c r="BJ917" s="85"/>
      <c r="BK917" s="85"/>
      <c r="BL917" s="85"/>
      <c r="BM917" s="85"/>
      <c r="BN917" s="85"/>
      <c r="BO917" s="85"/>
      <c r="BP917" s="85"/>
      <c r="BQ917" s="85"/>
      <c r="BR917" s="84"/>
      <c r="BS917" s="85"/>
      <c r="BT917" s="85"/>
      <c r="BU917" s="198"/>
      <c r="BV917" s="90"/>
      <c r="BW917" s="198"/>
      <c r="BX917" s="90"/>
      <c r="BY917" s="198"/>
      <c r="BZ917" s="90"/>
      <c r="CA917" s="91"/>
    </row>
    <row r="918" spans="1:1199" ht="50.1" customHeight="1" outlineLevel="2" x14ac:dyDescent="0.3">
      <c r="A918" s="103" t="s">
        <v>782</v>
      </c>
      <c r="B918" s="102" t="s">
        <v>785</v>
      </c>
      <c r="C918" s="79" t="s">
        <v>37</v>
      </c>
      <c r="D918" s="81">
        <f t="shared" si="210"/>
        <v>959.34053000000006</v>
      </c>
      <c r="E918" s="82">
        <f t="shared" si="204"/>
        <v>321.04033000000004</v>
      </c>
      <c r="F918" s="83">
        <f t="shared" si="205"/>
        <v>638.30020000000002</v>
      </c>
      <c r="G918" s="84"/>
      <c r="H918" s="85"/>
      <c r="I918" s="85"/>
      <c r="J918" s="84">
        <f>62.86442+82.01976</f>
        <v>144.88418000000001</v>
      </c>
      <c r="K918" s="85">
        <f>31.4322+41.00988</f>
        <v>72.442080000000004</v>
      </c>
      <c r="L918" s="85"/>
      <c r="M918" s="85"/>
      <c r="N918" s="85"/>
      <c r="O918" s="82"/>
      <c r="P918" s="83"/>
      <c r="Q918" s="83"/>
      <c r="R918" s="83"/>
      <c r="S918" s="82"/>
      <c r="T918" s="83"/>
      <c r="U918" s="83">
        <v>123.8904</v>
      </c>
      <c r="V918" s="84"/>
      <c r="W918" s="85"/>
      <c r="X918" s="82"/>
      <c r="Y918" s="83">
        <v>12.48</v>
      </c>
      <c r="Z918" s="84"/>
      <c r="AA918" s="85"/>
      <c r="AB918" s="84"/>
      <c r="AC918" s="85"/>
      <c r="AD918" s="89">
        <f t="shared" ref="AD918:AD974" si="211">AE918+AF918</f>
        <v>0</v>
      </c>
      <c r="AE918" s="89"/>
      <c r="AF918" s="186"/>
      <c r="AG918" s="85"/>
      <c r="AH918" s="85"/>
      <c r="AI918" s="85"/>
      <c r="AJ918" s="84"/>
      <c r="AK918" s="85"/>
      <c r="AL918" s="84"/>
      <c r="AM918" s="88"/>
      <c r="AN918" s="84"/>
      <c r="AO918" s="85"/>
      <c r="AP918" s="84"/>
      <c r="AQ918" s="83"/>
      <c r="AR918" s="83"/>
      <c r="AS918" s="83"/>
      <c r="AT918" s="85"/>
      <c r="AU918" s="85"/>
      <c r="AV918" s="85">
        <v>269.96404000000001</v>
      </c>
      <c r="AW918" s="88"/>
      <c r="AX918" s="84"/>
      <c r="AY918" s="85"/>
      <c r="AZ918" s="84">
        <v>176.15615</v>
      </c>
      <c r="BA918" s="85">
        <v>159.52368000000001</v>
      </c>
      <c r="BB918" s="88"/>
      <c r="BC918" s="85"/>
      <c r="BD918" s="84"/>
      <c r="BE918" s="88"/>
      <c r="BF918" s="85"/>
      <c r="BG918" s="85"/>
      <c r="BH918" s="85"/>
      <c r="BI918" s="85"/>
      <c r="BJ918" s="85"/>
      <c r="BK918" s="85"/>
      <c r="BL918" s="85"/>
      <c r="BM918" s="85"/>
      <c r="BN918" s="85"/>
      <c r="BO918" s="85"/>
      <c r="BP918" s="85"/>
      <c r="BQ918" s="85"/>
      <c r="BR918" s="84"/>
      <c r="BS918" s="85"/>
      <c r="BT918" s="85"/>
      <c r="BU918" s="198"/>
      <c r="BV918" s="90"/>
      <c r="BW918" s="198"/>
      <c r="BX918" s="90"/>
      <c r="BY918" s="198"/>
      <c r="BZ918" s="90"/>
      <c r="CA918" s="91"/>
    </row>
    <row r="919" spans="1:1199" ht="50.1" customHeight="1" outlineLevel="2" x14ac:dyDescent="0.3">
      <c r="A919" s="106" t="s">
        <v>782</v>
      </c>
      <c r="B919" s="96" t="s">
        <v>786</v>
      </c>
      <c r="C919" s="79" t="s">
        <v>37</v>
      </c>
      <c r="D919" s="81">
        <f t="shared" si="210"/>
        <v>2690.7485200000001</v>
      </c>
      <c r="E919" s="82">
        <f t="shared" si="204"/>
        <v>431.91047000000003</v>
      </c>
      <c r="F919" s="83">
        <f t="shared" si="205"/>
        <v>2258.8380499999998</v>
      </c>
      <c r="G919" s="84"/>
      <c r="H919" s="85"/>
      <c r="I919" s="85"/>
      <c r="J919" s="86"/>
      <c r="K919" s="85"/>
      <c r="L919" s="85"/>
      <c r="M919" s="85"/>
      <c r="N919" s="85"/>
      <c r="O919" s="82"/>
      <c r="P919" s="83"/>
      <c r="Q919" s="83"/>
      <c r="R919" s="83"/>
      <c r="S919" s="82"/>
      <c r="T919" s="83"/>
      <c r="U919" s="83"/>
      <c r="V919" s="84">
        <v>32.472999999999999</v>
      </c>
      <c r="W919" s="85">
        <v>56.7</v>
      </c>
      <c r="X919" s="87"/>
      <c r="Y919" s="83">
        <v>119.80800000000001</v>
      </c>
      <c r="Z919" s="84"/>
      <c r="AA919" s="85"/>
      <c r="AB919" s="84"/>
      <c r="AC919" s="85"/>
      <c r="AD919" s="89">
        <f t="shared" si="211"/>
        <v>204.94900000000001</v>
      </c>
      <c r="AE919" s="89">
        <v>127.12139999999999</v>
      </c>
      <c r="AF919" s="186">
        <v>77.827600000000004</v>
      </c>
      <c r="AG919" s="85"/>
      <c r="AH919" s="85"/>
      <c r="AI919" s="85"/>
      <c r="AJ919" s="84"/>
      <c r="AK919" s="85"/>
      <c r="AL919" s="84"/>
      <c r="AM919" s="88"/>
      <c r="AN919" s="84"/>
      <c r="AO919" s="85"/>
      <c r="AP919" s="84"/>
      <c r="AQ919" s="83"/>
      <c r="AR919" s="83"/>
      <c r="AS919" s="83"/>
      <c r="AT919" s="85"/>
      <c r="AU919" s="85"/>
      <c r="AV919" s="85">
        <f>76.9741+1438.68415</f>
        <v>1515.65825</v>
      </c>
      <c r="AW919" s="88"/>
      <c r="AX919" s="84"/>
      <c r="AY919" s="85"/>
      <c r="AZ919" s="84">
        <v>399.43747000000002</v>
      </c>
      <c r="BA919" s="85">
        <v>361.72280000000001</v>
      </c>
      <c r="BB919" s="88"/>
      <c r="BC919" s="85"/>
      <c r="BD919" s="84"/>
      <c r="BE919" s="88"/>
      <c r="BF919" s="85"/>
      <c r="BG919" s="85"/>
      <c r="BH919" s="85"/>
      <c r="BI919" s="85"/>
      <c r="BJ919" s="85"/>
      <c r="BK919" s="85"/>
      <c r="BL919" s="85"/>
      <c r="BM919" s="85"/>
      <c r="BN919" s="85"/>
      <c r="BO919" s="85"/>
      <c r="BP919" s="85"/>
      <c r="BQ919" s="85"/>
      <c r="BR919" s="84"/>
      <c r="BS919" s="85"/>
      <c r="BT919" s="85"/>
      <c r="BU919" s="198"/>
      <c r="BV919" s="90"/>
      <c r="BW919" s="198"/>
      <c r="BX919" s="90"/>
      <c r="BY919" s="198"/>
      <c r="BZ919" s="90"/>
      <c r="CA919" s="91"/>
    </row>
    <row r="920" spans="1:1199" ht="50.1" customHeight="1" outlineLevel="2" x14ac:dyDescent="0.3">
      <c r="A920" s="96" t="s">
        <v>782</v>
      </c>
      <c r="B920" s="80" t="s">
        <v>787</v>
      </c>
      <c r="C920" s="79" t="s">
        <v>37</v>
      </c>
      <c r="D920" s="81">
        <f t="shared" si="210"/>
        <v>249.75323000000003</v>
      </c>
      <c r="E920" s="82">
        <f t="shared" si="204"/>
        <v>116.76931</v>
      </c>
      <c r="F920" s="83">
        <f t="shared" si="205"/>
        <v>132.98392000000001</v>
      </c>
      <c r="G920" s="84"/>
      <c r="H920" s="85"/>
      <c r="I920" s="85"/>
      <c r="J920" s="84"/>
      <c r="K920" s="85"/>
      <c r="L920" s="85"/>
      <c r="M920" s="85"/>
      <c r="N920" s="85"/>
      <c r="O920" s="82"/>
      <c r="P920" s="83"/>
      <c r="Q920" s="83"/>
      <c r="R920" s="83"/>
      <c r="S920" s="82"/>
      <c r="T920" s="83"/>
      <c r="U920" s="83"/>
      <c r="V920" s="84"/>
      <c r="W920" s="85"/>
      <c r="X920" s="87"/>
      <c r="Y920" s="83"/>
      <c r="Z920" s="84"/>
      <c r="AA920" s="85"/>
      <c r="AB920" s="84"/>
      <c r="AC920" s="85"/>
      <c r="AD920" s="89">
        <f t="shared" si="211"/>
        <v>27.239660000000001</v>
      </c>
      <c r="AE920" s="89"/>
      <c r="AF920" s="186">
        <v>27.239660000000001</v>
      </c>
      <c r="AG920" s="85"/>
      <c r="AH920" s="85"/>
      <c r="AI920" s="85"/>
      <c r="AJ920" s="84"/>
      <c r="AK920" s="85"/>
      <c r="AL920" s="84"/>
      <c r="AM920" s="88"/>
      <c r="AN920" s="84"/>
      <c r="AO920" s="85"/>
      <c r="AP920" s="84"/>
      <c r="AQ920" s="83"/>
      <c r="AR920" s="83"/>
      <c r="AS920" s="83"/>
      <c r="AT920" s="85"/>
      <c r="AU920" s="85"/>
      <c r="AV920" s="85"/>
      <c r="AW920" s="88"/>
      <c r="AX920" s="84"/>
      <c r="AY920" s="85"/>
      <c r="AZ920" s="84">
        <v>116.76931</v>
      </c>
      <c r="BA920" s="85">
        <v>105.74426</v>
      </c>
      <c r="BB920" s="88"/>
      <c r="BC920" s="85"/>
      <c r="BD920" s="84"/>
      <c r="BE920" s="88"/>
      <c r="BF920" s="85"/>
      <c r="BG920" s="85"/>
      <c r="BH920" s="85"/>
      <c r="BI920" s="85"/>
      <c r="BJ920" s="85"/>
      <c r="BK920" s="85"/>
      <c r="BL920" s="85"/>
      <c r="BM920" s="85"/>
      <c r="BN920" s="85"/>
      <c r="BO920" s="85"/>
      <c r="BP920" s="85"/>
      <c r="BQ920" s="85"/>
      <c r="BR920" s="84"/>
      <c r="BS920" s="85"/>
      <c r="BT920" s="85"/>
      <c r="BU920" s="198"/>
      <c r="BV920" s="90"/>
      <c r="BW920" s="198"/>
      <c r="BX920" s="90"/>
      <c r="BY920" s="198"/>
      <c r="BZ920" s="90"/>
      <c r="CA920" s="91"/>
    </row>
    <row r="921" spans="1:1199" ht="50.1" customHeight="1" outlineLevel="2" x14ac:dyDescent="0.3">
      <c r="A921" s="106" t="s">
        <v>782</v>
      </c>
      <c r="B921" s="96" t="s">
        <v>788</v>
      </c>
      <c r="C921" s="79" t="s">
        <v>37</v>
      </c>
      <c r="D921" s="81">
        <f t="shared" si="210"/>
        <v>4112.0930400000007</v>
      </c>
      <c r="E921" s="82">
        <f t="shared" si="204"/>
        <v>585.36415</v>
      </c>
      <c r="F921" s="83">
        <f t="shared" si="205"/>
        <v>3526.7288900000003</v>
      </c>
      <c r="G921" s="84"/>
      <c r="H921" s="85"/>
      <c r="I921" s="85"/>
      <c r="J921" s="84">
        <f>60.37273+183.0747</f>
        <v>243.44743</v>
      </c>
      <c r="K921" s="85">
        <f>30.18637+91.53735</f>
        <v>121.72372</v>
      </c>
      <c r="L921" s="85"/>
      <c r="M921" s="85"/>
      <c r="N921" s="85"/>
      <c r="O921" s="82"/>
      <c r="P921" s="83"/>
      <c r="Q921" s="83"/>
      <c r="R921" s="83"/>
      <c r="S921" s="82"/>
      <c r="T921" s="83"/>
      <c r="U921" s="83">
        <v>159.11644999999999</v>
      </c>
      <c r="V921" s="84">
        <v>33.632750000000001</v>
      </c>
      <c r="W921" s="85">
        <v>58.725000000000001</v>
      </c>
      <c r="X921" s="87"/>
      <c r="Y921" s="83">
        <v>190.00800000000001</v>
      </c>
      <c r="Z921" s="84"/>
      <c r="AA921" s="85"/>
      <c r="AB921" s="84"/>
      <c r="AC921" s="85"/>
      <c r="AD921" s="89">
        <f t="shared" si="211"/>
        <v>215.90267999999998</v>
      </c>
      <c r="AE921" s="89">
        <v>134.18369999999999</v>
      </c>
      <c r="AF921" s="186">
        <v>81.718980000000002</v>
      </c>
      <c r="AG921" s="85"/>
      <c r="AH921" s="85"/>
      <c r="AI921" s="85"/>
      <c r="AJ921" s="84"/>
      <c r="AK921" s="85"/>
      <c r="AL921" s="84"/>
      <c r="AM921" s="88"/>
      <c r="AN921" s="84"/>
      <c r="AO921" s="85"/>
      <c r="AP921" s="84"/>
      <c r="AQ921" s="83"/>
      <c r="AR921" s="83"/>
      <c r="AS921" s="83"/>
      <c r="AT921" s="85"/>
      <c r="AU921" s="85"/>
      <c r="AV921" s="85">
        <f>2312.37193</f>
        <v>2312.3719299999998</v>
      </c>
      <c r="AW921" s="88"/>
      <c r="AX921" s="84"/>
      <c r="AY921" s="85"/>
      <c r="AZ921" s="84">
        <v>308.28397000000001</v>
      </c>
      <c r="BA921" s="85">
        <v>279.17615000000001</v>
      </c>
      <c r="BB921" s="88"/>
      <c r="BC921" s="85"/>
      <c r="BD921" s="84"/>
      <c r="BE921" s="88"/>
      <c r="BF921" s="85"/>
      <c r="BG921" s="85"/>
      <c r="BH921" s="85"/>
      <c r="BI921" s="85"/>
      <c r="BJ921" s="85"/>
      <c r="BK921" s="85">
        <v>189.70496</v>
      </c>
      <c r="BL921" s="85"/>
      <c r="BM921" s="85"/>
      <c r="BN921" s="85"/>
      <c r="BO921" s="85"/>
      <c r="BP921" s="85"/>
      <c r="BQ921" s="85"/>
      <c r="BR921" s="84"/>
      <c r="BS921" s="85"/>
      <c r="BT921" s="85"/>
      <c r="BU921" s="198"/>
      <c r="BV921" s="90"/>
      <c r="BW921" s="198"/>
      <c r="BX921" s="90"/>
      <c r="BY921" s="198"/>
      <c r="BZ921" s="90"/>
      <c r="CA921" s="91"/>
    </row>
    <row r="922" spans="1:1199" ht="50.1" customHeight="1" outlineLevel="2" x14ac:dyDescent="0.3">
      <c r="A922" s="106" t="s">
        <v>782</v>
      </c>
      <c r="B922" s="96" t="s">
        <v>789</v>
      </c>
      <c r="C922" s="79" t="s">
        <v>37</v>
      </c>
      <c r="D922" s="81">
        <f t="shared" si="210"/>
        <v>13179.033129999998</v>
      </c>
      <c r="E922" s="82">
        <f t="shared" si="204"/>
        <v>1361.10061</v>
      </c>
      <c r="F922" s="83">
        <f t="shared" si="205"/>
        <v>11817.932519999998</v>
      </c>
      <c r="G922" s="84"/>
      <c r="H922" s="85"/>
      <c r="I922" s="85"/>
      <c r="J922" s="84"/>
      <c r="K922" s="85"/>
      <c r="L922" s="85"/>
      <c r="M922" s="85"/>
      <c r="N922" s="85"/>
      <c r="O922" s="82"/>
      <c r="P922" s="83"/>
      <c r="Q922" s="83"/>
      <c r="R922" s="83"/>
      <c r="S922" s="82"/>
      <c r="T922" s="83"/>
      <c r="U922" s="83">
        <v>999.13858000000005</v>
      </c>
      <c r="V922" s="84">
        <v>81.182500000000005</v>
      </c>
      <c r="W922" s="85">
        <v>216.3</v>
      </c>
      <c r="X922" s="87"/>
      <c r="Y922" s="83">
        <v>326.35199999999998</v>
      </c>
      <c r="Z922" s="84"/>
      <c r="AA922" s="85"/>
      <c r="AB922" s="84"/>
      <c r="AC922" s="85"/>
      <c r="AD922" s="89">
        <f t="shared" si="211"/>
        <v>434.63517999999999</v>
      </c>
      <c r="AE922" s="89">
        <f>88.1131+21.491</f>
        <v>109.6041</v>
      </c>
      <c r="AF922" s="186">
        <f>151.86467+173.16641</f>
        <v>325.03107999999997</v>
      </c>
      <c r="AG922" s="85"/>
      <c r="AH922" s="85"/>
      <c r="AI922" s="85"/>
      <c r="AJ922" s="84"/>
      <c r="AK922" s="85"/>
      <c r="AL922" s="84"/>
      <c r="AM922" s="88"/>
      <c r="AN922" s="84"/>
      <c r="AO922" s="85"/>
      <c r="AP922" s="84">
        <v>143.21234999999999</v>
      </c>
      <c r="AQ922" s="83">
        <v>280.07103999999998</v>
      </c>
      <c r="AR922" s="83"/>
      <c r="AS922" s="83">
        <v>3379.6855799999998</v>
      </c>
      <c r="AT922" s="85"/>
      <c r="AU922" s="85"/>
      <c r="AV922" s="85">
        <f>392.34483+4760.02597</f>
        <v>5152.3707999999997</v>
      </c>
      <c r="AW922" s="88"/>
      <c r="AX922" s="84"/>
      <c r="AY922" s="85"/>
      <c r="AZ922" s="84">
        <v>1136.7057600000001</v>
      </c>
      <c r="BA922" s="85">
        <v>1029.37934</v>
      </c>
      <c r="BB922" s="88"/>
      <c r="BC922" s="85"/>
      <c r="BD922" s="84"/>
      <c r="BE922" s="88"/>
      <c r="BF922" s="85"/>
      <c r="BG922" s="85"/>
      <c r="BH922" s="85"/>
      <c r="BI922" s="85"/>
      <c r="BJ922" s="85"/>
      <c r="BK922" s="85"/>
      <c r="BL922" s="85"/>
      <c r="BM922" s="85"/>
      <c r="BN922" s="85"/>
      <c r="BO922" s="85"/>
      <c r="BP922" s="85"/>
      <c r="BQ922" s="85"/>
      <c r="BR922" s="84"/>
      <c r="BS922" s="85"/>
      <c r="BT922" s="85"/>
      <c r="BU922" s="198"/>
      <c r="BV922" s="90"/>
      <c r="BW922" s="198"/>
      <c r="BX922" s="90"/>
      <c r="BY922" s="198"/>
      <c r="BZ922" s="90"/>
      <c r="CA922" s="91"/>
    </row>
    <row r="923" spans="1:1199" ht="50.1" customHeight="1" outlineLevel="2" x14ac:dyDescent="0.3">
      <c r="A923" s="106" t="s">
        <v>782</v>
      </c>
      <c r="B923" s="96" t="s">
        <v>790</v>
      </c>
      <c r="C923" s="79" t="s">
        <v>37</v>
      </c>
      <c r="D923" s="81">
        <f t="shared" si="210"/>
        <v>2063.5774200000001</v>
      </c>
      <c r="E923" s="82">
        <f t="shared" si="204"/>
        <v>859.01786000000016</v>
      </c>
      <c r="F923" s="83">
        <f t="shared" si="205"/>
        <v>1204.5595599999999</v>
      </c>
      <c r="G923" s="84"/>
      <c r="H923" s="85"/>
      <c r="I923" s="83">
        <v>136.74977000000001</v>
      </c>
      <c r="J923" s="84">
        <f>303.37562+19.35412</f>
        <v>322.72974000000005</v>
      </c>
      <c r="K923" s="85">
        <f>101.77162+7.03787</f>
        <v>108.80949</v>
      </c>
      <c r="L923" s="85">
        <v>139.20583999999999</v>
      </c>
      <c r="M923" s="85"/>
      <c r="N923" s="85"/>
      <c r="O923" s="82"/>
      <c r="P923" s="83"/>
      <c r="Q923" s="83"/>
      <c r="R923" s="83"/>
      <c r="S923" s="82"/>
      <c r="T923" s="83"/>
      <c r="U923" s="83"/>
      <c r="V923" s="84">
        <v>62.6265</v>
      </c>
      <c r="W923" s="85">
        <v>109.35</v>
      </c>
      <c r="X923" s="87"/>
      <c r="Y923" s="83">
        <v>93.6</v>
      </c>
      <c r="Z923" s="84"/>
      <c r="AA923" s="85"/>
      <c r="AB923" s="84"/>
      <c r="AC923" s="85"/>
      <c r="AD923" s="89">
        <f t="shared" si="211"/>
        <v>187.90585999999999</v>
      </c>
      <c r="AE923" s="89">
        <v>112.99679999999999</v>
      </c>
      <c r="AF923" s="186">
        <v>74.909059999999997</v>
      </c>
      <c r="AG923" s="85"/>
      <c r="AH923" s="85"/>
      <c r="AI923" s="85"/>
      <c r="AJ923" s="84"/>
      <c r="AK923" s="85"/>
      <c r="AL923" s="84"/>
      <c r="AM923" s="88"/>
      <c r="AN923" s="84"/>
      <c r="AO923" s="85"/>
      <c r="AP923" s="84"/>
      <c r="AQ923" s="83"/>
      <c r="AR923" s="83"/>
      <c r="AS923" s="83"/>
      <c r="AT923" s="85"/>
      <c r="AU923" s="85"/>
      <c r="AV923" s="85"/>
      <c r="AW923" s="88"/>
      <c r="AX923" s="84"/>
      <c r="AY923" s="85"/>
      <c r="AZ923" s="84">
        <v>473.66162000000003</v>
      </c>
      <c r="BA923" s="85">
        <v>428.93860000000001</v>
      </c>
      <c r="BB923" s="88"/>
      <c r="BC923" s="85"/>
      <c r="BD923" s="84"/>
      <c r="BE923" s="88"/>
      <c r="BF923" s="85"/>
      <c r="BG923" s="85"/>
      <c r="BH923" s="85"/>
      <c r="BI923" s="85"/>
      <c r="BJ923" s="85"/>
      <c r="BK923" s="85"/>
      <c r="BL923" s="85"/>
      <c r="BM923" s="85"/>
      <c r="BN923" s="85"/>
      <c r="BO923" s="85"/>
      <c r="BP923" s="85"/>
      <c r="BQ923" s="85"/>
      <c r="BR923" s="84"/>
      <c r="BS923" s="85"/>
      <c r="BT923" s="85"/>
      <c r="BU923" s="198"/>
      <c r="BV923" s="90"/>
      <c r="BW923" s="198"/>
      <c r="BX923" s="90"/>
      <c r="BY923" s="198"/>
      <c r="BZ923" s="90"/>
      <c r="CA923" s="91"/>
    </row>
    <row r="924" spans="1:1199" ht="50.1" customHeight="1" outlineLevel="2" x14ac:dyDescent="0.3">
      <c r="A924" s="103" t="s">
        <v>782</v>
      </c>
      <c r="B924" s="102" t="s">
        <v>791</v>
      </c>
      <c r="C924" s="79" t="s">
        <v>37</v>
      </c>
      <c r="D924" s="81">
        <f t="shared" si="210"/>
        <v>390.28014999999999</v>
      </c>
      <c r="E924" s="82">
        <f t="shared" si="204"/>
        <v>176.32074</v>
      </c>
      <c r="F924" s="83">
        <f t="shared" si="205"/>
        <v>213.95940999999999</v>
      </c>
      <c r="G924" s="84"/>
      <c r="H924" s="85"/>
      <c r="I924" s="83">
        <v>43.57076</v>
      </c>
      <c r="J924" s="84">
        <v>48.070399999999999</v>
      </c>
      <c r="K924" s="85">
        <v>7.44747</v>
      </c>
      <c r="L924" s="85"/>
      <c r="M924" s="85"/>
      <c r="N924" s="85"/>
      <c r="O924" s="82"/>
      <c r="P924" s="83"/>
      <c r="Q924" s="83"/>
      <c r="R924" s="83"/>
      <c r="S924" s="82"/>
      <c r="T924" s="83"/>
      <c r="U924" s="83"/>
      <c r="V924" s="84"/>
      <c r="W924" s="85"/>
      <c r="X924" s="87"/>
      <c r="Y924" s="83">
        <v>46.8</v>
      </c>
      <c r="Z924" s="84"/>
      <c r="AA924" s="85"/>
      <c r="AB924" s="84"/>
      <c r="AC924" s="85"/>
      <c r="AD924" s="89">
        <f t="shared" si="211"/>
        <v>0</v>
      </c>
      <c r="AE924" s="89"/>
      <c r="AF924" s="186"/>
      <c r="AG924" s="85"/>
      <c r="AH924" s="85"/>
      <c r="AI924" s="85"/>
      <c r="AJ924" s="84"/>
      <c r="AK924" s="85"/>
      <c r="AL924" s="84"/>
      <c r="AM924" s="88"/>
      <c r="AN924" s="84"/>
      <c r="AO924" s="85"/>
      <c r="AP924" s="84"/>
      <c r="AQ924" s="83"/>
      <c r="AR924" s="83"/>
      <c r="AS924" s="83"/>
      <c r="AT924" s="85"/>
      <c r="AU924" s="85"/>
      <c r="AV924" s="85"/>
      <c r="AW924" s="88"/>
      <c r="AX924" s="84"/>
      <c r="AY924" s="85"/>
      <c r="AZ924" s="84">
        <v>128.25033999999999</v>
      </c>
      <c r="BA924" s="85">
        <v>116.14118000000001</v>
      </c>
      <c r="BB924" s="88"/>
      <c r="BC924" s="85"/>
      <c r="BD924" s="84"/>
      <c r="BE924" s="88"/>
      <c r="BF924" s="85"/>
      <c r="BG924" s="85"/>
      <c r="BH924" s="85"/>
      <c r="BI924" s="85"/>
      <c r="BJ924" s="85"/>
      <c r="BK924" s="85"/>
      <c r="BL924" s="85"/>
      <c r="BM924" s="85"/>
      <c r="BN924" s="85"/>
      <c r="BO924" s="85"/>
      <c r="BP924" s="85"/>
      <c r="BQ924" s="85"/>
      <c r="BR924" s="84"/>
      <c r="BS924" s="85"/>
      <c r="BT924" s="85"/>
      <c r="BU924" s="198"/>
      <c r="BV924" s="90"/>
      <c r="BW924" s="198"/>
      <c r="BX924" s="90"/>
      <c r="BY924" s="198"/>
      <c r="BZ924" s="90"/>
      <c r="CA924" s="91"/>
    </row>
    <row r="925" spans="1:1199" ht="50.1" customHeight="1" outlineLevel="2" x14ac:dyDescent="0.3">
      <c r="A925" s="103" t="s">
        <v>782</v>
      </c>
      <c r="B925" s="102" t="s">
        <v>792</v>
      </c>
      <c r="C925" s="79" t="s">
        <v>37</v>
      </c>
      <c r="D925" s="81">
        <f t="shared" si="210"/>
        <v>336.62270000000001</v>
      </c>
      <c r="E925" s="82">
        <f t="shared" si="204"/>
        <v>176.65078</v>
      </c>
      <c r="F925" s="83">
        <f t="shared" si="205"/>
        <v>159.97192000000001</v>
      </c>
      <c r="G925" s="84"/>
      <c r="H925" s="85"/>
      <c r="I925" s="85"/>
      <c r="J925" s="84"/>
      <c r="K925" s="85"/>
      <c r="L925" s="85"/>
      <c r="M925" s="85"/>
      <c r="N925" s="85"/>
      <c r="O925" s="82"/>
      <c r="P925" s="83"/>
      <c r="Q925" s="83"/>
      <c r="R925" s="83"/>
      <c r="S925" s="82"/>
      <c r="T925" s="83"/>
      <c r="U925" s="83"/>
      <c r="V925" s="84"/>
      <c r="W925" s="85"/>
      <c r="X925" s="87"/>
      <c r="Y925" s="83"/>
      <c r="Z925" s="84"/>
      <c r="AA925" s="85"/>
      <c r="AB925" s="84"/>
      <c r="AC925" s="85"/>
      <c r="AD925" s="89">
        <f t="shared" si="211"/>
        <v>0</v>
      </c>
      <c r="AE925" s="89"/>
      <c r="AF925" s="186"/>
      <c r="AG925" s="85"/>
      <c r="AH925" s="85"/>
      <c r="AI925" s="85"/>
      <c r="AJ925" s="84"/>
      <c r="AK925" s="85"/>
      <c r="AL925" s="84"/>
      <c r="AM925" s="88"/>
      <c r="AN925" s="84"/>
      <c r="AO925" s="85"/>
      <c r="AP925" s="84"/>
      <c r="AQ925" s="83"/>
      <c r="AR925" s="83"/>
      <c r="AS925" s="83"/>
      <c r="AT925" s="85"/>
      <c r="AU925" s="85"/>
      <c r="AV925" s="85"/>
      <c r="AW925" s="88"/>
      <c r="AX925" s="84"/>
      <c r="AY925" s="85"/>
      <c r="AZ925" s="84">
        <v>176.65078</v>
      </c>
      <c r="BA925" s="85">
        <v>159.97192000000001</v>
      </c>
      <c r="BB925" s="88"/>
      <c r="BC925" s="85"/>
      <c r="BD925" s="84"/>
      <c r="BE925" s="88"/>
      <c r="BF925" s="85"/>
      <c r="BG925" s="85"/>
      <c r="BH925" s="85"/>
      <c r="BI925" s="85"/>
      <c r="BJ925" s="85"/>
      <c r="BK925" s="85"/>
      <c r="BL925" s="85"/>
      <c r="BM925" s="85"/>
      <c r="BN925" s="85"/>
      <c r="BO925" s="85"/>
      <c r="BP925" s="85"/>
      <c r="BQ925" s="85"/>
      <c r="BR925" s="84"/>
      <c r="BS925" s="85"/>
      <c r="BT925" s="85"/>
      <c r="BU925" s="198"/>
      <c r="BV925" s="90"/>
      <c r="BW925" s="198"/>
      <c r="BX925" s="90"/>
      <c r="BY925" s="198"/>
      <c r="BZ925" s="90"/>
      <c r="CA925" s="91"/>
    </row>
    <row r="926" spans="1:1199" ht="50.1" customHeight="1" outlineLevel="2" x14ac:dyDescent="0.3">
      <c r="A926" s="103" t="s">
        <v>782</v>
      </c>
      <c r="B926" s="102" t="s">
        <v>793</v>
      </c>
      <c r="C926" s="79" t="s">
        <v>55</v>
      </c>
      <c r="D926" s="81">
        <f t="shared" si="210"/>
        <v>13504.166739999999</v>
      </c>
      <c r="E926" s="82">
        <f t="shared" si="204"/>
        <v>12322.523359999999</v>
      </c>
      <c r="F926" s="83">
        <f t="shared" si="205"/>
        <v>1181.64338</v>
      </c>
      <c r="G926" s="84"/>
      <c r="H926" s="85"/>
      <c r="I926" s="85"/>
      <c r="J926" s="84"/>
      <c r="K926" s="85"/>
      <c r="L926" s="85"/>
      <c r="M926" s="85"/>
      <c r="N926" s="85"/>
      <c r="O926" s="82"/>
      <c r="P926" s="83"/>
      <c r="Q926" s="83"/>
      <c r="R926" s="83"/>
      <c r="S926" s="82"/>
      <c r="T926" s="83"/>
      <c r="U926" s="83"/>
      <c r="V926" s="84"/>
      <c r="W926" s="85"/>
      <c r="X926" s="87"/>
      <c r="Y926" s="83">
        <v>52.103999999999999</v>
      </c>
      <c r="Z926" s="84"/>
      <c r="AA926" s="85"/>
      <c r="AB926" s="84"/>
      <c r="AC926" s="85"/>
      <c r="AD926" s="89">
        <f t="shared" si="211"/>
        <v>32.351500000000001</v>
      </c>
      <c r="AE926" s="89">
        <f>8.5964+4.2982</f>
        <v>12.894599999999999</v>
      </c>
      <c r="AF926" s="186">
        <v>19.456900000000001</v>
      </c>
      <c r="AG926" s="85"/>
      <c r="AH926" s="85"/>
      <c r="AI926" s="85"/>
      <c r="AJ926" s="84"/>
      <c r="AK926" s="85"/>
      <c r="AL926" s="84"/>
      <c r="AM926" s="88"/>
      <c r="AN926" s="84"/>
      <c r="AO926" s="85">
        <v>391.04</v>
      </c>
      <c r="AP926" s="84"/>
      <c r="AQ926" s="83"/>
      <c r="AR926" s="83"/>
      <c r="AS926" s="83"/>
      <c r="AT926" s="85"/>
      <c r="AU926" s="85"/>
      <c r="AV926" s="85"/>
      <c r="AW926" s="88"/>
      <c r="AX926" s="84"/>
      <c r="AY926" s="85"/>
      <c r="AZ926" s="84">
        <v>67.523359999999997</v>
      </c>
      <c r="BA926" s="85">
        <v>61.147880000000001</v>
      </c>
      <c r="BB926" s="88"/>
      <c r="BC926" s="85"/>
      <c r="BD926" s="84"/>
      <c r="BE926" s="88"/>
      <c r="BF926" s="85"/>
      <c r="BG926" s="85"/>
      <c r="BH926" s="85"/>
      <c r="BI926" s="85"/>
      <c r="BJ926" s="85"/>
      <c r="BK926" s="85"/>
      <c r="BL926" s="85"/>
      <c r="BM926" s="85"/>
      <c r="BN926" s="85"/>
      <c r="BO926" s="85"/>
      <c r="BP926" s="85"/>
      <c r="BQ926" s="85"/>
      <c r="BR926" s="84"/>
      <c r="BS926" s="85"/>
      <c r="BT926" s="85"/>
      <c r="BU926" s="198"/>
      <c r="BV926" s="90"/>
      <c r="BW926" s="198"/>
      <c r="BX926" s="90"/>
      <c r="BY926" s="198"/>
      <c r="BZ926" s="90">
        <v>12255</v>
      </c>
      <c r="CA926" s="91">
        <v>645</v>
      </c>
    </row>
    <row r="927" spans="1:1199" ht="50.1" customHeight="1" outlineLevel="2" x14ac:dyDescent="0.3">
      <c r="A927" s="96" t="s">
        <v>782</v>
      </c>
      <c r="B927" s="96" t="s">
        <v>794</v>
      </c>
      <c r="C927" s="79" t="s">
        <v>55</v>
      </c>
      <c r="D927" s="81">
        <f t="shared" si="210"/>
        <v>666.17902000000004</v>
      </c>
      <c r="E927" s="82">
        <f t="shared" si="204"/>
        <v>13.23587</v>
      </c>
      <c r="F927" s="83">
        <f t="shared" si="205"/>
        <v>652.94315000000006</v>
      </c>
      <c r="G927" s="84"/>
      <c r="H927" s="85"/>
      <c r="I927" s="85"/>
      <c r="J927" s="84"/>
      <c r="K927" s="85"/>
      <c r="L927" s="85"/>
      <c r="M927" s="85"/>
      <c r="N927" s="85"/>
      <c r="O927" s="82"/>
      <c r="P927" s="83"/>
      <c r="Q927" s="83"/>
      <c r="R927" s="83"/>
      <c r="S927" s="82"/>
      <c r="T927" s="83"/>
      <c r="U927" s="83"/>
      <c r="V927" s="84"/>
      <c r="W927" s="85"/>
      <c r="X927" s="87"/>
      <c r="Y927" s="83"/>
      <c r="Z927" s="84"/>
      <c r="AA927" s="85"/>
      <c r="AB927" s="84"/>
      <c r="AC927" s="85"/>
      <c r="AD927" s="89">
        <f t="shared" si="211"/>
        <v>21.40259</v>
      </c>
      <c r="AE927" s="89"/>
      <c r="AF927" s="186">
        <v>21.40259</v>
      </c>
      <c r="AG927" s="85"/>
      <c r="AH927" s="85"/>
      <c r="AI927" s="85"/>
      <c r="AJ927" s="84"/>
      <c r="AK927" s="85"/>
      <c r="AL927" s="84"/>
      <c r="AM927" s="88"/>
      <c r="AN927" s="84"/>
      <c r="AO927" s="85"/>
      <c r="AP927" s="84"/>
      <c r="AQ927" s="83"/>
      <c r="AR927" s="83"/>
      <c r="AS927" s="83"/>
      <c r="AT927" s="85"/>
      <c r="AU927" s="85"/>
      <c r="AV927" s="85"/>
      <c r="AW927" s="88"/>
      <c r="AX927" s="84"/>
      <c r="AY927" s="85"/>
      <c r="AZ927" s="84">
        <v>13.23587</v>
      </c>
      <c r="BA927" s="85">
        <v>11.986129999999999</v>
      </c>
      <c r="BB927" s="88"/>
      <c r="BC927" s="85"/>
      <c r="BD927" s="84"/>
      <c r="BE927" s="88"/>
      <c r="BF927" s="85"/>
      <c r="BG927" s="85"/>
      <c r="BH927" s="85"/>
      <c r="BI927" s="85"/>
      <c r="BJ927" s="85"/>
      <c r="BK927" s="85">
        <v>542.52692999999999</v>
      </c>
      <c r="BL927" s="85"/>
      <c r="BM927" s="85"/>
      <c r="BN927" s="85"/>
      <c r="BO927" s="85"/>
      <c r="BP927" s="85"/>
      <c r="BQ927" s="85"/>
      <c r="BR927" s="84"/>
      <c r="BS927" s="85"/>
      <c r="BT927" s="85"/>
      <c r="BU927" s="97">
        <v>77.027500000000003</v>
      </c>
      <c r="BV927" s="90"/>
      <c r="BW927" s="198"/>
      <c r="BX927" s="90"/>
      <c r="BY927" s="198"/>
      <c r="BZ927" s="90"/>
      <c r="CA927" s="91"/>
    </row>
    <row r="928" spans="1:1199" ht="50.1" customHeight="1" outlineLevel="2" x14ac:dyDescent="0.3">
      <c r="A928" s="96" t="s">
        <v>782</v>
      </c>
      <c r="B928" s="96" t="s">
        <v>795</v>
      </c>
      <c r="C928" s="79" t="s">
        <v>55</v>
      </c>
      <c r="D928" s="81">
        <f t="shared" si="210"/>
        <v>226.71897999999999</v>
      </c>
      <c r="E928" s="82">
        <f t="shared" si="204"/>
        <v>31.337330000000001</v>
      </c>
      <c r="F928" s="83">
        <f t="shared" si="205"/>
        <v>195.38164999999998</v>
      </c>
      <c r="G928" s="84"/>
      <c r="H928" s="85"/>
      <c r="I928" s="85"/>
      <c r="J928" s="84"/>
      <c r="K928" s="85"/>
      <c r="L928" s="85"/>
      <c r="M928" s="85"/>
      <c r="N928" s="85"/>
      <c r="O928" s="82"/>
      <c r="P928" s="83"/>
      <c r="Q928" s="83"/>
      <c r="R928" s="83"/>
      <c r="S928" s="82"/>
      <c r="T928" s="83"/>
      <c r="U928" s="83"/>
      <c r="V928" s="84"/>
      <c r="W928" s="85"/>
      <c r="X928" s="87"/>
      <c r="Y928" s="83"/>
      <c r="Z928" s="84"/>
      <c r="AA928" s="85"/>
      <c r="AB928" s="84"/>
      <c r="AC928" s="85"/>
      <c r="AD928" s="89">
        <f t="shared" si="211"/>
        <v>0</v>
      </c>
      <c r="AE928" s="83"/>
      <c r="AF928" s="123"/>
      <c r="AG928" s="85"/>
      <c r="AH928" s="85"/>
      <c r="AI928" s="85"/>
      <c r="AJ928" s="84"/>
      <c r="AK928" s="85"/>
      <c r="AL928" s="84"/>
      <c r="AM928" s="85"/>
      <c r="AN928" s="84"/>
      <c r="AO928" s="85"/>
      <c r="AP928" s="84">
        <v>31.337330000000001</v>
      </c>
      <c r="AQ928" s="83">
        <v>86.430689999999998</v>
      </c>
      <c r="AR928" s="83"/>
      <c r="AS928" s="83"/>
      <c r="AT928" s="85"/>
      <c r="AU928" s="85"/>
      <c r="AV928" s="85"/>
      <c r="AW928" s="85"/>
      <c r="AX928" s="84"/>
      <c r="AY928" s="85"/>
      <c r="AZ928" s="84"/>
      <c r="BA928" s="85"/>
      <c r="BB928" s="85"/>
      <c r="BC928" s="85"/>
      <c r="BD928" s="84"/>
      <c r="BE928" s="85"/>
      <c r="BF928" s="85"/>
      <c r="BG928" s="85"/>
      <c r="BH928" s="85"/>
      <c r="BI928" s="85"/>
      <c r="BJ928" s="85"/>
      <c r="BK928" s="85">
        <v>108.95095999999999</v>
      </c>
      <c r="BL928" s="85"/>
      <c r="BM928" s="85"/>
      <c r="BN928" s="85"/>
      <c r="BO928" s="85"/>
      <c r="BP928" s="85"/>
      <c r="BQ928" s="85"/>
      <c r="BR928" s="84"/>
      <c r="BS928" s="85"/>
      <c r="BT928" s="85"/>
      <c r="BU928" s="198"/>
      <c r="BV928" s="90"/>
      <c r="BW928" s="198"/>
      <c r="BX928" s="90"/>
      <c r="BY928" s="198"/>
      <c r="BZ928" s="90"/>
      <c r="CA928" s="91"/>
    </row>
    <row r="929" spans="1:79" ht="50.1" customHeight="1" outlineLevel="2" x14ac:dyDescent="0.3">
      <c r="A929" s="96" t="s">
        <v>782</v>
      </c>
      <c r="B929" s="96" t="s">
        <v>1163</v>
      </c>
      <c r="C929" s="79" t="s">
        <v>55</v>
      </c>
      <c r="D929" s="81">
        <f t="shared" si="210"/>
        <v>182.52</v>
      </c>
      <c r="E929" s="82">
        <f t="shared" si="204"/>
        <v>0</v>
      </c>
      <c r="F929" s="83">
        <f t="shared" si="205"/>
        <v>182.52</v>
      </c>
      <c r="G929" s="84"/>
      <c r="H929" s="85"/>
      <c r="I929" s="85"/>
      <c r="J929" s="84"/>
      <c r="K929" s="85"/>
      <c r="L929" s="85"/>
      <c r="M929" s="85"/>
      <c r="N929" s="85"/>
      <c r="O929" s="82"/>
      <c r="P929" s="83"/>
      <c r="Q929" s="83"/>
      <c r="R929" s="83"/>
      <c r="S929" s="82"/>
      <c r="T929" s="83"/>
      <c r="U929" s="83"/>
      <c r="V929" s="84"/>
      <c r="W929" s="85"/>
      <c r="X929" s="87"/>
      <c r="Y929" s="83">
        <v>182.52</v>
      </c>
      <c r="Z929" s="84"/>
      <c r="AA929" s="85"/>
      <c r="AB929" s="84"/>
      <c r="AC929" s="85"/>
      <c r="AD929" s="89"/>
      <c r="AE929" s="83"/>
      <c r="AF929" s="123"/>
      <c r="AG929" s="85"/>
      <c r="AH929" s="85"/>
      <c r="AI929" s="85"/>
      <c r="AJ929" s="84"/>
      <c r="AK929" s="85"/>
      <c r="AL929" s="84"/>
      <c r="AM929" s="85"/>
      <c r="AN929" s="84"/>
      <c r="AO929" s="85"/>
      <c r="AP929" s="84"/>
      <c r="AQ929" s="83"/>
      <c r="AR929" s="83"/>
      <c r="AS929" s="83"/>
      <c r="AT929" s="85"/>
      <c r="AU929" s="85"/>
      <c r="AV929" s="85"/>
      <c r="AW929" s="85"/>
      <c r="AX929" s="84"/>
      <c r="AY929" s="85"/>
      <c r="AZ929" s="84"/>
      <c r="BA929" s="85"/>
      <c r="BB929" s="85"/>
      <c r="BC929" s="85"/>
      <c r="BD929" s="84"/>
      <c r="BE929" s="85"/>
      <c r="BF929" s="85"/>
      <c r="BG929" s="85"/>
      <c r="BH929" s="85"/>
      <c r="BI929" s="85"/>
      <c r="BJ929" s="85"/>
      <c r="BK929" s="85"/>
      <c r="BL929" s="85"/>
      <c r="BM929" s="85"/>
      <c r="BN929" s="85"/>
      <c r="BO929" s="85"/>
      <c r="BP929" s="85"/>
      <c r="BQ929" s="85"/>
      <c r="BR929" s="84"/>
      <c r="BS929" s="85"/>
      <c r="BT929" s="85"/>
      <c r="BU929" s="198"/>
      <c r="BV929" s="90"/>
      <c r="BW929" s="198"/>
      <c r="BX929" s="90"/>
      <c r="BY929" s="198"/>
      <c r="BZ929" s="90"/>
      <c r="CA929" s="91"/>
    </row>
    <row r="930" spans="1:79" ht="50.1" customHeight="1" outlineLevel="2" x14ac:dyDescent="0.3">
      <c r="A930" s="96" t="s">
        <v>782</v>
      </c>
      <c r="B930" s="96" t="s">
        <v>796</v>
      </c>
      <c r="C930" s="79" t="s">
        <v>55</v>
      </c>
      <c r="D930" s="81">
        <f t="shared" si="210"/>
        <v>65.558080000000004</v>
      </c>
      <c r="E930" s="82">
        <f t="shared" si="204"/>
        <v>27.12143</v>
      </c>
      <c r="F930" s="83">
        <f t="shared" si="205"/>
        <v>38.43665</v>
      </c>
      <c r="G930" s="84"/>
      <c r="H930" s="85"/>
      <c r="I930" s="85"/>
      <c r="J930" s="84"/>
      <c r="K930" s="85"/>
      <c r="L930" s="85"/>
      <c r="M930" s="85"/>
      <c r="N930" s="85"/>
      <c r="O930" s="82"/>
      <c r="P930" s="83"/>
      <c r="Q930" s="83"/>
      <c r="R930" s="83"/>
      <c r="S930" s="82"/>
      <c r="T930" s="83"/>
      <c r="U930" s="83"/>
      <c r="V930" s="84">
        <v>2.3195000000000001</v>
      </c>
      <c r="W930" s="85">
        <v>4.05</v>
      </c>
      <c r="X930" s="87"/>
      <c r="Y930" s="83"/>
      <c r="Z930" s="84"/>
      <c r="AA930" s="85"/>
      <c r="AB930" s="84"/>
      <c r="AC930" s="85"/>
      <c r="AD930" s="89">
        <f t="shared" si="211"/>
        <v>11.92652</v>
      </c>
      <c r="AE930" s="89">
        <v>7.0622999999999996</v>
      </c>
      <c r="AF930" s="188">
        <v>4.8642200000000004</v>
      </c>
      <c r="AG930" s="85"/>
      <c r="AH930" s="85"/>
      <c r="AI930" s="85"/>
      <c r="AJ930" s="84"/>
      <c r="AK930" s="85"/>
      <c r="AL930" s="84"/>
      <c r="AM930" s="88"/>
      <c r="AN930" s="84"/>
      <c r="AO930" s="85"/>
      <c r="AP930" s="84"/>
      <c r="AQ930" s="83"/>
      <c r="AR930" s="83"/>
      <c r="AS930" s="83"/>
      <c r="AT930" s="85"/>
      <c r="AU930" s="85"/>
      <c r="AV930" s="85"/>
      <c r="AW930" s="88"/>
      <c r="AX930" s="84"/>
      <c r="AY930" s="85"/>
      <c r="AZ930" s="84">
        <v>24.801929999999999</v>
      </c>
      <c r="BA930" s="85">
        <v>22.460129999999999</v>
      </c>
      <c r="BB930" s="88"/>
      <c r="BC930" s="85"/>
      <c r="BD930" s="84"/>
      <c r="BE930" s="88"/>
      <c r="BF930" s="85"/>
      <c r="BG930" s="85"/>
      <c r="BH930" s="85"/>
      <c r="BI930" s="85"/>
      <c r="BJ930" s="85"/>
      <c r="BK930" s="85"/>
      <c r="BL930" s="85"/>
      <c r="BM930" s="85"/>
      <c r="BN930" s="85"/>
      <c r="BO930" s="85"/>
      <c r="BP930" s="85"/>
      <c r="BQ930" s="85"/>
      <c r="BR930" s="84"/>
      <c r="BS930" s="85"/>
      <c r="BT930" s="85"/>
      <c r="BU930" s="198"/>
      <c r="BV930" s="90"/>
      <c r="BW930" s="198"/>
      <c r="BX930" s="90"/>
      <c r="BY930" s="198"/>
      <c r="BZ930" s="90"/>
      <c r="CA930" s="91"/>
    </row>
    <row r="931" spans="1:79" ht="50.1" customHeight="1" outlineLevel="2" x14ac:dyDescent="0.3">
      <c r="A931" s="106" t="s">
        <v>782</v>
      </c>
      <c r="B931" s="96" t="s">
        <v>797</v>
      </c>
      <c r="C931" s="79" t="s">
        <v>55</v>
      </c>
      <c r="D931" s="81">
        <f t="shared" si="210"/>
        <v>1308.4483500000001</v>
      </c>
      <c r="E931" s="82">
        <f t="shared" si="204"/>
        <v>383.90411</v>
      </c>
      <c r="F931" s="83">
        <f t="shared" si="205"/>
        <v>924.54424000000006</v>
      </c>
      <c r="G931" s="84"/>
      <c r="H931" s="85"/>
      <c r="I931" s="85"/>
      <c r="J931" s="84"/>
      <c r="K931" s="85"/>
      <c r="L931" s="85">
        <v>198.25877</v>
      </c>
      <c r="M931" s="85"/>
      <c r="N931" s="85"/>
      <c r="O931" s="82"/>
      <c r="P931" s="83"/>
      <c r="Q931" s="83"/>
      <c r="R931" s="83"/>
      <c r="S931" s="82"/>
      <c r="T931" s="83"/>
      <c r="U931" s="83"/>
      <c r="V931" s="84">
        <v>46.39</v>
      </c>
      <c r="W931" s="85">
        <v>81</v>
      </c>
      <c r="X931" s="87"/>
      <c r="Y931" s="83">
        <v>118.872</v>
      </c>
      <c r="Z931" s="84"/>
      <c r="AA931" s="85"/>
      <c r="AB931" s="84"/>
      <c r="AC931" s="85"/>
      <c r="AD931" s="89">
        <f t="shared" si="211"/>
        <v>220.76689999999999</v>
      </c>
      <c r="AE931" s="89">
        <v>134.18369999999999</v>
      </c>
      <c r="AF931" s="186">
        <v>86.583200000000005</v>
      </c>
      <c r="AG931" s="85"/>
      <c r="AH931" s="85"/>
      <c r="AI931" s="85"/>
      <c r="AJ931" s="84"/>
      <c r="AK931" s="85"/>
      <c r="AL931" s="84"/>
      <c r="AM931" s="88"/>
      <c r="AN931" s="84"/>
      <c r="AO931" s="85"/>
      <c r="AP931" s="84"/>
      <c r="AQ931" s="83"/>
      <c r="AR931" s="83"/>
      <c r="AS931" s="83"/>
      <c r="AT931" s="85"/>
      <c r="AU931" s="85"/>
      <c r="AV931" s="85"/>
      <c r="AW931" s="88"/>
      <c r="AX931" s="84"/>
      <c r="AY931" s="85"/>
      <c r="AZ931" s="84">
        <v>337.51411000000002</v>
      </c>
      <c r="BA931" s="85">
        <v>305.64657</v>
      </c>
      <c r="BB931" s="88"/>
      <c r="BC931" s="85"/>
      <c r="BD931" s="84"/>
      <c r="BE931" s="88"/>
      <c r="BF931" s="85"/>
      <c r="BG931" s="85"/>
      <c r="BH931" s="85"/>
      <c r="BI931" s="85"/>
      <c r="BJ931" s="85"/>
      <c r="BK931" s="85"/>
      <c r="BL931" s="85"/>
      <c r="BM931" s="85"/>
      <c r="BN931" s="85"/>
      <c r="BO931" s="85"/>
      <c r="BP931" s="85"/>
      <c r="BQ931" s="85"/>
      <c r="BR931" s="84"/>
      <c r="BS931" s="85"/>
      <c r="BT931" s="85"/>
      <c r="BU931" s="198"/>
      <c r="BV931" s="90"/>
      <c r="BW931" s="198"/>
      <c r="BX931" s="90"/>
      <c r="BY931" s="198"/>
      <c r="BZ931" s="90"/>
      <c r="CA931" s="91"/>
    </row>
    <row r="932" spans="1:79" ht="50.1" customHeight="1" outlineLevel="2" x14ac:dyDescent="0.3">
      <c r="A932" s="106" t="s">
        <v>782</v>
      </c>
      <c r="B932" s="96" t="s">
        <v>1210</v>
      </c>
      <c r="C932" s="79" t="s">
        <v>55</v>
      </c>
      <c r="D932" s="81">
        <f t="shared" si="210"/>
        <v>2961.8119999999999</v>
      </c>
      <c r="E932" s="82">
        <f t="shared" si="204"/>
        <v>0</v>
      </c>
      <c r="F932" s="83">
        <f t="shared" si="205"/>
        <v>2961.8119999999999</v>
      </c>
      <c r="G932" s="84"/>
      <c r="H932" s="85"/>
      <c r="I932" s="85"/>
      <c r="J932" s="84"/>
      <c r="K932" s="85"/>
      <c r="L932" s="85"/>
      <c r="M932" s="85"/>
      <c r="N932" s="85"/>
      <c r="O932" s="82"/>
      <c r="P932" s="83"/>
      <c r="Q932" s="83"/>
      <c r="R932" s="83"/>
      <c r="S932" s="82"/>
      <c r="T932" s="83"/>
      <c r="U932" s="83"/>
      <c r="V932" s="84"/>
      <c r="W932" s="85"/>
      <c r="X932" s="87"/>
      <c r="Y932" s="83"/>
      <c r="Z932" s="84"/>
      <c r="AA932" s="85"/>
      <c r="AB932" s="84"/>
      <c r="AC932" s="85"/>
      <c r="AD932" s="89"/>
      <c r="AE932" s="89"/>
      <c r="AF932" s="186"/>
      <c r="AG932" s="85"/>
      <c r="AH932" s="85"/>
      <c r="AI932" s="85"/>
      <c r="AJ932" s="84"/>
      <c r="AK932" s="85"/>
      <c r="AL932" s="84"/>
      <c r="AM932" s="88"/>
      <c r="AN932" s="84"/>
      <c r="AO932" s="85"/>
      <c r="AP932" s="84"/>
      <c r="AQ932" s="83"/>
      <c r="AR932" s="83"/>
      <c r="AS932" s="83"/>
      <c r="AT932" s="85"/>
      <c r="AU932" s="85"/>
      <c r="AV932" s="85"/>
      <c r="AW932" s="88"/>
      <c r="AX932" s="84"/>
      <c r="AY932" s="85"/>
      <c r="AZ932" s="84"/>
      <c r="BA932" s="85"/>
      <c r="BB932" s="88"/>
      <c r="BC932" s="85"/>
      <c r="BD932" s="84"/>
      <c r="BE932" s="88"/>
      <c r="BF932" s="85"/>
      <c r="BG932" s="85"/>
      <c r="BH932" s="85"/>
      <c r="BI932" s="85"/>
      <c r="BJ932" s="85"/>
      <c r="BK932" s="85"/>
      <c r="BL932" s="85"/>
      <c r="BM932" s="85"/>
      <c r="BN932" s="85"/>
      <c r="BO932" s="85"/>
      <c r="BP932" s="85"/>
      <c r="BQ932" s="85"/>
      <c r="BR932" s="84"/>
      <c r="BS932" s="85"/>
      <c r="BT932" s="85"/>
      <c r="BU932" s="198"/>
      <c r="BV932" s="90"/>
      <c r="BW932" s="198">
        <v>2961.8119999999999</v>
      </c>
      <c r="BX932" s="90"/>
      <c r="BY932" s="198"/>
      <c r="BZ932" s="90"/>
      <c r="CA932" s="91"/>
    </row>
    <row r="933" spans="1:79" ht="50.1" customHeight="1" outlineLevel="2" x14ac:dyDescent="0.3">
      <c r="A933" s="106" t="s">
        <v>782</v>
      </c>
      <c r="B933" s="96" t="s">
        <v>1212</v>
      </c>
      <c r="C933" s="79" t="s">
        <v>55</v>
      </c>
      <c r="D933" s="81">
        <f t="shared" si="210"/>
        <v>2777.9850000000001</v>
      </c>
      <c r="E933" s="82">
        <f t="shared" si="204"/>
        <v>0</v>
      </c>
      <c r="F933" s="83">
        <f t="shared" si="205"/>
        <v>2777.9850000000001</v>
      </c>
      <c r="G933" s="84"/>
      <c r="H933" s="85"/>
      <c r="I933" s="85"/>
      <c r="J933" s="84"/>
      <c r="K933" s="85"/>
      <c r="L933" s="85"/>
      <c r="M933" s="85"/>
      <c r="N933" s="85"/>
      <c r="O933" s="82"/>
      <c r="P933" s="83"/>
      <c r="Q933" s="83"/>
      <c r="R933" s="83"/>
      <c r="S933" s="82"/>
      <c r="T933" s="83"/>
      <c r="U933" s="83"/>
      <c r="V933" s="84"/>
      <c r="W933" s="85"/>
      <c r="X933" s="87"/>
      <c r="Y933" s="83"/>
      <c r="Z933" s="84"/>
      <c r="AA933" s="85"/>
      <c r="AB933" s="84"/>
      <c r="AC933" s="85"/>
      <c r="AD933" s="89"/>
      <c r="AE933" s="89"/>
      <c r="AF933" s="186"/>
      <c r="AG933" s="85"/>
      <c r="AH933" s="85"/>
      <c r="AI933" s="85"/>
      <c r="AJ933" s="84"/>
      <c r="AK933" s="85"/>
      <c r="AL933" s="84"/>
      <c r="AM933" s="88"/>
      <c r="AN933" s="84"/>
      <c r="AO933" s="85"/>
      <c r="AP933" s="84"/>
      <c r="AQ933" s="83"/>
      <c r="AR933" s="83"/>
      <c r="AS933" s="83"/>
      <c r="AT933" s="85"/>
      <c r="AU933" s="85"/>
      <c r="AV933" s="85"/>
      <c r="AW933" s="88"/>
      <c r="AX933" s="84"/>
      <c r="AY933" s="85"/>
      <c r="AZ933" s="84"/>
      <c r="BA933" s="85"/>
      <c r="BB933" s="88"/>
      <c r="BC933" s="85"/>
      <c r="BD933" s="84"/>
      <c r="BE933" s="88"/>
      <c r="BF933" s="85"/>
      <c r="BG933" s="85"/>
      <c r="BH933" s="85"/>
      <c r="BI933" s="85"/>
      <c r="BJ933" s="85"/>
      <c r="BK933" s="85"/>
      <c r="BL933" s="85"/>
      <c r="BM933" s="85"/>
      <c r="BN933" s="85"/>
      <c r="BO933" s="85"/>
      <c r="BP933" s="85"/>
      <c r="BQ933" s="85"/>
      <c r="BR933" s="84"/>
      <c r="BS933" s="85"/>
      <c r="BT933" s="85"/>
      <c r="BU933" s="198"/>
      <c r="BV933" s="90"/>
      <c r="BW933" s="198">
        <v>2777.9850000000001</v>
      </c>
      <c r="BX933" s="90"/>
      <c r="BY933" s="198"/>
      <c r="BZ933" s="90"/>
      <c r="CA933" s="91"/>
    </row>
    <row r="934" spans="1:79" ht="50.1" customHeight="1" outlineLevel="2" x14ac:dyDescent="0.3">
      <c r="A934" s="96" t="s">
        <v>782</v>
      </c>
      <c r="B934" s="96" t="s">
        <v>798</v>
      </c>
      <c r="C934" s="79" t="s">
        <v>55</v>
      </c>
      <c r="D934" s="81">
        <f t="shared" si="210"/>
        <v>51.419520000000006</v>
      </c>
      <c r="E934" s="82">
        <f t="shared" si="204"/>
        <v>26.98366</v>
      </c>
      <c r="F934" s="83">
        <f t="shared" si="205"/>
        <v>24.435860000000002</v>
      </c>
      <c r="G934" s="84"/>
      <c r="H934" s="85"/>
      <c r="I934" s="85"/>
      <c r="J934" s="84"/>
      <c r="K934" s="85"/>
      <c r="L934" s="85"/>
      <c r="M934" s="85"/>
      <c r="N934" s="85"/>
      <c r="O934" s="82"/>
      <c r="P934" s="83"/>
      <c r="Q934" s="83"/>
      <c r="R934" s="83"/>
      <c r="S934" s="82"/>
      <c r="T934" s="83"/>
      <c r="U934" s="83"/>
      <c r="V934" s="84"/>
      <c r="W934" s="85"/>
      <c r="X934" s="87"/>
      <c r="Y934" s="83"/>
      <c r="Z934" s="84"/>
      <c r="AA934" s="85"/>
      <c r="AB934" s="84"/>
      <c r="AC934" s="85"/>
      <c r="AD934" s="89">
        <f t="shared" si="211"/>
        <v>0</v>
      </c>
      <c r="AE934" s="89"/>
      <c r="AF934" s="187"/>
      <c r="AG934" s="85"/>
      <c r="AH934" s="85"/>
      <c r="AI934" s="85"/>
      <c r="AJ934" s="84"/>
      <c r="AK934" s="85"/>
      <c r="AL934" s="84"/>
      <c r="AM934" s="88"/>
      <c r="AN934" s="84"/>
      <c r="AO934" s="85"/>
      <c r="AP934" s="84"/>
      <c r="AQ934" s="83"/>
      <c r="AR934" s="83"/>
      <c r="AS934" s="83"/>
      <c r="AT934" s="85"/>
      <c r="AU934" s="85"/>
      <c r="AV934" s="85"/>
      <c r="AW934" s="88"/>
      <c r="AX934" s="84"/>
      <c r="AY934" s="85"/>
      <c r="AZ934" s="84">
        <v>26.98366</v>
      </c>
      <c r="BA934" s="85">
        <v>24.435860000000002</v>
      </c>
      <c r="BB934" s="88"/>
      <c r="BC934" s="85"/>
      <c r="BD934" s="84"/>
      <c r="BE934" s="88"/>
      <c r="BF934" s="85"/>
      <c r="BG934" s="85"/>
      <c r="BH934" s="85"/>
      <c r="BI934" s="85"/>
      <c r="BJ934" s="85"/>
      <c r="BK934" s="85"/>
      <c r="BL934" s="85"/>
      <c r="BM934" s="85"/>
      <c r="BN934" s="85"/>
      <c r="BO934" s="85"/>
      <c r="BP934" s="85"/>
      <c r="BQ934" s="85"/>
      <c r="BR934" s="84"/>
      <c r="BS934" s="85"/>
      <c r="BT934" s="85"/>
      <c r="BU934" s="198"/>
      <c r="BV934" s="90"/>
      <c r="BW934" s="198"/>
      <c r="BX934" s="90"/>
      <c r="BY934" s="198"/>
      <c r="BZ934" s="90"/>
      <c r="CA934" s="91"/>
    </row>
    <row r="935" spans="1:79" ht="50.1" customHeight="1" outlineLevel="2" x14ac:dyDescent="0.3">
      <c r="A935" s="96" t="s">
        <v>782</v>
      </c>
      <c r="B935" s="96" t="s">
        <v>799</v>
      </c>
      <c r="C935" s="79" t="s">
        <v>55</v>
      </c>
      <c r="D935" s="81">
        <f t="shared" si="210"/>
        <v>36.55489</v>
      </c>
      <c r="E935" s="82">
        <f t="shared" si="204"/>
        <v>10.178980000000001</v>
      </c>
      <c r="F935" s="83">
        <f t="shared" si="205"/>
        <v>26.375909999999998</v>
      </c>
      <c r="G935" s="84"/>
      <c r="H935" s="85"/>
      <c r="I935" s="85"/>
      <c r="J935" s="84"/>
      <c r="K935" s="85"/>
      <c r="L935" s="85"/>
      <c r="M935" s="85"/>
      <c r="N935" s="85"/>
      <c r="O935" s="82"/>
      <c r="P935" s="83"/>
      <c r="Q935" s="83"/>
      <c r="R935" s="83"/>
      <c r="S935" s="82"/>
      <c r="T935" s="83"/>
      <c r="U935" s="83"/>
      <c r="V935" s="84">
        <v>9.2780000000000005</v>
      </c>
      <c r="W935" s="85">
        <v>16.2</v>
      </c>
      <c r="X935" s="87"/>
      <c r="Y935" s="83">
        <v>9.36</v>
      </c>
      <c r="Z935" s="84"/>
      <c r="AA935" s="85"/>
      <c r="AB935" s="84"/>
      <c r="AC935" s="85"/>
      <c r="AD935" s="89">
        <f t="shared" si="211"/>
        <v>0</v>
      </c>
      <c r="AE935" s="89"/>
      <c r="AF935" s="186"/>
      <c r="AG935" s="85"/>
      <c r="AH935" s="85"/>
      <c r="AI935" s="85"/>
      <c r="AJ935" s="84"/>
      <c r="AK935" s="85"/>
      <c r="AL935" s="84"/>
      <c r="AM935" s="88"/>
      <c r="AN935" s="84"/>
      <c r="AO935" s="85"/>
      <c r="AP935" s="84"/>
      <c r="AQ935" s="83"/>
      <c r="AR935" s="83"/>
      <c r="AS935" s="83"/>
      <c r="AT935" s="85"/>
      <c r="AU935" s="85"/>
      <c r="AV935" s="85"/>
      <c r="AW935" s="88"/>
      <c r="AX935" s="84"/>
      <c r="AY935" s="85"/>
      <c r="AZ935" s="84">
        <v>0.90098</v>
      </c>
      <c r="BA935" s="85">
        <v>0.81591000000000002</v>
      </c>
      <c r="BB935" s="88"/>
      <c r="BC935" s="85"/>
      <c r="BD935" s="84"/>
      <c r="BE935" s="88"/>
      <c r="BF935" s="85"/>
      <c r="BG935" s="85"/>
      <c r="BH935" s="85"/>
      <c r="BI935" s="85"/>
      <c r="BJ935" s="85"/>
      <c r="BK935" s="85"/>
      <c r="BL935" s="85"/>
      <c r="BM935" s="85"/>
      <c r="BN935" s="85"/>
      <c r="BO935" s="85"/>
      <c r="BP935" s="85"/>
      <c r="BQ935" s="85"/>
      <c r="BR935" s="84"/>
      <c r="BS935" s="85"/>
      <c r="BT935" s="85"/>
      <c r="BU935" s="198"/>
      <c r="BV935" s="90"/>
      <c r="BW935" s="198"/>
      <c r="BX935" s="90"/>
      <c r="BY935" s="198"/>
      <c r="BZ935" s="90"/>
      <c r="CA935" s="91"/>
    </row>
    <row r="936" spans="1:79" ht="50.1" customHeight="1" outlineLevel="2" x14ac:dyDescent="0.3">
      <c r="A936" s="96" t="s">
        <v>782</v>
      </c>
      <c r="B936" s="96" t="s">
        <v>800</v>
      </c>
      <c r="C936" s="79" t="s">
        <v>53</v>
      </c>
      <c r="D936" s="81">
        <f t="shared" si="210"/>
        <v>222.19202999999999</v>
      </c>
      <c r="E936" s="82">
        <f t="shared" si="204"/>
        <v>83.520920000000004</v>
      </c>
      <c r="F936" s="83">
        <f t="shared" si="205"/>
        <v>138.67111</v>
      </c>
      <c r="G936" s="84"/>
      <c r="H936" s="85"/>
      <c r="I936" s="85"/>
      <c r="J936" s="84"/>
      <c r="K936" s="85"/>
      <c r="L936" s="85"/>
      <c r="M936" s="85"/>
      <c r="N936" s="85"/>
      <c r="O936" s="82"/>
      <c r="P936" s="83"/>
      <c r="Q936" s="83"/>
      <c r="R936" s="83"/>
      <c r="S936" s="82"/>
      <c r="T936" s="83"/>
      <c r="U936" s="83"/>
      <c r="V936" s="84"/>
      <c r="W936" s="85"/>
      <c r="X936" s="87"/>
      <c r="Y936" s="83">
        <v>30.888000000000002</v>
      </c>
      <c r="Z936" s="84"/>
      <c r="AA936" s="85"/>
      <c r="AB936" s="84"/>
      <c r="AC936" s="85"/>
      <c r="AD936" s="89">
        <f t="shared" si="211"/>
        <v>32.148089999999996</v>
      </c>
      <c r="AE936" s="89">
        <v>10.7455</v>
      </c>
      <c r="AF936" s="186">
        <v>21.40259</v>
      </c>
      <c r="AG936" s="85"/>
      <c r="AH936" s="85"/>
      <c r="AI936" s="85"/>
      <c r="AJ936" s="84"/>
      <c r="AK936" s="85"/>
      <c r="AL936" s="84"/>
      <c r="AM936" s="88"/>
      <c r="AN936" s="84"/>
      <c r="AO936" s="85"/>
      <c r="AP936" s="84"/>
      <c r="AQ936" s="83"/>
      <c r="AR936" s="83"/>
      <c r="AS936" s="83"/>
      <c r="AT936" s="85"/>
      <c r="AU936" s="85"/>
      <c r="AV936" s="85"/>
      <c r="AW936" s="88"/>
      <c r="AX936" s="84"/>
      <c r="AY936" s="85"/>
      <c r="AZ936" s="84">
        <v>83.520920000000004</v>
      </c>
      <c r="BA936" s="85">
        <v>75.635019999999997</v>
      </c>
      <c r="BB936" s="88"/>
      <c r="BC936" s="85"/>
      <c r="BD936" s="84"/>
      <c r="BE936" s="88"/>
      <c r="BF936" s="85"/>
      <c r="BG936" s="85"/>
      <c r="BH936" s="85"/>
      <c r="BI936" s="85"/>
      <c r="BJ936" s="85"/>
      <c r="BK936" s="85"/>
      <c r="BL936" s="85"/>
      <c r="BM936" s="85"/>
      <c r="BN936" s="85"/>
      <c r="BO936" s="85"/>
      <c r="BP936" s="85"/>
      <c r="BQ936" s="85"/>
      <c r="BR936" s="84"/>
      <c r="BS936" s="85"/>
      <c r="BT936" s="85"/>
      <c r="BU936" s="198"/>
      <c r="BV936" s="90"/>
      <c r="BW936" s="198"/>
      <c r="BX936" s="90"/>
      <c r="BY936" s="198"/>
      <c r="BZ936" s="90"/>
      <c r="CA936" s="91"/>
    </row>
    <row r="937" spans="1:79" ht="50.1" customHeight="1" outlineLevel="2" x14ac:dyDescent="0.3">
      <c r="A937" s="96" t="s">
        <v>782</v>
      </c>
      <c r="B937" s="96" t="s">
        <v>801</v>
      </c>
      <c r="C937" s="79" t="s">
        <v>53</v>
      </c>
      <c r="D937" s="81">
        <f t="shared" si="210"/>
        <v>1000.33979</v>
      </c>
      <c r="E937" s="82">
        <f t="shared" si="204"/>
        <v>173.14006000000001</v>
      </c>
      <c r="F937" s="83">
        <f t="shared" si="205"/>
        <v>827.19973000000005</v>
      </c>
      <c r="G937" s="84"/>
      <c r="H937" s="85"/>
      <c r="I937" s="85"/>
      <c r="J937" s="84"/>
      <c r="K937" s="85"/>
      <c r="L937" s="85"/>
      <c r="M937" s="85"/>
      <c r="N937" s="85"/>
      <c r="O937" s="82"/>
      <c r="P937" s="83"/>
      <c r="Q937" s="83"/>
      <c r="R937" s="83"/>
      <c r="S937" s="82"/>
      <c r="T937" s="83"/>
      <c r="U937" s="83"/>
      <c r="V937" s="84">
        <v>69.584999999999994</v>
      </c>
      <c r="W937" s="85">
        <v>121.5</v>
      </c>
      <c r="X937" s="87"/>
      <c r="Y937" s="83"/>
      <c r="Z937" s="84"/>
      <c r="AA937" s="85"/>
      <c r="AB937" s="84"/>
      <c r="AC937" s="85"/>
      <c r="AD937" s="89">
        <f t="shared" si="211"/>
        <v>21.40259</v>
      </c>
      <c r="AE937" s="89"/>
      <c r="AF937" s="188">
        <v>21.40259</v>
      </c>
      <c r="AG937" s="85"/>
      <c r="AH937" s="85"/>
      <c r="AI937" s="85"/>
      <c r="AJ937" s="84"/>
      <c r="AK937" s="85"/>
      <c r="AL937" s="84"/>
      <c r="AM937" s="88"/>
      <c r="AN937" s="84"/>
      <c r="AO937" s="85"/>
      <c r="AP937" s="84"/>
      <c r="AQ937" s="83"/>
      <c r="AR937" s="83"/>
      <c r="AS937" s="83"/>
      <c r="AT937" s="85"/>
      <c r="AU937" s="85"/>
      <c r="AV937" s="85">
        <v>590.51964999999996</v>
      </c>
      <c r="AW937" s="88"/>
      <c r="AX937" s="84"/>
      <c r="AY937" s="85"/>
      <c r="AZ937" s="84">
        <v>103.55506</v>
      </c>
      <c r="BA937" s="85">
        <v>93.77749</v>
      </c>
      <c r="BB937" s="88"/>
      <c r="BC937" s="85"/>
      <c r="BD937" s="84"/>
      <c r="BE937" s="88"/>
      <c r="BF937" s="85"/>
      <c r="BG937" s="85"/>
      <c r="BH937" s="85"/>
      <c r="BI937" s="85"/>
      <c r="BJ937" s="85"/>
      <c r="BK937" s="85"/>
      <c r="BL937" s="85"/>
      <c r="BM937" s="85"/>
      <c r="BN937" s="85"/>
      <c r="BO937" s="85"/>
      <c r="BP937" s="85"/>
      <c r="BQ937" s="85"/>
      <c r="BR937" s="84"/>
      <c r="BS937" s="85"/>
      <c r="BT937" s="85"/>
      <c r="BU937" s="198"/>
      <c r="BV937" s="90"/>
      <c r="BW937" s="198"/>
      <c r="BX937" s="90"/>
      <c r="BY937" s="198"/>
      <c r="BZ937" s="90"/>
      <c r="CA937" s="91"/>
    </row>
    <row r="938" spans="1:79" ht="50.1" customHeight="1" outlineLevel="2" x14ac:dyDescent="0.3">
      <c r="A938" s="106" t="s">
        <v>782</v>
      </c>
      <c r="B938" s="96" t="s">
        <v>802</v>
      </c>
      <c r="C938" s="79" t="s">
        <v>89</v>
      </c>
      <c r="D938" s="81">
        <f t="shared" si="210"/>
        <v>1000</v>
      </c>
      <c r="E938" s="82">
        <f t="shared" si="204"/>
        <v>0</v>
      </c>
      <c r="F938" s="83">
        <f t="shared" si="205"/>
        <v>1000</v>
      </c>
      <c r="G938" s="84"/>
      <c r="H938" s="85"/>
      <c r="I938" s="85"/>
      <c r="J938" s="84"/>
      <c r="K938" s="85"/>
      <c r="L938" s="85"/>
      <c r="M938" s="85"/>
      <c r="N938" s="85"/>
      <c r="O938" s="82"/>
      <c r="P938" s="83"/>
      <c r="Q938" s="83"/>
      <c r="R938" s="83"/>
      <c r="S938" s="82"/>
      <c r="T938" s="83"/>
      <c r="U938" s="83"/>
      <c r="V938" s="84"/>
      <c r="W938" s="85"/>
      <c r="X938" s="82"/>
      <c r="Y938" s="83"/>
      <c r="Z938" s="84"/>
      <c r="AA938" s="85"/>
      <c r="AB938" s="84"/>
      <c r="AC938" s="85"/>
      <c r="AD938" s="89">
        <f t="shared" si="211"/>
        <v>0</v>
      </c>
      <c r="AE938" s="89"/>
      <c r="AF938" s="186"/>
      <c r="AG938" s="85"/>
      <c r="AH938" s="85"/>
      <c r="AI938" s="85"/>
      <c r="AJ938" s="84"/>
      <c r="AK938" s="85"/>
      <c r="AL938" s="84"/>
      <c r="AM938" s="88"/>
      <c r="AN938" s="84"/>
      <c r="AO938" s="85"/>
      <c r="AP938" s="84"/>
      <c r="AQ938" s="83"/>
      <c r="AR938" s="83"/>
      <c r="AS938" s="83"/>
      <c r="AT938" s="85"/>
      <c r="AU938" s="85"/>
      <c r="AV938" s="85"/>
      <c r="AW938" s="88"/>
      <c r="AX938" s="84"/>
      <c r="AY938" s="85"/>
      <c r="AZ938" s="84"/>
      <c r="BA938" s="85"/>
      <c r="BB938" s="88"/>
      <c r="BC938" s="85">
        <v>1000</v>
      </c>
      <c r="BD938" s="84"/>
      <c r="BE938" s="88"/>
      <c r="BF938" s="85"/>
      <c r="BG938" s="85"/>
      <c r="BH938" s="85"/>
      <c r="BI938" s="85"/>
      <c r="BJ938" s="85"/>
      <c r="BK938" s="85"/>
      <c r="BL938" s="85"/>
      <c r="BM938" s="85"/>
      <c r="BN938" s="85"/>
      <c r="BO938" s="85"/>
      <c r="BP938" s="85"/>
      <c r="BQ938" s="85"/>
      <c r="BR938" s="84"/>
      <c r="BS938" s="85"/>
      <c r="BT938" s="85"/>
      <c r="BU938" s="198"/>
      <c r="BV938" s="90"/>
      <c r="BW938" s="198"/>
      <c r="BX938" s="90"/>
      <c r="BY938" s="198"/>
      <c r="BZ938" s="90"/>
      <c r="CA938" s="91"/>
    </row>
    <row r="939" spans="1:79" ht="50.1" customHeight="1" outlineLevel="2" x14ac:dyDescent="0.3">
      <c r="A939" s="103" t="s">
        <v>782</v>
      </c>
      <c r="B939" s="102" t="s">
        <v>1055</v>
      </c>
      <c r="C939" s="79" t="s">
        <v>55</v>
      </c>
      <c r="D939" s="81">
        <f t="shared" si="210"/>
        <v>80.889789999999991</v>
      </c>
      <c r="E939" s="82">
        <f t="shared" si="204"/>
        <v>23.523309999999999</v>
      </c>
      <c r="F939" s="83">
        <f t="shared" si="205"/>
        <v>57.366479999999996</v>
      </c>
      <c r="G939" s="84"/>
      <c r="H939" s="85"/>
      <c r="I939" s="85"/>
      <c r="J939" s="84"/>
      <c r="K939" s="85"/>
      <c r="L939" s="85"/>
      <c r="M939" s="85"/>
      <c r="N939" s="85"/>
      <c r="O939" s="82"/>
      <c r="P939" s="83"/>
      <c r="Q939" s="83"/>
      <c r="R939" s="83"/>
      <c r="S939" s="82"/>
      <c r="T939" s="83"/>
      <c r="U939" s="83"/>
      <c r="V939" s="84"/>
      <c r="W939" s="85"/>
      <c r="X939" s="82"/>
      <c r="Y939" s="83">
        <v>31.2</v>
      </c>
      <c r="Z939" s="84"/>
      <c r="AA939" s="85"/>
      <c r="AB939" s="84"/>
      <c r="AC939" s="85"/>
      <c r="AD939" s="89">
        <f t="shared" si="211"/>
        <v>4.8642200000000004</v>
      </c>
      <c r="AE939" s="89"/>
      <c r="AF939" s="186">
        <v>4.8642200000000004</v>
      </c>
      <c r="AG939" s="85"/>
      <c r="AH939" s="85"/>
      <c r="AI939" s="85"/>
      <c r="AJ939" s="84"/>
      <c r="AK939" s="85"/>
      <c r="AL939" s="84"/>
      <c r="AM939" s="88"/>
      <c r="AN939" s="84"/>
      <c r="AO939" s="85"/>
      <c r="AP939" s="84"/>
      <c r="AQ939" s="83"/>
      <c r="AR939" s="83"/>
      <c r="AS939" s="83"/>
      <c r="AT939" s="85"/>
      <c r="AU939" s="85"/>
      <c r="AV939" s="85"/>
      <c r="AW939" s="88"/>
      <c r="AX939" s="84"/>
      <c r="AY939" s="85"/>
      <c r="AZ939" s="84">
        <v>23.523309999999999</v>
      </c>
      <c r="BA939" s="85">
        <v>21.30226</v>
      </c>
      <c r="BB939" s="88"/>
      <c r="BC939" s="85"/>
      <c r="BD939" s="84"/>
      <c r="BE939" s="88"/>
      <c r="BF939" s="85"/>
      <c r="BG939" s="85"/>
      <c r="BH939" s="85"/>
      <c r="BI939" s="85"/>
      <c r="BJ939" s="85"/>
      <c r="BK939" s="85"/>
      <c r="BL939" s="85"/>
      <c r="BM939" s="85"/>
      <c r="BN939" s="85"/>
      <c r="BO939" s="85"/>
      <c r="BP939" s="85"/>
      <c r="BQ939" s="85"/>
      <c r="BR939" s="84"/>
      <c r="BS939" s="85"/>
      <c r="BT939" s="85"/>
      <c r="BU939" s="198"/>
      <c r="BV939" s="90"/>
      <c r="BW939" s="198"/>
      <c r="BX939" s="90"/>
      <c r="BY939" s="198"/>
      <c r="BZ939" s="90"/>
      <c r="CA939" s="91"/>
    </row>
    <row r="940" spans="1:79" ht="50.1" customHeight="1" outlineLevel="2" x14ac:dyDescent="0.3">
      <c r="A940" s="106" t="s">
        <v>782</v>
      </c>
      <c r="B940" s="96" t="s">
        <v>803</v>
      </c>
      <c r="C940" s="79" t="s">
        <v>55</v>
      </c>
      <c r="D940" s="81">
        <f t="shared" si="210"/>
        <v>423.32459000000006</v>
      </c>
      <c r="E940" s="82">
        <f t="shared" si="204"/>
        <v>22.357880000000002</v>
      </c>
      <c r="F940" s="83">
        <f t="shared" si="205"/>
        <v>400.96671000000003</v>
      </c>
      <c r="G940" s="84"/>
      <c r="H940" s="85"/>
      <c r="I940" s="85"/>
      <c r="J940" s="84"/>
      <c r="K940" s="85"/>
      <c r="L940" s="85"/>
      <c r="M940" s="85"/>
      <c r="N940" s="85"/>
      <c r="O940" s="82"/>
      <c r="P940" s="83"/>
      <c r="Q940" s="83"/>
      <c r="R940" s="83"/>
      <c r="S940" s="82"/>
      <c r="T940" s="83"/>
      <c r="U940" s="83"/>
      <c r="V940" s="84"/>
      <c r="W940" s="85"/>
      <c r="X940" s="82"/>
      <c r="Y940" s="83"/>
      <c r="Z940" s="84"/>
      <c r="AA940" s="85"/>
      <c r="AB940" s="84"/>
      <c r="AC940" s="85"/>
      <c r="AD940" s="89">
        <f t="shared" si="211"/>
        <v>14.999499999999999</v>
      </c>
      <c r="AE940" s="89">
        <v>4.2981999999999996</v>
      </c>
      <c r="AF940" s="188">
        <v>10.7013</v>
      </c>
      <c r="AG940" s="85"/>
      <c r="AH940" s="85"/>
      <c r="AI940" s="85"/>
      <c r="AJ940" s="84"/>
      <c r="AK940" s="85"/>
      <c r="AL940" s="84"/>
      <c r="AM940" s="88"/>
      <c r="AN940" s="84"/>
      <c r="AO940" s="85"/>
      <c r="AP940" s="84"/>
      <c r="AQ940" s="83"/>
      <c r="AR940" s="83"/>
      <c r="AS940" s="83"/>
      <c r="AT940" s="85"/>
      <c r="AU940" s="85"/>
      <c r="AV940" s="85"/>
      <c r="AW940" s="88"/>
      <c r="AX940" s="84"/>
      <c r="AY940" s="85"/>
      <c r="AZ940" s="84">
        <v>22.357880000000002</v>
      </c>
      <c r="BA940" s="85">
        <v>20.246870000000001</v>
      </c>
      <c r="BB940" s="88"/>
      <c r="BC940" s="85"/>
      <c r="BD940" s="84"/>
      <c r="BE940" s="88"/>
      <c r="BF940" s="85"/>
      <c r="BG940" s="85">
        <v>365.72034000000002</v>
      </c>
      <c r="BH940" s="85"/>
      <c r="BI940" s="85"/>
      <c r="BJ940" s="85"/>
      <c r="BK940" s="85"/>
      <c r="BL940" s="85"/>
      <c r="BM940" s="85"/>
      <c r="BN940" s="85"/>
      <c r="BO940" s="85"/>
      <c r="BP940" s="85"/>
      <c r="BQ940" s="85"/>
      <c r="BR940" s="84"/>
      <c r="BS940" s="85"/>
      <c r="BT940" s="85"/>
      <c r="BU940" s="198"/>
      <c r="BV940" s="90"/>
      <c r="BW940" s="198"/>
      <c r="BX940" s="90"/>
      <c r="BY940" s="198"/>
      <c r="BZ940" s="90"/>
      <c r="CA940" s="91"/>
    </row>
    <row r="941" spans="1:79" ht="50.1" customHeight="1" outlineLevel="2" x14ac:dyDescent="0.3">
      <c r="A941" s="106" t="s">
        <v>782</v>
      </c>
      <c r="B941" s="111" t="s">
        <v>1044</v>
      </c>
      <c r="C941" s="79"/>
      <c r="D941" s="81">
        <f t="shared" si="210"/>
        <v>300</v>
      </c>
      <c r="E941" s="82">
        <f t="shared" si="204"/>
        <v>0</v>
      </c>
      <c r="F941" s="83">
        <f t="shared" si="205"/>
        <v>300</v>
      </c>
      <c r="G941" s="84"/>
      <c r="H941" s="85"/>
      <c r="I941" s="85"/>
      <c r="J941" s="84"/>
      <c r="K941" s="85"/>
      <c r="L941" s="85"/>
      <c r="M941" s="85"/>
      <c r="N941" s="85"/>
      <c r="O941" s="82"/>
      <c r="P941" s="83"/>
      <c r="Q941" s="83"/>
      <c r="R941" s="83"/>
      <c r="S941" s="82"/>
      <c r="T941" s="83"/>
      <c r="U941" s="83"/>
      <c r="V941" s="84"/>
      <c r="W941" s="85"/>
      <c r="X941" s="82"/>
      <c r="Y941" s="83"/>
      <c r="Z941" s="84"/>
      <c r="AA941" s="85"/>
      <c r="AB941" s="84"/>
      <c r="AC941" s="85"/>
      <c r="AD941" s="89">
        <f t="shared" si="211"/>
        <v>0</v>
      </c>
      <c r="AE941" s="89"/>
      <c r="AF941" s="186"/>
      <c r="AG941" s="85"/>
      <c r="AH941" s="85"/>
      <c r="AI941" s="85"/>
      <c r="AJ941" s="84"/>
      <c r="AK941" s="85"/>
      <c r="AL941" s="84"/>
      <c r="AM941" s="88"/>
      <c r="AN941" s="84"/>
      <c r="AO941" s="85"/>
      <c r="AP941" s="84"/>
      <c r="AQ941" s="83"/>
      <c r="AR941" s="83"/>
      <c r="AS941" s="83"/>
      <c r="AT941" s="85"/>
      <c r="AU941" s="85"/>
      <c r="AV941" s="85"/>
      <c r="AW941" s="88"/>
      <c r="AX941" s="84"/>
      <c r="AY941" s="85"/>
      <c r="AZ941" s="84"/>
      <c r="BA941" s="85"/>
      <c r="BB941" s="88"/>
      <c r="BC941" s="85"/>
      <c r="BD941" s="84"/>
      <c r="BE941" s="88"/>
      <c r="BF941" s="85"/>
      <c r="BG941" s="85"/>
      <c r="BH941" s="85">
        <v>300</v>
      </c>
      <c r="BI941" s="85"/>
      <c r="BJ941" s="85"/>
      <c r="BK941" s="85"/>
      <c r="BL941" s="85"/>
      <c r="BM941" s="85"/>
      <c r="BN941" s="85"/>
      <c r="BO941" s="85"/>
      <c r="BP941" s="85"/>
      <c r="BQ941" s="85"/>
      <c r="BR941" s="84"/>
      <c r="BS941" s="85"/>
      <c r="BT941" s="85"/>
      <c r="BU941" s="198"/>
      <c r="BV941" s="90"/>
      <c r="BW941" s="198"/>
      <c r="BX941" s="90"/>
      <c r="BY941" s="198"/>
      <c r="BZ941" s="90"/>
      <c r="CA941" s="91"/>
    </row>
    <row r="942" spans="1:79" ht="50.1" customHeight="1" outlineLevel="2" x14ac:dyDescent="0.3">
      <c r="A942" s="106" t="s">
        <v>782</v>
      </c>
      <c r="B942" s="111" t="s">
        <v>1131</v>
      </c>
      <c r="C942" s="79"/>
      <c r="D942" s="81">
        <f t="shared" si="210"/>
        <v>300</v>
      </c>
      <c r="E942" s="82">
        <f t="shared" si="204"/>
        <v>0</v>
      </c>
      <c r="F942" s="83">
        <f t="shared" si="205"/>
        <v>300</v>
      </c>
      <c r="G942" s="84"/>
      <c r="H942" s="85"/>
      <c r="I942" s="85"/>
      <c r="J942" s="84"/>
      <c r="K942" s="85"/>
      <c r="L942" s="85"/>
      <c r="M942" s="85"/>
      <c r="N942" s="85"/>
      <c r="O942" s="82"/>
      <c r="P942" s="83"/>
      <c r="Q942" s="83"/>
      <c r="R942" s="83"/>
      <c r="S942" s="82"/>
      <c r="T942" s="83"/>
      <c r="U942" s="83"/>
      <c r="V942" s="84"/>
      <c r="W942" s="85"/>
      <c r="X942" s="82"/>
      <c r="Y942" s="83"/>
      <c r="Z942" s="84"/>
      <c r="AA942" s="85"/>
      <c r="AB942" s="84"/>
      <c r="AC942" s="85"/>
      <c r="AD942" s="89"/>
      <c r="AE942" s="89"/>
      <c r="AF942" s="186"/>
      <c r="AG942" s="85"/>
      <c r="AH942" s="85"/>
      <c r="AI942" s="85"/>
      <c r="AJ942" s="84"/>
      <c r="AK942" s="85"/>
      <c r="AL942" s="84"/>
      <c r="AM942" s="88"/>
      <c r="AN942" s="84"/>
      <c r="AO942" s="85"/>
      <c r="AP942" s="84"/>
      <c r="AQ942" s="83"/>
      <c r="AR942" s="83"/>
      <c r="AS942" s="83"/>
      <c r="AT942" s="85"/>
      <c r="AU942" s="85"/>
      <c r="AV942" s="85"/>
      <c r="AW942" s="88"/>
      <c r="AX942" s="84"/>
      <c r="AY942" s="85"/>
      <c r="AZ942" s="84"/>
      <c r="BA942" s="85"/>
      <c r="BB942" s="88"/>
      <c r="BC942" s="85"/>
      <c r="BD942" s="84"/>
      <c r="BE942" s="88"/>
      <c r="BF942" s="85"/>
      <c r="BG942" s="85"/>
      <c r="BH942" s="85">
        <v>300</v>
      </c>
      <c r="BI942" s="85"/>
      <c r="BJ942" s="85"/>
      <c r="BK942" s="85"/>
      <c r="BL942" s="85"/>
      <c r="BM942" s="85"/>
      <c r="BN942" s="85"/>
      <c r="BO942" s="85"/>
      <c r="BP942" s="85"/>
      <c r="BQ942" s="85"/>
      <c r="BR942" s="84"/>
      <c r="BS942" s="85"/>
      <c r="BT942" s="85"/>
      <c r="BU942" s="198"/>
      <c r="BV942" s="90"/>
      <c r="BW942" s="198"/>
      <c r="BX942" s="90"/>
      <c r="BY942" s="198"/>
      <c r="BZ942" s="90"/>
      <c r="CA942" s="91"/>
    </row>
    <row r="943" spans="1:79" ht="50.1" customHeight="1" outlineLevel="2" x14ac:dyDescent="0.3">
      <c r="A943" s="106" t="s">
        <v>782</v>
      </c>
      <c r="B943" s="111" t="s">
        <v>1145</v>
      </c>
      <c r="C943" s="79"/>
      <c r="D943" s="81">
        <f t="shared" si="210"/>
        <v>300</v>
      </c>
      <c r="E943" s="82">
        <f t="shared" si="204"/>
        <v>0</v>
      </c>
      <c r="F943" s="83">
        <f t="shared" si="205"/>
        <v>300</v>
      </c>
      <c r="G943" s="84"/>
      <c r="H943" s="85"/>
      <c r="I943" s="85"/>
      <c r="J943" s="84"/>
      <c r="K943" s="85"/>
      <c r="L943" s="85"/>
      <c r="M943" s="85"/>
      <c r="N943" s="85"/>
      <c r="O943" s="82"/>
      <c r="P943" s="83"/>
      <c r="Q943" s="83"/>
      <c r="R943" s="83"/>
      <c r="S943" s="82"/>
      <c r="T943" s="83"/>
      <c r="U943" s="83"/>
      <c r="V943" s="84"/>
      <c r="W943" s="85"/>
      <c r="X943" s="82"/>
      <c r="Y943" s="83"/>
      <c r="Z943" s="84"/>
      <c r="AA943" s="85"/>
      <c r="AB943" s="84"/>
      <c r="AC943" s="85"/>
      <c r="AD943" s="89"/>
      <c r="AE943" s="89"/>
      <c r="AF943" s="186"/>
      <c r="AG943" s="85"/>
      <c r="AH943" s="85"/>
      <c r="AI943" s="85"/>
      <c r="AJ943" s="84"/>
      <c r="AK943" s="85"/>
      <c r="AL943" s="84"/>
      <c r="AM943" s="88"/>
      <c r="AN943" s="84"/>
      <c r="AO943" s="85"/>
      <c r="AP943" s="84"/>
      <c r="AQ943" s="83"/>
      <c r="AR943" s="83"/>
      <c r="AS943" s="83"/>
      <c r="AT943" s="85"/>
      <c r="AU943" s="85"/>
      <c r="AV943" s="85"/>
      <c r="AW943" s="88"/>
      <c r="AX943" s="84"/>
      <c r="AY943" s="85"/>
      <c r="AZ943" s="84"/>
      <c r="BA943" s="85"/>
      <c r="BB943" s="88"/>
      <c r="BC943" s="85"/>
      <c r="BD943" s="84"/>
      <c r="BE943" s="88"/>
      <c r="BF943" s="85"/>
      <c r="BG943" s="85"/>
      <c r="BH943" s="85">
        <v>300</v>
      </c>
      <c r="BI943" s="85"/>
      <c r="BJ943" s="85"/>
      <c r="BK943" s="85"/>
      <c r="BL943" s="85"/>
      <c r="BM943" s="85"/>
      <c r="BN943" s="85"/>
      <c r="BO943" s="85"/>
      <c r="BP943" s="85"/>
      <c r="BQ943" s="85"/>
      <c r="BR943" s="84"/>
      <c r="BS943" s="85"/>
      <c r="BT943" s="85"/>
      <c r="BU943" s="198"/>
      <c r="BV943" s="90"/>
      <c r="BW943" s="198"/>
      <c r="BX943" s="90"/>
      <c r="BY943" s="198"/>
      <c r="BZ943" s="90"/>
      <c r="CA943" s="91"/>
    </row>
    <row r="944" spans="1:79" ht="50.1" customHeight="1" outlineLevel="2" x14ac:dyDescent="0.3">
      <c r="A944" s="106" t="s">
        <v>782</v>
      </c>
      <c r="B944" s="111" t="s">
        <v>1146</v>
      </c>
      <c r="C944" s="79"/>
      <c r="D944" s="81">
        <f t="shared" si="210"/>
        <v>300</v>
      </c>
      <c r="E944" s="82">
        <f t="shared" si="204"/>
        <v>0</v>
      </c>
      <c r="F944" s="83">
        <f t="shared" si="205"/>
        <v>300</v>
      </c>
      <c r="G944" s="84"/>
      <c r="H944" s="85"/>
      <c r="I944" s="85"/>
      <c r="J944" s="84"/>
      <c r="K944" s="85"/>
      <c r="L944" s="85"/>
      <c r="M944" s="85"/>
      <c r="N944" s="85"/>
      <c r="O944" s="82"/>
      <c r="P944" s="83"/>
      <c r="Q944" s="83"/>
      <c r="R944" s="83"/>
      <c r="S944" s="82"/>
      <c r="T944" s="83"/>
      <c r="U944" s="83"/>
      <c r="V944" s="84"/>
      <c r="W944" s="85"/>
      <c r="X944" s="82"/>
      <c r="Y944" s="83"/>
      <c r="Z944" s="84"/>
      <c r="AA944" s="85"/>
      <c r="AB944" s="84"/>
      <c r="AC944" s="85"/>
      <c r="AD944" s="89"/>
      <c r="AE944" s="89"/>
      <c r="AF944" s="186"/>
      <c r="AG944" s="85"/>
      <c r="AH944" s="85"/>
      <c r="AI944" s="85"/>
      <c r="AJ944" s="84"/>
      <c r="AK944" s="85"/>
      <c r="AL944" s="84"/>
      <c r="AM944" s="88"/>
      <c r="AN944" s="84"/>
      <c r="AO944" s="85"/>
      <c r="AP944" s="84"/>
      <c r="AQ944" s="83"/>
      <c r="AR944" s="83"/>
      <c r="AS944" s="83"/>
      <c r="AT944" s="85"/>
      <c r="AU944" s="85"/>
      <c r="AV944" s="85"/>
      <c r="AW944" s="88"/>
      <c r="AX944" s="84"/>
      <c r="AY944" s="85"/>
      <c r="AZ944" s="84"/>
      <c r="BA944" s="85"/>
      <c r="BB944" s="88"/>
      <c r="BC944" s="85"/>
      <c r="BD944" s="84"/>
      <c r="BE944" s="88"/>
      <c r="BF944" s="85"/>
      <c r="BG944" s="85"/>
      <c r="BH944" s="85">
        <v>300</v>
      </c>
      <c r="BI944" s="85"/>
      <c r="BJ944" s="85"/>
      <c r="BK944" s="85"/>
      <c r="BL944" s="85"/>
      <c r="BM944" s="85"/>
      <c r="BN944" s="85"/>
      <c r="BO944" s="85"/>
      <c r="BP944" s="85"/>
      <c r="BQ944" s="85"/>
      <c r="BR944" s="84"/>
      <c r="BS944" s="85"/>
      <c r="BT944" s="85"/>
      <c r="BU944" s="198"/>
      <c r="BV944" s="90"/>
      <c r="BW944" s="198"/>
      <c r="BX944" s="90"/>
      <c r="BY944" s="198"/>
      <c r="BZ944" s="90"/>
      <c r="CA944" s="91"/>
    </row>
    <row r="945" spans="1:1199" ht="50.1" customHeight="1" outlineLevel="2" x14ac:dyDescent="0.3">
      <c r="A945" s="106" t="s">
        <v>782</v>
      </c>
      <c r="B945" s="111" t="s">
        <v>1113</v>
      </c>
      <c r="C945" s="79"/>
      <c r="D945" s="81">
        <f t="shared" si="210"/>
        <v>300</v>
      </c>
      <c r="E945" s="82">
        <f t="shared" si="204"/>
        <v>0</v>
      </c>
      <c r="F945" s="83">
        <f t="shared" si="205"/>
        <v>300</v>
      </c>
      <c r="G945" s="84"/>
      <c r="H945" s="85"/>
      <c r="I945" s="85"/>
      <c r="J945" s="84"/>
      <c r="K945" s="85"/>
      <c r="L945" s="85"/>
      <c r="M945" s="85"/>
      <c r="N945" s="85"/>
      <c r="O945" s="82"/>
      <c r="P945" s="83"/>
      <c r="Q945" s="83"/>
      <c r="R945" s="83"/>
      <c r="S945" s="82"/>
      <c r="T945" s="83"/>
      <c r="U945" s="83"/>
      <c r="V945" s="84"/>
      <c r="W945" s="85"/>
      <c r="X945" s="82"/>
      <c r="Y945" s="83"/>
      <c r="Z945" s="84"/>
      <c r="AA945" s="85"/>
      <c r="AB945" s="84"/>
      <c r="AC945" s="85"/>
      <c r="AD945" s="89"/>
      <c r="AE945" s="89"/>
      <c r="AF945" s="186"/>
      <c r="AG945" s="85"/>
      <c r="AH945" s="85"/>
      <c r="AI945" s="85"/>
      <c r="AJ945" s="84"/>
      <c r="AK945" s="85"/>
      <c r="AL945" s="84"/>
      <c r="AM945" s="88"/>
      <c r="AN945" s="84"/>
      <c r="AO945" s="85"/>
      <c r="AP945" s="84"/>
      <c r="AQ945" s="83"/>
      <c r="AR945" s="83"/>
      <c r="AS945" s="83"/>
      <c r="AT945" s="85"/>
      <c r="AU945" s="85"/>
      <c r="AV945" s="85"/>
      <c r="AW945" s="88"/>
      <c r="AX945" s="84"/>
      <c r="AY945" s="85"/>
      <c r="AZ945" s="84"/>
      <c r="BA945" s="85"/>
      <c r="BB945" s="88"/>
      <c r="BC945" s="85"/>
      <c r="BD945" s="84"/>
      <c r="BE945" s="88"/>
      <c r="BF945" s="85"/>
      <c r="BG945" s="85"/>
      <c r="BH945" s="85">
        <v>300</v>
      </c>
      <c r="BI945" s="85"/>
      <c r="BJ945" s="85"/>
      <c r="BK945" s="85"/>
      <c r="BL945" s="85"/>
      <c r="BM945" s="85"/>
      <c r="BN945" s="85"/>
      <c r="BO945" s="85"/>
      <c r="BP945" s="85"/>
      <c r="BQ945" s="85"/>
      <c r="BR945" s="84"/>
      <c r="BS945" s="85"/>
      <c r="BT945" s="85"/>
      <c r="BU945" s="198"/>
      <c r="BV945" s="90"/>
      <c r="BW945" s="198"/>
      <c r="BX945" s="90"/>
      <c r="BY945" s="198"/>
      <c r="BZ945" s="90"/>
      <c r="CA945" s="91"/>
    </row>
    <row r="946" spans="1:1199" ht="50.1" customHeight="1" outlineLevel="2" x14ac:dyDescent="0.3">
      <c r="A946" s="106" t="s">
        <v>782</v>
      </c>
      <c r="B946" s="111" t="s">
        <v>1075</v>
      </c>
      <c r="C946" s="79"/>
      <c r="D946" s="81">
        <f t="shared" si="210"/>
        <v>300</v>
      </c>
      <c r="E946" s="82">
        <f t="shared" si="204"/>
        <v>0</v>
      </c>
      <c r="F946" s="83">
        <f t="shared" si="205"/>
        <v>300</v>
      </c>
      <c r="G946" s="84"/>
      <c r="H946" s="85"/>
      <c r="I946" s="85"/>
      <c r="J946" s="84"/>
      <c r="K946" s="85"/>
      <c r="L946" s="85"/>
      <c r="M946" s="85"/>
      <c r="N946" s="85"/>
      <c r="O946" s="82"/>
      <c r="P946" s="83"/>
      <c r="Q946" s="83"/>
      <c r="R946" s="83"/>
      <c r="S946" s="82"/>
      <c r="T946" s="83"/>
      <c r="U946" s="83"/>
      <c r="V946" s="84"/>
      <c r="W946" s="85"/>
      <c r="X946" s="82"/>
      <c r="Y946" s="83"/>
      <c r="Z946" s="84"/>
      <c r="AA946" s="85"/>
      <c r="AB946" s="84"/>
      <c r="AC946" s="85"/>
      <c r="AD946" s="89">
        <f t="shared" si="211"/>
        <v>0</v>
      </c>
      <c r="AE946" s="89"/>
      <c r="AF946" s="186"/>
      <c r="AG946" s="85"/>
      <c r="AH946" s="85"/>
      <c r="AI946" s="85"/>
      <c r="AJ946" s="84"/>
      <c r="AK946" s="85"/>
      <c r="AL946" s="84"/>
      <c r="AM946" s="88"/>
      <c r="AN946" s="84"/>
      <c r="AO946" s="85"/>
      <c r="AP946" s="84"/>
      <c r="AQ946" s="83"/>
      <c r="AR946" s="83"/>
      <c r="AS946" s="83"/>
      <c r="AT946" s="85"/>
      <c r="AU946" s="85"/>
      <c r="AV946" s="85"/>
      <c r="AW946" s="88"/>
      <c r="AX946" s="84"/>
      <c r="AY946" s="85"/>
      <c r="AZ946" s="84"/>
      <c r="BA946" s="85"/>
      <c r="BB946" s="88"/>
      <c r="BC946" s="85"/>
      <c r="BD946" s="84"/>
      <c r="BE946" s="88"/>
      <c r="BF946" s="85"/>
      <c r="BG946" s="85"/>
      <c r="BH946" s="85">
        <v>300</v>
      </c>
      <c r="BI946" s="85"/>
      <c r="BJ946" s="85"/>
      <c r="BK946" s="85"/>
      <c r="BL946" s="85"/>
      <c r="BM946" s="85"/>
      <c r="BN946" s="85"/>
      <c r="BO946" s="85"/>
      <c r="BP946" s="85"/>
      <c r="BQ946" s="85"/>
      <c r="BR946" s="84"/>
      <c r="BS946" s="85"/>
      <c r="BT946" s="85"/>
      <c r="BU946" s="198"/>
      <c r="BV946" s="90"/>
      <c r="BW946" s="198"/>
      <c r="BX946" s="90"/>
      <c r="BY946" s="198"/>
      <c r="BZ946" s="90"/>
      <c r="CA946" s="91"/>
    </row>
    <row r="947" spans="1:1199" s="101" customFormat="1" ht="50.1" customHeight="1" outlineLevel="1" x14ac:dyDescent="0.3">
      <c r="A947" s="132" t="s">
        <v>804</v>
      </c>
      <c r="B947" s="133"/>
      <c r="C947" s="134" t="s">
        <v>94</v>
      </c>
      <c r="D947" s="81">
        <f t="shared" ref="D947:AI947" si="212">SUBTOTAL(9,D916:D946)</f>
        <v>53304.007019999997</v>
      </c>
      <c r="E947" s="81">
        <f t="shared" si="212"/>
        <v>17879.40193</v>
      </c>
      <c r="F947" s="81">
        <f t="shared" si="212"/>
        <v>35424.60508999999</v>
      </c>
      <c r="G947" s="81">
        <f t="shared" si="212"/>
        <v>0</v>
      </c>
      <c r="H947" s="81">
        <f t="shared" si="212"/>
        <v>0</v>
      </c>
      <c r="I947" s="81">
        <f t="shared" si="212"/>
        <v>180.32053000000002</v>
      </c>
      <c r="J947" s="81">
        <f t="shared" si="212"/>
        <v>891.82632000000001</v>
      </c>
      <c r="K947" s="81">
        <f t="shared" si="212"/>
        <v>357.80819000000002</v>
      </c>
      <c r="L947" s="81">
        <f t="shared" si="212"/>
        <v>590.06330000000003</v>
      </c>
      <c r="M947" s="81">
        <f t="shared" si="212"/>
        <v>0</v>
      </c>
      <c r="N947" s="81">
        <f t="shared" si="212"/>
        <v>0</v>
      </c>
      <c r="O947" s="81">
        <f t="shared" si="212"/>
        <v>0</v>
      </c>
      <c r="P947" s="81">
        <f t="shared" si="212"/>
        <v>0</v>
      </c>
      <c r="Q947" s="81">
        <f t="shared" si="212"/>
        <v>0</v>
      </c>
      <c r="R947" s="81">
        <f t="shared" si="212"/>
        <v>0</v>
      </c>
      <c r="S947" s="81">
        <f t="shared" si="212"/>
        <v>0</v>
      </c>
      <c r="T947" s="81">
        <f t="shared" si="212"/>
        <v>0</v>
      </c>
      <c r="U947" s="81">
        <f t="shared" si="212"/>
        <v>1438.9646</v>
      </c>
      <c r="V947" s="81">
        <f t="shared" si="212"/>
        <v>476.65725000000003</v>
      </c>
      <c r="W947" s="81">
        <f t="shared" si="212"/>
        <v>906.82500000000005</v>
      </c>
      <c r="X947" s="81">
        <f t="shared" si="212"/>
        <v>0</v>
      </c>
      <c r="Y947" s="81">
        <f t="shared" si="212"/>
        <v>1482.3119999999999</v>
      </c>
      <c r="Z947" s="81">
        <f t="shared" si="212"/>
        <v>0</v>
      </c>
      <c r="AA947" s="81">
        <f t="shared" si="212"/>
        <v>0</v>
      </c>
      <c r="AB947" s="81">
        <f t="shared" si="212"/>
        <v>0</v>
      </c>
      <c r="AC947" s="81">
        <f t="shared" si="212"/>
        <v>0</v>
      </c>
      <c r="AD947" s="81">
        <f t="shared" si="212"/>
        <v>1629.8219099999997</v>
      </c>
      <c r="AE947" s="81">
        <f t="shared" si="212"/>
        <v>759.02479999999991</v>
      </c>
      <c r="AF947" s="192">
        <f t="shared" si="212"/>
        <v>870.7971100000002</v>
      </c>
      <c r="AG947" s="81">
        <f t="shared" si="212"/>
        <v>0</v>
      </c>
      <c r="AH947" s="81">
        <f t="shared" si="212"/>
        <v>0</v>
      </c>
      <c r="AI947" s="81">
        <f t="shared" si="212"/>
        <v>0</v>
      </c>
      <c r="AJ947" s="81">
        <f t="shared" ref="AJ947:BO947" si="213">SUBTOTAL(9,AJ916:AJ946)</f>
        <v>0</v>
      </c>
      <c r="AK947" s="81">
        <f t="shared" si="213"/>
        <v>0</v>
      </c>
      <c r="AL947" s="81">
        <f t="shared" si="213"/>
        <v>0</v>
      </c>
      <c r="AM947" s="81">
        <f t="shared" si="213"/>
        <v>0</v>
      </c>
      <c r="AN947" s="81">
        <f t="shared" si="213"/>
        <v>0</v>
      </c>
      <c r="AO947" s="81">
        <f t="shared" si="213"/>
        <v>391.04</v>
      </c>
      <c r="AP947" s="81">
        <f t="shared" si="213"/>
        <v>174.54968</v>
      </c>
      <c r="AQ947" s="81">
        <f t="shared" si="213"/>
        <v>366.50172999999995</v>
      </c>
      <c r="AR947" s="81">
        <f t="shared" si="213"/>
        <v>0</v>
      </c>
      <c r="AS947" s="81">
        <f t="shared" si="213"/>
        <v>3379.6855799999998</v>
      </c>
      <c r="AT947" s="81">
        <f t="shared" si="213"/>
        <v>0</v>
      </c>
      <c r="AU947" s="81">
        <f t="shared" si="213"/>
        <v>0</v>
      </c>
      <c r="AV947" s="81">
        <f t="shared" si="213"/>
        <v>10536.524019999999</v>
      </c>
      <c r="AW947" s="81">
        <f t="shared" si="213"/>
        <v>0</v>
      </c>
      <c r="AX947" s="81">
        <f t="shared" si="213"/>
        <v>0</v>
      </c>
      <c r="AY947" s="81">
        <f t="shared" si="213"/>
        <v>0</v>
      </c>
      <c r="AZ947" s="81">
        <f t="shared" si="213"/>
        <v>4081.36868</v>
      </c>
      <c r="BA947" s="81">
        <f t="shared" si="213"/>
        <v>3696.0105399999993</v>
      </c>
      <c r="BB947" s="81">
        <f t="shared" si="213"/>
        <v>0</v>
      </c>
      <c r="BC947" s="81">
        <f t="shared" si="213"/>
        <v>1000</v>
      </c>
      <c r="BD947" s="81">
        <f t="shared" si="213"/>
        <v>0</v>
      </c>
      <c r="BE947" s="81">
        <f t="shared" si="213"/>
        <v>0</v>
      </c>
      <c r="BF947" s="81">
        <f t="shared" si="213"/>
        <v>0</v>
      </c>
      <c r="BG947" s="81">
        <f t="shared" si="213"/>
        <v>365.72034000000002</v>
      </c>
      <c r="BH947" s="81">
        <f t="shared" si="213"/>
        <v>1800</v>
      </c>
      <c r="BI947" s="81">
        <f t="shared" si="213"/>
        <v>0</v>
      </c>
      <c r="BJ947" s="81">
        <f t="shared" si="213"/>
        <v>0</v>
      </c>
      <c r="BK947" s="81">
        <f t="shared" si="213"/>
        <v>841.18285000000003</v>
      </c>
      <c r="BL947" s="81">
        <f t="shared" si="213"/>
        <v>0</v>
      </c>
      <c r="BM947" s="81">
        <f t="shared" si="213"/>
        <v>0</v>
      </c>
      <c r="BN947" s="81">
        <f t="shared" si="213"/>
        <v>0</v>
      </c>
      <c r="BO947" s="81">
        <f t="shared" si="213"/>
        <v>0</v>
      </c>
      <c r="BP947" s="81">
        <f t="shared" ref="BP947:CU947" si="214">SUBTOTAL(9,BP916:BP946)</f>
        <v>0</v>
      </c>
      <c r="BQ947" s="81">
        <f t="shared" si="214"/>
        <v>0</v>
      </c>
      <c r="BR947" s="81">
        <f t="shared" si="214"/>
        <v>0</v>
      </c>
      <c r="BS947" s="81">
        <f t="shared" si="214"/>
        <v>0</v>
      </c>
      <c r="BT947" s="81">
        <f t="shared" si="214"/>
        <v>0</v>
      </c>
      <c r="BU947" s="81">
        <f t="shared" si="214"/>
        <v>77.027500000000003</v>
      </c>
      <c r="BV947" s="81">
        <f t="shared" si="214"/>
        <v>0</v>
      </c>
      <c r="BW947" s="81">
        <f t="shared" si="214"/>
        <v>5739.7970000000005</v>
      </c>
      <c r="BX947" s="81">
        <f t="shared" si="214"/>
        <v>0</v>
      </c>
      <c r="BY947" s="81">
        <f t="shared" si="214"/>
        <v>0</v>
      </c>
      <c r="BZ947" s="81">
        <f t="shared" si="214"/>
        <v>12255</v>
      </c>
      <c r="CA947" s="81">
        <f t="shared" si="214"/>
        <v>645</v>
      </c>
      <c r="CB947" s="176"/>
      <c r="CC947" s="176"/>
      <c r="CD947" s="176"/>
      <c r="CE947" s="176"/>
      <c r="CF947" s="176"/>
      <c r="CG947" s="176"/>
      <c r="CH947" s="176"/>
      <c r="CI947" s="176"/>
      <c r="CJ947" s="176"/>
      <c r="CK947" s="176"/>
      <c r="CL947" s="176"/>
      <c r="CM947" s="176"/>
      <c r="CN947" s="176"/>
      <c r="CO947" s="176"/>
      <c r="CP947" s="176"/>
      <c r="CQ947" s="176"/>
      <c r="CR947" s="176"/>
      <c r="CS947" s="176"/>
      <c r="CT947" s="176"/>
      <c r="CU947" s="176"/>
      <c r="CV947" s="176"/>
      <c r="CW947" s="176"/>
      <c r="CX947" s="176"/>
      <c r="CY947" s="176"/>
      <c r="CZ947" s="176"/>
      <c r="DA947" s="176"/>
      <c r="DB947" s="176"/>
      <c r="DC947" s="176"/>
      <c r="DD947" s="176"/>
      <c r="DE947" s="176"/>
      <c r="DF947" s="176"/>
      <c r="DG947" s="176"/>
      <c r="DH947" s="176"/>
      <c r="DI947" s="176"/>
      <c r="DJ947" s="176"/>
      <c r="DK947" s="176"/>
      <c r="DL947" s="176"/>
      <c r="DM947" s="176"/>
      <c r="DN947" s="176"/>
      <c r="DO947" s="176"/>
      <c r="DP947" s="176"/>
      <c r="DQ947" s="176"/>
      <c r="DR947" s="176"/>
      <c r="DS947" s="176"/>
      <c r="DT947" s="176"/>
      <c r="DU947" s="176"/>
      <c r="DV947" s="176"/>
      <c r="DW947" s="176"/>
      <c r="DX947" s="176"/>
      <c r="DY947" s="176"/>
      <c r="DZ947" s="176"/>
      <c r="EA947" s="176"/>
      <c r="EB947" s="176"/>
      <c r="EC947" s="176"/>
      <c r="ED947" s="176"/>
      <c r="EE947" s="176"/>
      <c r="EF947" s="176"/>
      <c r="EG947" s="176"/>
      <c r="EH947" s="176"/>
      <c r="EI947" s="176"/>
      <c r="EJ947" s="176"/>
      <c r="EK947" s="176"/>
      <c r="EL947" s="176"/>
      <c r="EM947" s="176"/>
      <c r="EN947" s="176"/>
      <c r="EO947" s="176"/>
      <c r="EP947" s="176"/>
      <c r="EQ947" s="176"/>
      <c r="ER947" s="176"/>
      <c r="ES947" s="176"/>
      <c r="ET947" s="176"/>
      <c r="EU947" s="176"/>
      <c r="EV947" s="176"/>
      <c r="EW947" s="176"/>
      <c r="EX947" s="176"/>
      <c r="EY947" s="176"/>
      <c r="EZ947" s="176"/>
      <c r="FA947" s="176"/>
      <c r="FB947" s="176"/>
      <c r="FC947" s="176"/>
      <c r="FD947" s="176"/>
      <c r="FE947" s="176"/>
      <c r="FF947" s="176"/>
      <c r="FG947" s="176"/>
      <c r="FH947" s="176"/>
      <c r="FI947" s="176"/>
      <c r="FJ947" s="176"/>
      <c r="FK947" s="176"/>
      <c r="FL947" s="176"/>
      <c r="FM947" s="176"/>
      <c r="FN947" s="176"/>
      <c r="FO947" s="176"/>
      <c r="FP947" s="176"/>
      <c r="FQ947" s="176"/>
      <c r="FR947" s="176"/>
      <c r="FS947" s="176"/>
      <c r="FT947" s="176"/>
      <c r="FU947" s="176"/>
      <c r="FV947" s="176"/>
      <c r="FW947" s="176"/>
      <c r="FX947" s="176"/>
      <c r="FY947" s="176"/>
      <c r="FZ947" s="176"/>
      <c r="GA947" s="176"/>
      <c r="GB947" s="176"/>
      <c r="GC947" s="176"/>
      <c r="GD947" s="176"/>
      <c r="GE947" s="176"/>
      <c r="GF947" s="176"/>
      <c r="GG947" s="176"/>
      <c r="GH947" s="176"/>
      <c r="GI947" s="176"/>
      <c r="GJ947" s="176"/>
      <c r="GK947" s="176"/>
      <c r="GL947" s="176"/>
      <c r="GM947" s="176"/>
      <c r="GN947" s="176"/>
      <c r="GO947" s="176"/>
      <c r="GP947" s="176"/>
      <c r="GQ947" s="176"/>
      <c r="GR947" s="176"/>
      <c r="GS947" s="176"/>
      <c r="GT947" s="176"/>
      <c r="GU947" s="176"/>
      <c r="GV947" s="176"/>
      <c r="GW947" s="176"/>
      <c r="GX947" s="176"/>
      <c r="GY947" s="176"/>
      <c r="GZ947" s="176"/>
      <c r="HA947" s="176"/>
      <c r="HB947" s="176"/>
      <c r="HC947" s="176"/>
      <c r="HD947" s="176"/>
      <c r="HE947" s="176"/>
      <c r="HF947" s="176"/>
      <c r="HG947" s="176"/>
      <c r="HH947" s="176"/>
      <c r="HI947" s="176"/>
      <c r="HJ947" s="176"/>
      <c r="HK947" s="176"/>
      <c r="HL947" s="176"/>
      <c r="HM947" s="176"/>
      <c r="HN947" s="176"/>
      <c r="HO947" s="176"/>
      <c r="HP947" s="176"/>
      <c r="HQ947" s="176"/>
      <c r="HR947" s="176"/>
      <c r="HS947" s="176"/>
      <c r="HT947" s="176"/>
      <c r="HU947" s="176"/>
      <c r="HV947" s="176"/>
      <c r="HW947" s="176"/>
      <c r="HX947" s="176"/>
      <c r="HY947" s="176"/>
      <c r="HZ947" s="176"/>
      <c r="IA947" s="176"/>
      <c r="IB947" s="176"/>
      <c r="IC947" s="176"/>
      <c r="ID947" s="176"/>
      <c r="IE947" s="176"/>
      <c r="IF947" s="176"/>
      <c r="IG947" s="176"/>
      <c r="IH947" s="176"/>
      <c r="II947" s="176"/>
      <c r="IJ947" s="176"/>
      <c r="IK947" s="176"/>
      <c r="IL947" s="176"/>
      <c r="IM947" s="176"/>
      <c r="IN947" s="176"/>
      <c r="IO947" s="176"/>
      <c r="IP947" s="176"/>
      <c r="IQ947" s="176"/>
      <c r="IR947" s="176"/>
      <c r="IS947" s="176"/>
      <c r="IT947" s="176"/>
      <c r="IU947" s="176"/>
      <c r="IV947" s="176"/>
      <c r="IW947" s="176"/>
      <c r="IX947" s="176"/>
      <c r="IY947" s="176"/>
      <c r="IZ947" s="176"/>
      <c r="JA947" s="176"/>
      <c r="JB947" s="176"/>
      <c r="JC947" s="176"/>
      <c r="JD947" s="176"/>
      <c r="JE947" s="176"/>
      <c r="JF947" s="176"/>
      <c r="JG947" s="176"/>
      <c r="JH947" s="176"/>
      <c r="JI947" s="176"/>
      <c r="JJ947" s="176"/>
      <c r="JK947" s="176"/>
      <c r="JL947" s="176"/>
      <c r="JM947" s="176"/>
      <c r="JN947" s="176"/>
      <c r="JO947" s="176"/>
      <c r="JP947" s="176"/>
      <c r="JQ947" s="176"/>
      <c r="JR947" s="176"/>
      <c r="JS947" s="176"/>
      <c r="JT947" s="176"/>
      <c r="JU947" s="176"/>
      <c r="JV947" s="176"/>
      <c r="JW947" s="131"/>
      <c r="JX947" s="131"/>
      <c r="JY947" s="131"/>
      <c r="JZ947" s="131"/>
      <c r="KA947" s="131"/>
      <c r="KB947" s="131"/>
      <c r="KC947" s="131"/>
      <c r="KD947" s="131"/>
      <c r="KE947" s="131"/>
      <c r="KF947" s="131"/>
      <c r="KG947" s="131"/>
      <c r="KH947" s="131"/>
      <c r="KI947" s="131"/>
      <c r="KJ947" s="131"/>
      <c r="KK947" s="131"/>
      <c r="KL947" s="131"/>
      <c r="KM947" s="131"/>
      <c r="KN947" s="131"/>
      <c r="KO947" s="131"/>
      <c r="KP947" s="131"/>
      <c r="KQ947" s="131"/>
      <c r="KR947" s="131"/>
      <c r="KS947" s="131"/>
      <c r="KT947" s="131"/>
      <c r="KU947" s="131"/>
      <c r="KV947" s="131"/>
      <c r="KW947" s="131"/>
      <c r="KX947" s="131"/>
      <c r="KY947" s="131"/>
      <c r="KZ947" s="131"/>
      <c r="LA947" s="131"/>
      <c r="LB947" s="131"/>
      <c r="LC947" s="131"/>
      <c r="LD947" s="131"/>
      <c r="LE947" s="131"/>
      <c r="LF947" s="131"/>
      <c r="LG947" s="131"/>
      <c r="LH947" s="131"/>
      <c r="LI947" s="131"/>
      <c r="LJ947" s="131"/>
      <c r="LK947" s="131"/>
      <c r="LL947" s="131"/>
      <c r="LM947" s="131"/>
      <c r="LN947" s="131"/>
      <c r="LO947" s="131"/>
      <c r="LP947" s="131"/>
      <c r="LQ947" s="131"/>
      <c r="LR947" s="131"/>
      <c r="LS947" s="131"/>
      <c r="LT947" s="131"/>
      <c r="LU947" s="131"/>
      <c r="LV947" s="131"/>
      <c r="LW947" s="131"/>
      <c r="LX947" s="131"/>
      <c r="LY947" s="131"/>
      <c r="LZ947" s="131"/>
      <c r="MA947" s="131"/>
      <c r="MB947" s="131"/>
      <c r="MC947" s="131"/>
      <c r="MD947" s="131"/>
      <c r="ME947" s="131"/>
      <c r="MF947" s="131"/>
      <c r="MG947" s="131"/>
      <c r="MH947" s="131"/>
      <c r="MI947" s="131"/>
      <c r="MJ947" s="131"/>
      <c r="MK947" s="131"/>
      <c r="ML947" s="131"/>
      <c r="MM947" s="131"/>
      <c r="MN947" s="131"/>
      <c r="MO947" s="131"/>
      <c r="MP947" s="131"/>
      <c r="MQ947" s="131"/>
      <c r="MR947" s="131"/>
      <c r="MS947" s="131"/>
      <c r="MT947" s="131"/>
      <c r="MU947" s="131"/>
      <c r="MV947" s="131"/>
      <c r="MW947" s="131"/>
      <c r="MX947" s="131"/>
      <c r="MY947" s="131"/>
      <c r="MZ947" s="131"/>
      <c r="NA947" s="131"/>
      <c r="NB947" s="131"/>
      <c r="NC947" s="131"/>
      <c r="ND947" s="131"/>
      <c r="NE947" s="131"/>
      <c r="NF947" s="131"/>
      <c r="NG947" s="131"/>
      <c r="NH947" s="131"/>
      <c r="NI947" s="131"/>
      <c r="NJ947" s="131"/>
      <c r="NK947" s="131"/>
      <c r="NL947" s="131"/>
      <c r="NM947" s="131"/>
      <c r="NN947" s="131"/>
      <c r="NO947" s="131"/>
      <c r="NP947" s="131"/>
      <c r="NQ947" s="131"/>
      <c r="NR947" s="131"/>
      <c r="NS947" s="131"/>
      <c r="NT947" s="131"/>
      <c r="NU947" s="131"/>
      <c r="NV947" s="131"/>
      <c r="NW947" s="131"/>
      <c r="NX947" s="131"/>
      <c r="NY947" s="131"/>
      <c r="NZ947" s="131"/>
      <c r="OA947" s="131"/>
      <c r="OB947" s="131"/>
      <c r="OC947" s="131"/>
      <c r="OD947" s="131"/>
      <c r="OE947" s="131"/>
      <c r="OF947" s="131"/>
      <c r="OG947" s="131"/>
      <c r="OH947" s="131"/>
      <c r="OI947" s="131"/>
      <c r="OJ947" s="131"/>
      <c r="OK947" s="131"/>
      <c r="OL947" s="131"/>
      <c r="OM947" s="131"/>
      <c r="ON947" s="131"/>
      <c r="OO947" s="131"/>
      <c r="OP947" s="131"/>
      <c r="OQ947" s="131"/>
      <c r="OR947" s="131"/>
      <c r="OS947" s="131"/>
      <c r="OT947" s="131"/>
      <c r="OU947" s="131"/>
      <c r="OV947" s="131"/>
      <c r="OW947" s="131"/>
      <c r="OX947" s="131"/>
      <c r="OY947" s="131"/>
      <c r="OZ947" s="131"/>
      <c r="PA947" s="131"/>
      <c r="PB947" s="131"/>
      <c r="PC947" s="131"/>
      <c r="PD947" s="131"/>
      <c r="PE947" s="131"/>
      <c r="PF947" s="131"/>
      <c r="PG947" s="131"/>
      <c r="PH947" s="131"/>
      <c r="PI947" s="131"/>
      <c r="PJ947" s="131"/>
      <c r="PK947" s="131"/>
      <c r="PL947" s="131"/>
      <c r="PM947" s="131"/>
      <c r="PN947" s="131"/>
      <c r="PO947" s="131"/>
      <c r="PP947" s="131"/>
      <c r="PQ947" s="131"/>
      <c r="PR947" s="131"/>
      <c r="PS947" s="131"/>
      <c r="PT947" s="131"/>
      <c r="PU947" s="131"/>
      <c r="PV947" s="131"/>
      <c r="PW947" s="131"/>
      <c r="PX947" s="131"/>
      <c r="PY947" s="131"/>
      <c r="PZ947" s="131"/>
      <c r="QA947" s="131"/>
      <c r="QB947" s="131"/>
      <c r="QC947" s="131"/>
      <c r="QD947" s="131"/>
      <c r="QE947" s="131"/>
      <c r="QF947" s="131"/>
      <c r="QG947" s="131"/>
      <c r="QH947" s="131"/>
      <c r="QI947" s="131"/>
      <c r="QJ947" s="131"/>
      <c r="QK947" s="131"/>
      <c r="QL947" s="131"/>
      <c r="QM947" s="131"/>
      <c r="QN947" s="131"/>
      <c r="QO947" s="131"/>
      <c r="QP947" s="131"/>
      <c r="QQ947" s="131"/>
      <c r="QR947" s="131"/>
      <c r="QS947" s="131"/>
      <c r="QT947" s="131"/>
      <c r="QU947" s="131"/>
      <c r="QV947" s="131"/>
      <c r="QW947" s="131"/>
      <c r="QX947" s="131"/>
      <c r="QY947" s="131"/>
      <c r="QZ947" s="131"/>
      <c r="RA947" s="131"/>
      <c r="RB947" s="131"/>
      <c r="RC947" s="131"/>
      <c r="RD947" s="131"/>
      <c r="RE947" s="131"/>
      <c r="RF947" s="131"/>
      <c r="RG947" s="131"/>
      <c r="RH947" s="131"/>
      <c r="RI947" s="131"/>
      <c r="RJ947" s="131"/>
      <c r="RK947" s="131"/>
      <c r="RL947" s="131"/>
      <c r="RM947" s="131"/>
      <c r="RN947" s="131"/>
      <c r="RO947" s="131"/>
      <c r="RP947" s="131"/>
      <c r="RQ947" s="131"/>
      <c r="RR947" s="131"/>
      <c r="RS947" s="131"/>
      <c r="RT947" s="131"/>
      <c r="RU947" s="131"/>
      <c r="RV947" s="131"/>
      <c r="RW947" s="131"/>
      <c r="RX947" s="131"/>
      <c r="RY947" s="131"/>
      <c r="RZ947" s="131"/>
      <c r="SA947" s="131"/>
      <c r="SB947" s="131"/>
      <c r="SC947" s="131"/>
      <c r="SD947" s="131"/>
      <c r="SE947" s="131"/>
      <c r="SF947" s="131"/>
      <c r="SG947" s="131"/>
      <c r="SH947" s="131"/>
      <c r="SI947" s="131"/>
      <c r="SJ947" s="131"/>
      <c r="SK947" s="131"/>
      <c r="SL947" s="131"/>
      <c r="SM947" s="131"/>
      <c r="SN947" s="131"/>
      <c r="SO947" s="131"/>
      <c r="SP947" s="131"/>
      <c r="SQ947" s="131"/>
      <c r="SR947" s="131"/>
      <c r="SS947" s="131"/>
      <c r="ST947" s="131"/>
      <c r="SU947" s="131"/>
      <c r="SV947" s="131"/>
      <c r="SW947" s="131"/>
      <c r="SX947" s="131"/>
      <c r="SY947" s="131"/>
      <c r="SZ947" s="131"/>
      <c r="TA947" s="131"/>
      <c r="TB947" s="131"/>
      <c r="TC947" s="131"/>
      <c r="TD947" s="131"/>
      <c r="TE947" s="131"/>
      <c r="TF947" s="131"/>
      <c r="TG947" s="131"/>
      <c r="TH947" s="131"/>
      <c r="TI947" s="131"/>
      <c r="TJ947" s="131"/>
      <c r="TK947" s="131"/>
      <c r="TL947" s="131"/>
      <c r="TM947" s="131"/>
      <c r="TN947" s="131"/>
      <c r="TO947" s="131"/>
      <c r="TP947" s="131"/>
      <c r="TQ947" s="131"/>
      <c r="TR947" s="131"/>
      <c r="TS947" s="131"/>
      <c r="TT947" s="131"/>
      <c r="TU947" s="131"/>
      <c r="TV947" s="131"/>
      <c r="TW947" s="131"/>
      <c r="TX947" s="131"/>
      <c r="TY947" s="131"/>
      <c r="TZ947" s="131"/>
      <c r="UA947" s="131"/>
      <c r="UB947" s="131"/>
      <c r="UC947" s="131"/>
      <c r="UD947" s="131"/>
      <c r="UE947" s="131"/>
      <c r="UF947" s="131"/>
      <c r="UG947" s="131"/>
      <c r="UH947" s="131"/>
      <c r="UI947" s="131"/>
      <c r="UJ947" s="131"/>
      <c r="UK947" s="131"/>
      <c r="UL947" s="131"/>
      <c r="UM947" s="131"/>
      <c r="UN947" s="131"/>
      <c r="UO947" s="131"/>
      <c r="UP947" s="131"/>
      <c r="UQ947" s="131"/>
      <c r="UR947" s="131"/>
      <c r="US947" s="131"/>
      <c r="UT947" s="131"/>
      <c r="UU947" s="131"/>
      <c r="UV947" s="131"/>
      <c r="UW947" s="131"/>
      <c r="UX947" s="131"/>
      <c r="UY947" s="131"/>
      <c r="UZ947" s="131"/>
      <c r="VA947" s="131"/>
      <c r="VB947" s="131"/>
      <c r="VC947" s="131"/>
      <c r="VD947" s="131"/>
      <c r="VE947" s="131"/>
      <c r="VF947" s="131"/>
      <c r="VG947" s="131"/>
      <c r="VH947" s="131"/>
      <c r="VI947" s="131"/>
      <c r="VJ947" s="131"/>
      <c r="VK947" s="131"/>
      <c r="VL947" s="131"/>
      <c r="VM947" s="131"/>
      <c r="VN947" s="131"/>
      <c r="VO947" s="131"/>
      <c r="VP947" s="131"/>
      <c r="VQ947" s="131"/>
      <c r="VR947" s="131"/>
      <c r="VS947" s="131"/>
      <c r="VT947" s="131"/>
      <c r="VU947" s="131"/>
      <c r="VV947" s="131"/>
      <c r="VW947" s="131"/>
      <c r="VX947" s="131"/>
      <c r="VY947" s="131"/>
      <c r="VZ947" s="131"/>
      <c r="WA947" s="131"/>
      <c r="WB947" s="131"/>
      <c r="WC947" s="131"/>
      <c r="WD947" s="131"/>
      <c r="WE947" s="131"/>
      <c r="WF947" s="131"/>
      <c r="WG947" s="131"/>
      <c r="WH947" s="131"/>
      <c r="WI947" s="131"/>
      <c r="WJ947" s="131"/>
      <c r="WK947" s="131"/>
      <c r="WL947" s="131"/>
      <c r="WM947" s="131"/>
      <c r="WN947" s="131"/>
      <c r="WO947" s="131"/>
      <c r="WP947" s="131"/>
      <c r="WQ947" s="131"/>
      <c r="WR947" s="131"/>
      <c r="WS947" s="131"/>
      <c r="WT947" s="131"/>
      <c r="WU947" s="131"/>
      <c r="WV947" s="131"/>
      <c r="WW947" s="131"/>
      <c r="WX947" s="131"/>
      <c r="WY947" s="131"/>
      <c r="WZ947" s="131"/>
      <c r="XA947" s="131"/>
      <c r="XB947" s="131"/>
      <c r="XC947" s="131"/>
      <c r="XD947" s="131"/>
      <c r="XE947" s="131"/>
      <c r="XF947" s="131"/>
      <c r="XG947" s="131"/>
      <c r="XH947" s="131"/>
      <c r="XI947" s="131"/>
      <c r="XJ947" s="131"/>
      <c r="XK947" s="131"/>
      <c r="XL947" s="131"/>
      <c r="XM947" s="131"/>
      <c r="XN947" s="131"/>
      <c r="XO947" s="131"/>
      <c r="XP947" s="131"/>
      <c r="XQ947" s="131"/>
      <c r="XR947" s="131"/>
      <c r="XS947" s="131"/>
      <c r="XT947" s="131"/>
      <c r="XU947" s="131"/>
      <c r="XV947" s="131"/>
      <c r="XW947" s="131"/>
      <c r="XX947" s="131"/>
      <c r="XY947" s="131"/>
      <c r="XZ947" s="131"/>
      <c r="YA947" s="131"/>
      <c r="YB947" s="131"/>
      <c r="YC947" s="131"/>
      <c r="YD947" s="131"/>
      <c r="YE947" s="131"/>
      <c r="YF947" s="131"/>
      <c r="YG947" s="131"/>
      <c r="YH947" s="131"/>
      <c r="YI947" s="131"/>
      <c r="YJ947" s="131"/>
      <c r="YK947" s="131"/>
      <c r="YL947" s="131"/>
      <c r="YM947" s="131"/>
      <c r="YN947" s="131"/>
      <c r="YO947" s="131"/>
      <c r="YP947" s="131"/>
      <c r="YQ947" s="131"/>
      <c r="YR947" s="131"/>
      <c r="YS947" s="131"/>
      <c r="YT947" s="131"/>
      <c r="YU947" s="131"/>
      <c r="YV947" s="131"/>
      <c r="YW947" s="131"/>
      <c r="YX947" s="131"/>
      <c r="YY947" s="131"/>
      <c r="YZ947" s="131"/>
      <c r="ZA947" s="131"/>
      <c r="ZB947" s="131"/>
      <c r="ZC947" s="131"/>
      <c r="ZD947" s="131"/>
      <c r="ZE947" s="131"/>
      <c r="ZF947" s="131"/>
      <c r="ZG947" s="131"/>
      <c r="ZH947" s="131"/>
      <c r="ZI947" s="131"/>
      <c r="ZJ947" s="131"/>
      <c r="ZK947" s="131"/>
      <c r="ZL947" s="131"/>
      <c r="ZM947" s="131"/>
      <c r="ZN947" s="131"/>
      <c r="ZO947" s="131"/>
      <c r="ZP947" s="131"/>
      <c r="ZQ947" s="131"/>
      <c r="ZR947" s="131"/>
      <c r="ZS947" s="131"/>
      <c r="ZT947" s="131"/>
      <c r="ZU947" s="131"/>
      <c r="ZV947" s="131"/>
      <c r="ZW947" s="131"/>
      <c r="ZX947" s="131"/>
      <c r="ZY947" s="131"/>
      <c r="ZZ947" s="131"/>
      <c r="AAA947" s="131"/>
      <c r="AAB947" s="131"/>
      <c r="AAC947" s="131"/>
      <c r="AAD947" s="131"/>
      <c r="AAE947" s="131"/>
      <c r="AAF947" s="131"/>
      <c r="AAG947" s="131"/>
      <c r="AAH947" s="131"/>
      <c r="AAI947" s="131"/>
      <c r="AAJ947" s="131"/>
      <c r="AAK947" s="131"/>
      <c r="AAL947" s="131"/>
      <c r="AAM947" s="131"/>
      <c r="AAN947" s="131"/>
      <c r="AAO947" s="131"/>
      <c r="AAP947" s="131"/>
      <c r="AAQ947" s="131"/>
      <c r="AAR947" s="131"/>
      <c r="AAS947" s="131"/>
      <c r="AAT947" s="131"/>
      <c r="AAU947" s="131"/>
      <c r="AAV947" s="131"/>
      <c r="AAW947" s="131"/>
      <c r="AAX947" s="131"/>
      <c r="AAY947" s="131"/>
      <c r="AAZ947" s="131"/>
      <c r="ABA947" s="131"/>
      <c r="ABB947" s="131"/>
      <c r="ABC947" s="131"/>
      <c r="ABD947" s="131"/>
      <c r="ABE947" s="131"/>
      <c r="ABF947" s="131"/>
      <c r="ABG947" s="131"/>
      <c r="ABH947" s="131"/>
      <c r="ABI947" s="131"/>
      <c r="ABJ947" s="131"/>
      <c r="ABK947" s="131"/>
      <c r="ABL947" s="131"/>
      <c r="ABM947" s="131"/>
      <c r="ABN947" s="131"/>
      <c r="ABO947" s="131"/>
      <c r="ABP947" s="131"/>
      <c r="ABQ947" s="131"/>
      <c r="ABR947" s="131"/>
      <c r="ABS947" s="131"/>
      <c r="ABT947" s="131"/>
      <c r="ABU947" s="131"/>
      <c r="ABV947" s="131"/>
      <c r="ABW947" s="131"/>
      <c r="ABX947" s="131"/>
      <c r="ABY947" s="131"/>
      <c r="ABZ947" s="131"/>
      <c r="ACA947" s="131"/>
      <c r="ACB947" s="131"/>
      <c r="ACC947" s="131"/>
      <c r="ACD947" s="131"/>
      <c r="ACE947" s="131"/>
      <c r="ACF947" s="131"/>
      <c r="ACG947" s="131"/>
      <c r="ACH947" s="131"/>
      <c r="ACI947" s="131"/>
      <c r="ACJ947" s="131"/>
      <c r="ACK947" s="131"/>
      <c r="ACL947" s="131"/>
      <c r="ACM947" s="131"/>
      <c r="ACN947" s="131"/>
      <c r="ACO947" s="131"/>
      <c r="ACP947" s="131"/>
      <c r="ACQ947" s="131"/>
      <c r="ACR947" s="131"/>
      <c r="ACS947" s="131"/>
      <c r="ACT947" s="131"/>
      <c r="ACU947" s="131"/>
      <c r="ACV947" s="131"/>
      <c r="ACW947" s="131"/>
      <c r="ACX947" s="131"/>
      <c r="ACY947" s="131"/>
      <c r="ACZ947" s="131"/>
      <c r="ADA947" s="131"/>
      <c r="ADB947" s="131"/>
      <c r="ADC947" s="131"/>
      <c r="ADD947" s="131"/>
      <c r="ADE947" s="131"/>
      <c r="ADF947" s="131"/>
      <c r="ADG947" s="131"/>
      <c r="ADH947" s="131"/>
      <c r="ADI947" s="131"/>
      <c r="ADJ947" s="131"/>
      <c r="ADK947" s="131"/>
      <c r="ADL947" s="131"/>
      <c r="ADM947" s="131"/>
      <c r="ADN947" s="131"/>
      <c r="ADO947" s="131"/>
      <c r="ADP947" s="131"/>
      <c r="ADQ947" s="131"/>
      <c r="ADR947" s="131"/>
      <c r="ADS947" s="131"/>
      <c r="ADT947" s="131"/>
      <c r="ADU947" s="131"/>
      <c r="ADV947" s="131"/>
      <c r="ADW947" s="131"/>
      <c r="ADX947" s="131"/>
      <c r="ADY947" s="131"/>
      <c r="ADZ947" s="131"/>
      <c r="AEA947" s="131"/>
      <c r="AEB947" s="131"/>
      <c r="AEC947" s="131"/>
      <c r="AED947" s="131"/>
      <c r="AEE947" s="131"/>
      <c r="AEF947" s="131"/>
      <c r="AEG947" s="131"/>
      <c r="AEH947" s="131"/>
      <c r="AEI947" s="131"/>
      <c r="AEJ947" s="131"/>
      <c r="AEK947" s="131"/>
      <c r="AEL947" s="131"/>
      <c r="AEM947" s="131"/>
      <c r="AEN947" s="131"/>
      <c r="AEO947" s="131"/>
      <c r="AEP947" s="131"/>
      <c r="AEQ947" s="131"/>
      <c r="AER947" s="131"/>
      <c r="AES947" s="131"/>
      <c r="AET947" s="131"/>
      <c r="AEU947" s="131"/>
      <c r="AEV947" s="131"/>
      <c r="AEW947" s="131"/>
      <c r="AEX947" s="131"/>
      <c r="AEY947" s="131"/>
      <c r="AEZ947" s="131"/>
      <c r="AFA947" s="131"/>
      <c r="AFB947" s="131"/>
      <c r="AFC947" s="131"/>
      <c r="AFD947" s="131"/>
      <c r="AFE947" s="131"/>
      <c r="AFF947" s="131"/>
      <c r="AFG947" s="131"/>
      <c r="AFH947" s="131"/>
      <c r="AFI947" s="131"/>
      <c r="AFJ947" s="131"/>
      <c r="AFK947" s="131"/>
      <c r="AFL947" s="131"/>
      <c r="AFM947" s="131"/>
      <c r="AFN947" s="131"/>
      <c r="AFO947" s="131"/>
      <c r="AFP947" s="131"/>
      <c r="AFQ947" s="131"/>
      <c r="AFR947" s="131"/>
      <c r="AFS947" s="131"/>
      <c r="AFT947" s="131"/>
      <c r="AFU947" s="131"/>
      <c r="AFV947" s="131"/>
      <c r="AFW947" s="131"/>
      <c r="AFX947" s="131"/>
      <c r="AFY947" s="131"/>
      <c r="AFZ947" s="131"/>
      <c r="AGA947" s="131"/>
      <c r="AGB947" s="131"/>
      <c r="AGC947" s="131"/>
      <c r="AGD947" s="131"/>
      <c r="AGE947" s="131"/>
      <c r="AGF947" s="131"/>
      <c r="AGG947" s="131"/>
      <c r="AGH947" s="131"/>
      <c r="AGI947" s="131"/>
      <c r="AGJ947" s="131"/>
      <c r="AGK947" s="131"/>
      <c r="AGL947" s="131"/>
      <c r="AGM947" s="131"/>
      <c r="AGN947" s="131"/>
      <c r="AGO947" s="131"/>
      <c r="AGP947" s="131"/>
      <c r="AGQ947" s="131"/>
      <c r="AGR947" s="131"/>
      <c r="AGS947" s="131"/>
      <c r="AGT947" s="131"/>
      <c r="AGU947" s="131"/>
      <c r="AGV947" s="131"/>
      <c r="AGW947" s="131"/>
      <c r="AGX947" s="131"/>
      <c r="AGY947" s="131"/>
      <c r="AGZ947" s="131"/>
      <c r="AHA947" s="131"/>
      <c r="AHB947" s="131"/>
      <c r="AHC947" s="131"/>
      <c r="AHD947" s="131"/>
      <c r="AHE947" s="131"/>
      <c r="AHF947" s="131"/>
      <c r="AHG947" s="131"/>
      <c r="AHH947" s="131"/>
      <c r="AHI947" s="131"/>
      <c r="AHJ947" s="131"/>
      <c r="AHK947" s="131"/>
      <c r="AHL947" s="131"/>
      <c r="AHM947" s="131"/>
      <c r="AHN947" s="131"/>
      <c r="AHO947" s="131"/>
      <c r="AHP947" s="131"/>
      <c r="AHQ947" s="131"/>
      <c r="AHR947" s="131"/>
      <c r="AHS947" s="131"/>
      <c r="AHT947" s="131"/>
      <c r="AHU947" s="131"/>
      <c r="AHV947" s="131"/>
      <c r="AHW947" s="131"/>
      <c r="AHX947" s="131"/>
      <c r="AHY947" s="131"/>
      <c r="AHZ947" s="131"/>
      <c r="AIA947" s="131"/>
      <c r="AIB947" s="131"/>
      <c r="AIC947" s="131"/>
      <c r="AID947" s="131"/>
      <c r="AIE947" s="131"/>
      <c r="AIF947" s="131"/>
      <c r="AIG947" s="131"/>
      <c r="AIH947" s="131"/>
      <c r="AII947" s="131"/>
      <c r="AIJ947" s="131"/>
      <c r="AIK947" s="131"/>
      <c r="AIL947" s="131"/>
      <c r="AIM947" s="131"/>
      <c r="AIN947" s="131"/>
      <c r="AIO947" s="131"/>
      <c r="AIP947" s="131"/>
      <c r="AIQ947" s="131"/>
      <c r="AIR947" s="131"/>
      <c r="AIS947" s="131"/>
      <c r="AIT947" s="131"/>
      <c r="AIU947" s="131"/>
      <c r="AIV947" s="131"/>
      <c r="AIW947" s="131"/>
      <c r="AIX947" s="131"/>
      <c r="AIY947" s="131"/>
      <c r="AIZ947" s="131"/>
      <c r="AJA947" s="131"/>
      <c r="AJB947" s="131"/>
      <c r="AJC947" s="131"/>
      <c r="AJD947" s="131"/>
      <c r="AJE947" s="131"/>
      <c r="AJF947" s="131"/>
      <c r="AJG947" s="131"/>
      <c r="AJH947" s="131"/>
      <c r="AJI947" s="131"/>
      <c r="AJJ947" s="131"/>
      <c r="AJK947" s="131"/>
      <c r="AJL947" s="131"/>
      <c r="AJM947" s="131"/>
      <c r="AJN947" s="131"/>
      <c r="AJO947" s="131"/>
      <c r="AJP947" s="131"/>
      <c r="AJQ947" s="131"/>
      <c r="AJR947" s="131"/>
      <c r="AJS947" s="131"/>
      <c r="AJT947" s="131"/>
      <c r="AJU947" s="131"/>
      <c r="AJV947" s="131"/>
      <c r="AJW947" s="131"/>
      <c r="AJX947" s="131"/>
      <c r="AJY947" s="131"/>
      <c r="AJZ947" s="131"/>
      <c r="AKA947" s="131"/>
      <c r="AKB947" s="131"/>
      <c r="AKC947" s="131"/>
      <c r="AKD947" s="131"/>
      <c r="AKE947" s="131"/>
      <c r="AKF947" s="131"/>
      <c r="AKG947" s="131"/>
      <c r="AKH947" s="131"/>
      <c r="AKI947" s="131"/>
      <c r="AKJ947" s="131"/>
      <c r="AKK947" s="131"/>
      <c r="AKL947" s="131"/>
      <c r="AKM947" s="131"/>
      <c r="AKN947" s="131"/>
      <c r="AKO947" s="131"/>
      <c r="AKP947" s="131"/>
      <c r="AKQ947" s="131"/>
      <c r="AKR947" s="131"/>
      <c r="AKS947" s="131"/>
      <c r="AKT947" s="131"/>
      <c r="AKU947" s="131"/>
      <c r="AKV947" s="131"/>
      <c r="AKW947" s="131"/>
      <c r="AKX947" s="131"/>
      <c r="AKY947" s="131"/>
      <c r="AKZ947" s="131"/>
      <c r="ALA947" s="131"/>
      <c r="ALB947" s="131"/>
      <c r="ALC947" s="131"/>
      <c r="ALD947" s="131"/>
      <c r="ALE947" s="131"/>
      <c r="ALF947" s="131"/>
      <c r="ALG947" s="131"/>
      <c r="ALH947" s="131"/>
      <c r="ALI947" s="131"/>
      <c r="ALJ947" s="131"/>
      <c r="ALK947" s="131"/>
      <c r="ALL947" s="131"/>
      <c r="ALM947" s="131"/>
      <c r="ALN947" s="131"/>
      <c r="ALO947" s="131"/>
      <c r="ALP947" s="131"/>
      <c r="ALQ947" s="131"/>
      <c r="ALR947" s="131"/>
      <c r="ALS947" s="131"/>
      <c r="ALT947" s="131"/>
      <c r="ALU947" s="131"/>
      <c r="ALV947" s="131"/>
      <c r="ALW947" s="131"/>
      <c r="ALX947" s="131"/>
      <c r="ALY947" s="131"/>
      <c r="ALZ947" s="131"/>
      <c r="AMA947" s="131"/>
      <c r="AMB947" s="131"/>
      <c r="AMC947" s="131"/>
      <c r="AMD947" s="131"/>
      <c r="AME947" s="131"/>
      <c r="AMF947" s="131"/>
      <c r="AMG947" s="131"/>
      <c r="AMH947" s="131"/>
      <c r="AMI947" s="131"/>
      <c r="AMJ947" s="131"/>
      <c r="AMK947" s="131"/>
      <c r="AML947" s="131"/>
      <c r="AMM947" s="131"/>
      <c r="AMN947" s="131"/>
      <c r="AMO947" s="131"/>
      <c r="AMP947" s="131"/>
      <c r="AMQ947" s="131"/>
      <c r="AMR947" s="131"/>
      <c r="AMS947" s="131"/>
      <c r="AMT947" s="131"/>
      <c r="AMU947" s="131"/>
      <c r="AMV947" s="131"/>
      <c r="AMW947" s="131"/>
      <c r="AMX947" s="131"/>
      <c r="AMY947" s="131"/>
      <c r="AMZ947" s="131"/>
      <c r="ANA947" s="131"/>
      <c r="ANB947" s="131"/>
      <c r="ANC947" s="131"/>
      <c r="AND947" s="131"/>
      <c r="ANE947" s="131"/>
      <c r="ANF947" s="131"/>
      <c r="ANG947" s="131"/>
      <c r="ANH947" s="131"/>
      <c r="ANI947" s="131"/>
      <c r="ANJ947" s="131"/>
      <c r="ANK947" s="131"/>
      <c r="ANL947" s="131"/>
      <c r="ANM947" s="131"/>
      <c r="ANN947" s="131"/>
      <c r="ANO947" s="131"/>
      <c r="ANP947" s="131"/>
      <c r="ANQ947" s="131"/>
      <c r="ANR947" s="131"/>
      <c r="ANS947" s="131"/>
      <c r="ANT947" s="131"/>
      <c r="ANU947" s="131"/>
      <c r="ANV947" s="131"/>
      <c r="ANW947" s="131"/>
      <c r="ANX947" s="131"/>
      <c r="ANY947" s="131"/>
      <c r="ANZ947" s="131"/>
      <c r="AOA947" s="131"/>
      <c r="AOB947" s="131"/>
      <c r="AOC947" s="131"/>
      <c r="AOD947" s="131"/>
      <c r="AOE947" s="131"/>
      <c r="AOF947" s="131"/>
      <c r="AOG947" s="131"/>
      <c r="AOH947" s="131"/>
      <c r="AOI947" s="131"/>
      <c r="AOJ947" s="131"/>
      <c r="AOK947" s="131"/>
      <c r="AOL947" s="131"/>
      <c r="AOM947" s="131"/>
      <c r="AON947" s="131"/>
      <c r="AOO947" s="131"/>
      <c r="AOP947" s="131"/>
      <c r="AOQ947" s="131"/>
      <c r="AOR947" s="131"/>
      <c r="AOS947" s="131"/>
      <c r="AOT947" s="131"/>
      <c r="AOU947" s="131"/>
      <c r="AOV947" s="131"/>
      <c r="AOW947" s="131"/>
      <c r="AOX947" s="131"/>
      <c r="AOY947" s="131"/>
      <c r="AOZ947" s="131"/>
      <c r="APA947" s="131"/>
      <c r="APB947" s="131"/>
      <c r="APC947" s="131"/>
      <c r="APD947" s="131"/>
      <c r="APE947" s="131"/>
      <c r="APF947" s="131"/>
      <c r="APG947" s="131"/>
      <c r="APH947" s="131"/>
      <c r="API947" s="131"/>
      <c r="APJ947" s="131"/>
      <c r="APK947" s="131"/>
      <c r="APL947" s="131"/>
      <c r="APM947" s="131"/>
      <c r="APN947" s="131"/>
      <c r="APO947" s="131"/>
      <c r="APP947" s="131"/>
      <c r="APQ947" s="131"/>
      <c r="APR947" s="131"/>
      <c r="APS947" s="131"/>
      <c r="APT947" s="131"/>
      <c r="APU947" s="131"/>
      <c r="APV947" s="131"/>
      <c r="APW947" s="131"/>
      <c r="APX947" s="131"/>
      <c r="APY947" s="131"/>
      <c r="APZ947" s="131"/>
      <c r="AQA947" s="131"/>
      <c r="AQB947" s="131"/>
      <c r="AQC947" s="131"/>
      <c r="AQD947" s="131"/>
      <c r="AQE947" s="131"/>
      <c r="AQF947" s="131"/>
      <c r="AQG947" s="131"/>
      <c r="AQH947" s="131"/>
      <c r="AQI947" s="131"/>
      <c r="AQJ947" s="131"/>
      <c r="AQK947" s="131"/>
      <c r="AQL947" s="131"/>
      <c r="AQM947" s="131"/>
      <c r="AQN947" s="131"/>
      <c r="AQO947" s="131"/>
      <c r="AQP947" s="131"/>
      <c r="AQQ947" s="131"/>
      <c r="AQR947" s="131"/>
      <c r="AQS947" s="131"/>
      <c r="AQT947" s="131"/>
      <c r="AQU947" s="131"/>
      <c r="AQV947" s="131"/>
      <c r="AQW947" s="131"/>
      <c r="AQX947" s="131"/>
      <c r="AQY947" s="131"/>
      <c r="AQZ947" s="131"/>
      <c r="ARA947" s="131"/>
      <c r="ARB947" s="131"/>
      <c r="ARC947" s="131"/>
      <c r="ARD947" s="131"/>
      <c r="ARE947" s="131"/>
      <c r="ARF947" s="131"/>
      <c r="ARG947" s="131"/>
      <c r="ARH947" s="131"/>
      <c r="ARI947" s="131"/>
      <c r="ARJ947" s="131"/>
      <c r="ARK947" s="131"/>
      <c r="ARL947" s="131"/>
      <c r="ARM947" s="131"/>
      <c r="ARN947" s="131"/>
      <c r="ARO947" s="131"/>
      <c r="ARP947" s="131"/>
      <c r="ARQ947" s="131"/>
      <c r="ARR947" s="131"/>
      <c r="ARS947" s="131"/>
      <c r="ART947" s="131"/>
      <c r="ARU947" s="131"/>
      <c r="ARV947" s="131"/>
      <c r="ARW947" s="131"/>
      <c r="ARX947" s="131"/>
      <c r="ARY947" s="131"/>
      <c r="ARZ947" s="131"/>
      <c r="ASA947" s="131"/>
      <c r="ASB947" s="131"/>
      <c r="ASC947" s="131"/>
      <c r="ASD947" s="131"/>
      <c r="ASE947" s="131"/>
      <c r="ASF947" s="131"/>
      <c r="ASG947" s="131"/>
      <c r="ASH947" s="131"/>
      <c r="ASI947" s="131"/>
      <c r="ASJ947" s="131"/>
      <c r="ASK947" s="131"/>
      <c r="ASL947" s="131"/>
      <c r="ASM947" s="131"/>
      <c r="ASN947" s="131"/>
      <c r="ASO947" s="131"/>
      <c r="ASP947" s="131"/>
      <c r="ASQ947" s="131"/>
      <c r="ASR947" s="131"/>
      <c r="ASS947" s="131"/>
      <c r="AST947" s="131"/>
      <c r="ASU947" s="131"/>
      <c r="ASV947" s="131"/>
      <c r="ASW947" s="131"/>
      <c r="ASX947" s="131"/>
      <c r="ASY947" s="131"/>
      <c r="ASZ947" s="131"/>
      <c r="ATA947" s="131"/>
      <c r="ATB947" s="131"/>
      <c r="ATC947" s="131"/>
    </row>
    <row r="948" spans="1:1199" ht="50.1" customHeight="1" outlineLevel="2" x14ac:dyDescent="0.3">
      <c r="A948" s="106" t="s">
        <v>805</v>
      </c>
      <c r="B948" s="102" t="s">
        <v>806</v>
      </c>
      <c r="C948" s="79" t="s">
        <v>37</v>
      </c>
      <c r="D948" s="81">
        <f t="shared" ref="D948" si="215">E948+F948</f>
        <v>3949.6275000000005</v>
      </c>
      <c r="E948" s="82">
        <f t="shared" si="204"/>
        <v>1224.09905</v>
      </c>
      <c r="F948" s="83">
        <f t="shared" si="205"/>
        <v>2725.5284500000002</v>
      </c>
      <c r="G948" s="84"/>
      <c r="H948" s="85"/>
      <c r="I948" s="85"/>
      <c r="J948" s="84"/>
      <c r="K948" s="85"/>
      <c r="L948" s="85"/>
      <c r="M948" s="85"/>
      <c r="N948" s="85"/>
      <c r="O948" s="82"/>
      <c r="P948" s="83"/>
      <c r="Q948" s="83"/>
      <c r="R948" s="83"/>
      <c r="S948" s="82"/>
      <c r="T948" s="83"/>
      <c r="U948" s="83"/>
      <c r="V948" s="84"/>
      <c r="W948" s="85"/>
      <c r="X948" s="87"/>
      <c r="Y948" s="83"/>
      <c r="Z948" s="84"/>
      <c r="AA948" s="85"/>
      <c r="AB948" s="84"/>
      <c r="AC948" s="85"/>
      <c r="AD948" s="89">
        <f t="shared" si="211"/>
        <v>1071.6271400000001</v>
      </c>
      <c r="AE948" s="89">
        <v>225.99359999999999</v>
      </c>
      <c r="AF948" s="186">
        <f>118.11697+156.90397+314.1396+256.473</f>
        <v>845.63354000000004</v>
      </c>
      <c r="AG948" s="85"/>
      <c r="AH948" s="85"/>
      <c r="AI948" s="85"/>
      <c r="AJ948" s="84"/>
      <c r="AK948" s="85"/>
      <c r="AL948" s="84"/>
      <c r="AM948" s="88"/>
      <c r="AN948" s="84"/>
      <c r="AO948" s="85"/>
      <c r="AP948" s="84">
        <v>418.24290999999999</v>
      </c>
      <c r="AQ948" s="83">
        <v>577.15454</v>
      </c>
      <c r="AR948" s="83"/>
      <c r="AS948" s="83"/>
      <c r="AT948" s="85"/>
      <c r="AU948" s="85"/>
      <c r="AV948" s="85">
        <v>304.47899999999998</v>
      </c>
      <c r="AW948" s="88"/>
      <c r="AX948" s="84"/>
      <c r="AY948" s="85"/>
      <c r="AZ948" s="84">
        <v>805.85613999999998</v>
      </c>
      <c r="BA948" s="85">
        <v>729.76777000000004</v>
      </c>
      <c r="BB948" s="88"/>
      <c r="BC948" s="85"/>
      <c r="BD948" s="84"/>
      <c r="BE948" s="88"/>
      <c r="BF948" s="85"/>
      <c r="BG948" s="85"/>
      <c r="BH948" s="85"/>
      <c r="BI948" s="85"/>
      <c r="BJ948" s="85"/>
      <c r="BK948" s="85"/>
      <c r="BL948" s="85"/>
      <c r="BM948" s="85"/>
      <c r="BN948" s="85"/>
      <c r="BO948" s="85"/>
      <c r="BP948" s="85"/>
      <c r="BQ948" s="85"/>
      <c r="BR948" s="84"/>
      <c r="BS948" s="85"/>
      <c r="BT948" s="85">
        <v>42.5</v>
      </c>
      <c r="BU948" s="198"/>
      <c r="BV948" s="90"/>
      <c r="BW948" s="198"/>
      <c r="BX948" s="90"/>
      <c r="BY948" s="198"/>
      <c r="BZ948" s="90"/>
      <c r="CA948" s="91"/>
    </row>
    <row r="949" spans="1:1199" ht="50.1" customHeight="1" outlineLevel="2" x14ac:dyDescent="0.3">
      <c r="A949" s="103" t="s">
        <v>805</v>
      </c>
      <c r="B949" s="102" t="s">
        <v>1100</v>
      </c>
      <c r="C949" s="79" t="s">
        <v>37</v>
      </c>
      <c r="D949" s="81">
        <f t="shared" ref="D949:D987" si="216">E949+F949</f>
        <v>45691.989610000004</v>
      </c>
      <c r="E949" s="82">
        <f t="shared" si="204"/>
        <v>14120.296350000001</v>
      </c>
      <c r="F949" s="83">
        <f t="shared" si="205"/>
        <v>31571.69326</v>
      </c>
      <c r="G949" s="84">
        <v>1112.0579</v>
      </c>
      <c r="H949" s="85">
        <v>249.91164000000001</v>
      </c>
      <c r="I949" s="85"/>
      <c r="J949" s="84">
        <v>3129.3302100000001</v>
      </c>
      <c r="K949" s="85">
        <v>812.00528999999995</v>
      </c>
      <c r="L949" s="85">
        <v>3527.3690299999998</v>
      </c>
      <c r="M949" s="85"/>
      <c r="N949" s="85"/>
      <c r="O949" s="82"/>
      <c r="P949" s="83"/>
      <c r="Q949" s="83"/>
      <c r="R949" s="83"/>
      <c r="S949" s="82"/>
      <c r="T949" s="83"/>
      <c r="U949" s="83"/>
      <c r="V949" s="84">
        <v>209.38679999999999</v>
      </c>
      <c r="W949" s="85">
        <v>825.48</v>
      </c>
      <c r="X949" s="87"/>
      <c r="Y949" s="83">
        <v>1248</v>
      </c>
      <c r="Z949" s="114"/>
      <c r="AA949" s="85"/>
      <c r="AB949" s="84"/>
      <c r="AC949" s="85"/>
      <c r="AD949" s="89">
        <f t="shared" si="211"/>
        <v>2310.8997600000002</v>
      </c>
      <c r="AE949" s="89">
        <f>262.845+193.419</f>
        <v>456.26400000000001</v>
      </c>
      <c r="AF949" s="186">
        <f>1096.80041+134.02215+289.9078+333.9054</f>
        <v>1854.6357600000001</v>
      </c>
      <c r="AG949" s="85"/>
      <c r="AH949" s="85"/>
      <c r="AI949" s="85"/>
      <c r="AJ949" s="84"/>
      <c r="AK949" s="85"/>
      <c r="AL949" s="84"/>
      <c r="AM949" s="88"/>
      <c r="AN949" s="84"/>
      <c r="AO949" s="85"/>
      <c r="AP949" s="84">
        <v>5455.4576200000001</v>
      </c>
      <c r="AQ949" s="83">
        <v>11407.30142</v>
      </c>
      <c r="AR949" s="83"/>
      <c r="AS949" s="83"/>
      <c r="AT949" s="85"/>
      <c r="AU949" s="85"/>
      <c r="AV949" s="85">
        <f>5685.31195</f>
        <v>5685.3119500000003</v>
      </c>
      <c r="AW949" s="88"/>
      <c r="AX949" s="84"/>
      <c r="AY949" s="85"/>
      <c r="AZ949" s="84">
        <v>4214.0638200000003</v>
      </c>
      <c r="BA949" s="85">
        <v>3816.1780399999998</v>
      </c>
      <c r="BB949" s="88">
        <v>560.62112999999999</v>
      </c>
      <c r="BC949" s="85"/>
      <c r="BD949" s="84"/>
      <c r="BE949" s="88"/>
      <c r="BF949" s="85"/>
      <c r="BG949" s="85"/>
      <c r="BH949" s="85"/>
      <c r="BI949" s="85"/>
      <c r="BJ949" s="85"/>
      <c r="BK949" s="85"/>
      <c r="BL949" s="85"/>
      <c r="BM949" s="85"/>
      <c r="BN949" s="85">
        <v>3</v>
      </c>
      <c r="BO949" s="85"/>
      <c r="BP949" s="85"/>
      <c r="BQ949" s="85"/>
      <c r="BR949" s="84"/>
      <c r="BS949" s="85">
        <v>487</v>
      </c>
      <c r="BT949" s="85">
        <v>638.61500000000001</v>
      </c>
      <c r="BU949" s="198"/>
      <c r="BV949" s="90"/>
      <c r="BW949" s="198"/>
      <c r="BX949" s="90"/>
      <c r="BY949" s="198"/>
      <c r="BZ949" s="90"/>
      <c r="CA949" s="91"/>
    </row>
    <row r="950" spans="1:1199" ht="50.1" customHeight="1" outlineLevel="2" x14ac:dyDescent="0.3">
      <c r="A950" s="103" t="s">
        <v>805</v>
      </c>
      <c r="B950" s="102" t="s">
        <v>807</v>
      </c>
      <c r="C950" s="79" t="s">
        <v>37</v>
      </c>
      <c r="D950" s="81">
        <f t="shared" si="216"/>
        <v>51245.370259999996</v>
      </c>
      <c r="E950" s="82">
        <f t="shared" si="204"/>
        <v>0</v>
      </c>
      <c r="F950" s="83">
        <f t="shared" si="205"/>
        <v>51245.370259999996</v>
      </c>
      <c r="G950" s="84"/>
      <c r="H950" s="85"/>
      <c r="I950" s="85"/>
      <c r="J950" s="84"/>
      <c r="K950" s="85"/>
      <c r="L950" s="85"/>
      <c r="M950" s="85"/>
      <c r="N950" s="85"/>
      <c r="O950" s="82"/>
      <c r="P950" s="83"/>
      <c r="Q950" s="83"/>
      <c r="R950" s="83"/>
      <c r="S950" s="83"/>
      <c r="T950" s="83"/>
      <c r="U950" s="83"/>
      <c r="V950" s="85"/>
      <c r="W950" s="85"/>
      <c r="X950" s="137"/>
      <c r="Y950" s="83"/>
      <c r="Z950" s="139"/>
      <c r="AA950" s="85"/>
      <c r="AB950" s="84"/>
      <c r="AC950" s="85"/>
      <c r="AD950" s="89">
        <f t="shared" si="211"/>
        <v>0</v>
      </c>
      <c r="AE950" s="83"/>
      <c r="AF950" s="123"/>
      <c r="AG950" s="85"/>
      <c r="AH950" s="85"/>
      <c r="AI950" s="85"/>
      <c r="AJ950" s="84"/>
      <c r="AK950" s="85"/>
      <c r="AL950" s="85"/>
      <c r="AM950" s="85"/>
      <c r="AN950" s="84"/>
      <c r="AO950" s="85"/>
      <c r="AP950" s="85"/>
      <c r="AQ950" s="83"/>
      <c r="AR950" s="83"/>
      <c r="AS950" s="83"/>
      <c r="AT950" s="85">
        <f>18824.03+15854.11+14762.685</f>
        <v>49440.824999999997</v>
      </c>
      <c r="AU950" s="85"/>
      <c r="AV950" s="85"/>
      <c r="AW950" s="85"/>
      <c r="AX950" s="84"/>
      <c r="AY950" s="85"/>
      <c r="AZ950" s="85"/>
      <c r="BA950" s="85"/>
      <c r="BB950" s="85"/>
      <c r="BC950" s="85"/>
      <c r="BD950" s="85"/>
      <c r="BE950" s="85"/>
      <c r="BF950" s="85"/>
      <c r="BG950" s="85">
        <v>1804.5452600000001</v>
      </c>
      <c r="BH950" s="85"/>
      <c r="BI950" s="85"/>
      <c r="BJ950" s="85"/>
      <c r="BK950" s="85"/>
      <c r="BL950" s="85"/>
      <c r="BM950" s="85"/>
      <c r="BN950" s="85"/>
      <c r="BO950" s="85"/>
      <c r="BP950" s="85"/>
      <c r="BQ950" s="85"/>
      <c r="BR950" s="84"/>
      <c r="BS950" s="85"/>
      <c r="BT950" s="85"/>
      <c r="BU950" s="198"/>
      <c r="BV950" s="90"/>
      <c r="BW950" s="198"/>
      <c r="BX950" s="90"/>
      <c r="BY950" s="198"/>
      <c r="BZ950" s="90"/>
      <c r="CA950" s="91"/>
    </row>
    <row r="951" spans="1:1199" ht="50.1" customHeight="1" outlineLevel="2" x14ac:dyDescent="0.3">
      <c r="A951" s="103" t="s">
        <v>805</v>
      </c>
      <c r="B951" s="102" t="s">
        <v>808</v>
      </c>
      <c r="C951" s="79" t="s">
        <v>37</v>
      </c>
      <c r="D951" s="81">
        <f t="shared" si="216"/>
        <v>16938.267530000001</v>
      </c>
      <c r="E951" s="82">
        <f t="shared" si="204"/>
        <v>6548.2175500000003</v>
      </c>
      <c r="F951" s="83">
        <f t="shared" si="205"/>
        <v>10390.04998</v>
      </c>
      <c r="G951" s="84"/>
      <c r="H951" s="85"/>
      <c r="I951" s="85"/>
      <c r="J951" s="86">
        <v>9.5927100000000003</v>
      </c>
      <c r="K951" s="85">
        <v>1.1892499999999999</v>
      </c>
      <c r="L951" s="85">
        <v>725.04350999999997</v>
      </c>
      <c r="M951" s="85"/>
      <c r="N951" s="85"/>
      <c r="O951" s="82"/>
      <c r="P951" s="83"/>
      <c r="Q951" s="83"/>
      <c r="R951" s="83"/>
      <c r="S951" s="82"/>
      <c r="T951" s="83"/>
      <c r="U951" s="83"/>
      <c r="V951" s="84">
        <v>265.83460000000002</v>
      </c>
      <c r="W951" s="85">
        <v>465.3</v>
      </c>
      <c r="X951" s="87"/>
      <c r="Y951" s="83">
        <v>465.81599999999997</v>
      </c>
      <c r="Z951" s="84"/>
      <c r="AA951" s="85"/>
      <c r="AB951" s="84"/>
      <c r="AC951" s="85"/>
      <c r="AD951" s="89">
        <f t="shared" si="211"/>
        <v>693.19524999999999</v>
      </c>
      <c r="AE951" s="89">
        <f>78.8535+282.492+34.3856</f>
        <v>395.73110000000003</v>
      </c>
      <c r="AF951" s="186">
        <f>35.95716+178.03064+83.47635</f>
        <v>297.46415000000002</v>
      </c>
      <c r="AG951" s="85"/>
      <c r="AH951" s="85"/>
      <c r="AI951" s="85"/>
      <c r="AJ951" s="84"/>
      <c r="AK951" s="85"/>
      <c r="AL951" s="84"/>
      <c r="AM951" s="88"/>
      <c r="AN951" s="84"/>
      <c r="AO951" s="85"/>
      <c r="AP951" s="84">
        <v>4249.8296200000004</v>
      </c>
      <c r="AQ951" s="83">
        <v>5522.2267300000003</v>
      </c>
      <c r="AR951" s="83"/>
      <c r="AS951" s="83"/>
      <c r="AT951" s="85"/>
      <c r="AU951" s="85"/>
      <c r="AV951" s="85">
        <v>6.9717900000000004</v>
      </c>
      <c r="AW951" s="88"/>
      <c r="AX951" s="84"/>
      <c r="AY951" s="85"/>
      <c r="AZ951" s="84">
        <v>2022.9606200000001</v>
      </c>
      <c r="BA951" s="85">
        <v>1831.9541899999999</v>
      </c>
      <c r="BB951" s="88">
        <v>149.65114</v>
      </c>
      <c r="BC951" s="85"/>
      <c r="BD951" s="84"/>
      <c r="BE951" s="88"/>
      <c r="BF951" s="85"/>
      <c r="BG951" s="85"/>
      <c r="BH951" s="85"/>
      <c r="BI951" s="85"/>
      <c r="BJ951" s="85"/>
      <c r="BK951" s="85"/>
      <c r="BL951" s="85"/>
      <c r="BM951" s="85"/>
      <c r="BN951" s="85"/>
      <c r="BO951" s="85"/>
      <c r="BP951" s="85"/>
      <c r="BQ951" s="85"/>
      <c r="BR951" s="84"/>
      <c r="BS951" s="85"/>
      <c r="BT951" s="85">
        <v>528.70212000000004</v>
      </c>
      <c r="BU951" s="198"/>
      <c r="BV951" s="90"/>
      <c r="BW951" s="198"/>
      <c r="BX951" s="90"/>
      <c r="BY951" s="198"/>
      <c r="BZ951" s="90"/>
      <c r="CA951" s="91"/>
    </row>
    <row r="952" spans="1:1199" ht="50.1" customHeight="1" outlineLevel="2" x14ac:dyDescent="0.3">
      <c r="A952" s="106" t="s">
        <v>805</v>
      </c>
      <c r="B952" s="96" t="s">
        <v>809</v>
      </c>
      <c r="C952" s="79" t="s">
        <v>37</v>
      </c>
      <c r="D952" s="81">
        <f t="shared" si="216"/>
        <v>3615.0120400000001</v>
      </c>
      <c r="E952" s="82">
        <f t="shared" si="204"/>
        <v>1388.7432899999999</v>
      </c>
      <c r="F952" s="83">
        <f t="shared" si="205"/>
        <v>2226.2687500000002</v>
      </c>
      <c r="G952" s="84"/>
      <c r="H952" s="85"/>
      <c r="I952" s="85"/>
      <c r="J952" s="84"/>
      <c r="K952" s="85"/>
      <c r="L952" s="85"/>
      <c r="M952" s="85"/>
      <c r="N952" s="85"/>
      <c r="O952" s="82"/>
      <c r="P952" s="83"/>
      <c r="Q952" s="83"/>
      <c r="R952" s="83"/>
      <c r="S952" s="82"/>
      <c r="T952" s="83"/>
      <c r="U952" s="83"/>
      <c r="V952" s="84">
        <v>858.89440000000002</v>
      </c>
      <c r="W952" s="85">
        <v>1497.7352000000001</v>
      </c>
      <c r="X952" s="87"/>
      <c r="Y952" s="83"/>
      <c r="Z952" s="114"/>
      <c r="AA952" s="85"/>
      <c r="AB952" s="84"/>
      <c r="AC952" s="85"/>
      <c r="AD952" s="89">
        <f t="shared" si="211"/>
        <v>22.880199999999999</v>
      </c>
      <c r="AE952" s="89">
        <v>14.124599999999999</v>
      </c>
      <c r="AF952" s="186">
        <v>8.7555999999999994</v>
      </c>
      <c r="AG952" s="85"/>
      <c r="AH952" s="85"/>
      <c r="AI952" s="85"/>
      <c r="AJ952" s="84"/>
      <c r="AK952" s="85"/>
      <c r="AL952" s="84"/>
      <c r="AM952" s="88"/>
      <c r="AN952" s="84"/>
      <c r="AO952" s="85"/>
      <c r="AP952" s="84"/>
      <c r="AQ952" s="83"/>
      <c r="AR952" s="83"/>
      <c r="AS952" s="83"/>
      <c r="AT952" s="85"/>
      <c r="AU952" s="85"/>
      <c r="AV952" s="85"/>
      <c r="AW952" s="88"/>
      <c r="AX952" s="84"/>
      <c r="AY952" s="85"/>
      <c r="AZ952" s="84">
        <v>529.84888999999998</v>
      </c>
      <c r="BA952" s="85">
        <v>440.13819000000001</v>
      </c>
      <c r="BB952" s="88">
        <v>265.51515999999998</v>
      </c>
      <c r="BC952" s="85"/>
      <c r="BD952" s="84"/>
      <c r="BE952" s="88"/>
      <c r="BF952" s="85"/>
      <c r="BG952" s="85"/>
      <c r="BH952" s="85"/>
      <c r="BI952" s="85"/>
      <c r="BJ952" s="85"/>
      <c r="BK952" s="85"/>
      <c r="BL952" s="85"/>
      <c r="BM952" s="85"/>
      <c r="BN952" s="85"/>
      <c r="BO952" s="85"/>
      <c r="BP952" s="85"/>
      <c r="BQ952" s="85"/>
      <c r="BR952" s="84"/>
      <c r="BS952" s="85"/>
      <c r="BT952" s="85"/>
      <c r="BU952" s="198"/>
      <c r="BV952" s="90"/>
      <c r="BW952" s="198"/>
      <c r="BX952" s="90"/>
      <c r="BY952" s="198"/>
      <c r="BZ952" s="90"/>
      <c r="CA952" s="91"/>
    </row>
    <row r="953" spans="1:1199" ht="50.1" customHeight="1" outlineLevel="2" x14ac:dyDescent="0.3">
      <c r="A953" s="106" t="s">
        <v>805</v>
      </c>
      <c r="B953" s="96" t="s">
        <v>810</v>
      </c>
      <c r="C953" s="79" t="s">
        <v>37</v>
      </c>
      <c r="D953" s="81">
        <f t="shared" si="216"/>
        <v>2211.6494700000003</v>
      </c>
      <c r="E953" s="82">
        <f t="shared" ref="E953:E1004" si="217">G953+J953+O953+S953+V953+X953+Z953+AB953+AJ953+AL953+AN953+AP953+AX953+AZ953+BD953+BV953+BX953+BZ953+BR953</f>
        <v>513.80673000000002</v>
      </c>
      <c r="F953" s="83">
        <f t="shared" si="205"/>
        <v>1697.84274</v>
      </c>
      <c r="G953" s="84"/>
      <c r="H953" s="85"/>
      <c r="I953" s="85"/>
      <c r="J953" s="84"/>
      <c r="K953" s="85"/>
      <c r="L953" s="85"/>
      <c r="M953" s="85"/>
      <c r="N953" s="85"/>
      <c r="O953" s="82"/>
      <c r="P953" s="83"/>
      <c r="Q953" s="83"/>
      <c r="R953" s="83"/>
      <c r="S953" s="82"/>
      <c r="T953" s="83"/>
      <c r="U953" s="83"/>
      <c r="V953" s="84">
        <v>46.39</v>
      </c>
      <c r="W953" s="85">
        <v>81</v>
      </c>
      <c r="X953" s="87"/>
      <c r="Y953" s="83">
        <v>249.6</v>
      </c>
      <c r="Z953" s="84"/>
      <c r="AA953" s="85"/>
      <c r="AB953" s="84"/>
      <c r="AC953" s="85"/>
      <c r="AD953" s="89">
        <f t="shared" si="211"/>
        <v>133.86340000000001</v>
      </c>
      <c r="AE953" s="89">
        <v>47.280200000000001</v>
      </c>
      <c r="AF953" s="186">
        <v>86.583200000000005</v>
      </c>
      <c r="AG953" s="85"/>
      <c r="AH953" s="85"/>
      <c r="AI953" s="85"/>
      <c r="AJ953" s="84"/>
      <c r="AK953" s="85"/>
      <c r="AL953" s="84"/>
      <c r="AM953" s="88"/>
      <c r="AN953" s="84"/>
      <c r="AO953" s="85"/>
      <c r="AP953" s="84"/>
      <c r="AQ953" s="83"/>
      <c r="AR953" s="83"/>
      <c r="AS953" s="83"/>
      <c r="AT953" s="85"/>
      <c r="AU953" s="85"/>
      <c r="AV953" s="85">
        <v>810.09559999999999</v>
      </c>
      <c r="AW953" s="88"/>
      <c r="AX953" s="84"/>
      <c r="AY953" s="85"/>
      <c r="AZ953" s="84">
        <v>467.41672999999997</v>
      </c>
      <c r="BA953" s="85">
        <v>423.28374000000002</v>
      </c>
      <c r="BB953" s="88"/>
      <c r="BC953" s="85"/>
      <c r="BD953" s="84"/>
      <c r="BE953" s="88"/>
      <c r="BF953" s="85"/>
      <c r="BG953" s="85"/>
      <c r="BH953" s="85"/>
      <c r="BI953" s="85"/>
      <c r="BJ953" s="85"/>
      <c r="BK953" s="85"/>
      <c r="BL953" s="85"/>
      <c r="BM953" s="85"/>
      <c r="BN953" s="85"/>
      <c r="BO953" s="85"/>
      <c r="BP953" s="85"/>
      <c r="BQ953" s="85"/>
      <c r="BR953" s="84"/>
      <c r="BS953" s="85"/>
      <c r="BT953" s="85"/>
      <c r="BU953" s="198"/>
      <c r="BV953" s="90"/>
      <c r="BW953" s="198"/>
      <c r="BX953" s="90"/>
      <c r="BY953" s="198"/>
      <c r="BZ953" s="90"/>
      <c r="CA953" s="91"/>
    </row>
    <row r="954" spans="1:1199" ht="50.1" customHeight="1" outlineLevel="2" x14ac:dyDescent="0.3">
      <c r="A954" s="109" t="s">
        <v>1213</v>
      </c>
      <c r="B954" s="102" t="s">
        <v>811</v>
      </c>
      <c r="C954" s="79" t="s">
        <v>37</v>
      </c>
      <c r="D954" s="81">
        <f t="shared" si="216"/>
        <v>115637.84460000001</v>
      </c>
      <c r="E954" s="82">
        <f t="shared" si="217"/>
        <v>38224.845979999998</v>
      </c>
      <c r="F954" s="83">
        <f t="shared" si="205"/>
        <v>77412.998620000013</v>
      </c>
      <c r="G954" s="84"/>
      <c r="H954" s="85"/>
      <c r="I954" s="83">
        <v>1037.14273</v>
      </c>
      <c r="J954" s="84"/>
      <c r="K954" s="85"/>
      <c r="L954" s="85"/>
      <c r="M954" s="85"/>
      <c r="N954" s="85"/>
      <c r="O954" s="82"/>
      <c r="P954" s="83"/>
      <c r="Q954" s="83"/>
      <c r="R954" s="83"/>
      <c r="S954" s="82">
        <v>3283.8686200000002</v>
      </c>
      <c r="T954" s="83">
        <v>2985.3351299999999</v>
      </c>
      <c r="U954" s="83">
        <v>2040.50593</v>
      </c>
      <c r="V954" s="84">
        <v>2454.6818499999999</v>
      </c>
      <c r="W954" s="85">
        <v>4695.5349399999996</v>
      </c>
      <c r="X954" s="82"/>
      <c r="Y954" s="83">
        <v>1572.48</v>
      </c>
      <c r="Z954" s="114"/>
      <c r="AA954" s="85"/>
      <c r="AB954" s="84"/>
      <c r="AC954" s="85"/>
      <c r="AD954" s="89">
        <f t="shared" si="211"/>
        <v>996.39985999999999</v>
      </c>
      <c r="AE954" s="89">
        <f>394.2675+81.6658</f>
        <v>475.93329999999997</v>
      </c>
      <c r="AF954" s="186">
        <f>3.26883+71.99053+445.2072</f>
        <v>520.46655999999996</v>
      </c>
      <c r="AG954" s="85"/>
      <c r="AH954" s="85"/>
      <c r="AI954" s="85"/>
      <c r="AJ954" s="84"/>
      <c r="AK954" s="85"/>
      <c r="AL954" s="84"/>
      <c r="AM954" s="88"/>
      <c r="AN954" s="84"/>
      <c r="AO954" s="85"/>
      <c r="AP954" s="84">
        <v>44.301479999999998</v>
      </c>
      <c r="AQ954" s="83">
        <v>112.08813000000001</v>
      </c>
      <c r="AR954" s="83"/>
      <c r="AS954" s="83"/>
      <c r="AT954" s="85"/>
      <c r="AU954" s="85"/>
      <c r="AV954" s="85">
        <v>20988.291980000002</v>
      </c>
      <c r="AW954" s="88"/>
      <c r="AX954" s="84">
        <v>11945.1</v>
      </c>
      <c r="AY954" s="85">
        <v>8958.8550599999999</v>
      </c>
      <c r="AZ954" s="84">
        <v>1098.5301999999999</v>
      </c>
      <c r="BA954" s="88">
        <v>852.28733999999997</v>
      </c>
      <c r="BB954" s="88">
        <v>546.95943</v>
      </c>
      <c r="BC954" s="85"/>
      <c r="BD954" s="84">
        <v>19398.363829999998</v>
      </c>
      <c r="BE954" s="88">
        <v>32283.515309999999</v>
      </c>
      <c r="BF954" s="85"/>
      <c r="BG954" s="85"/>
      <c r="BH954" s="85"/>
      <c r="BI954" s="85"/>
      <c r="BJ954" s="85"/>
      <c r="BK954" s="85">
        <v>343.60278</v>
      </c>
      <c r="BL954" s="85"/>
      <c r="BM954" s="85"/>
      <c r="BN954" s="85"/>
      <c r="BO954" s="85"/>
      <c r="BP954" s="85"/>
      <c r="BQ954" s="85"/>
      <c r="BR954" s="84"/>
      <c r="BS954" s="85"/>
      <c r="BT954" s="85"/>
      <c r="BU954" s="198"/>
      <c r="BV954" s="90"/>
      <c r="BW954" s="198"/>
      <c r="BX954" s="90"/>
      <c r="BY954" s="198"/>
      <c r="BZ954" s="90"/>
      <c r="CA954" s="91"/>
    </row>
    <row r="955" spans="1:1199" ht="50.1" customHeight="1" outlineLevel="2" x14ac:dyDescent="0.3">
      <c r="A955" s="106" t="s">
        <v>805</v>
      </c>
      <c r="B955" s="96" t="s">
        <v>812</v>
      </c>
      <c r="C955" s="79" t="s">
        <v>37</v>
      </c>
      <c r="D955" s="81">
        <f t="shared" si="216"/>
        <v>177636.25208000001</v>
      </c>
      <c r="E955" s="82">
        <f t="shared" si="217"/>
        <v>40210.621080000004</v>
      </c>
      <c r="F955" s="83">
        <f t="shared" ref="F955:F1006" si="218">H955+I955+K955+L955+M955+N955+P955+Q955+R955+T955+U955+W955+Y955+AA955+AC955+AD955+AG955+AH955+AI955+AK955+AM955+AO955+AQ955+AR955+AS955+AT955+AU955+AV955+AW955+AY955+BA955+BB955+BC955+BE955+BF955+BG955+BH955+BI955+BJ955+BK955+BL955+BO955+BP955+BQ955+BS955+BT955+BU955+BW955+BY955+CA955+BM955+BN955</f>
        <v>137425.63099999999</v>
      </c>
      <c r="G955" s="84">
        <v>39578.491170000001</v>
      </c>
      <c r="H955" s="85">
        <f>48279.40918-353.62612</f>
        <v>47925.783060000002</v>
      </c>
      <c r="I955" s="85"/>
      <c r="J955" s="84"/>
      <c r="K955" s="85"/>
      <c r="L955" s="85"/>
      <c r="M955" s="85"/>
      <c r="N955" s="85">
        <v>63250.66992</v>
      </c>
      <c r="O955" s="82"/>
      <c r="P955" s="83"/>
      <c r="Q955" s="83"/>
      <c r="R955" s="83"/>
      <c r="S955" s="82"/>
      <c r="T955" s="83"/>
      <c r="U955" s="83"/>
      <c r="V955" s="84"/>
      <c r="W955" s="85"/>
      <c r="X955" s="87"/>
      <c r="Y955" s="83">
        <v>280.8</v>
      </c>
      <c r="Z955" s="84"/>
      <c r="AA955" s="85">
        <v>763.98400000000004</v>
      </c>
      <c r="AB955" s="84"/>
      <c r="AC955" s="85"/>
      <c r="AD955" s="89">
        <f t="shared" si="211"/>
        <v>281.42409000000004</v>
      </c>
      <c r="AE955" s="89">
        <f>141.246+21.491</f>
        <v>162.73700000000002</v>
      </c>
      <c r="AF955" s="186">
        <v>118.68709</v>
      </c>
      <c r="AG955" s="85"/>
      <c r="AH955" s="85"/>
      <c r="AI955" s="85"/>
      <c r="AJ955" s="84"/>
      <c r="AK955" s="85"/>
      <c r="AL955" s="84"/>
      <c r="AM955" s="88"/>
      <c r="AN955" s="84"/>
      <c r="AO955" s="85"/>
      <c r="AP955" s="84"/>
      <c r="AQ955" s="83"/>
      <c r="AR955" s="83"/>
      <c r="AS955" s="83"/>
      <c r="AT955" s="85"/>
      <c r="AU955" s="85"/>
      <c r="AV955" s="85">
        <v>20165.975579999998</v>
      </c>
      <c r="AW955" s="88"/>
      <c r="AX955" s="84"/>
      <c r="AY955" s="85"/>
      <c r="AZ955" s="84">
        <v>632.12991</v>
      </c>
      <c r="BA955" s="85">
        <v>572.44448999999997</v>
      </c>
      <c r="BB955" s="88"/>
      <c r="BC955" s="85"/>
      <c r="BD955" s="84"/>
      <c r="BE955" s="88"/>
      <c r="BF955" s="85"/>
      <c r="BG955" s="85"/>
      <c r="BH955" s="85"/>
      <c r="BI955" s="85"/>
      <c r="BJ955" s="85"/>
      <c r="BK955" s="85">
        <v>4167.4498599999997</v>
      </c>
      <c r="BL955" s="85"/>
      <c r="BM955" s="85"/>
      <c r="BN955" s="85"/>
      <c r="BO955" s="85"/>
      <c r="BP955" s="85"/>
      <c r="BQ955" s="85"/>
      <c r="BR955" s="84"/>
      <c r="BS955" s="85"/>
      <c r="BT955" s="85"/>
      <c r="BU955" s="97">
        <v>17.100000000000001</v>
      </c>
      <c r="BV955" s="90"/>
      <c r="BW955" s="198"/>
      <c r="BX955" s="90"/>
      <c r="BY955" s="198"/>
      <c r="BZ955" s="90"/>
      <c r="CA955" s="91"/>
    </row>
    <row r="956" spans="1:1199" ht="50.1" customHeight="1" outlineLevel="2" x14ac:dyDescent="0.3">
      <c r="A956" s="106" t="s">
        <v>805</v>
      </c>
      <c r="B956" s="96" t="s">
        <v>985</v>
      </c>
      <c r="C956" s="79" t="s">
        <v>37</v>
      </c>
      <c r="D956" s="81">
        <f t="shared" si="216"/>
        <v>302.91300999999999</v>
      </c>
      <c r="E956" s="82">
        <f t="shared" si="217"/>
        <v>81.547669999999997</v>
      </c>
      <c r="F956" s="83">
        <f t="shared" si="218"/>
        <v>221.36534</v>
      </c>
      <c r="G956" s="84"/>
      <c r="H956" s="85"/>
      <c r="I956" s="85"/>
      <c r="J956" s="84"/>
      <c r="K956" s="85"/>
      <c r="L956" s="85"/>
      <c r="M956" s="85"/>
      <c r="N956" s="85"/>
      <c r="O956" s="82"/>
      <c r="P956" s="83"/>
      <c r="Q956" s="83"/>
      <c r="R956" s="83"/>
      <c r="S956" s="82"/>
      <c r="T956" s="83"/>
      <c r="U956" s="83"/>
      <c r="V956" s="84"/>
      <c r="W956" s="85"/>
      <c r="X956" s="87"/>
      <c r="Y956" s="83"/>
      <c r="Z956" s="84"/>
      <c r="AA956" s="85"/>
      <c r="AB956" s="84"/>
      <c r="AC956" s="85"/>
      <c r="AD956" s="89">
        <f t="shared" si="211"/>
        <v>0</v>
      </c>
      <c r="AE956" s="89"/>
      <c r="AF956" s="186"/>
      <c r="AG956" s="85"/>
      <c r="AH956" s="85"/>
      <c r="AI956" s="85"/>
      <c r="AJ956" s="84"/>
      <c r="AK956" s="85"/>
      <c r="AL956" s="84"/>
      <c r="AM956" s="88"/>
      <c r="AN956" s="84"/>
      <c r="AO956" s="85"/>
      <c r="AP956" s="84"/>
      <c r="AQ956" s="83"/>
      <c r="AR956" s="83"/>
      <c r="AS956" s="83"/>
      <c r="AT956" s="85"/>
      <c r="AU956" s="85"/>
      <c r="AV956" s="85">
        <v>147.51752999999999</v>
      </c>
      <c r="AW956" s="88"/>
      <c r="AX956" s="84"/>
      <c r="AY956" s="85"/>
      <c r="AZ956" s="84">
        <v>81.547669999999997</v>
      </c>
      <c r="BA956" s="85">
        <f>73.84781</f>
        <v>73.847809999999996</v>
      </c>
      <c r="BB956" s="88"/>
      <c r="BC956" s="85"/>
      <c r="BD956" s="84"/>
      <c r="BE956" s="88"/>
      <c r="BF956" s="85"/>
      <c r="BG956" s="85"/>
      <c r="BH956" s="85"/>
      <c r="BI956" s="85"/>
      <c r="BJ956" s="85"/>
      <c r="BK956" s="85"/>
      <c r="BL956" s="85"/>
      <c r="BM956" s="85"/>
      <c r="BN956" s="85"/>
      <c r="BO956" s="85"/>
      <c r="BP956" s="85"/>
      <c r="BQ956" s="85"/>
      <c r="BR956" s="84"/>
      <c r="BS956" s="85"/>
      <c r="BT956" s="85"/>
      <c r="BU956" s="198"/>
      <c r="BV956" s="90"/>
      <c r="BW956" s="198"/>
      <c r="BX956" s="90"/>
      <c r="BY956" s="198"/>
      <c r="BZ956" s="90"/>
      <c r="CA956" s="91"/>
    </row>
    <row r="957" spans="1:1199" ht="50.1" customHeight="1" outlineLevel="2" x14ac:dyDescent="0.3">
      <c r="A957" s="106" t="s">
        <v>805</v>
      </c>
      <c r="B957" s="96" t="s">
        <v>1202</v>
      </c>
      <c r="C957" s="79" t="s">
        <v>55</v>
      </c>
      <c r="D957" s="81">
        <f t="shared" si="216"/>
        <v>2985.7130000000002</v>
      </c>
      <c r="E957" s="82">
        <f t="shared" si="217"/>
        <v>0</v>
      </c>
      <c r="F957" s="83">
        <f t="shared" si="218"/>
        <v>2985.7130000000002</v>
      </c>
      <c r="G957" s="84"/>
      <c r="H957" s="85"/>
      <c r="I957" s="85"/>
      <c r="J957" s="84"/>
      <c r="K957" s="85"/>
      <c r="L957" s="85"/>
      <c r="M957" s="85"/>
      <c r="N957" s="85"/>
      <c r="O957" s="82"/>
      <c r="P957" s="83"/>
      <c r="Q957" s="83"/>
      <c r="R957" s="83"/>
      <c r="S957" s="82"/>
      <c r="T957" s="83"/>
      <c r="U957" s="83"/>
      <c r="V957" s="84"/>
      <c r="W957" s="85"/>
      <c r="X957" s="87"/>
      <c r="Y957" s="83"/>
      <c r="Z957" s="84"/>
      <c r="AA957" s="85"/>
      <c r="AB957" s="84"/>
      <c r="AC957" s="85"/>
      <c r="AD957" s="89"/>
      <c r="AE957" s="89"/>
      <c r="AF957" s="186"/>
      <c r="AG957" s="85"/>
      <c r="AH957" s="85"/>
      <c r="AI957" s="85"/>
      <c r="AJ957" s="84"/>
      <c r="AK957" s="85"/>
      <c r="AL957" s="84"/>
      <c r="AM957" s="88"/>
      <c r="AN957" s="84"/>
      <c r="AO957" s="85"/>
      <c r="AP957" s="84"/>
      <c r="AQ957" s="83"/>
      <c r="AR957" s="83"/>
      <c r="AS957" s="83"/>
      <c r="AT957" s="85"/>
      <c r="AU957" s="85"/>
      <c r="AV957" s="85"/>
      <c r="AW957" s="88"/>
      <c r="AX957" s="84"/>
      <c r="AY957" s="85"/>
      <c r="AZ957" s="84"/>
      <c r="BA957" s="85"/>
      <c r="BB957" s="88"/>
      <c r="BC957" s="85"/>
      <c r="BD957" s="84"/>
      <c r="BE957" s="88"/>
      <c r="BF957" s="85"/>
      <c r="BG957" s="85"/>
      <c r="BH957" s="85"/>
      <c r="BI957" s="85"/>
      <c r="BJ957" s="85"/>
      <c r="BK957" s="85"/>
      <c r="BL957" s="85"/>
      <c r="BM957" s="85"/>
      <c r="BN957" s="85"/>
      <c r="BO957" s="85"/>
      <c r="BP957" s="85"/>
      <c r="BQ957" s="85"/>
      <c r="BR957" s="84"/>
      <c r="BS957" s="85"/>
      <c r="BT957" s="85"/>
      <c r="BU957" s="198"/>
      <c r="BV957" s="90"/>
      <c r="BW957" s="198">
        <v>2985.7130000000002</v>
      </c>
      <c r="BX957" s="90"/>
      <c r="BY957" s="198"/>
      <c r="BZ957" s="90"/>
      <c r="CA957" s="91"/>
    </row>
    <row r="958" spans="1:1199" ht="50.1" customHeight="1" outlineLevel="2" x14ac:dyDescent="0.3">
      <c r="A958" s="106" t="s">
        <v>805</v>
      </c>
      <c r="B958" s="96" t="s">
        <v>813</v>
      </c>
      <c r="C958" s="79" t="s">
        <v>53</v>
      </c>
      <c r="D958" s="81">
        <f t="shared" si="216"/>
        <v>333.79930000000002</v>
      </c>
      <c r="E958" s="82">
        <f t="shared" si="217"/>
        <v>128.12869000000001</v>
      </c>
      <c r="F958" s="83">
        <f t="shared" si="218"/>
        <v>205.67061000000001</v>
      </c>
      <c r="G958" s="84"/>
      <c r="H958" s="85"/>
      <c r="I958" s="85"/>
      <c r="J958" s="84"/>
      <c r="K958" s="85"/>
      <c r="L958" s="85"/>
      <c r="M958" s="85"/>
      <c r="N958" s="85"/>
      <c r="O958" s="82"/>
      <c r="P958" s="83"/>
      <c r="Q958" s="83"/>
      <c r="R958" s="83"/>
      <c r="S958" s="82"/>
      <c r="T958" s="83"/>
      <c r="U958" s="83"/>
      <c r="V958" s="84"/>
      <c r="W958" s="85"/>
      <c r="X958" s="87"/>
      <c r="Y958" s="83">
        <v>62.4</v>
      </c>
      <c r="Z958" s="114"/>
      <c r="AA958" s="85"/>
      <c r="AB958" s="84"/>
      <c r="AC958" s="85"/>
      <c r="AD958" s="89">
        <f t="shared" si="211"/>
        <v>27.239660000000001</v>
      </c>
      <c r="AE958" s="89"/>
      <c r="AF958" s="186">
        <v>27.239660000000001</v>
      </c>
      <c r="AG958" s="85"/>
      <c r="AH958" s="85"/>
      <c r="AI958" s="85"/>
      <c r="AJ958" s="84"/>
      <c r="AK958" s="85"/>
      <c r="AL958" s="84"/>
      <c r="AM958" s="88"/>
      <c r="AN958" s="84"/>
      <c r="AO958" s="85"/>
      <c r="AP958" s="84"/>
      <c r="AQ958" s="83"/>
      <c r="AR958" s="83"/>
      <c r="AS958" s="83"/>
      <c r="AT958" s="85"/>
      <c r="AU958" s="85"/>
      <c r="AV958" s="85"/>
      <c r="AW958" s="88"/>
      <c r="AX958" s="84"/>
      <c r="AY958" s="85"/>
      <c r="AZ958" s="84">
        <v>128.12869000000001</v>
      </c>
      <c r="BA958" s="85">
        <v>116.03095</v>
      </c>
      <c r="BB958" s="88"/>
      <c r="BC958" s="85"/>
      <c r="BD958" s="84"/>
      <c r="BE958" s="88"/>
      <c r="BF958" s="85"/>
      <c r="BG958" s="85"/>
      <c r="BH958" s="85"/>
      <c r="BI958" s="85"/>
      <c r="BJ958" s="85"/>
      <c r="BK958" s="85"/>
      <c r="BL958" s="85"/>
      <c r="BM958" s="85"/>
      <c r="BN958" s="85"/>
      <c r="BO958" s="85"/>
      <c r="BP958" s="85"/>
      <c r="BQ958" s="85"/>
      <c r="BR958" s="84"/>
      <c r="BS958" s="85"/>
      <c r="BT958" s="85"/>
      <c r="BU958" s="198"/>
      <c r="BV958" s="90"/>
      <c r="BW958" s="198"/>
      <c r="BX958" s="90"/>
      <c r="BY958" s="198"/>
      <c r="BZ958" s="90"/>
      <c r="CA958" s="91"/>
    </row>
    <row r="959" spans="1:1199" ht="50.1" customHeight="1" outlineLevel="2" x14ac:dyDescent="0.3">
      <c r="A959" s="106" t="s">
        <v>805</v>
      </c>
      <c r="B959" s="96" t="s">
        <v>814</v>
      </c>
      <c r="C959" s="79" t="s">
        <v>55</v>
      </c>
      <c r="D959" s="81">
        <f t="shared" si="216"/>
        <v>99.429560000000009</v>
      </c>
      <c r="E959" s="82">
        <f t="shared" si="217"/>
        <v>0</v>
      </c>
      <c r="F959" s="83">
        <f t="shared" si="218"/>
        <v>99.429560000000009</v>
      </c>
      <c r="G959" s="84"/>
      <c r="H959" s="85"/>
      <c r="I959" s="85"/>
      <c r="J959" s="84"/>
      <c r="K959" s="85"/>
      <c r="L959" s="85"/>
      <c r="M959" s="85"/>
      <c r="N959" s="85"/>
      <c r="O959" s="82"/>
      <c r="P959" s="83"/>
      <c r="Q959" s="83"/>
      <c r="R959" s="83"/>
      <c r="S959" s="82"/>
      <c r="T959" s="83"/>
      <c r="U959" s="83"/>
      <c r="V959" s="84"/>
      <c r="W959" s="85"/>
      <c r="X959" s="87"/>
      <c r="Y959" s="83">
        <v>70.2</v>
      </c>
      <c r="Z959" s="114"/>
      <c r="AA959" s="85"/>
      <c r="AB959" s="84"/>
      <c r="AC959" s="85"/>
      <c r="AD959" s="89">
        <f t="shared" si="211"/>
        <v>29.229559999999999</v>
      </c>
      <c r="AE959" s="89">
        <v>10.7455</v>
      </c>
      <c r="AF959" s="186">
        <v>18.484059999999999</v>
      </c>
      <c r="AG959" s="85"/>
      <c r="AH959" s="85"/>
      <c r="AI959" s="85"/>
      <c r="AJ959" s="84"/>
      <c r="AK959" s="85"/>
      <c r="AL959" s="84"/>
      <c r="AM959" s="88"/>
      <c r="AN959" s="84"/>
      <c r="AO959" s="85"/>
      <c r="AP959" s="84"/>
      <c r="AQ959" s="83"/>
      <c r="AR959" s="83"/>
      <c r="AS959" s="83"/>
      <c r="AT959" s="85"/>
      <c r="AU959" s="85"/>
      <c r="AV959" s="85"/>
      <c r="AW959" s="88"/>
      <c r="AX959" s="84"/>
      <c r="AY959" s="85"/>
      <c r="AZ959" s="84"/>
      <c r="BA959" s="85"/>
      <c r="BB959" s="88"/>
      <c r="BC959" s="85"/>
      <c r="BD959" s="84"/>
      <c r="BE959" s="88"/>
      <c r="BF959" s="85"/>
      <c r="BG959" s="85"/>
      <c r="BH959" s="85"/>
      <c r="BI959" s="85"/>
      <c r="BJ959" s="85"/>
      <c r="BK959" s="85"/>
      <c r="BL959" s="85"/>
      <c r="BM959" s="85"/>
      <c r="BN959" s="85"/>
      <c r="BO959" s="85"/>
      <c r="BP959" s="85"/>
      <c r="BQ959" s="85"/>
      <c r="BR959" s="84"/>
      <c r="BS959" s="85"/>
      <c r="BT959" s="85"/>
      <c r="BU959" s="198"/>
      <c r="BV959" s="90"/>
      <c r="BW959" s="198"/>
      <c r="BX959" s="90"/>
      <c r="BY959" s="198"/>
      <c r="BZ959" s="90"/>
      <c r="CA959" s="91"/>
    </row>
    <row r="960" spans="1:1199" ht="50.1" customHeight="1" outlineLevel="2" x14ac:dyDescent="0.3">
      <c r="A960" s="106" t="s">
        <v>805</v>
      </c>
      <c r="B960" s="96" t="s">
        <v>815</v>
      </c>
      <c r="C960" s="79" t="s">
        <v>55</v>
      </c>
      <c r="D960" s="81">
        <f t="shared" si="216"/>
        <v>208.14448999999999</v>
      </c>
      <c r="E960" s="82">
        <f t="shared" si="217"/>
        <v>33.135899999999999</v>
      </c>
      <c r="F960" s="83">
        <f t="shared" si="218"/>
        <v>175.00859</v>
      </c>
      <c r="G960" s="84"/>
      <c r="H960" s="85"/>
      <c r="I960" s="85"/>
      <c r="J960" s="84"/>
      <c r="K960" s="85"/>
      <c r="L960" s="85"/>
      <c r="M960" s="85"/>
      <c r="N960" s="85"/>
      <c r="O960" s="82"/>
      <c r="P960" s="83"/>
      <c r="Q960" s="83"/>
      <c r="R960" s="83"/>
      <c r="S960" s="82"/>
      <c r="T960" s="83"/>
      <c r="U960" s="83"/>
      <c r="V960" s="84"/>
      <c r="W960" s="85"/>
      <c r="X960" s="87"/>
      <c r="Y960" s="83">
        <v>32.76</v>
      </c>
      <c r="Z960" s="114"/>
      <c r="AA960" s="85"/>
      <c r="AB960" s="84"/>
      <c r="AC960" s="85"/>
      <c r="AD960" s="89">
        <f t="shared" si="211"/>
        <v>79.594300000000004</v>
      </c>
      <c r="AE960" s="89">
        <v>49.436100000000003</v>
      </c>
      <c r="AF960" s="186">
        <v>30.158200000000001</v>
      </c>
      <c r="AG960" s="85"/>
      <c r="AH960" s="85"/>
      <c r="AI960" s="85"/>
      <c r="AJ960" s="84"/>
      <c r="AK960" s="85"/>
      <c r="AL960" s="84"/>
      <c r="AM960" s="88"/>
      <c r="AN960" s="84"/>
      <c r="AO960" s="85"/>
      <c r="AP960" s="84"/>
      <c r="AQ960" s="83"/>
      <c r="AR960" s="83"/>
      <c r="AS960" s="83"/>
      <c r="AT960" s="85"/>
      <c r="AU960" s="85"/>
      <c r="AV960" s="85"/>
      <c r="AW960" s="88"/>
      <c r="AX960" s="84"/>
      <c r="AY960" s="85"/>
      <c r="AZ960" s="84">
        <v>33.135899999999999</v>
      </c>
      <c r="BA960" s="85">
        <v>30.00723</v>
      </c>
      <c r="BB960" s="88"/>
      <c r="BC960" s="85"/>
      <c r="BD960" s="84"/>
      <c r="BE960" s="88"/>
      <c r="BF960" s="85"/>
      <c r="BG960" s="85"/>
      <c r="BH960" s="85"/>
      <c r="BI960" s="85"/>
      <c r="BJ960" s="85"/>
      <c r="BK960" s="85"/>
      <c r="BL960" s="85"/>
      <c r="BM960" s="85"/>
      <c r="BN960" s="85"/>
      <c r="BO960" s="85"/>
      <c r="BP960" s="85"/>
      <c r="BQ960" s="85"/>
      <c r="BR960" s="84"/>
      <c r="BS960" s="85"/>
      <c r="BT960" s="85">
        <v>32.647060000000003</v>
      </c>
      <c r="BU960" s="198"/>
      <c r="BV960" s="90"/>
      <c r="BW960" s="198"/>
      <c r="BX960" s="90"/>
      <c r="BY960" s="198"/>
      <c r="BZ960" s="90"/>
      <c r="CA960" s="91"/>
    </row>
    <row r="961" spans="1:79" ht="50.1" customHeight="1" outlineLevel="2" x14ac:dyDescent="0.3">
      <c r="A961" s="96" t="s">
        <v>805</v>
      </c>
      <c r="B961" s="80" t="s">
        <v>816</v>
      </c>
      <c r="C961" s="79" t="s">
        <v>55</v>
      </c>
      <c r="D961" s="81">
        <f t="shared" si="216"/>
        <v>424.77390000000003</v>
      </c>
      <c r="E961" s="82">
        <f t="shared" si="217"/>
        <v>115.04770000000001</v>
      </c>
      <c r="F961" s="83">
        <f t="shared" si="218"/>
        <v>309.72620000000001</v>
      </c>
      <c r="G961" s="84"/>
      <c r="H961" s="85"/>
      <c r="I961" s="85"/>
      <c r="J961" s="84"/>
      <c r="K961" s="85"/>
      <c r="L961" s="85"/>
      <c r="M961" s="85"/>
      <c r="N961" s="85"/>
      <c r="O961" s="82"/>
      <c r="P961" s="83">
        <v>5.0639999999999998E-2</v>
      </c>
      <c r="Q961" s="83"/>
      <c r="R961" s="83"/>
      <c r="S961" s="82"/>
      <c r="T961" s="83"/>
      <c r="U961" s="83"/>
      <c r="V961" s="84"/>
      <c r="W961" s="85"/>
      <c r="X961" s="87"/>
      <c r="Y961" s="83">
        <v>94.847999999999999</v>
      </c>
      <c r="Z961" s="84"/>
      <c r="AA961" s="85"/>
      <c r="AB961" s="84"/>
      <c r="AC961" s="85"/>
      <c r="AD961" s="89">
        <f t="shared" si="211"/>
        <v>55.741240000000005</v>
      </c>
      <c r="AE961" s="89">
        <v>35.311500000000002</v>
      </c>
      <c r="AF961" s="186">
        <v>20.429739999999999</v>
      </c>
      <c r="AG961" s="85"/>
      <c r="AH961" s="85"/>
      <c r="AI961" s="85"/>
      <c r="AJ961" s="84"/>
      <c r="AK961" s="85"/>
      <c r="AL961" s="84"/>
      <c r="AM961" s="88"/>
      <c r="AN961" s="84"/>
      <c r="AO961" s="85"/>
      <c r="AP961" s="84"/>
      <c r="AQ961" s="83"/>
      <c r="AR961" s="83"/>
      <c r="AS961" s="83"/>
      <c r="AT961" s="85"/>
      <c r="AU961" s="85"/>
      <c r="AV961" s="85"/>
      <c r="AW961" s="88"/>
      <c r="AX961" s="84"/>
      <c r="AY961" s="85"/>
      <c r="AZ961" s="84">
        <v>115.04770000000001</v>
      </c>
      <c r="BA961" s="85">
        <v>104.185</v>
      </c>
      <c r="BB961" s="88">
        <v>2.4013200000000001</v>
      </c>
      <c r="BC961" s="85"/>
      <c r="BD961" s="84"/>
      <c r="BE961" s="88"/>
      <c r="BF961" s="85"/>
      <c r="BG961" s="85"/>
      <c r="BH961" s="85"/>
      <c r="BI961" s="85"/>
      <c r="BJ961" s="85"/>
      <c r="BK961" s="85"/>
      <c r="BL961" s="85"/>
      <c r="BM961" s="85"/>
      <c r="BN961" s="85"/>
      <c r="BO961" s="85"/>
      <c r="BP961" s="85"/>
      <c r="BQ961" s="85"/>
      <c r="BR961" s="84"/>
      <c r="BS961" s="85"/>
      <c r="BT961" s="85">
        <v>52.5</v>
      </c>
      <c r="BU961" s="198"/>
      <c r="BV961" s="90"/>
      <c r="BW961" s="198"/>
      <c r="BX961" s="90"/>
      <c r="BY961" s="198"/>
      <c r="BZ961" s="90"/>
      <c r="CA961" s="91"/>
    </row>
    <row r="962" spans="1:79" ht="50.1" customHeight="1" outlineLevel="2" x14ac:dyDescent="0.3">
      <c r="A962" s="106" t="s">
        <v>805</v>
      </c>
      <c r="B962" s="96" t="s">
        <v>977</v>
      </c>
      <c r="C962" s="79" t="s">
        <v>55</v>
      </c>
      <c r="D962" s="81">
        <f t="shared" si="216"/>
        <v>185.57623999999998</v>
      </c>
      <c r="E962" s="82">
        <f t="shared" si="217"/>
        <v>60.101799999999997</v>
      </c>
      <c r="F962" s="83">
        <f t="shared" si="218"/>
        <v>125.47444</v>
      </c>
      <c r="G962" s="84"/>
      <c r="H962" s="85"/>
      <c r="I962" s="85"/>
      <c r="J962" s="84"/>
      <c r="K962" s="85"/>
      <c r="L962" s="85"/>
      <c r="M962" s="85"/>
      <c r="N962" s="85"/>
      <c r="O962" s="82"/>
      <c r="P962" s="83"/>
      <c r="Q962" s="83"/>
      <c r="R962" s="83"/>
      <c r="S962" s="82"/>
      <c r="T962" s="83"/>
      <c r="U962" s="83"/>
      <c r="V962" s="84">
        <v>34.792499999999997</v>
      </c>
      <c r="W962" s="85">
        <v>60.75</v>
      </c>
      <c r="X962" s="87"/>
      <c r="Y962" s="83">
        <v>31.824000000000002</v>
      </c>
      <c r="Z962" s="84"/>
      <c r="AA962" s="85"/>
      <c r="AB962" s="84"/>
      <c r="AC962" s="85"/>
      <c r="AD962" s="89">
        <f t="shared" si="211"/>
        <v>9.9808400000000006</v>
      </c>
      <c r="AE962" s="89">
        <v>7.0622999999999996</v>
      </c>
      <c r="AF962" s="186">
        <v>2.9185400000000001</v>
      </c>
      <c r="AG962" s="85"/>
      <c r="AH962" s="85"/>
      <c r="AI962" s="85"/>
      <c r="AJ962" s="84"/>
      <c r="AK962" s="85"/>
      <c r="AL962" s="84"/>
      <c r="AM962" s="88"/>
      <c r="AN962" s="84"/>
      <c r="AO962" s="85"/>
      <c r="AP962" s="84"/>
      <c r="AQ962" s="83"/>
      <c r="AR962" s="83"/>
      <c r="AS962" s="83"/>
      <c r="AT962" s="85"/>
      <c r="AU962" s="85"/>
      <c r="AV962" s="85"/>
      <c r="AW962" s="88"/>
      <c r="AX962" s="84"/>
      <c r="AY962" s="85"/>
      <c r="AZ962" s="84">
        <v>25.3093</v>
      </c>
      <c r="BA962" s="85">
        <v>22.919599999999999</v>
      </c>
      <c r="BB962" s="88"/>
      <c r="BC962" s="85"/>
      <c r="BD962" s="84"/>
      <c r="BE962" s="88"/>
      <c r="BF962" s="85"/>
      <c r="BG962" s="85"/>
      <c r="BH962" s="85"/>
      <c r="BI962" s="85"/>
      <c r="BJ962" s="85"/>
      <c r="BK962" s="85"/>
      <c r="BL962" s="85"/>
      <c r="BM962" s="85"/>
      <c r="BN962" s="85"/>
      <c r="BO962" s="85"/>
      <c r="BP962" s="85"/>
      <c r="BQ962" s="85"/>
      <c r="BR962" s="84"/>
      <c r="BS962" s="85"/>
      <c r="BT962" s="85"/>
      <c r="BU962" s="198"/>
      <c r="BV962" s="90"/>
      <c r="BW962" s="198"/>
      <c r="BX962" s="90"/>
      <c r="BY962" s="198"/>
      <c r="BZ962" s="90"/>
      <c r="CA962" s="91"/>
    </row>
    <row r="963" spans="1:79" ht="50.1" customHeight="1" outlineLevel="2" x14ac:dyDescent="0.3">
      <c r="A963" s="106" t="s">
        <v>805</v>
      </c>
      <c r="B963" s="96" t="s">
        <v>817</v>
      </c>
      <c r="C963" s="79" t="s">
        <v>55</v>
      </c>
      <c r="D963" s="81">
        <f t="shared" si="216"/>
        <v>723.58798000000002</v>
      </c>
      <c r="E963" s="82">
        <f t="shared" si="217"/>
        <v>314.75776999999999</v>
      </c>
      <c r="F963" s="83">
        <f t="shared" si="218"/>
        <v>408.83021000000002</v>
      </c>
      <c r="G963" s="84"/>
      <c r="H963" s="85"/>
      <c r="I963" s="85"/>
      <c r="J963" s="84">
        <v>71.834329999999994</v>
      </c>
      <c r="K963" s="85">
        <v>35.917160000000003</v>
      </c>
      <c r="L963" s="85"/>
      <c r="M963" s="85"/>
      <c r="N963" s="85"/>
      <c r="O963" s="82">
        <v>1.7056</v>
      </c>
      <c r="P963" s="83">
        <v>0.16744999999999999</v>
      </c>
      <c r="Q963" s="83"/>
      <c r="R963" s="83"/>
      <c r="S963" s="82"/>
      <c r="T963" s="83"/>
      <c r="U963" s="83"/>
      <c r="V963" s="84">
        <v>11.5975</v>
      </c>
      <c r="W963" s="85">
        <v>20.25</v>
      </c>
      <c r="X963" s="87"/>
      <c r="Y963" s="83">
        <v>75.191999999999993</v>
      </c>
      <c r="Z963" s="114"/>
      <c r="AA963" s="85"/>
      <c r="AB963" s="84"/>
      <c r="AC963" s="85"/>
      <c r="AD963" s="89">
        <f t="shared" si="211"/>
        <v>69.363820000000004</v>
      </c>
      <c r="AE963" s="89">
        <v>23.6401</v>
      </c>
      <c r="AF963" s="186">
        <v>45.72372</v>
      </c>
      <c r="AG963" s="85"/>
      <c r="AH963" s="85"/>
      <c r="AI963" s="85"/>
      <c r="AJ963" s="84"/>
      <c r="AK963" s="85"/>
      <c r="AL963" s="84"/>
      <c r="AM963" s="88"/>
      <c r="AN963" s="84"/>
      <c r="AO963" s="85"/>
      <c r="AP963" s="84"/>
      <c r="AQ963" s="83"/>
      <c r="AR963" s="83"/>
      <c r="AS963" s="83"/>
      <c r="AT963" s="85"/>
      <c r="AU963" s="85"/>
      <c r="AV963" s="85"/>
      <c r="AW963" s="88"/>
      <c r="AX963" s="84"/>
      <c r="AY963" s="85"/>
      <c r="AZ963" s="84">
        <v>229.62034</v>
      </c>
      <c r="BA963" s="85">
        <v>207.93978000000001</v>
      </c>
      <c r="BB963" s="88"/>
      <c r="BC963" s="85"/>
      <c r="BD963" s="84"/>
      <c r="BE963" s="88"/>
      <c r="BF963" s="85"/>
      <c r="BG963" s="85"/>
      <c r="BH963" s="85"/>
      <c r="BI963" s="85"/>
      <c r="BJ963" s="85"/>
      <c r="BK963" s="85"/>
      <c r="BL963" s="85"/>
      <c r="BM963" s="85"/>
      <c r="BN963" s="85"/>
      <c r="BO963" s="85"/>
      <c r="BP963" s="85"/>
      <c r="BQ963" s="85"/>
      <c r="BR963" s="84"/>
      <c r="BS963" s="85"/>
      <c r="BT963" s="85"/>
      <c r="BU963" s="198"/>
      <c r="BV963" s="90"/>
      <c r="BW963" s="198"/>
      <c r="BX963" s="90"/>
      <c r="BY963" s="198"/>
      <c r="BZ963" s="90"/>
      <c r="CA963" s="91"/>
    </row>
    <row r="964" spans="1:79" ht="50.1" customHeight="1" outlineLevel="2" x14ac:dyDescent="0.3">
      <c r="A964" s="106" t="s">
        <v>805</v>
      </c>
      <c r="B964" s="96" t="s">
        <v>818</v>
      </c>
      <c r="C964" s="79" t="s">
        <v>55</v>
      </c>
      <c r="D964" s="81">
        <f t="shared" si="216"/>
        <v>900.18074000000001</v>
      </c>
      <c r="E964" s="82">
        <f t="shared" si="217"/>
        <v>297.89503000000002</v>
      </c>
      <c r="F964" s="83">
        <f t="shared" si="218"/>
        <v>602.28570999999999</v>
      </c>
      <c r="G964" s="84"/>
      <c r="H964" s="85"/>
      <c r="I964" s="85"/>
      <c r="J964" s="84">
        <v>55.004150000000003</v>
      </c>
      <c r="K964" s="85">
        <v>27.50206</v>
      </c>
      <c r="L964" s="85">
        <v>1.1819299999999999</v>
      </c>
      <c r="M964" s="85"/>
      <c r="N964" s="85"/>
      <c r="O964" s="82">
        <v>0.98929999999999996</v>
      </c>
      <c r="P964" s="83">
        <v>9.7040000000000001E-2</v>
      </c>
      <c r="Q964" s="83"/>
      <c r="R964" s="83"/>
      <c r="S964" s="82"/>
      <c r="T964" s="83"/>
      <c r="U964" s="83"/>
      <c r="V964" s="84">
        <v>23.195</v>
      </c>
      <c r="W964" s="85">
        <v>40.5</v>
      </c>
      <c r="X964" s="87"/>
      <c r="Y964" s="83">
        <v>85.8</v>
      </c>
      <c r="Z964" s="114"/>
      <c r="AA964" s="85"/>
      <c r="AB964" s="84"/>
      <c r="AC964" s="85"/>
      <c r="AD964" s="89">
        <f t="shared" si="211"/>
        <v>123.40902</v>
      </c>
      <c r="AE964" s="89">
        <v>77.685299999999998</v>
      </c>
      <c r="AF964" s="186">
        <v>45.72372</v>
      </c>
      <c r="AG964" s="85"/>
      <c r="AH964" s="85"/>
      <c r="AI964" s="85"/>
      <c r="AJ964" s="84"/>
      <c r="AK964" s="85"/>
      <c r="AL964" s="84"/>
      <c r="AM964" s="88"/>
      <c r="AN964" s="84"/>
      <c r="AO964" s="85"/>
      <c r="AP964" s="84"/>
      <c r="AQ964" s="83"/>
      <c r="AR964" s="83"/>
      <c r="AS964" s="83"/>
      <c r="AT964" s="85"/>
      <c r="AU964" s="85"/>
      <c r="AV964" s="85"/>
      <c r="AW964" s="88"/>
      <c r="AX964" s="84"/>
      <c r="AY964" s="85"/>
      <c r="AZ964" s="84">
        <v>218.70658</v>
      </c>
      <c r="BA964" s="85">
        <v>198.05647999999999</v>
      </c>
      <c r="BB964" s="88"/>
      <c r="BC964" s="85"/>
      <c r="BD964" s="84"/>
      <c r="BE964" s="88"/>
      <c r="BF964" s="85"/>
      <c r="BG964" s="85">
        <v>125.73918</v>
      </c>
      <c r="BH964" s="85"/>
      <c r="BI964" s="85"/>
      <c r="BJ964" s="85"/>
      <c r="BK964" s="85"/>
      <c r="BL964" s="85"/>
      <c r="BM964" s="85"/>
      <c r="BN964" s="85"/>
      <c r="BO964" s="85"/>
      <c r="BP964" s="85"/>
      <c r="BQ964" s="85"/>
      <c r="BR964" s="84"/>
      <c r="BS964" s="85"/>
      <c r="BT964" s="85"/>
      <c r="BU964" s="198"/>
      <c r="BV964" s="90"/>
      <c r="BW964" s="198"/>
      <c r="BX964" s="90"/>
      <c r="BY964" s="198"/>
      <c r="BZ964" s="90"/>
      <c r="CA964" s="91"/>
    </row>
    <row r="965" spans="1:79" ht="50.1" customHeight="1" outlineLevel="2" x14ac:dyDescent="0.3">
      <c r="A965" s="106" t="s">
        <v>805</v>
      </c>
      <c r="B965" s="96" t="s">
        <v>819</v>
      </c>
      <c r="C965" s="79" t="s">
        <v>55</v>
      </c>
      <c r="D965" s="81">
        <f t="shared" si="216"/>
        <v>99.781679999999994</v>
      </c>
      <c r="E965" s="82">
        <f t="shared" si="217"/>
        <v>44.176380000000002</v>
      </c>
      <c r="F965" s="83">
        <f t="shared" si="218"/>
        <v>55.6053</v>
      </c>
      <c r="G965" s="84"/>
      <c r="H965" s="85"/>
      <c r="I965" s="85"/>
      <c r="J965" s="84"/>
      <c r="K965" s="85"/>
      <c r="L965" s="85"/>
      <c r="M965" s="85"/>
      <c r="N965" s="85"/>
      <c r="O965" s="82"/>
      <c r="P965" s="83"/>
      <c r="Q965" s="83"/>
      <c r="R965" s="83"/>
      <c r="S965" s="82"/>
      <c r="T965" s="83"/>
      <c r="U965" s="83"/>
      <c r="V965" s="84"/>
      <c r="W965" s="85"/>
      <c r="X965" s="87"/>
      <c r="Y965" s="83">
        <v>15.6</v>
      </c>
      <c r="Z965" s="114"/>
      <c r="AA965" s="85"/>
      <c r="AB965" s="84"/>
      <c r="AC965" s="85"/>
      <c r="AD965" s="89">
        <f t="shared" si="211"/>
        <v>0</v>
      </c>
      <c r="AE965" s="89"/>
      <c r="AF965" s="186"/>
      <c r="AG965" s="85"/>
      <c r="AH965" s="85"/>
      <c r="AI965" s="85"/>
      <c r="AJ965" s="84"/>
      <c r="AK965" s="85"/>
      <c r="AL965" s="84"/>
      <c r="AM965" s="88"/>
      <c r="AN965" s="84"/>
      <c r="AO965" s="85"/>
      <c r="AP965" s="84"/>
      <c r="AQ965" s="83"/>
      <c r="AR965" s="83"/>
      <c r="AS965" s="83"/>
      <c r="AT965" s="85"/>
      <c r="AU965" s="85"/>
      <c r="AV965" s="85"/>
      <c r="AW965" s="88"/>
      <c r="AX965" s="84"/>
      <c r="AY965" s="85"/>
      <c r="AZ965" s="84">
        <v>44.176380000000002</v>
      </c>
      <c r="BA965" s="85">
        <v>40.005299999999998</v>
      </c>
      <c r="BB965" s="88"/>
      <c r="BC965" s="85"/>
      <c r="BD965" s="84"/>
      <c r="BE965" s="88"/>
      <c r="BF965" s="85"/>
      <c r="BG965" s="85"/>
      <c r="BH965" s="85"/>
      <c r="BI965" s="85"/>
      <c r="BJ965" s="85"/>
      <c r="BK965" s="85"/>
      <c r="BL965" s="85"/>
      <c r="BM965" s="85"/>
      <c r="BN965" s="85"/>
      <c r="BO965" s="85"/>
      <c r="BP965" s="85"/>
      <c r="BQ965" s="85"/>
      <c r="BR965" s="84"/>
      <c r="BS965" s="85"/>
      <c r="BT965" s="85"/>
      <c r="BU965" s="198"/>
      <c r="BV965" s="90"/>
      <c r="BW965" s="198"/>
      <c r="BX965" s="90"/>
      <c r="BY965" s="198"/>
      <c r="BZ965" s="90"/>
      <c r="CA965" s="91"/>
    </row>
    <row r="966" spans="1:79" ht="50.1" customHeight="1" outlineLevel="2" x14ac:dyDescent="0.3">
      <c r="A966" s="106" t="s">
        <v>805</v>
      </c>
      <c r="B966" s="96" t="s">
        <v>820</v>
      </c>
      <c r="C966" s="79" t="s">
        <v>55</v>
      </c>
      <c r="D966" s="81">
        <f t="shared" si="216"/>
        <v>330.33642999999995</v>
      </c>
      <c r="E966" s="82">
        <f t="shared" si="217"/>
        <v>141.37281999999999</v>
      </c>
      <c r="F966" s="83">
        <f t="shared" si="218"/>
        <v>188.96360999999999</v>
      </c>
      <c r="G966" s="84"/>
      <c r="H966" s="85"/>
      <c r="I966" s="85"/>
      <c r="J966" s="84">
        <v>13.42005</v>
      </c>
      <c r="K966" s="85">
        <v>5.6998899999999999</v>
      </c>
      <c r="L966" s="85"/>
      <c r="M966" s="85"/>
      <c r="N966" s="85"/>
      <c r="O966" s="82"/>
      <c r="P966" s="83"/>
      <c r="Q966" s="83"/>
      <c r="R966" s="83"/>
      <c r="S966" s="82"/>
      <c r="T966" s="83"/>
      <c r="U966" s="83"/>
      <c r="V966" s="84"/>
      <c r="W966" s="85"/>
      <c r="X966" s="87"/>
      <c r="Y966" s="83">
        <v>67.391999999999996</v>
      </c>
      <c r="Z966" s="114"/>
      <c r="AA966" s="85"/>
      <c r="AB966" s="84"/>
      <c r="AC966" s="85"/>
      <c r="AD966" s="89">
        <f t="shared" si="211"/>
        <v>0</v>
      </c>
      <c r="AE966" s="89"/>
      <c r="AF966" s="186"/>
      <c r="AG966" s="85"/>
      <c r="AH966" s="85"/>
      <c r="AI966" s="85"/>
      <c r="AJ966" s="84"/>
      <c r="AK966" s="85"/>
      <c r="AL966" s="84"/>
      <c r="AM966" s="88"/>
      <c r="AN966" s="84"/>
      <c r="AO966" s="85"/>
      <c r="AP966" s="84"/>
      <c r="AQ966" s="83"/>
      <c r="AR966" s="83"/>
      <c r="AS966" s="83"/>
      <c r="AT966" s="85"/>
      <c r="AU966" s="85"/>
      <c r="AV966" s="85"/>
      <c r="AW966" s="88"/>
      <c r="AX966" s="84"/>
      <c r="AY966" s="85"/>
      <c r="AZ966" s="84">
        <v>127.95277</v>
      </c>
      <c r="BA966" s="85">
        <v>115.87172</v>
      </c>
      <c r="BB966" s="88"/>
      <c r="BC966" s="85"/>
      <c r="BD966" s="84"/>
      <c r="BE966" s="88"/>
      <c r="BF966" s="85"/>
      <c r="BG966" s="85"/>
      <c r="BH966" s="85"/>
      <c r="BI966" s="85"/>
      <c r="BJ966" s="85"/>
      <c r="BK966" s="85"/>
      <c r="BL966" s="85"/>
      <c r="BM966" s="85"/>
      <c r="BN966" s="85"/>
      <c r="BO966" s="85"/>
      <c r="BP966" s="85"/>
      <c r="BQ966" s="85"/>
      <c r="BR966" s="84"/>
      <c r="BS966" s="85"/>
      <c r="BT966" s="85"/>
      <c r="BU966" s="198"/>
      <c r="BV966" s="90"/>
      <c r="BW966" s="198"/>
      <c r="BX966" s="90"/>
      <c r="BY966" s="198"/>
      <c r="BZ966" s="90"/>
      <c r="CA966" s="91"/>
    </row>
    <row r="967" spans="1:79" ht="50.1" customHeight="1" outlineLevel="2" x14ac:dyDescent="0.3">
      <c r="A967" s="106" t="s">
        <v>805</v>
      </c>
      <c r="B967" s="96" t="s">
        <v>821</v>
      </c>
      <c r="C967" s="79" t="s">
        <v>55</v>
      </c>
      <c r="D967" s="81">
        <f t="shared" si="216"/>
        <v>1473.6161400000001</v>
      </c>
      <c r="E967" s="82">
        <f t="shared" si="217"/>
        <v>424.05119000000002</v>
      </c>
      <c r="F967" s="83">
        <f t="shared" si="218"/>
        <v>1049.56495</v>
      </c>
      <c r="G967" s="84"/>
      <c r="H967" s="85"/>
      <c r="I967" s="85"/>
      <c r="J967" s="84">
        <v>87.491399999999999</v>
      </c>
      <c r="K967" s="85">
        <v>38.230119999999999</v>
      </c>
      <c r="L967" s="85"/>
      <c r="M967" s="85"/>
      <c r="N967" s="85"/>
      <c r="O967" s="82"/>
      <c r="P967" s="83"/>
      <c r="Q967" s="83"/>
      <c r="R967" s="83"/>
      <c r="S967" s="82"/>
      <c r="T967" s="83"/>
      <c r="U967" s="83"/>
      <c r="V967" s="84"/>
      <c r="W967" s="85"/>
      <c r="X967" s="87"/>
      <c r="Y967" s="83">
        <v>184.08</v>
      </c>
      <c r="Z967" s="114"/>
      <c r="AA967" s="85"/>
      <c r="AB967" s="84"/>
      <c r="AC967" s="85"/>
      <c r="AD967" s="89">
        <f t="shared" si="211"/>
        <v>139.90388000000002</v>
      </c>
      <c r="AE967" s="89">
        <v>49.429299999999998</v>
      </c>
      <c r="AF967" s="186">
        <v>90.474580000000003</v>
      </c>
      <c r="AG967" s="85"/>
      <c r="AH967" s="85"/>
      <c r="AI967" s="85"/>
      <c r="AJ967" s="84"/>
      <c r="AK967" s="85"/>
      <c r="AL967" s="84"/>
      <c r="AM967" s="88"/>
      <c r="AN967" s="84"/>
      <c r="AO967" s="85"/>
      <c r="AP967" s="84"/>
      <c r="AQ967" s="83"/>
      <c r="AR967" s="83"/>
      <c r="AS967" s="83"/>
      <c r="AT967" s="85"/>
      <c r="AU967" s="85"/>
      <c r="AV967" s="85"/>
      <c r="AW967" s="88"/>
      <c r="AX967" s="84"/>
      <c r="AY967" s="85"/>
      <c r="AZ967" s="84">
        <v>336.55979000000002</v>
      </c>
      <c r="BA967" s="85">
        <v>304.78215999999998</v>
      </c>
      <c r="BB967" s="88"/>
      <c r="BC967" s="85"/>
      <c r="BD967" s="84"/>
      <c r="BE967" s="88"/>
      <c r="BF967" s="85"/>
      <c r="BG967" s="85">
        <v>312.06878999999998</v>
      </c>
      <c r="BH967" s="85"/>
      <c r="BI967" s="85"/>
      <c r="BJ967" s="85"/>
      <c r="BK967" s="85"/>
      <c r="BL967" s="85"/>
      <c r="BM967" s="85"/>
      <c r="BN967" s="85"/>
      <c r="BO967" s="85"/>
      <c r="BP967" s="85"/>
      <c r="BQ967" s="85"/>
      <c r="BR967" s="84"/>
      <c r="BS967" s="85"/>
      <c r="BT967" s="85">
        <v>70.5</v>
      </c>
      <c r="BU967" s="198"/>
      <c r="BV967" s="90"/>
      <c r="BW967" s="198"/>
      <c r="BX967" s="90"/>
      <c r="BY967" s="198"/>
      <c r="BZ967" s="90"/>
      <c r="CA967" s="91"/>
    </row>
    <row r="968" spans="1:79" ht="50.1" customHeight="1" outlineLevel="2" x14ac:dyDescent="0.3">
      <c r="A968" s="106" t="s">
        <v>805</v>
      </c>
      <c r="B968" s="96" t="s">
        <v>1260</v>
      </c>
      <c r="C968" s="79" t="s">
        <v>55</v>
      </c>
      <c r="D968" s="81">
        <f t="shared" si="216"/>
        <v>20.591999999999999</v>
      </c>
      <c r="E968" s="82">
        <f t="shared" si="217"/>
        <v>0</v>
      </c>
      <c r="F968" s="83">
        <f t="shared" si="218"/>
        <v>20.591999999999999</v>
      </c>
      <c r="G968" s="84"/>
      <c r="H968" s="85"/>
      <c r="I968" s="85"/>
      <c r="J968" s="84"/>
      <c r="K968" s="85"/>
      <c r="L968" s="85"/>
      <c r="M968" s="85"/>
      <c r="N968" s="85"/>
      <c r="O968" s="82"/>
      <c r="P968" s="83"/>
      <c r="Q968" s="83"/>
      <c r="R968" s="83"/>
      <c r="S968" s="82"/>
      <c r="T968" s="83"/>
      <c r="U968" s="83"/>
      <c r="V968" s="84"/>
      <c r="W968" s="85"/>
      <c r="X968" s="87"/>
      <c r="Y968" s="83">
        <v>20.591999999999999</v>
      </c>
      <c r="Z968" s="114"/>
      <c r="AA968" s="85"/>
      <c r="AB968" s="84"/>
      <c r="AC968" s="85"/>
      <c r="AD968" s="89"/>
      <c r="AE968" s="89"/>
      <c r="AF968" s="186"/>
      <c r="AG968" s="85"/>
      <c r="AH968" s="85"/>
      <c r="AI968" s="85"/>
      <c r="AJ968" s="84"/>
      <c r="AK968" s="85"/>
      <c r="AL968" s="84"/>
      <c r="AM968" s="88"/>
      <c r="AN968" s="84"/>
      <c r="AO968" s="85"/>
      <c r="AP968" s="84"/>
      <c r="AQ968" s="83"/>
      <c r="AR968" s="83"/>
      <c r="AS968" s="83"/>
      <c r="AT968" s="85"/>
      <c r="AU968" s="85"/>
      <c r="AV968" s="85"/>
      <c r="AW968" s="88"/>
      <c r="AX968" s="84"/>
      <c r="AY968" s="85"/>
      <c r="AZ968" s="84"/>
      <c r="BA968" s="85"/>
      <c r="BB968" s="88"/>
      <c r="BC968" s="85"/>
      <c r="BD968" s="84"/>
      <c r="BE968" s="88"/>
      <c r="BF968" s="85"/>
      <c r="BG968" s="85"/>
      <c r="BH968" s="85"/>
      <c r="BI968" s="85"/>
      <c r="BJ968" s="85"/>
      <c r="BK968" s="85"/>
      <c r="BL968" s="85"/>
      <c r="BM968" s="85"/>
      <c r="BN968" s="85"/>
      <c r="BO968" s="85"/>
      <c r="BP968" s="85"/>
      <c r="BQ968" s="85"/>
      <c r="BR968" s="84"/>
      <c r="BS968" s="85"/>
      <c r="BT968" s="85"/>
      <c r="BU968" s="198"/>
      <c r="BV968" s="90"/>
      <c r="BW968" s="198"/>
      <c r="BX968" s="90"/>
      <c r="BY968" s="198"/>
      <c r="BZ968" s="90"/>
      <c r="CA968" s="91"/>
    </row>
    <row r="969" spans="1:79" ht="50.1" customHeight="1" outlineLevel="2" x14ac:dyDescent="0.3">
      <c r="A969" s="106" t="s">
        <v>805</v>
      </c>
      <c r="B969" s="96" t="s">
        <v>822</v>
      </c>
      <c r="C969" s="79" t="s">
        <v>55</v>
      </c>
      <c r="D969" s="81">
        <f t="shared" si="216"/>
        <v>748.92235000000005</v>
      </c>
      <c r="E969" s="82">
        <f t="shared" si="217"/>
        <v>176.60414</v>
      </c>
      <c r="F969" s="83">
        <f t="shared" si="218"/>
        <v>572.31821000000002</v>
      </c>
      <c r="G969" s="84"/>
      <c r="H969" s="85"/>
      <c r="I969" s="85"/>
      <c r="J969" s="84">
        <v>26.361709999999999</v>
      </c>
      <c r="K969" s="85">
        <v>13.180870000000001</v>
      </c>
      <c r="L969" s="85"/>
      <c r="M969" s="85"/>
      <c r="N969" s="85"/>
      <c r="O969" s="82"/>
      <c r="P969" s="83"/>
      <c r="Q969" s="83"/>
      <c r="R969" s="83"/>
      <c r="S969" s="82"/>
      <c r="T969" s="83"/>
      <c r="U969" s="83"/>
      <c r="V969" s="84"/>
      <c r="W969" s="85"/>
      <c r="X969" s="87"/>
      <c r="Y969" s="83"/>
      <c r="Z969" s="114"/>
      <c r="AA969" s="85"/>
      <c r="AB969" s="84"/>
      <c r="AC969" s="85"/>
      <c r="AD969" s="89">
        <f t="shared" si="211"/>
        <v>0</v>
      </c>
      <c r="AE969" s="89"/>
      <c r="AF969" s="186"/>
      <c r="AG969" s="85"/>
      <c r="AH969" s="85"/>
      <c r="AI969" s="85"/>
      <c r="AJ969" s="84"/>
      <c r="AK969" s="85"/>
      <c r="AL969" s="84"/>
      <c r="AM969" s="88"/>
      <c r="AN969" s="84"/>
      <c r="AO969" s="85"/>
      <c r="AP969" s="84">
        <v>59.854129999999998</v>
      </c>
      <c r="AQ969" s="83">
        <v>73.715879999999999</v>
      </c>
      <c r="AR969" s="83"/>
      <c r="AS969" s="83"/>
      <c r="AT969" s="85"/>
      <c r="AU969" s="85"/>
      <c r="AV969" s="85">
        <v>403.5675</v>
      </c>
      <c r="AW969" s="88"/>
      <c r="AX969" s="84"/>
      <c r="AY969" s="85"/>
      <c r="AZ969" s="84">
        <v>90.388300000000001</v>
      </c>
      <c r="BA969" s="85">
        <v>81.853960000000001</v>
      </c>
      <c r="BB969" s="88"/>
      <c r="BC969" s="85"/>
      <c r="BD969" s="84"/>
      <c r="BE969" s="88"/>
      <c r="BF969" s="85"/>
      <c r="BG969" s="85"/>
      <c r="BH969" s="85"/>
      <c r="BI969" s="85"/>
      <c r="BJ969" s="85"/>
      <c r="BK969" s="85"/>
      <c r="BL969" s="85"/>
      <c r="BM969" s="85"/>
      <c r="BN969" s="85"/>
      <c r="BO969" s="85"/>
      <c r="BP969" s="85"/>
      <c r="BQ969" s="85"/>
      <c r="BR969" s="84"/>
      <c r="BS969" s="85"/>
      <c r="BT969" s="85"/>
      <c r="BU969" s="198"/>
      <c r="BV969" s="90"/>
      <c r="BW969" s="198"/>
      <c r="BX969" s="90"/>
      <c r="BY969" s="198"/>
      <c r="BZ969" s="90"/>
      <c r="CA969" s="91"/>
    </row>
    <row r="970" spans="1:79" ht="50.1" customHeight="1" outlineLevel="2" x14ac:dyDescent="0.3">
      <c r="A970" s="106" t="s">
        <v>805</v>
      </c>
      <c r="B970" s="96" t="s">
        <v>823</v>
      </c>
      <c r="C970" s="79" t="s">
        <v>55</v>
      </c>
      <c r="D970" s="81">
        <f t="shared" si="216"/>
        <v>374.46483000000001</v>
      </c>
      <c r="E970" s="82">
        <f t="shared" si="217"/>
        <v>140.26456999999999</v>
      </c>
      <c r="F970" s="83">
        <f t="shared" si="218"/>
        <v>234.20026000000001</v>
      </c>
      <c r="G970" s="84"/>
      <c r="H970" s="85"/>
      <c r="I970" s="85"/>
      <c r="J970" s="84"/>
      <c r="K970" s="85"/>
      <c r="L970" s="85"/>
      <c r="M970" s="85"/>
      <c r="N970" s="85"/>
      <c r="O970" s="82"/>
      <c r="P970" s="83"/>
      <c r="Q970" s="83"/>
      <c r="R970" s="83"/>
      <c r="S970" s="82"/>
      <c r="T970" s="83"/>
      <c r="U970" s="83"/>
      <c r="V970" s="84"/>
      <c r="W970" s="85"/>
      <c r="X970" s="87"/>
      <c r="Y970" s="83">
        <v>64.896000000000001</v>
      </c>
      <c r="Z970" s="114"/>
      <c r="AA970" s="85"/>
      <c r="AB970" s="84"/>
      <c r="AC970" s="85"/>
      <c r="AD970" s="89">
        <f t="shared" si="211"/>
        <v>42.283360000000002</v>
      </c>
      <c r="AE970" s="89">
        <v>15.043699999999999</v>
      </c>
      <c r="AF970" s="186">
        <v>27.239660000000001</v>
      </c>
      <c r="AG970" s="85"/>
      <c r="AH970" s="85"/>
      <c r="AI970" s="85"/>
      <c r="AJ970" s="84"/>
      <c r="AK970" s="85"/>
      <c r="AL970" s="84"/>
      <c r="AM970" s="88"/>
      <c r="AN970" s="84"/>
      <c r="AO970" s="85"/>
      <c r="AP970" s="84"/>
      <c r="AQ970" s="83"/>
      <c r="AR970" s="83"/>
      <c r="AS970" s="83"/>
      <c r="AT970" s="85"/>
      <c r="AU970" s="85"/>
      <c r="AV970" s="85"/>
      <c r="AW970" s="88"/>
      <c r="AX970" s="84"/>
      <c r="AY970" s="85"/>
      <c r="AZ970" s="84">
        <v>140.26456999999999</v>
      </c>
      <c r="BA970" s="85">
        <v>127.0209</v>
      </c>
      <c r="BB970" s="88"/>
      <c r="BC970" s="85"/>
      <c r="BD970" s="84"/>
      <c r="BE970" s="88"/>
      <c r="BF970" s="85"/>
      <c r="BG970" s="85"/>
      <c r="BH970" s="85"/>
      <c r="BI970" s="85"/>
      <c r="BJ970" s="85"/>
      <c r="BK970" s="85"/>
      <c r="BL970" s="85"/>
      <c r="BM970" s="85"/>
      <c r="BN970" s="85"/>
      <c r="BO970" s="85"/>
      <c r="BP970" s="85"/>
      <c r="BQ970" s="85"/>
      <c r="BR970" s="84"/>
      <c r="BS970" s="85"/>
      <c r="BT970" s="85"/>
      <c r="BU970" s="198"/>
      <c r="BV970" s="90"/>
      <c r="BW970" s="198"/>
      <c r="BX970" s="90"/>
      <c r="BY970" s="198"/>
      <c r="BZ970" s="90"/>
      <c r="CA970" s="91"/>
    </row>
    <row r="971" spans="1:79" ht="50.1" customHeight="1" outlineLevel="2" x14ac:dyDescent="0.3">
      <c r="A971" s="103" t="s">
        <v>805</v>
      </c>
      <c r="B971" s="122" t="s">
        <v>824</v>
      </c>
      <c r="C971" s="79" t="s">
        <v>55</v>
      </c>
      <c r="D971" s="81">
        <f t="shared" si="216"/>
        <v>31.447670000000002</v>
      </c>
      <c r="E971" s="82">
        <f t="shared" si="217"/>
        <v>15.55184</v>
      </c>
      <c r="F971" s="83">
        <f t="shared" si="218"/>
        <v>15.89583</v>
      </c>
      <c r="G971" s="84"/>
      <c r="H971" s="85"/>
      <c r="I971" s="85"/>
      <c r="J971" s="84"/>
      <c r="K971" s="85"/>
      <c r="L971" s="85"/>
      <c r="M971" s="85"/>
      <c r="N971" s="85"/>
      <c r="O971" s="82"/>
      <c r="P971" s="83"/>
      <c r="Q971" s="83"/>
      <c r="R971" s="83"/>
      <c r="S971" s="82"/>
      <c r="T971" s="83"/>
      <c r="U971" s="83"/>
      <c r="V971" s="84"/>
      <c r="W971" s="85"/>
      <c r="X971" s="82"/>
      <c r="Y971" s="83"/>
      <c r="Z971" s="114"/>
      <c r="AA971" s="85"/>
      <c r="AB971" s="84"/>
      <c r="AC971" s="85"/>
      <c r="AD971" s="89">
        <f t="shared" si="211"/>
        <v>0</v>
      </c>
      <c r="AE971" s="89"/>
      <c r="AF971" s="186"/>
      <c r="AG971" s="85"/>
      <c r="AH971" s="85"/>
      <c r="AI971" s="85"/>
      <c r="AJ971" s="84"/>
      <c r="AK971" s="85"/>
      <c r="AL971" s="84"/>
      <c r="AM971" s="88"/>
      <c r="AN971" s="84"/>
      <c r="AO971" s="85"/>
      <c r="AP971" s="84"/>
      <c r="AQ971" s="83"/>
      <c r="AR971" s="83"/>
      <c r="AS971" s="83"/>
      <c r="AT971" s="85"/>
      <c r="AU971" s="85"/>
      <c r="AV971" s="85"/>
      <c r="AW971" s="88"/>
      <c r="AX971" s="84"/>
      <c r="AY971" s="85"/>
      <c r="AZ971" s="84">
        <v>15.55184</v>
      </c>
      <c r="BA971" s="85">
        <v>14.083500000000001</v>
      </c>
      <c r="BB971" s="88">
        <v>1.81233</v>
      </c>
      <c r="BC971" s="85"/>
      <c r="BD971" s="84"/>
      <c r="BE971" s="88"/>
      <c r="BF971" s="85"/>
      <c r="BG971" s="85"/>
      <c r="BH971" s="85"/>
      <c r="BI971" s="85"/>
      <c r="BJ971" s="85"/>
      <c r="BK971" s="85"/>
      <c r="BL971" s="85"/>
      <c r="BM971" s="85"/>
      <c r="BN971" s="85"/>
      <c r="BO971" s="85"/>
      <c r="BP971" s="85"/>
      <c r="BQ971" s="85"/>
      <c r="BR971" s="84"/>
      <c r="BS971" s="85"/>
      <c r="BT971" s="85"/>
      <c r="BU971" s="198"/>
      <c r="BV971" s="90"/>
      <c r="BW971" s="198"/>
      <c r="BX971" s="90"/>
      <c r="BY971" s="198"/>
      <c r="BZ971" s="90"/>
      <c r="CA971" s="91"/>
    </row>
    <row r="972" spans="1:79" ht="50.1" customHeight="1" outlineLevel="2" x14ac:dyDescent="0.3">
      <c r="A972" s="103" t="s">
        <v>805</v>
      </c>
      <c r="B972" s="122" t="s">
        <v>1101</v>
      </c>
      <c r="C972" s="79" t="s">
        <v>55</v>
      </c>
      <c r="D972" s="81">
        <f t="shared" si="216"/>
        <v>906.39599999999996</v>
      </c>
      <c r="E972" s="82">
        <f t="shared" si="217"/>
        <v>330.34399999999999</v>
      </c>
      <c r="F972" s="83">
        <f t="shared" si="218"/>
        <v>576.05200000000002</v>
      </c>
      <c r="G972" s="84"/>
      <c r="H972" s="85"/>
      <c r="I972" s="85"/>
      <c r="J972" s="84"/>
      <c r="K972" s="85"/>
      <c r="L972" s="85"/>
      <c r="M972" s="85"/>
      <c r="N972" s="85"/>
      <c r="O972" s="82"/>
      <c r="P972" s="83"/>
      <c r="Q972" s="83"/>
      <c r="R972" s="83"/>
      <c r="S972" s="82"/>
      <c r="T972" s="83"/>
      <c r="U972" s="83"/>
      <c r="V972" s="84">
        <v>330.34399999999999</v>
      </c>
      <c r="W972" s="85">
        <v>576.05200000000002</v>
      </c>
      <c r="X972" s="82"/>
      <c r="Y972" s="83"/>
      <c r="Z972" s="114"/>
      <c r="AA972" s="85"/>
      <c r="AB972" s="84"/>
      <c r="AC972" s="85"/>
      <c r="AD972" s="89">
        <f>AE972+AF972</f>
        <v>0</v>
      </c>
      <c r="AE972" s="89"/>
      <c r="AF972" s="186"/>
      <c r="AG972" s="85"/>
      <c r="AH972" s="85"/>
      <c r="AI972" s="85"/>
      <c r="AJ972" s="84"/>
      <c r="AK972" s="85"/>
      <c r="AL972" s="84"/>
      <c r="AM972" s="88"/>
      <c r="AN972" s="84"/>
      <c r="AO972" s="85"/>
      <c r="AP972" s="84"/>
      <c r="AQ972" s="83"/>
      <c r="AR972" s="83"/>
      <c r="AS972" s="83"/>
      <c r="AT972" s="85"/>
      <c r="AU972" s="85"/>
      <c r="AV972" s="85"/>
      <c r="AW972" s="88"/>
      <c r="AX972" s="84"/>
      <c r="AY972" s="85"/>
      <c r="AZ972" s="84"/>
      <c r="BA972" s="85"/>
      <c r="BB972" s="88"/>
      <c r="BC972" s="85"/>
      <c r="BD972" s="84"/>
      <c r="BE972" s="88"/>
      <c r="BF972" s="85"/>
      <c r="BG972" s="85"/>
      <c r="BH972" s="85"/>
      <c r="BI972" s="85"/>
      <c r="BJ972" s="85"/>
      <c r="BK972" s="85"/>
      <c r="BL972" s="85"/>
      <c r="BM972" s="85"/>
      <c r="BN972" s="85"/>
      <c r="BO972" s="85"/>
      <c r="BP972" s="85"/>
      <c r="BQ972" s="85"/>
      <c r="BR972" s="84"/>
      <c r="BS972" s="85"/>
      <c r="BT972" s="85"/>
      <c r="BU972" s="198"/>
      <c r="BV972" s="90"/>
      <c r="BW972" s="198"/>
      <c r="BX972" s="90"/>
      <c r="BY972" s="198"/>
      <c r="BZ972" s="90"/>
      <c r="CA972" s="91"/>
    </row>
    <row r="973" spans="1:79" ht="50.1" customHeight="1" outlineLevel="2" x14ac:dyDescent="0.3">
      <c r="A973" s="103" t="s">
        <v>805</v>
      </c>
      <c r="B973" s="122" t="s">
        <v>825</v>
      </c>
      <c r="C973" s="79" t="s">
        <v>55</v>
      </c>
      <c r="D973" s="81">
        <f t="shared" si="216"/>
        <v>267.05267000000003</v>
      </c>
      <c r="E973" s="82">
        <f t="shared" si="217"/>
        <v>87.154030000000006</v>
      </c>
      <c r="F973" s="83">
        <f t="shared" si="218"/>
        <v>179.89864</v>
      </c>
      <c r="G973" s="84"/>
      <c r="H973" s="85"/>
      <c r="I973" s="85"/>
      <c r="J973" s="84"/>
      <c r="K973" s="85"/>
      <c r="L973" s="85"/>
      <c r="M973" s="85"/>
      <c r="N973" s="85"/>
      <c r="O973" s="82"/>
      <c r="P973" s="83"/>
      <c r="Q973" s="83"/>
      <c r="R973" s="83"/>
      <c r="S973" s="82"/>
      <c r="T973" s="83"/>
      <c r="U973" s="83"/>
      <c r="V973" s="84"/>
      <c r="W973" s="85"/>
      <c r="X973" s="82"/>
      <c r="Y973" s="83">
        <v>55.536000000000001</v>
      </c>
      <c r="Z973" s="114"/>
      <c r="AA973" s="85"/>
      <c r="AB973" s="84"/>
      <c r="AC973" s="85"/>
      <c r="AD973" s="89">
        <f t="shared" si="211"/>
        <v>31.888200000000001</v>
      </c>
      <c r="AE973" s="89">
        <v>21.186900000000001</v>
      </c>
      <c r="AF973" s="187">
        <v>10.7013</v>
      </c>
      <c r="AG973" s="85"/>
      <c r="AH973" s="85"/>
      <c r="AI973" s="85"/>
      <c r="AJ973" s="84"/>
      <c r="AK973" s="85"/>
      <c r="AL973" s="84"/>
      <c r="AM973" s="88"/>
      <c r="AN973" s="84"/>
      <c r="AO973" s="85"/>
      <c r="AP973" s="84"/>
      <c r="AQ973" s="83"/>
      <c r="AR973" s="83"/>
      <c r="AS973" s="83"/>
      <c r="AT973" s="85"/>
      <c r="AU973" s="85"/>
      <c r="AV973" s="85"/>
      <c r="AW973" s="88"/>
      <c r="AX973" s="84"/>
      <c r="AY973" s="85"/>
      <c r="AZ973" s="84">
        <v>87.154030000000006</v>
      </c>
      <c r="BA973" s="85">
        <v>78.925129999999996</v>
      </c>
      <c r="BB973" s="88">
        <v>13.54931</v>
      </c>
      <c r="BC973" s="85"/>
      <c r="BD973" s="84"/>
      <c r="BE973" s="88"/>
      <c r="BF973" s="85"/>
      <c r="BG973" s="85"/>
      <c r="BH973" s="85"/>
      <c r="BI973" s="85"/>
      <c r="BJ973" s="85"/>
      <c r="BK973" s="85"/>
      <c r="BL973" s="85"/>
      <c r="BM973" s="85"/>
      <c r="BN973" s="85"/>
      <c r="BO973" s="85"/>
      <c r="BP973" s="85"/>
      <c r="BQ973" s="85"/>
      <c r="BR973" s="84"/>
      <c r="BS973" s="85"/>
      <c r="BT973" s="85"/>
      <c r="BU973" s="198"/>
      <c r="BV973" s="90"/>
      <c r="BW973" s="198"/>
      <c r="BX973" s="90"/>
      <c r="BY973" s="198"/>
      <c r="BZ973" s="90"/>
      <c r="CA973" s="91"/>
    </row>
    <row r="974" spans="1:79" ht="50.1" customHeight="1" outlineLevel="2" x14ac:dyDescent="0.3">
      <c r="A974" s="106" t="s">
        <v>805</v>
      </c>
      <c r="B974" s="102" t="s">
        <v>826</v>
      </c>
      <c r="C974" s="79" t="s">
        <v>37</v>
      </c>
      <c r="D974" s="81">
        <f t="shared" si="216"/>
        <v>10006.20154</v>
      </c>
      <c r="E974" s="82">
        <f t="shared" si="217"/>
        <v>0</v>
      </c>
      <c r="F974" s="83">
        <f t="shared" si="218"/>
        <v>10006.20154</v>
      </c>
      <c r="G974" s="84"/>
      <c r="H974" s="85"/>
      <c r="I974" s="85"/>
      <c r="J974" s="84"/>
      <c r="K974" s="85"/>
      <c r="L974" s="85"/>
      <c r="M974" s="85"/>
      <c r="N974" s="85"/>
      <c r="O974" s="82"/>
      <c r="P974" s="83"/>
      <c r="Q974" s="83"/>
      <c r="R974" s="83"/>
      <c r="S974" s="82"/>
      <c r="T974" s="83"/>
      <c r="U974" s="83"/>
      <c r="V974" s="84"/>
      <c r="W974" s="85"/>
      <c r="X974" s="87"/>
      <c r="Y974" s="83"/>
      <c r="Z974" s="114"/>
      <c r="AA974" s="85"/>
      <c r="AB974" s="84"/>
      <c r="AC974" s="85"/>
      <c r="AD974" s="89">
        <f t="shared" si="211"/>
        <v>0</v>
      </c>
      <c r="AE974" s="89"/>
      <c r="AF974" s="186"/>
      <c r="AG974" s="85"/>
      <c r="AH974" s="85"/>
      <c r="AI974" s="85"/>
      <c r="AJ974" s="84"/>
      <c r="AK974" s="85"/>
      <c r="AL974" s="84"/>
      <c r="AM974" s="88"/>
      <c r="AN974" s="84"/>
      <c r="AO974" s="85"/>
      <c r="AP974" s="84"/>
      <c r="AQ974" s="83"/>
      <c r="AR974" s="83"/>
      <c r="AS974" s="83"/>
      <c r="AT974" s="85"/>
      <c r="AU974" s="85"/>
      <c r="AV974" s="85">
        <v>10000</v>
      </c>
      <c r="AW974" s="88"/>
      <c r="AX974" s="84"/>
      <c r="AY974" s="85"/>
      <c r="AZ974" s="84"/>
      <c r="BA974" s="85"/>
      <c r="BB974" s="88">
        <v>6.2015399999999996</v>
      </c>
      <c r="BC974" s="85"/>
      <c r="BD974" s="84"/>
      <c r="BE974" s="88"/>
      <c r="BF974" s="85"/>
      <c r="BG974" s="85"/>
      <c r="BH974" s="85"/>
      <c r="BI974" s="85"/>
      <c r="BJ974" s="85"/>
      <c r="BK974" s="85"/>
      <c r="BL974" s="85"/>
      <c r="BM974" s="85"/>
      <c r="BN974" s="85"/>
      <c r="BO974" s="85"/>
      <c r="BP974" s="85"/>
      <c r="BQ974" s="85"/>
      <c r="BR974" s="84"/>
      <c r="BS974" s="85"/>
      <c r="BT974" s="85"/>
      <c r="BU974" s="198"/>
      <c r="BV974" s="90"/>
      <c r="BW974" s="198"/>
      <c r="BX974" s="90"/>
      <c r="BY974" s="198"/>
      <c r="BZ974" s="90"/>
      <c r="CA974" s="91"/>
    </row>
    <row r="975" spans="1:79" ht="50.1" customHeight="1" outlineLevel="2" x14ac:dyDescent="0.3">
      <c r="A975" s="106" t="s">
        <v>805</v>
      </c>
      <c r="B975" s="111" t="s">
        <v>827</v>
      </c>
      <c r="C975" s="79"/>
      <c r="D975" s="81">
        <f t="shared" si="216"/>
        <v>300</v>
      </c>
      <c r="E975" s="82">
        <f t="shared" si="217"/>
        <v>0</v>
      </c>
      <c r="F975" s="83">
        <f t="shared" si="218"/>
        <v>300</v>
      </c>
      <c r="G975" s="84"/>
      <c r="H975" s="85"/>
      <c r="I975" s="85"/>
      <c r="J975" s="84"/>
      <c r="K975" s="85"/>
      <c r="L975" s="85"/>
      <c r="M975" s="85"/>
      <c r="N975" s="85"/>
      <c r="O975" s="82"/>
      <c r="P975" s="83"/>
      <c r="Q975" s="83"/>
      <c r="R975" s="83"/>
      <c r="S975" s="82"/>
      <c r="T975" s="83"/>
      <c r="U975" s="83"/>
      <c r="V975" s="84"/>
      <c r="W975" s="85"/>
      <c r="X975" s="82"/>
      <c r="Y975" s="83"/>
      <c r="Z975" s="114"/>
      <c r="AA975" s="85"/>
      <c r="AB975" s="84"/>
      <c r="AC975" s="85"/>
      <c r="AD975" s="89">
        <f t="shared" ref="AD975:AD1029" si="219">AE975+AF975</f>
        <v>0</v>
      </c>
      <c r="AE975" s="89"/>
      <c r="AF975" s="186"/>
      <c r="AG975" s="85"/>
      <c r="AH975" s="85"/>
      <c r="AI975" s="85"/>
      <c r="AJ975" s="84"/>
      <c r="AK975" s="85"/>
      <c r="AL975" s="84"/>
      <c r="AM975" s="88"/>
      <c r="AN975" s="84"/>
      <c r="AO975" s="85"/>
      <c r="AP975" s="84"/>
      <c r="AQ975" s="83"/>
      <c r="AR975" s="83"/>
      <c r="AS975" s="83"/>
      <c r="AT975" s="85"/>
      <c r="AU975" s="85"/>
      <c r="AV975" s="85"/>
      <c r="AW975" s="88"/>
      <c r="AX975" s="84"/>
      <c r="AY975" s="85"/>
      <c r="AZ975" s="84"/>
      <c r="BA975" s="85"/>
      <c r="BB975" s="88"/>
      <c r="BC975" s="85"/>
      <c r="BD975" s="84"/>
      <c r="BE975" s="88"/>
      <c r="BF975" s="85"/>
      <c r="BG975" s="85"/>
      <c r="BH975" s="85">
        <v>300</v>
      </c>
      <c r="BI975" s="85"/>
      <c r="BJ975" s="85"/>
      <c r="BK975" s="85"/>
      <c r="BL975" s="85"/>
      <c r="BM975" s="85"/>
      <c r="BN975" s="85"/>
      <c r="BO975" s="85"/>
      <c r="BP975" s="85"/>
      <c r="BQ975" s="85"/>
      <c r="BR975" s="84"/>
      <c r="BS975" s="85"/>
      <c r="BT975" s="85"/>
      <c r="BU975" s="198"/>
      <c r="BV975" s="90"/>
      <c r="BW975" s="198"/>
      <c r="BX975" s="90"/>
      <c r="BY975" s="198"/>
      <c r="BZ975" s="90"/>
      <c r="CA975" s="91"/>
    </row>
    <row r="976" spans="1:79" ht="50.1" customHeight="1" outlineLevel="2" x14ac:dyDescent="0.3">
      <c r="A976" s="106" t="s">
        <v>805</v>
      </c>
      <c r="B976" s="111" t="s">
        <v>828</v>
      </c>
      <c r="C976" s="79"/>
      <c r="D976" s="81">
        <f t="shared" si="216"/>
        <v>300</v>
      </c>
      <c r="E976" s="82">
        <f t="shared" si="217"/>
        <v>0</v>
      </c>
      <c r="F976" s="83">
        <f t="shared" si="218"/>
        <v>300</v>
      </c>
      <c r="G976" s="84"/>
      <c r="H976" s="85"/>
      <c r="I976" s="85"/>
      <c r="J976" s="84"/>
      <c r="K976" s="85"/>
      <c r="L976" s="85"/>
      <c r="M976" s="85"/>
      <c r="N976" s="85"/>
      <c r="O976" s="82"/>
      <c r="P976" s="83"/>
      <c r="Q976" s="83"/>
      <c r="R976" s="83"/>
      <c r="S976" s="82"/>
      <c r="T976" s="83"/>
      <c r="U976" s="83"/>
      <c r="V976" s="84"/>
      <c r="W976" s="85"/>
      <c r="X976" s="82"/>
      <c r="Y976" s="83"/>
      <c r="Z976" s="114"/>
      <c r="AA976" s="85"/>
      <c r="AB976" s="84"/>
      <c r="AC976" s="85"/>
      <c r="AD976" s="89">
        <f t="shared" si="219"/>
        <v>0</v>
      </c>
      <c r="AE976" s="89"/>
      <c r="AF976" s="186"/>
      <c r="AG976" s="85"/>
      <c r="AH976" s="85"/>
      <c r="AI976" s="85"/>
      <c r="AJ976" s="84"/>
      <c r="AK976" s="85"/>
      <c r="AL976" s="84"/>
      <c r="AM976" s="88"/>
      <c r="AN976" s="84"/>
      <c r="AO976" s="85"/>
      <c r="AP976" s="84"/>
      <c r="AQ976" s="83"/>
      <c r="AR976" s="83"/>
      <c r="AS976" s="83"/>
      <c r="AT976" s="85"/>
      <c r="AU976" s="85"/>
      <c r="AV976" s="85"/>
      <c r="AW976" s="88"/>
      <c r="AX976" s="84"/>
      <c r="AY976" s="85"/>
      <c r="AZ976" s="84"/>
      <c r="BA976" s="85"/>
      <c r="BB976" s="88"/>
      <c r="BC976" s="85"/>
      <c r="BD976" s="84"/>
      <c r="BE976" s="88"/>
      <c r="BF976" s="85"/>
      <c r="BG976" s="85"/>
      <c r="BH976" s="85">
        <v>300</v>
      </c>
      <c r="BI976" s="85"/>
      <c r="BJ976" s="85"/>
      <c r="BK976" s="85"/>
      <c r="BL976" s="85"/>
      <c r="BM976" s="85"/>
      <c r="BN976" s="85"/>
      <c r="BO976" s="85"/>
      <c r="BP976" s="85"/>
      <c r="BQ976" s="85"/>
      <c r="BR976" s="84"/>
      <c r="BS976" s="85"/>
      <c r="BT976" s="85"/>
      <c r="BU976" s="198"/>
      <c r="BV976" s="90"/>
      <c r="BW976" s="198"/>
      <c r="BX976" s="90"/>
      <c r="BY976" s="198"/>
      <c r="BZ976" s="90"/>
      <c r="CA976" s="91"/>
    </row>
    <row r="977" spans="1:1199" ht="50.1" customHeight="1" outlineLevel="2" x14ac:dyDescent="0.3">
      <c r="A977" s="106" t="s">
        <v>805</v>
      </c>
      <c r="B977" s="111" t="s">
        <v>829</v>
      </c>
      <c r="C977" s="79"/>
      <c r="D977" s="81">
        <f t="shared" si="216"/>
        <v>300</v>
      </c>
      <c r="E977" s="82">
        <f t="shared" si="217"/>
        <v>0</v>
      </c>
      <c r="F977" s="83">
        <f t="shared" si="218"/>
        <v>300</v>
      </c>
      <c r="G977" s="84"/>
      <c r="H977" s="85"/>
      <c r="I977" s="85"/>
      <c r="J977" s="84"/>
      <c r="K977" s="85"/>
      <c r="L977" s="85"/>
      <c r="M977" s="85"/>
      <c r="N977" s="85"/>
      <c r="O977" s="82"/>
      <c r="P977" s="83"/>
      <c r="Q977" s="83"/>
      <c r="R977" s="83"/>
      <c r="S977" s="82"/>
      <c r="T977" s="83"/>
      <c r="U977" s="83"/>
      <c r="V977" s="84"/>
      <c r="W977" s="85"/>
      <c r="X977" s="82"/>
      <c r="Y977" s="83"/>
      <c r="Z977" s="114"/>
      <c r="AA977" s="85"/>
      <c r="AB977" s="84"/>
      <c r="AC977" s="85"/>
      <c r="AD977" s="89">
        <f t="shared" si="219"/>
        <v>0</v>
      </c>
      <c r="AE977" s="89"/>
      <c r="AF977" s="186"/>
      <c r="AG977" s="85"/>
      <c r="AH977" s="85"/>
      <c r="AI977" s="85"/>
      <c r="AJ977" s="84"/>
      <c r="AK977" s="85"/>
      <c r="AL977" s="84"/>
      <c r="AM977" s="88"/>
      <c r="AN977" s="84"/>
      <c r="AO977" s="85"/>
      <c r="AP977" s="84"/>
      <c r="AQ977" s="83"/>
      <c r="AR977" s="83"/>
      <c r="AS977" s="83"/>
      <c r="AT977" s="85"/>
      <c r="AU977" s="85"/>
      <c r="AV977" s="85"/>
      <c r="AW977" s="88"/>
      <c r="AX977" s="84"/>
      <c r="AY977" s="85"/>
      <c r="AZ977" s="84"/>
      <c r="BA977" s="85"/>
      <c r="BB977" s="88"/>
      <c r="BC977" s="85"/>
      <c r="BD977" s="84"/>
      <c r="BE977" s="88"/>
      <c r="BF977" s="85"/>
      <c r="BG977" s="85"/>
      <c r="BH977" s="85">
        <v>300</v>
      </c>
      <c r="BI977" s="85"/>
      <c r="BJ977" s="85"/>
      <c r="BK977" s="85"/>
      <c r="BL977" s="85"/>
      <c r="BM977" s="85"/>
      <c r="BN977" s="85"/>
      <c r="BO977" s="85"/>
      <c r="BP977" s="85"/>
      <c r="BQ977" s="85"/>
      <c r="BR977" s="84"/>
      <c r="BS977" s="85"/>
      <c r="BT977" s="85"/>
      <c r="BU977" s="198"/>
      <c r="BV977" s="90"/>
      <c r="BW977" s="198"/>
      <c r="BX977" s="90"/>
      <c r="BY977" s="198"/>
      <c r="BZ977" s="90"/>
      <c r="CA977" s="91"/>
    </row>
    <row r="978" spans="1:1199" ht="50.1" customHeight="1" outlineLevel="2" x14ac:dyDescent="0.3">
      <c r="A978" s="106" t="s">
        <v>805</v>
      </c>
      <c r="B978" s="111" t="s">
        <v>830</v>
      </c>
      <c r="C978" s="79"/>
      <c r="D978" s="81">
        <f t="shared" si="216"/>
        <v>300</v>
      </c>
      <c r="E978" s="82">
        <f t="shared" si="217"/>
        <v>0</v>
      </c>
      <c r="F978" s="83">
        <f t="shared" si="218"/>
        <v>300</v>
      </c>
      <c r="G978" s="84"/>
      <c r="H978" s="85"/>
      <c r="I978" s="85"/>
      <c r="J978" s="84"/>
      <c r="K978" s="85"/>
      <c r="L978" s="85"/>
      <c r="M978" s="85"/>
      <c r="N978" s="85"/>
      <c r="O978" s="82"/>
      <c r="P978" s="83"/>
      <c r="Q978" s="83"/>
      <c r="R978" s="83"/>
      <c r="S978" s="82"/>
      <c r="T978" s="83"/>
      <c r="U978" s="83"/>
      <c r="V978" s="84"/>
      <c r="W978" s="85"/>
      <c r="X978" s="82"/>
      <c r="Y978" s="83"/>
      <c r="Z978" s="114"/>
      <c r="AA978" s="85"/>
      <c r="AB978" s="84"/>
      <c r="AC978" s="85"/>
      <c r="AD978" s="89">
        <f t="shared" si="219"/>
        <v>0</v>
      </c>
      <c r="AE978" s="89"/>
      <c r="AF978" s="186"/>
      <c r="AG978" s="85"/>
      <c r="AH978" s="85"/>
      <c r="AI978" s="85"/>
      <c r="AJ978" s="84"/>
      <c r="AK978" s="85"/>
      <c r="AL978" s="84"/>
      <c r="AM978" s="88"/>
      <c r="AN978" s="84"/>
      <c r="AO978" s="85"/>
      <c r="AP978" s="84"/>
      <c r="AQ978" s="83"/>
      <c r="AR978" s="83"/>
      <c r="AS978" s="83"/>
      <c r="AT978" s="85"/>
      <c r="AU978" s="85"/>
      <c r="AV978" s="85"/>
      <c r="AW978" s="88"/>
      <c r="AX978" s="84"/>
      <c r="AY978" s="85"/>
      <c r="AZ978" s="84"/>
      <c r="BA978" s="85"/>
      <c r="BB978" s="88"/>
      <c r="BC978" s="85"/>
      <c r="BD978" s="84"/>
      <c r="BE978" s="88"/>
      <c r="BF978" s="85"/>
      <c r="BG978" s="85"/>
      <c r="BH978" s="85">
        <v>300</v>
      </c>
      <c r="BI978" s="85"/>
      <c r="BJ978" s="85"/>
      <c r="BK978" s="85"/>
      <c r="BL978" s="85"/>
      <c r="BM978" s="85"/>
      <c r="BN978" s="85"/>
      <c r="BO978" s="85"/>
      <c r="BP978" s="85"/>
      <c r="BQ978" s="85"/>
      <c r="BR978" s="84"/>
      <c r="BS978" s="85"/>
      <c r="BT978" s="85"/>
      <c r="BU978" s="198"/>
      <c r="BV978" s="90"/>
      <c r="BW978" s="198"/>
      <c r="BX978" s="90"/>
      <c r="BY978" s="198"/>
      <c r="BZ978" s="90"/>
      <c r="CA978" s="91"/>
    </row>
    <row r="979" spans="1:1199" ht="50.1" customHeight="1" outlineLevel="2" x14ac:dyDescent="0.3">
      <c r="A979" s="106" t="s">
        <v>805</v>
      </c>
      <c r="B979" s="111" t="s">
        <v>1031</v>
      </c>
      <c r="C979" s="79"/>
      <c r="D979" s="81">
        <f t="shared" si="216"/>
        <v>300</v>
      </c>
      <c r="E979" s="82">
        <f t="shared" si="217"/>
        <v>0</v>
      </c>
      <c r="F979" s="83">
        <f t="shared" si="218"/>
        <v>300</v>
      </c>
      <c r="G979" s="84"/>
      <c r="H979" s="85"/>
      <c r="I979" s="85"/>
      <c r="J979" s="84"/>
      <c r="K979" s="85"/>
      <c r="L979" s="85"/>
      <c r="M979" s="85"/>
      <c r="N979" s="85"/>
      <c r="O979" s="82"/>
      <c r="P979" s="83"/>
      <c r="Q979" s="83"/>
      <c r="R979" s="83"/>
      <c r="S979" s="82"/>
      <c r="T979" s="83"/>
      <c r="U979" s="83"/>
      <c r="V979" s="84"/>
      <c r="W979" s="85"/>
      <c r="X979" s="82"/>
      <c r="Y979" s="83"/>
      <c r="Z979" s="114"/>
      <c r="AA979" s="85"/>
      <c r="AB979" s="84"/>
      <c r="AC979" s="85"/>
      <c r="AD979" s="89">
        <f t="shared" si="219"/>
        <v>0</v>
      </c>
      <c r="AE979" s="89"/>
      <c r="AF979" s="186"/>
      <c r="AG979" s="85"/>
      <c r="AH979" s="85"/>
      <c r="AI979" s="85"/>
      <c r="AJ979" s="84"/>
      <c r="AK979" s="85"/>
      <c r="AL979" s="84"/>
      <c r="AM979" s="88"/>
      <c r="AN979" s="84"/>
      <c r="AO979" s="85"/>
      <c r="AP979" s="84"/>
      <c r="AQ979" s="83"/>
      <c r="AR979" s="83"/>
      <c r="AS979" s="83"/>
      <c r="AT979" s="85"/>
      <c r="AU979" s="85"/>
      <c r="AV979" s="85"/>
      <c r="AW979" s="88"/>
      <c r="AX979" s="84"/>
      <c r="AY979" s="85"/>
      <c r="AZ979" s="84"/>
      <c r="BA979" s="85"/>
      <c r="BB979" s="88"/>
      <c r="BC979" s="85"/>
      <c r="BD979" s="84"/>
      <c r="BE979" s="88"/>
      <c r="BF979" s="85"/>
      <c r="BG979" s="85"/>
      <c r="BH979" s="85">
        <v>300</v>
      </c>
      <c r="BI979" s="85"/>
      <c r="BJ979" s="85"/>
      <c r="BK979" s="85"/>
      <c r="BL979" s="85"/>
      <c r="BM979" s="85"/>
      <c r="BN979" s="85"/>
      <c r="BO979" s="85"/>
      <c r="BP979" s="85"/>
      <c r="BQ979" s="85"/>
      <c r="BR979" s="84"/>
      <c r="BS979" s="85"/>
      <c r="BT979" s="85"/>
      <c r="BU979" s="198"/>
      <c r="BV979" s="90"/>
      <c r="BW979" s="198"/>
      <c r="BX979" s="90"/>
      <c r="BY979" s="198"/>
      <c r="BZ979" s="90"/>
      <c r="CA979" s="91"/>
    </row>
    <row r="980" spans="1:1199" ht="50.1" customHeight="1" outlineLevel="2" x14ac:dyDescent="0.3">
      <c r="A980" s="103" t="s">
        <v>805</v>
      </c>
      <c r="B980" s="111" t="s">
        <v>1032</v>
      </c>
      <c r="C980" s="79"/>
      <c r="D980" s="81">
        <f t="shared" si="216"/>
        <v>300</v>
      </c>
      <c r="E980" s="82">
        <f t="shared" si="217"/>
        <v>0</v>
      </c>
      <c r="F980" s="83">
        <f t="shared" si="218"/>
        <v>300</v>
      </c>
      <c r="G980" s="84"/>
      <c r="H980" s="85"/>
      <c r="I980" s="85"/>
      <c r="J980" s="86"/>
      <c r="K980" s="85"/>
      <c r="L980" s="85"/>
      <c r="M980" s="85"/>
      <c r="N980" s="85"/>
      <c r="O980" s="82"/>
      <c r="P980" s="83"/>
      <c r="Q980" s="83"/>
      <c r="R980" s="83"/>
      <c r="S980" s="82"/>
      <c r="T980" s="83"/>
      <c r="U980" s="83"/>
      <c r="V980" s="84"/>
      <c r="W980" s="85"/>
      <c r="X980" s="87"/>
      <c r="Y980" s="83"/>
      <c r="Z980" s="84"/>
      <c r="AA980" s="85"/>
      <c r="AB980" s="84"/>
      <c r="AC980" s="85"/>
      <c r="AD980" s="89">
        <f t="shared" si="219"/>
        <v>0</v>
      </c>
      <c r="AE980" s="89"/>
      <c r="AF980" s="186"/>
      <c r="AG980" s="85"/>
      <c r="AH980" s="85"/>
      <c r="AI980" s="85"/>
      <c r="AJ980" s="84"/>
      <c r="AK980" s="85"/>
      <c r="AL980" s="84"/>
      <c r="AM980" s="88"/>
      <c r="AN980" s="84"/>
      <c r="AO980" s="85"/>
      <c r="AP980" s="84"/>
      <c r="AQ980" s="83"/>
      <c r="AR980" s="83"/>
      <c r="AS980" s="83"/>
      <c r="AT980" s="85"/>
      <c r="AU980" s="85"/>
      <c r="AV980" s="85"/>
      <c r="AW980" s="88"/>
      <c r="AX980" s="84"/>
      <c r="AY980" s="85"/>
      <c r="AZ980" s="84"/>
      <c r="BA980" s="85"/>
      <c r="BB980" s="88"/>
      <c r="BC980" s="85"/>
      <c r="BD980" s="84"/>
      <c r="BE980" s="88"/>
      <c r="BF980" s="85"/>
      <c r="BG980" s="85"/>
      <c r="BH980" s="85">
        <v>300</v>
      </c>
      <c r="BI980" s="85"/>
      <c r="BJ980" s="85"/>
      <c r="BK980" s="85"/>
      <c r="BL980" s="85"/>
      <c r="BM980" s="85"/>
      <c r="BN980" s="85"/>
      <c r="BO980" s="85"/>
      <c r="BP980" s="85"/>
      <c r="BQ980" s="85"/>
      <c r="BR980" s="84"/>
      <c r="BS980" s="85"/>
      <c r="BT980" s="85"/>
      <c r="BU980" s="198"/>
      <c r="BV980" s="90"/>
      <c r="BW980" s="198"/>
      <c r="BX980" s="90"/>
      <c r="BY980" s="198"/>
      <c r="BZ980" s="90"/>
      <c r="CA980" s="91"/>
    </row>
    <row r="981" spans="1:1199" ht="50.1" customHeight="1" outlineLevel="2" x14ac:dyDescent="0.3">
      <c r="A981" s="103" t="s">
        <v>805</v>
      </c>
      <c r="B981" s="111" t="s">
        <v>1033</v>
      </c>
      <c r="C981" s="79"/>
      <c r="D981" s="81">
        <f t="shared" si="216"/>
        <v>300</v>
      </c>
      <c r="E981" s="82">
        <f t="shared" si="217"/>
        <v>0</v>
      </c>
      <c r="F981" s="83">
        <f t="shared" si="218"/>
        <v>300</v>
      </c>
      <c r="G981" s="84"/>
      <c r="H981" s="85"/>
      <c r="I981" s="85"/>
      <c r="J981" s="86"/>
      <c r="K981" s="85"/>
      <c r="L981" s="85"/>
      <c r="M981" s="85"/>
      <c r="N981" s="85"/>
      <c r="O981" s="82"/>
      <c r="P981" s="83"/>
      <c r="Q981" s="83"/>
      <c r="R981" s="83"/>
      <c r="S981" s="82"/>
      <c r="T981" s="83"/>
      <c r="U981" s="83"/>
      <c r="V981" s="84"/>
      <c r="W981" s="85"/>
      <c r="X981" s="87"/>
      <c r="Y981" s="83"/>
      <c r="Z981" s="84"/>
      <c r="AA981" s="85"/>
      <c r="AB981" s="84"/>
      <c r="AC981" s="85"/>
      <c r="AD981" s="89">
        <f t="shared" si="219"/>
        <v>0</v>
      </c>
      <c r="AE981" s="89"/>
      <c r="AF981" s="186"/>
      <c r="AG981" s="85"/>
      <c r="AH981" s="85"/>
      <c r="AI981" s="85"/>
      <c r="AJ981" s="84"/>
      <c r="AK981" s="85"/>
      <c r="AL981" s="84"/>
      <c r="AM981" s="88"/>
      <c r="AN981" s="84"/>
      <c r="AO981" s="85"/>
      <c r="AP981" s="84"/>
      <c r="AQ981" s="83"/>
      <c r="AR981" s="83"/>
      <c r="AS981" s="83"/>
      <c r="AT981" s="85"/>
      <c r="AU981" s="85"/>
      <c r="AV981" s="85"/>
      <c r="AW981" s="88"/>
      <c r="AX981" s="84"/>
      <c r="AY981" s="85"/>
      <c r="AZ981" s="84"/>
      <c r="BA981" s="85"/>
      <c r="BB981" s="88"/>
      <c r="BC981" s="85"/>
      <c r="BD981" s="84"/>
      <c r="BE981" s="88"/>
      <c r="BF981" s="85"/>
      <c r="BG981" s="85"/>
      <c r="BH981" s="85">
        <v>300</v>
      </c>
      <c r="BI981" s="85"/>
      <c r="BJ981" s="85"/>
      <c r="BK981" s="85"/>
      <c r="BL981" s="85"/>
      <c r="BM981" s="85"/>
      <c r="BN981" s="85"/>
      <c r="BO981" s="85"/>
      <c r="BP981" s="85"/>
      <c r="BQ981" s="85"/>
      <c r="BR981" s="84"/>
      <c r="BS981" s="85"/>
      <c r="BT981" s="85"/>
      <c r="BU981" s="198"/>
      <c r="BV981" s="90"/>
      <c r="BW981" s="198"/>
      <c r="BX981" s="90"/>
      <c r="BY981" s="198"/>
      <c r="BZ981" s="90"/>
      <c r="CA981" s="91"/>
    </row>
    <row r="982" spans="1:1199" ht="50.1" customHeight="1" outlineLevel="2" x14ac:dyDescent="0.3">
      <c r="A982" s="103" t="s">
        <v>805</v>
      </c>
      <c r="B982" s="111" t="s">
        <v>1036</v>
      </c>
      <c r="C982" s="79"/>
      <c r="D982" s="81">
        <f t="shared" si="216"/>
        <v>300</v>
      </c>
      <c r="E982" s="82">
        <f t="shared" si="217"/>
        <v>0</v>
      </c>
      <c r="F982" s="83">
        <f t="shared" si="218"/>
        <v>300</v>
      </c>
      <c r="G982" s="84"/>
      <c r="H982" s="85"/>
      <c r="I982" s="85"/>
      <c r="J982" s="86"/>
      <c r="K982" s="85"/>
      <c r="L982" s="85"/>
      <c r="M982" s="85"/>
      <c r="N982" s="85"/>
      <c r="O982" s="82"/>
      <c r="P982" s="83"/>
      <c r="Q982" s="83"/>
      <c r="R982" s="83"/>
      <c r="S982" s="82"/>
      <c r="T982" s="83"/>
      <c r="U982" s="83"/>
      <c r="V982" s="84"/>
      <c r="W982" s="85"/>
      <c r="X982" s="87"/>
      <c r="Y982" s="83"/>
      <c r="Z982" s="84"/>
      <c r="AA982" s="85"/>
      <c r="AB982" s="84"/>
      <c r="AC982" s="85"/>
      <c r="AD982" s="89">
        <f t="shared" si="219"/>
        <v>0</v>
      </c>
      <c r="AE982" s="89"/>
      <c r="AF982" s="186"/>
      <c r="AG982" s="85"/>
      <c r="AH982" s="85"/>
      <c r="AI982" s="85"/>
      <c r="AJ982" s="84"/>
      <c r="AK982" s="85"/>
      <c r="AL982" s="84"/>
      <c r="AM982" s="88"/>
      <c r="AN982" s="84"/>
      <c r="AO982" s="85"/>
      <c r="AP982" s="84"/>
      <c r="AQ982" s="83"/>
      <c r="AR982" s="83"/>
      <c r="AS982" s="83"/>
      <c r="AT982" s="85"/>
      <c r="AU982" s="85"/>
      <c r="AV982" s="85"/>
      <c r="AW982" s="88"/>
      <c r="AX982" s="84"/>
      <c r="AY982" s="85"/>
      <c r="AZ982" s="84"/>
      <c r="BA982" s="85"/>
      <c r="BB982" s="88"/>
      <c r="BC982" s="85"/>
      <c r="BD982" s="84"/>
      <c r="BE982" s="88"/>
      <c r="BF982" s="85"/>
      <c r="BG982" s="85"/>
      <c r="BH982" s="85">
        <v>300</v>
      </c>
      <c r="BI982" s="85"/>
      <c r="BJ982" s="85"/>
      <c r="BK982" s="85"/>
      <c r="BL982" s="85"/>
      <c r="BM982" s="85"/>
      <c r="BN982" s="85"/>
      <c r="BO982" s="85"/>
      <c r="BP982" s="85"/>
      <c r="BQ982" s="85"/>
      <c r="BR982" s="84"/>
      <c r="BS982" s="85"/>
      <c r="BT982" s="85"/>
      <c r="BU982" s="198"/>
      <c r="BV982" s="90"/>
      <c r="BW982" s="198"/>
      <c r="BX982" s="90"/>
      <c r="BY982" s="198"/>
      <c r="BZ982" s="90"/>
      <c r="CA982" s="91"/>
    </row>
    <row r="983" spans="1:1199" ht="50.1" customHeight="1" outlineLevel="2" x14ac:dyDescent="0.3">
      <c r="A983" s="103" t="s">
        <v>805</v>
      </c>
      <c r="B983" s="111" t="s">
        <v>1035</v>
      </c>
      <c r="C983" s="79"/>
      <c r="D983" s="81">
        <f t="shared" si="216"/>
        <v>300</v>
      </c>
      <c r="E983" s="82">
        <f t="shared" si="217"/>
        <v>0</v>
      </c>
      <c r="F983" s="83">
        <f t="shared" si="218"/>
        <v>300</v>
      </c>
      <c r="G983" s="84"/>
      <c r="H983" s="85"/>
      <c r="I983" s="85"/>
      <c r="J983" s="86"/>
      <c r="K983" s="85"/>
      <c r="L983" s="85"/>
      <c r="M983" s="85"/>
      <c r="N983" s="85"/>
      <c r="O983" s="82"/>
      <c r="P983" s="83"/>
      <c r="Q983" s="83"/>
      <c r="R983" s="83"/>
      <c r="S983" s="82"/>
      <c r="T983" s="83"/>
      <c r="U983" s="83"/>
      <c r="V983" s="84"/>
      <c r="W983" s="85"/>
      <c r="X983" s="87"/>
      <c r="Y983" s="83"/>
      <c r="Z983" s="84"/>
      <c r="AA983" s="85"/>
      <c r="AB983" s="84"/>
      <c r="AC983" s="85"/>
      <c r="AD983" s="89">
        <f t="shared" si="219"/>
        <v>0</v>
      </c>
      <c r="AE983" s="89"/>
      <c r="AF983" s="186"/>
      <c r="AG983" s="85"/>
      <c r="AH983" s="85"/>
      <c r="AI983" s="85"/>
      <c r="AJ983" s="84"/>
      <c r="AK983" s="85"/>
      <c r="AL983" s="84"/>
      <c r="AM983" s="88"/>
      <c r="AN983" s="84"/>
      <c r="AO983" s="85"/>
      <c r="AP983" s="84"/>
      <c r="AQ983" s="83"/>
      <c r="AR983" s="83"/>
      <c r="AS983" s="83"/>
      <c r="AT983" s="85"/>
      <c r="AU983" s="85"/>
      <c r="AV983" s="85"/>
      <c r="AW983" s="88"/>
      <c r="AX983" s="84"/>
      <c r="AY983" s="85"/>
      <c r="AZ983" s="84"/>
      <c r="BA983" s="85"/>
      <c r="BB983" s="88"/>
      <c r="BC983" s="85"/>
      <c r="BD983" s="84"/>
      <c r="BE983" s="88"/>
      <c r="BF983" s="85"/>
      <c r="BG983" s="85"/>
      <c r="BH983" s="85">
        <v>300</v>
      </c>
      <c r="BI983" s="85"/>
      <c r="BJ983" s="85"/>
      <c r="BK983" s="85"/>
      <c r="BL983" s="85"/>
      <c r="BM983" s="85"/>
      <c r="BN983" s="85"/>
      <c r="BO983" s="85"/>
      <c r="BP983" s="85"/>
      <c r="BQ983" s="85"/>
      <c r="BR983" s="84"/>
      <c r="BS983" s="85"/>
      <c r="BT983" s="85"/>
      <c r="BU983" s="198"/>
      <c r="BV983" s="90"/>
      <c r="BW983" s="198"/>
      <c r="BX983" s="90"/>
      <c r="BY983" s="198"/>
      <c r="BZ983" s="90"/>
      <c r="CA983" s="91"/>
    </row>
    <row r="984" spans="1:1199" ht="50.1" customHeight="1" outlineLevel="2" x14ac:dyDescent="0.3">
      <c r="A984" s="103" t="s">
        <v>805</v>
      </c>
      <c r="B984" s="111" t="s">
        <v>1076</v>
      </c>
      <c r="C984" s="79"/>
      <c r="D984" s="81">
        <f t="shared" si="216"/>
        <v>300</v>
      </c>
      <c r="E984" s="82">
        <f t="shared" si="217"/>
        <v>0</v>
      </c>
      <c r="F984" s="83">
        <f t="shared" si="218"/>
        <v>300</v>
      </c>
      <c r="G984" s="84"/>
      <c r="H984" s="85"/>
      <c r="I984" s="85"/>
      <c r="J984" s="86"/>
      <c r="K984" s="85"/>
      <c r="L984" s="85"/>
      <c r="M984" s="85"/>
      <c r="N984" s="85"/>
      <c r="O984" s="82"/>
      <c r="P984" s="83"/>
      <c r="Q984" s="83"/>
      <c r="R984" s="83"/>
      <c r="S984" s="82"/>
      <c r="T984" s="83"/>
      <c r="U984" s="83"/>
      <c r="V984" s="84"/>
      <c r="W984" s="85"/>
      <c r="X984" s="87"/>
      <c r="Y984" s="83"/>
      <c r="Z984" s="84"/>
      <c r="AA984" s="85"/>
      <c r="AB984" s="84"/>
      <c r="AC984" s="85"/>
      <c r="AD984" s="89"/>
      <c r="AE984" s="89"/>
      <c r="AF984" s="186"/>
      <c r="AG984" s="85"/>
      <c r="AH984" s="85"/>
      <c r="AI984" s="85"/>
      <c r="AJ984" s="84"/>
      <c r="AK984" s="85"/>
      <c r="AL984" s="84"/>
      <c r="AM984" s="88"/>
      <c r="AN984" s="84"/>
      <c r="AO984" s="85"/>
      <c r="AP984" s="84"/>
      <c r="AQ984" s="83"/>
      <c r="AR984" s="83"/>
      <c r="AS984" s="83"/>
      <c r="AT984" s="85"/>
      <c r="AU984" s="85"/>
      <c r="AV984" s="85"/>
      <c r="AW984" s="88"/>
      <c r="AX984" s="84"/>
      <c r="AY984" s="85"/>
      <c r="AZ984" s="84"/>
      <c r="BA984" s="85"/>
      <c r="BB984" s="88"/>
      <c r="BC984" s="85"/>
      <c r="BD984" s="84"/>
      <c r="BE984" s="88"/>
      <c r="BF984" s="85"/>
      <c r="BG984" s="85"/>
      <c r="BH984" s="85">
        <v>300</v>
      </c>
      <c r="BI984" s="85"/>
      <c r="BJ984" s="85"/>
      <c r="BK984" s="85"/>
      <c r="BL984" s="85"/>
      <c r="BM984" s="85"/>
      <c r="BN984" s="85"/>
      <c r="BO984" s="85"/>
      <c r="BP984" s="85"/>
      <c r="BQ984" s="85"/>
      <c r="BR984" s="84"/>
      <c r="BS984" s="85"/>
      <c r="BT984" s="85"/>
      <c r="BU984" s="198"/>
      <c r="BV984" s="90"/>
      <c r="BW984" s="198"/>
      <c r="BX984" s="90"/>
      <c r="BY984" s="198"/>
      <c r="BZ984" s="90"/>
      <c r="CA984" s="91"/>
    </row>
    <row r="985" spans="1:1199" ht="50.1" customHeight="1" outlineLevel="2" x14ac:dyDescent="0.3">
      <c r="A985" s="103" t="s">
        <v>805</v>
      </c>
      <c r="B985" s="111" t="s">
        <v>1090</v>
      </c>
      <c r="C985" s="79"/>
      <c r="D985" s="81">
        <f t="shared" si="216"/>
        <v>300</v>
      </c>
      <c r="E985" s="82">
        <f t="shared" si="217"/>
        <v>0</v>
      </c>
      <c r="F985" s="83">
        <f t="shared" si="218"/>
        <v>300</v>
      </c>
      <c r="G985" s="84"/>
      <c r="H985" s="85"/>
      <c r="I985" s="85"/>
      <c r="J985" s="86"/>
      <c r="K985" s="85"/>
      <c r="L985" s="85"/>
      <c r="M985" s="85"/>
      <c r="N985" s="85"/>
      <c r="O985" s="82"/>
      <c r="P985" s="83"/>
      <c r="Q985" s="83"/>
      <c r="R985" s="83"/>
      <c r="S985" s="82"/>
      <c r="T985" s="83"/>
      <c r="U985" s="83"/>
      <c r="V985" s="84"/>
      <c r="W985" s="85"/>
      <c r="X985" s="87"/>
      <c r="Y985" s="83"/>
      <c r="Z985" s="84"/>
      <c r="AA985" s="85"/>
      <c r="AB985" s="84"/>
      <c r="AC985" s="85"/>
      <c r="AD985" s="89"/>
      <c r="AE985" s="89"/>
      <c r="AF985" s="186"/>
      <c r="AG985" s="85"/>
      <c r="AH985" s="85"/>
      <c r="AI985" s="85"/>
      <c r="AJ985" s="84"/>
      <c r="AK985" s="85"/>
      <c r="AL985" s="84"/>
      <c r="AM985" s="88"/>
      <c r="AN985" s="84"/>
      <c r="AO985" s="85"/>
      <c r="AP985" s="84"/>
      <c r="AQ985" s="83"/>
      <c r="AR985" s="83"/>
      <c r="AS985" s="83"/>
      <c r="AT985" s="85"/>
      <c r="AU985" s="85"/>
      <c r="AV985" s="85"/>
      <c r="AW985" s="88"/>
      <c r="AX985" s="84"/>
      <c r="AY985" s="85"/>
      <c r="AZ985" s="84"/>
      <c r="BA985" s="85"/>
      <c r="BB985" s="88"/>
      <c r="BC985" s="85"/>
      <c r="BD985" s="84"/>
      <c r="BE985" s="88"/>
      <c r="BF985" s="85"/>
      <c r="BG985" s="85"/>
      <c r="BH985" s="85">
        <v>300</v>
      </c>
      <c r="BI985" s="85"/>
      <c r="BJ985" s="85"/>
      <c r="BK985" s="85"/>
      <c r="BL985" s="85"/>
      <c r="BM985" s="85"/>
      <c r="BN985" s="85"/>
      <c r="BO985" s="85"/>
      <c r="BP985" s="85"/>
      <c r="BQ985" s="85"/>
      <c r="BR985" s="84"/>
      <c r="BS985" s="85"/>
      <c r="BT985" s="85"/>
      <c r="BU985" s="198"/>
      <c r="BV985" s="90"/>
      <c r="BW985" s="198"/>
      <c r="BX985" s="90"/>
      <c r="BY985" s="198"/>
      <c r="BZ985" s="90"/>
      <c r="CA985" s="91"/>
    </row>
    <row r="986" spans="1:1199" ht="50.1" customHeight="1" outlineLevel="2" x14ac:dyDescent="0.3">
      <c r="A986" s="103" t="s">
        <v>805</v>
      </c>
      <c r="B986" s="111" t="s">
        <v>1091</v>
      </c>
      <c r="C986" s="79"/>
      <c r="D986" s="81">
        <f t="shared" si="216"/>
        <v>300</v>
      </c>
      <c r="E986" s="82">
        <f t="shared" si="217"/>
        <v>0</v>
      </c>
      <c r="F986" s="83">
        <f t="shared" si="218"/>
        <v>300</v>
      </c>
      <c r="G986" s="84"/>
      <c r="H986" s="85"/>
      <c r="I986" s="85"/>
      <c r="J986" s="86"/>
      <c r="K986" s="85"/>
      <c r="L986" s="85"/>
      <c r="M986" s="85"/>
      <c r="N986" s="85"/>
      <c r="O986" s="82"/>
      <c r="P986" s="83"/>
      <c r="Q986" s="83"/>
      <c r="R986" s="83"/>
      <c r="S986" s="82"/>
      <c r="T986" s="83"/>
      <c r="U986" s="83"/>
      <c r="V986" s="84"/>
      <c r="W986" s="85"/>
      <c r="X986" s="87"/>
      <c r="Y986" s="83"/>
      <c r="Z986" s="84"/>
      <c r="AA986" s="85"/>
      <c r="AB986" s="84"/>
      <c r="AC986" s="85"/>
      <c r="AD986" s="89"/>
      <c r="AE986" s="89"/>
      <c r="AF986" s="186"/>
      <c r="AG986" s="85"/>
      <c r="AH986" s="85"/>
      <c r="AI986" s="85"/>
      <c r="AJ986" s="84"/>
      <c r="AK986" s="85"/>
      <c r="AL986" s="84"/>
      <c r="AM986" s="88"/>
      <c r="AN986" s="84"/>
      <c r="AO986" s="85"/>
      <c r="AP986" s="84"/>
      <c r="AQ986" s="83"/>
      <c r="AR986" s="83"/>
      <c r="AS986" s="83"/>
      <c r="AT986" s="85"/>
      <c r="AU986" s="85"/>
      <c r="AV986" s="85"/>
      <c r="AW986" s="88"/>
      <c r="AX986" s="84"/>
      <c r="AY986" s="85"/>
      <c r="AZ986" s="84"/>
      <c r="BA986" s="85"/>
      <c r="BB986" s="88"/>
      <c r="BC986" s="85"/>
      <c r="BD986" s="84"/>
      <c r="BE986" s="88"/>
      <c r="BF986" s="85"/>
      <c r="BG986" s="85"/>
      <c r="BH986" s="85">
        <v>300</v>
      </c>
      <c r="BI986" s="85"/>
      <c r="BJ986" s="85"/>
      <c r="BK986" s="85"/>
      <c r="BL986" s="85"/>
      <c r="BM986" s="85"/>
      <c r="BN986" s="85"/>
      <c r="BO986" s="85"/>
      <c r="BP986" s="85"/>
      <c r="BQ986" s="85"/>
      <c r="BR986" s="84"/>
      <c r="BS986" s="85"/>
      <c r="BT986" s="85"/>
      <c r="BU986" s="198"/>
      <c r="BV986" s="90"/>
      <c r="BW986" s="198"/>
      <c r="BX986" s="90"/>
      <c r="BY986" s="198"/>
      <c r="BZ986" s="90"/>
      <c r="CA986" s="91"/>
    </row>
    <row r="987" spans="1:1199" ht="50.1" customHeight="1" outlineLevel="2" x14ac:dyDescent="0.3">
      <c r="A987" s="106" t="s">
        <v>805</v>
      </c>
      <c r="B987" s="111" t="s">
        <v>1034</v>
      </c>
      <c r="C987" s="79"/>
      <c r="D987" s="81">
        <f t="shared" si="216"/>
        <v>300</v>
      </c>
      <c r="E987" s="82">
        <f t="shared" si="217"/>
        <v>0</v>
      </c>
      <c r="F987" s="83">
        <f t="shared" si="218"/>
        <v>300</v>
      </c>
      <c r="G987" s="84"/>
      <c r="H987" s="85"/>
      <c r="I987" s="85"/>
      <c r="J987" s="84"/>
      <c r="K987" s="85"/>
      <c r="L987" s="85"/>
      <c r="M987" s="85"/>
      <c r="N987" s="85"/>
      <c r="O987" s="82"/>
      <c r="P987" s="83"/>
      <c r="Q987" s="83"/>
      <c r="R987" s="83"/>
      <c r="S987" s="82"/>
      <c r="T987" s="83"/>
      <c r="U987" s="83"/>
      <c r="V987" s="84"/>
      <c r="W987" s="85"/>
      <c r="X987" s="87"/>
      <c r="Y987" s="83"/>
      <c r="Z987" s="114"/>
      <c r="AA987" s="85"/>
      <c r="AB987" s="84"/>
      <c r="AC987" s="85"/>
      <c r="AD987" s="89">
        <f t="shared" si="219"/>
        <v>0</v>
      </c>
      <c r="AE987" s="89"/>
      <c r="AF987" s="186"/>
      <c r="AG987" s="85"/>
      <c r="AH987" s="85"/>
      <c r="AI987" s="85"/>
      <c r="AJ987" s="84"/>
      <c r="AK987" s="85"/>
      <c r="AL987" s="84"/>
      <c r="AM987" s="88"/>
      <c r="AN987" s="84"/>
      <c r="AO987" s="85"/>
      <c r="AP987" s="84"/>
      <c r="AQ987" s="83"/>
      <c r="AR987" s="83"/>
      <c r="AS987" s="83"/>
      <c r="AT987" s="85"/>
      <c r="AU987" s="85"/>
      <c r="AV987" s="85"/>
      <c r="AW987" s="88"/>
      <c r="AX987" s="84"/>
      <c r="AY987" s="85"/>
      <c r="AZ987" s="84"/>
      <c r="BA987" s="85"/>
      <c r="BB987" s="88"/>
      <c r="BC987" s="85"/>
      <c r="BD987" s="84"/>
      <c r="BE987" s="88"/>
      <c r="BF987" s="85"/>
      <c r="BG987" s="85"/>
      <c r="BH987" s="85">
        <v>300</v>
      </c>
      <c r="BI987" s="85"/>
      <c r="BJ987" s="85"/>
      <c r="BK987" s="85"/>
      <c r="BL987" s="85"/>
      <c r="BM987" s="85"/>
      <c r="BN987" s="85"/>
      <c r="BO987" s="85"/>
      <c r="BP987" s="85"/>
      <c r="BQ987" s="85"/>
      <c r="BR987" s="84"/>
      <c r="BS987" s="85"/>
      <c r="BT987" s="85"/>
      <c r="BU987" s="198"/>
      <c r="BV987" s="90"/>
      <c r="BW987" s="198"/>
      <c r="BX987" s="90"/>
      <c r="BY987" s="198"/>
      <c r="BZ987" s="90"/>
      <c r="CA987" s="91"/>
    </row>
    <row r="988" spans="1:1199" s="101" customFormat="1" ht="50.1" customHeight="1" outlineLevel="1" x14ac:dyDescent="0.3">
      <c r="A988" s="132" t="s">
        <v>831</v>
      </c>
      <c r="B988" s="133"/>
      <c r="C988" s="134" t="s">
        <v>94</v>
      </c>
      <c r="D988" s="81">
        <f t="shared" ref="D988:AI988" si="220">SUBTOTAL(9,D948:D987)</f>
        <v>441248.9426200001</v>
      </c>
      <c r="E988" s="81">
        <f t="shared" si="220"/>
        <v>104620.76355999999</v>
      </c>
      <c r="F988" s="81">
        <f t="shared" si="220"/>
        <v>336628.17906000005</v>
      </c>
      <c r="G988" s="81">
        <f t="shared" si="220"/>
        <v>40690.549070000001</v>
      </c>
      <c r="H988" s="81">
        <f t="shared" si="220"/>
        <v>48175.6947</v>
      </c>
      <c r="I988" s="81">
        <f t="shared" si="220"/>
        <v>1037.14273</v>
      </c>
      <c r="J988" s="81">
        <f t="shared" si="220"/>
        <v>3393.0345600000005</v>
      </c>
      <c r="K988" s="81">
        <f t="shared" si="220"/>
        <v>933.72464000000002</v>
      </c>
      <c r="L988" s="81">
        <f t="shared" si="220"/>
        <v>4253.5944699999991</v>
      </c>
      <c r="M988" s="81">
        <f t="shared" si="220"/>
        <v>0</v>
      </c>
      <c r="N988" s="81">
        <f t="shared" si="220"/>
        <v>63250.66992</v>
      </c>
      <c r="O988" s="81">
        <f t="shared" si="220"/>
        <v>2.6949000000000001</v>
      </c>
      <c r="P988" s="81">
        <f t="shared" si="220"/>
        <v>0.31512999999999997</v>
      </c>
      <c r="Q988" s="81">
        <f t="shared" si="220"/>
        <v>0</v>
      </c>
      <c r="R988" s="81">
        <f t="shared" si="220"/>
        <v>0</v>
      </c>
      <c r="S988" s="81">
        <f t="shared" si="220"/>
        <v>3283.8686200000002</v>
      </c>
      <c r="T988" s="81">
        <f t="shared" si="220"/>
        <v>2985.3351299999999</v>
      </c>
      <c r="U988" s="81">
        <f t="shared" si="220"/>
        <v>2040.50593</v>
      </c>
      <c r="V988" s="81">
        <f t="shared" si="220"/>
        <v>4235.1166499999999</v>
      </c>
      <c r="W988" s="81">
        <f t="shared" si="220"/>
        <v>8262.6021399999991</v>
      </c>
      <c r="X988" s="81">
        <f t="shared" si="220"/>
        <v>0</v>
      </c>
      <c r="Y988" s="81">
        <f t="shared" si="220"/>
        <v>4677.8159999999998</v>
      </c>
      <c r="Z988" s="81">
        <f t="shared" si="220"/>
        <v>0</v>
      </c>
      <c r="AA988" s="81">
        <f t="shared" si="220"/>
        <v>763.98400000000004</v>
      </c>
      <c r="AB988" s="81">
        <f t="shared" si="220"/>
        <v>0</v>
      </c>
      <c r="AC988" s="81">
        <f t="shared" si="220"/>
        <v>0</v>
      </c>
      <c r="AD988" s="81">
        <f t="shared" si="220"/>
        <v>6118.9235800000015</v>
      </c>
      <c r="AE988" s="81">
        <f t="shared" si="220"/>
        <v>2067.6045000000004</v>
      </c>
      <c r="AF988" s="192">
        <f t="shared" si="220"/>
        <v>4051.3190799999998</v>
      </c>
      <c r="AG988" s="81">
        <f t="shared" si="220"/>
        <v>0</v>
      </c>
      <c r="AH988" s="81">
        <f t="shared" si="220"/>
        <v>0</v>
      </c>
      <c r="AI988" s="81">
        <f t="shared" si="220"/>
        <v>0</v>
      </c>
      <c r="AJ988" s="81">
        <f t="shared" ref="AJ988:BO988" si="221">SUBTOTAL(9,AJ948:AJ987)</f>
        <v>0</v>
      </c>
      <c r="AK988" s="81">
        <f t="shared" si="221"/>
        <v>0</v>
      </c>
      <c r="AL988" s="81">
        <f t="shared" si="221"/>
        <v>0</v>
      </c>
      <c r="AM988" s="81">
        <f t="shared" si="221"/>
        <v>0</v>
      </c>
      <c r="AN988" s="81">
        <f t="shared" si="221"/>
        <v>0</v>
      </c>
      <c r="AO988" s="81">
        <f t="shared" si="221"/>
        <v>0</v>
      </c>
      <c r="AP988" s="81">
        <f t="shared" si="221"/>
        <v>10227.68576</v>
      </c>
      <c r="AQ988" s="81">
        <f t="shared" si="221"/>
        <v>17692.486700000001</v>
      </c>
      <c r="AR988" s="81">
        <f t="shared" si="221"/>
        <v>0</v>
      </c>
      <c r="AS988" s="81">
        <f t="shared" si="221"/>
        <v>0</v>
      </c>
      <c r="AT988" s="81">
        <f t="shared" si="221"/>
        <v>49440.824999999997</v>
      </c>
      <c r="AU988" s="81">
        <f t="shared" si="221"/>
        <v>0</v>
      </c>
      <c r="AV988" s="81">
        <f t="shared" si="221"/>
        <v>58512.210929999994</v>
      </c>
      <c r="AW988" s="81">
        <f t="shared" si="221"/>
        <v>0</v>
      </c>
      <c r="AX988" s="81">
        <f t="shared" si="221"/>
        <v>11945.1</v>
      </c>
      <c r="AY988" s="81">
        <f t="shared" si="221"/>
        <v>8958.8550599999999</v>
      </c>
      <c r="AZ988" s="81">
        <f t="shared" si="221"/>
        <v>11444.350169999998</v>
      </c>
      <c r="BA988" s="81">
        <f t="shared" si="221"/>
        <v>10181.583279999997</v>
      </c>
      <c r="BB988" s="81">
        <f t="shared" si="221"/>
        <v>1546.7113599999998</v>
      </c>
      <c r="BC988" s="81">
        <f t="shared" si="221"/>
        <v>0</v>
      </c>
      <c r="BD988" s="81">
        <f t="shared" si="221"/>
        <v>19398.363829999998</v>
      </c>
      <c r="BE988" s="81">
        <f t="shared" si="221"/>
        <v>32283.515309999999</v>
      </c>
      <c r="BF988" s="81">
        <f t="shared" si="221"/>
        <v>0</v>
      </c>
      <c r="BG988" s="81">
        <f t="shared" si="221"/>
        <v>2242.3532300000002</v>
      </c>
      <c r="BH988" s="81">
        <f t="shared" si="221"/>
        <v>3900</v>
      </c>
      <c r="BI988" s="81">
        <f t="shared" si="221"/>
        <v>0</v>
      </c>
      <c r="BJ988" s="81">
        <f t="shared" si="221"/>
        <v>0</v>
      </c>
      <c r="BK988" s="81">
        <f t="shared" si="221"/>
        <v>4511.0526399999999</v>
      </c>
      <c r="BL988" s="81">
        <f t="shared" si="221"/>
        <v>0</v>
      </c>
      <c r="BM988" s="81">
        <f t="shared" si="221"/>
        <v>0</v>
      </c>
      <c r="BN988" s="81">
        <f t="shared" si="221"/>
        <v>3</v>
      </c>
      <c r="BO988" s="81">
        <f t="shared" si="221"/>
        <v>0</v>
      </c>
      <c r="BP988" s="81">
        <f t="shared" ref="BP988:CU988" si="222">SUBTOTAL(9,BP948:BP987)</f>
        <v>0</v>
      </c>
      <c r="BQ988" s="81">
        <f t="shared" si="222"/>
        <v>0</v>
      </c>
      <c r="BR988" s="81">
        <f t="shared" si="222"/>
        <v>0</v>
      </c>
      <c r="BS988" s="81">
        <f t="shared" si="222"/>
        <v>487</v>
      </c>
      <c r="BT988" s="81">
        <f t="shared" si="222"/>
        <v>1365.4641800000002</v>
      </c>
      <c r="BU988" s="81">
        <f t="shared" si="222"/>
        <v>17.100000000000001</v>
      </c>
      <c r="BV988" s="81">
        <f t="shared" si="222"/>
        <v>0</v>
      </c>
      <c r="BW988" s="81">
        <f t="shared" si="222"/>
        <v>2985.7130000000002</v>
      </c>
      <c r="BX988" s="81">
        <f t="shared" si="222"/>
        <v>0</v>
      </c>
      <c r="BY988" s="81">
        <f t="shared" si="222"/>
        <v>0</v>
      </c>
      <c r="BZ988" s="81">
        <f t="shared" si="222"/>
        <v>0</v>
      </c>
      <c r="CA988" s="81">
        <f t="shared" si="222"/>
        <v>0</v>
      </c>
      <c r="CB988" s="176"/>
      <c r="CC988" s="176"/>
      <c r="CD988" s="176"/>
      <c r="CE988" s="176"/>
      <c r="CF988" s="176"/>
      <c r="CG988" s="176"/>
      <c r="CH988" s="176"/>
      <c r="CI988" s="176"/>
      <c r="CJ988" s="176"/>
      <c r="CK988" s="176"/>
      <c r="CL988" s="176"/>
      <c r="CM988" s="176"/>
      <c r="CN988" s="176"/>
      <c r="CO988" s="176"/>
      <c r="CP988" s="176"/>
      <c r="CQ988" s="176"/>
      <c r="CR988" s="176"/>
      <c r="CS988" s="176"/>
      <c r="CT988" s="176"/>
      <c r="CU988" s="176"/>
      <c r="CV988" s="176"/>
      <c r="CW988" s="176"/>
      <c r="CX988" s="176"/>
      <c r="CY988" s="176"/>
      <c r="CZ988" s="176"/>
      <c r="DA988" s="176"/>
      <c r="DB988" s="176"/>
      <c r="DC988" s="176"/>
      <c r="DD988" s="176"/>
      <c r="DE988" s="176"/>
      <c r="DF988" s="176"/>
      <c r="DG988" s="176"/>
      <c r="DH988" s="176"/>
      <c r="DI988" s="176"/>
      <c r="DJ988" s="176"/>
      <c r="DK988" s="176"/>
      <c r="DL988" s="176"/>
      <c r="DM988" s="176"/>
      <c r="DN988" s="176"/>
      <c r="DO988" s="176"/>
      <c r="DP988" s="176"/>
      <c r="DQ988" s="176"/>
      <c r="DR988" s="176"/>
      <c r="DS988" s="176"/>
      <c r="DT988" s="176"/>
      <c r="DU988" s="176"/>
      <c r="DV988" s="176"/>
      <c r="DW988" s="176"/>
      <c r="DX988" s="176"/>
      <c r="DY988" s="176"/>
      <c r="DZ988" s="176"/>
      <c r="EA988" s="176"/>
      <c r="EB988" s="176"/>
      <c r="EC988" s="176"/>
      <c r="ED988" s="176"/>
      <c r="EE988" s="176"/>
      <c r="EF988" s="176"/>
      <c r="EG988" s="176"/>
      <c r="EH988" s="176"/>
      <c r="EI988" s="176"/>
      <c r="EJ988" s="176"/>
      <c r="EK988" s="176"/>
      <c r="EL988" s="176"/>
      <c r="EM988" s="176"/>
      <c r="EN988" s="176"/>
      <c r="EO988" s="176"/>
      <c r="EP988" s="176"/>
      <c r="EQ988" s="176"/>
      <c r="ER988" s="176"/>
      <c r="ES988" s="176"/>
      <c r="ET988" s="176"/>
      <c r="EU988" s="176"/>
      <c r="EV988" s="176"/>
      <c r="EW988" s="176"/>
      <c r="EX988" s="176"/>
      <c r="EY988" s="176"/>
      <c r="EZ988" s="176"/>
      <c r="FA988" s="176"/>
      <c r="FB988" s="176"/>
      <c r="FC988" s="176"/>
      <c r="FD988" s="176"/>
      <c r="FE988" s="176"/>
      <c r="FF988" s="176"/>
      <c r="FG988" s="176"/>
      <c r="FH988" s="176"/>
      <c r="FI988" s="176"/>
      <c r="FJ988" s="176"/>
      <c r="FK988" s="176"/>
      <c r="FL988" s="176"/>
      <c r="FM988" s="176"/>
      <c r="FN988" s="176"/>
      <c r="FO988" s="176"/>
      <c r="FP988" s="176"/>
      <c r="FQ988" s="176"/>
      <c r="FR988" s="176"/>
      <c r="FS988" s="176"/>
      <c r="FT988" s="176"/>
      <c r="FU988" s="176"/>
      <c r="FV988" s="176"/>
      <c r="FW988" s="176"/>
      <c r="FX988" s="176"/>
      <c r="FY988" s="176"/>
      <c r="FZ988" s="176"/>
      <c r="GA988" s="176"/>
      <c r="GB988" s="176"/>
      <c r="GC988" s="176"/>
      <c r="GD988" s="176"/>
      <c r="GE988" s="176"/>
      <c r="GF988" s="176"/>
      <c r="GG988" s="176"/>
      <c r="GH988" s="176"/>
      <c r="GI988" s="176"/>
      <c r="GJ988" s="176"/>
      <c r="GK988" s="176"/>
      <c r="GL988" s="176"/>
      <c r="GM988" s="176"/>
      <c r="GN988" s="176"/>
      <c r="GO988" s="176"/>
      <c r="GP988" s="176"/>
      <c r="GQ988" s="176"/>
      <c r="GR988" s="176"/>
      <c r="GS988" s="176"/>
      <c r="GT988" s="176"/>
      <c r="GU988" s="176"/>
      <c r="GV988" s="176"/>
      <c r="GW988" s="176"/>
      <c r="GX988" s="176"/>
      <c r="GY988" s="176"/>
      <c r="GZ988" s="176"/>
      <c r="HA988" s="176"/>
      <c r="HB988" s="176"/>
      <c r="HC988" s="176"/>
      <c r="HD988" s="176"/>
      <c r="HE988" s="176"/>
      <c r="HF988" s="176"/>
      <c r="HG988" s="176"/>
      <c r="HH988" s="176"/>
      <c r="HI988" s="176"/>
      <c r="HJ988" s="176"/>
      <c r="HK988" s="176"/>
      <c r="HL988" s="176"/>
      <c r="HM988" s="176"/>
      <c r="HN988" s="176"/>
      <c r="HO988" s="176"/>
      <c r="HP988" s="176"/>
      <c r="HQ988" s="176"/>
      <c r="HR988" s="176"/>
      <c r="HS988" s="176"/>
      <c r="HT988" s="176"/>
      <c r="HU988" s="176"/>
      <c r="HV988" s="176"/>
      <c r="HW988" s="176"/>
      <c r="HX988" s="176"/>
      <c r="HY988" s="176"/>
      <c r="HZ988" s="176"/>
      <c r="IA988" s="176"/>
      <c r="IB988" s="176"/>
      <c r="IC988" s="176"/>
      <c r="ID988" s="176"/>
      <c r="IE988" s="176"/>
      <c r="IF988" s="176"/>
      <c r="IG988" s="176"/>
      <c r="IH988" s="176"/>
      <c r="II988" s="176"/>
      <c r="IJ988" s="176"/>
      <c r="IK988" s="176"/>
      <c r="IL988" s="176"/>
      <c r="IM988" s="176"/>
      <c r="IN988" s="176"/>
      <c r="IO988" s="176"/>
      <c r="IP988" s="176"/>
      <c r="IQ988" s="176"/>
      <c r="IR988" s="176"/>
      <c r="IS988" s="176"/>
      <c r="IT988" s="176"/>
      <c r="IU988" s="176"/>
      <c r="IV988" s="176"/>
      <c r="IW988" s="176"/>
      <c r="IX988" s="176"/>
      <c r="IY988" s="176"/>
      <c r="IZ988" s="176"/>
      <c r="JA988" s="176"/>
      <c r="JB988" s="176"/>
      <c r="JC988" s="176"/>
      <c r="JD988" s="176"/>
      <c r="JE988" s="176"/>
      <c r="JF988" s="176"/>
      <c r="JG988" s="176"/>
      <c r="JH988" s="176"/>
      <c r="JI988" s="176"/>
      <c r="JJ988" s="176"/>
      <c r="JK988" s="176"/>
      <c r="JL988" s="176"/>
      <c r="JM988" s="176"/>
      <c r="JN988" s="176"/>
      <c r="JO988" s="176"/>
      <c r="JP988" s="176"/>
      <c r="JQ988" s="176"/>
      <c r="JR988" s="176"/>
      <c r="JS988" s="176"/>
      <c r="JT988" s="176"/>
      <c r="JU988" s="176"/>
      <c r="JV988" s="176"/>
      <c r="JW988" s="131"/>
      <c r="JX988" s="131"/>
      <c r="JY988" s="131"/>
      <c r="JZ988" s="131"/>
      <c r="KA988" s="131"/>
      <c r="KB988" s="131"/>
      <c r="KC988" s="131"/>
      <c r="KD988" s="131"/>
      <c r="KE988" s="131"/>
      <c r="KF988" s="131"/>
      <c r="KG988" s="131"/>
      <c r="KH988" s="131"/>
      <c r="KI988" s="131"/>
      <c r="KJ988" s="131"/>
      <c r="KK988" s="131"/>
      <c r="KL988" s="131"/>
      <c r="KM988" s="131"/>
      <c r="KN988" s="131"/>
      <c r="KO988" s="131"/>
      <c r="KP988" s="131"/>
      <c r="KQ988" s="131"/>
      <c r="KR988" s="131"/>
      <c r="KS988" s="131"/>
      <c r="KT988" s="131"/>
      <c r="KU988" s="131"/>
      <c r="KV988" s="131"/>
      <c r="KW988" s="131"/>
      <c r="KX988" s="131"/>
      <c r="KY988" s="131"/>
      <c r="KZ988" s="131"/>
      <c r="LA988" s="131"/>
      <c r="LB988" s="131"/>
      <c r="LC988" s="131"/>
      <c r="LD988" s="131"/>
      <c r="LE988" s="131"/>
      <c r="LF988" s="131"/>
      <c r="LG988" s="131"/>
      <c r="LH988" s="131"/>
      <c r="LI988" s="131"/>
      <c r="LJ988" s="131"/>
      <c r="LK988" s="131"/>
      <c r="LL988" s="131"/>
      <c r="LM988" s="131"/>
      <c r="LN988" s="131"/>
      <c r="LO988" s="131"/>
      <c r="LP988" s="131"/>
      <c r="LQ988" s="131"/>
      <c r="LR988" s="131"/>
      <c r="LS988" s="131"/>
      <c r="LT988" s="131"/>
      <c r="LU988" s="131"/>
      <c r="LV988" s="131"/>
      <c r="LW988" s="131"/>
      <c r="LX988" s="131"/>
      <c r="LY988" s="131"/>
      <c r="LZ988" s="131"/>
      <c r="MA988" s="131"/>
      <c r="MB988" s="131"/>
      <c r="MC988" s="131"/>
      <c r="MD988" s="131"/>
      <c r="ME988" s="131"/>
      <c r="MF988" s="131"/>
      <c r="MG988" s="131"/>
      <c r="MH988" s="131"/>
      <c r="MI988" s="131"/>
      <c r="MJ988" s="131"/>
      <c r="MK988" s="131"/>
      <c r="ML988" s="131"/>
      <c r="MM988" s="131"/>
      <c r="MN988" s="131"/>
      <c r="MO988" s="131"/>
      <c r="MP988" s="131"/>
      <c r="MQ988" s="131"/>
      <c r="MR988" s="131"/>
      <c r="MS988" s="131"/>
      <c r="MT988" s="131"/>
      <c r="MU988" s="131"/>
      <c r="MV988" s="131"/>
      <c r="MW988" s="131"/>
      <c r="MX988" s="131"/>
      <c r="MY988" s="131"/>
      <c r="MZ988" s="131"/>
      <c r="NA988" s="131"/>
      <c r="NB988" s="131"/>
      <c r="NC988" s="131"/>
      <c r="ND988" s="131"/>
      <c r="NE988" s="131"/>
      <c r="NF988" s="131"/>
      <c r="NG988" s="131"/>
      <c r="NH988" s="131"/>
      <c r="NI988" s="131"/>
      <c r="NJ988" s="131"/>
      <c r="NK988" s="131"/>
      <c r="NL988" s="131"/>
      <c r="NM988" s="131"/>
      <c r="NN988" s="131"/>
      <c r="NO988" s="131"/>
      <c r="NP988" s="131"/>
      <c r="NQ988" s="131"/>
      <c r="NR988" s="131"/>
      <c r="NS988" s="131"/>
      <c r="NT988" s="131"/>
      <c r="NU988" s="131"/>
      <c r="NV988" s="131"/>
      <c r="NW988" s="131"/>
      <c r="NX988" s="131"/>
      <c r="NY988" s="131"/>
      <c r="NZ988" s="131"/>
      <c r="OA988" s="131"/>
      <c r="OB988" s="131"/>
      <c r="OC988" s="131"/>
      <c r="OD988" s="131"/>
      <c r="OE988" s="131"/>
      <c r="OF988" s="131"/>
      <c r="OG988" s="131"/>
      <c r="OH988" s="131"/>
      <c r="OI988" s="131"/>
      <c r="OJ988" s="131"/>
      <c r="OK988" s="131"/>
      <c r="OL988" s="131"/>
      <c r="OM988" s="131"/>
      <c r="ON988" s="131"/>
      <c r="OO988" s="131"/>
      <c r="OP988" s="131"/>
      <c r="OQ988" s="131"/>
      <c r="OR988" s="131"/>
      <c r="OS988" s="131"/>
      <c r="OT988" s="131"/>
      <c r="OU988" s="131"/>
      <c r="OV988" s="131"/>
      <c r="OW988" s="131"/>
      <c r="OX988" s="131"/>
      <c r="OY988" s="131"/>
      <c r="OZ988" s="131"/>
      <c r="PA988" s="131"/>
      <c r="PB988" s="131"/>
      <c r="PC988" s="131"/>
      <c r="PD988" s="131"/>
      <c r="PE988" s="131"/>
      <c r="PF988" s="131"/>
      <c r="PG988" s="131"/>
      <c r="PH988" s="131"/>
      <c r="PI988" s="131"/>
      <c r="PJ988" s="131"/>
      <c r="PK988" s="131"/>
      <c r="PL988" s="131"/>
      <c r="PM988" s="131"/>
      <c r="PN988" s="131"/>
      <c r="PO988" s="131"/>
      <c r="PP988" s="131"/>
      <c r="PQ988" s="131"/>
      <c r="PR988" s="131"/>
      <c r="PS988" s="131"/>
      <c r="PT988" s="131"/>
      <c r="PU988" s="131"/>
      <c r="PV988" s="131"/>
      <c r="PW988" s="131"/>
      <c r="PX988" s="131"/>
      <c r="PY988" s="131"/>
      <c r="PZ988" s="131"/>
      <c r="QA988" s="131"/>
      <c r="QB988" s="131"/>
      <c r="QC988" s="131"/>
      <c r="QD988" s="131"/>
      <c r="QE988" s="131"/>
      <c r="QF988" s="131"/>
      <c r="QG988" s="131"/>
      <c r="QH988" s="131"/>
      <c r="QI988" s="131"/>
      <c r="QJ988" s="131"/>
      <c r="QK988" s="131"/>
      <c r="QL988" s="131"/>
      <c r="QM988" s="131"/>
      <c r="QN988" s="131"/>
      <c r="QO988" s="131"/>
      <c r="QP988" s="131"/>
      <c r="QQ988" s="131"/>
      <c r="QR988" s="131"/>
      <c r="QS988" s="131"/>
      <c r="QT988" s="131"/>
      <c r="QU988" s="131"/>
      <c r="QV988" s="131"/>
      <c r="QW988" s="131"/>
      <c r="QX988" s="131"/>
      <c r="QY988" s="131"/>
      <c r="QZ988" s="131"/>
      <c r="RA988" s="131"/>
      <c r="RB988" s="131"/>
      <c r="RC988" s="131"/>
      <c r="RD988" s="131"/>
      <c r="RE988" s="131"/>
      <c r="RF988" s="131"/>
      <c r="RG988" s="131"/>
      <c r="RH988" s="131"/>
      <c r="RI988" s="131"/>
      <c r="RJ988" s="131"/>
      <c r="RK988" s="131"/>
      <c r="RL988" s="131"/>
      <c r="RM988" s="131"/>
      <c r="RN988" s="131"/>
      <c r="RO988" s="131"/>
      <c r="RP988" s="131"/>
      <c r="RQ988" s="131"/>
      <c r="RR988" s="131"/>
      <c r="RS988" s="131"/>
      <c r="RT988" s="131"/>
      <c r="RU988" s="131"/>
      <c r="RV988" s="131"/>
      <c r="RW988" s="131"/>
      <c r="RX988" s="131"/>
      <c r="RY988" s="131"/>
      <c r="RZ988" s="131"/>
      <c r="SA988" s="131"/>
      <c r="SB988" s="131"/>
      <c r="SC988" s="131"/>
      <c r="SD988" s="131"/>
      <c r="SE988" s="131"/>
      <c r="SF988" s="131"/>
      <c r="SG988" s="131"/>
      <c r="SH988" s="131"/>
      <c r="SI988" s="131"/>
      <c r="SJ988" s="131"/>
      <c r="SK988" s="131"/>
      <c r="SL988" s="131"/>
      <c r="SM988" s="131"/>
      <c r="SN988" s="131"/>
      <c r="SO988" s="131"/>
      <c r="SP988" s="131"/>
      <c r="SQ988" s="131"/>
      <c r="SR988" s="131"/>
      <c r="SS988" s="131"/>
      <c r="ST988" s="131"/>
      <c r="SU988" s="131"/>
      <c r="SV988" s="131"/>
      <c r="SW988" s="131"/>
      <c r="SX988" s="131"/>
      <c r="SY988" s="131"/>
      <c r="SZ988" s="131"/>
      <c r="TA988" s="131"/>
      <c r="TB988" s="131"/>
      <c r="TC988" s="131"/>
      <c r="TD988" s="131"/>
      <c r="TE988" s="131"/>
      <c r="TF988" s="131"/>
      <c r="TG988" s="131"/>
      <c r="TH988" s="131"/>
      <c r="TI988" s="131"/>
      <c r="TJ988" s="131"/>
      <c r="TK988" s="131"/>
      <c r="TL988" s="131"/>
      <c r="TM988" s="131"/>
      <c r="TN988" s="131"/>
      <c r="TO988" s="131"/>
      <c r="TP988" s="131"/>
      <c r="TQ988" s="131"/>
      <c r="TR988" s="131"/>
      <c r="TS988" s="131"/>
      <c r="TT988" s="131"/>
      <c r="TU988" s="131"/>
      <c r="TV988" s="131"/>
      <c r="TW988" s="131"/>
      <c r="TX988" s="131"/>
      <c r="TY988" s="131"/>
      <c r="TZ988" s="131"/>
      <c r="UA988" s="131"/>
      <c r="UB988" s="131"/>
      <c r="UC988" s="131"/>
      <c r="UD988" s="131"/>
      <c r="UE988" s="131"/>
      <c r="UF988" s="131"/>
      <c r="UG988" s="131"/>
      <c r="UH988" s="131"/>
      <c r="UI988" s="131"/>
      <c r="UJ988" s="131"/>
      <c r="UK988" s="131"/>
      <c r="UL988" s="131"/>
      <c r="UM988" s="131"/>
      <c r="UN988" s="131"/>
      <c r="UO988" s="131"/>
      <c r="UP988" s="131"/>
      <c r="UQ988" s="131"/>
      <c r="UR988" s="131"/>
      <c r="US988" s="131"/>
      <c r="UT988" s="131"/>
      <c r="UU988" s="131"/>
      <c r="UV988" s="131"/>
      <c r="UW988" s="131"/>
      <c r="UX988" s="131"/>
      <c r="UY988" s="131"/>
      <c r="UZ988" s="131"/>
      <c r="VA988" s="131"/>
      <c r="VB988" s="131"/>
      <c r="VC988" s="131"/>
      <c r="VD988" s="131"/>
      <c r="VE988" s="131"/>
      <c r="VF988" s="131"/>
      <c r="VG988" s="131"/>
      <c r="VH988" s="131"/>
      <c r="VI988" s="131"/>
      <c r="VJ988" s="131"/>
      <c r="VK988" s="131"/>
      <c r="VL988" s="131"/>
      <c r="VM988" s="131"/>
      <c r="VN988" s="131"/>
      <c r="VO988" s="131"/>
      <c r="VP988" s="131"/>
      <c r="VQ988" s="131"/>
      <c r="VR988" s="131"/>
      <c r="VS988" s="131"/>
      <c r="VT988" s="131"/>
      <c r="VU988" s="131"/>
      <c r="VV988" s="131"/>
      <c r="VW988" s="131"/>
      <c r="VX988" s="131"/>
      <c r="VY988" s="131"/>
      <c r="VZ988" s="131"/>
      <c r="WA988" s="131"/>
      <c r="WB988" s="131"/>
      <c r="WC988" s="131"/>
      <c r="WD988" s="131"/>
      <c r="WE988" s="131"/>
      <c r="WF988" s="131"/>
      <c r="WG988" s="131"/>
      <c r="WH988" s="131"/>
      <c r="WI988" s="131"/>
      <c r="WJ988" s="131"/>
      <c r="WK988" s="131"/>
      <c r="WL988" s="131"/>
      <c r="WM988" s="131"/>
      <c r="WN988" s="131"/>
      <c r="WO988" s="131"/>
      <c r="WP988" s="131"/>
      <c r="WQ988" s="131"/>
      <c r="WR988" s="131"/>
      <c r="WS988" s="131"/>
      <c r="WT988" s="131"/>
      <c r="WU988" s="131"/>
      <c r="WV988" s="131"/>
      <c r="WW988" s="131"/>
      <c r="WX988" s="131"/>
      <c r="WY988" s="131"/>
      <c r="WZ988" s="131"/>
      <c r="XA988" s="131"/>
      <c r="XB988" s="131"/>
      <c r="XC988" s="131"/>
      <c r="XD988" s="131"/>
      <c r="XE988" s="131"/>
      <c r="XF988" s="131"/>
      <c r="XG988" s="131"/>
      <c r="XH988" s="131"/>
      <c r="XI988" s="131"/>
      <c r="XJ988" s="131"/>
      <c r="XK988" s="131"/>
      <c r="XL988" s="131"/>
      <c r="XM988" s="131"/>
      <c r="XN988" s="131"/>
      <c r="XO988" s="131"/>
      <c r="XP988" s="131"/>
      <c r="XQ988" s="131"/>
      <c r="XR988" s="131"/>
      <c r="XS988" s="131"/>
      <c r="XT988" s="131"/>
      <c r="XU988" s="131"/>
      <c r="XV988" s="131"/>
      <c r="XW988" s="131"/>
      <c r="XX988" s="131"/>
      <c r="XY988" s="131"/>
      <c r="XZ988" s="131"/>
      <c r="YA988" s="131"/>
      <c r="YB988" s="131"/>
      <c r="YC988" s="131"/>
      <c r="YD988" s="131"/>
      <c r="YE988" s="131"/>
      <c r="YF988" s="131"/>
      <c r="YG988" s="131"/>
      <c r="YH988" s="131"/>
      <c r="YI988" s="131"/>
      <c r="YJ988" s="131"/>
      <c r="YK988" s="131"/>
      <c r="YL988" s="131"/>
      <c r="YM988" s="131"/>
      <c r="YN988" s="131"/>
      <c r="YO988" s="131"/>
      <c r="YP988" s="131"/>
      <c r="YQ988" s="131"/>
      <c r="YR988" s="131"/>
      <c r="YS988" s="131"/>
      <c r="YT988" s="131"/>
      <c r="YU988" s="131"/>
      <c r="YV988" s="131"/>
      <c r="YW988" s="131"/>
      <c r="YX988" s="131"/>
      <c r="YY988" s="131"/>
      <c r="YZ988" s="131"/>
      <c r="ZA988" s="131"/>
      <c r="ZB988" s="131"/>
      <c r="ZC988" s="131"/>
      <c r="ZD988" s="131"/>
      <c r="ZE988" s="131"/>
      <c r="ZF988" s="131"/>
      <c r="ZG988" s="131"/>
      <c r="ZH988" s="131"/>
      <c r="ZI988" s="131"/>
      <c r="ZJ988" s="131"/>
      <c r="ZK988" s="131"/>
      <c r="ZL988" s="131"/>
      <c r="ZM988" s="131"/>
      <c r="ZN988" s="131"/>
      <c r="ZO988" s="131"/>
      <c r="ZP988" s="131"/>
      <c r="ZQ988" s="131"/>
      <c r="ZR988" s="131"/>
      <c r="ZS988" s="131"/>
      <c r="ZT988" s="131"/>
      <c r="ZU988" s="131"/>
      <c r="ZV988" s="131"/>
      <c r="ZW988" s="131"/>
      <c r="ZX988" s="131"/>
      <c r="ZY988" s="131"/>
      <c r="ZZ988" s="131"/>
      <c r="AAA988" s="131"/>
      <c r="AAB988" s="131"/>
      <c r="AAC988" s="131"/>
      <c r="AAD988" s="131"/>
      <c r="AAE988" s="131"/>
      <c r="AAF988" s="131"/>
      <c r="AAG988" s="131"/>
      <c r="AAH988" s="131"/>
      <c r="AAI988" s="131"/>
      <c r="AAJ988" s="131"/>
      <c r="AAK988" s="131"/>
      <c r="AAL988" s="131"/>
      <c r="AAM988" s="131"/>
      <c r="AAN988" s="131"/>
      <c r="AAO988" s="131"/>
      <c r="AAP988" s="131"/>
      <c r="AAQ988" s="131"/>
      <c r="AAR988" s="131"/>
      <c r="AAS988" s="131"/>
      <c r="AAT988" s="131"/>
      <c r="AAU988" s="131"/>
      <c r="AAV988" s="131"/>
      <c r="AAW988" s="131"/>
      <c r="AAX988" s="131"/>
      <c r="AAY988" s="131"/>
      <c r="AAZ988" s="131"/>
      <c r="ABA988" s="131"/>
      <c r="ABB988" s="131"/>
      <c r="ABC988" s="131"/>
      <c r="ABD988" s="131"/>
      <c r="ABE988" s="131"/>
      <c r="ABF988" s="131"/>
      <c r="ABG988" s="131"/>
      <c r="ABH988" s="131"/>
      <c r="ABI988" s="131"/>
      <c r="ABJ988" s="131"/>
      <c r="ABK988" s="131"/>
      <c r="ABL988" s="131"/>
      <c r="ABM988" s="131"/>
      <c r="ABN988" s="131"/>
      <c r="ABO988" s="131"/>
      <c r="ABP988" s="131"/>
      <c r="ABQ988" s="131"/>
      <c r="ABR988" s="131"/>
      <c r="ABS988" s="131"/>
      <c r="ABT988" s="131"/>
      <c r="ABU988" s="131"/>
      <c r="ABV988" s="131"/>
      <c r="ABW988" s="131"/>
      <c r="ABX988" s="131"/>
      <c r="ABY988" s="131"/>
      <c r="ABZ988" s="131"/>
      <c r="ACA988" s="131"/>
      <c r="ACB988" s="131"/>
      <c r="ACC988" s="131"/>
      <c r="ACD988" s="131"/>
      <c r="ACE988" s="131"/>
      <c r="ACF988" s="131"/>
      <c r="ACG988" s="131"/>
      <c r="ACH988" s="131"/>
      <c r="ACI988" s="131"/>
      <c r="ACJ988" s="131"/>
      <c r="ACK988" s="131"/>
      <c r="ACL988" s="131"/>
      <c r="ACM988" s="131"/>
      <c r="ACN988" s="131"/>
      <c r="ACO988" s="131"/>
      <c r="ACP988" s="131"/>
      <c r="ACQ988" s="131"/>
      <c r="ACR988" s="131"/>
      <c r="ACS988" s="131"/>
      <c r="ACT988" s="131"/>
      <c r="ACU988" s="131"/>
      <c r="ACV988" s="131"/>
      <c r="ACW988" s="131"/>
      <c r="ACX988" s="131"/>
      <c r="ACY988" s="131"/>
      <c r="ACZ988" s="131"/>
      <c r="ADA988" s="131"/>
      <c r="ADB988" s="131"/>
      <c r="ADC988" s="131"/>
      <c r="ADD988" s="131"/>
      <c r="ADE988" s="131"/>
      <c r="ADF988" s="131"/>
      <c r="ADG988" s="131"/>
      <c r="ADH988" s="131"/>
      <c r="ADI988" s="131"/>
      <c r="ADJ988" s="131"/>
      <c r="ADK988" s="131"/>
      <c r="ADL988" s="131"/>
      <c r="ADM988" s="131"/>
      <c r="ADN988" s="131"/>
      <c r="ADO988" s="131"/>
      <c r="ADP988" s="131"/>
      <c r="ADQ988" s="131"/>
      <c r="ADR988" s="131"/>
      <c r="ADS988" s="131"/>
      <c r="ADT988" s="131"/>
      <c r="ADU988" s="131"/>
      <c r="ADV988" s="131"/>
      <c r="ADW988" s="131"/>
      <c r="ADX988" s="131"/>
      <c r="ADY988" s="131"/>
      <c r="ADZ988" s="131"/>
      <c r="AEA988" s="131"/>
      <c r="AEB988" s="131"/>
      <c r="AEC988" s="131"/>
      <c r="AED988" s="131"/>
      <c r="AEE988" s="131"/>
      <c r="AEF988" s="131"/>
      <c r="AEG988" s="131"/>
      <c r="AEH988" s="131"/>
      <c r="AEI988" s="131"/>
      <c r="AEJ988" s="131"/>
      <c r="AEK988" s="131"/>
      <c r="AEL988" s="131"/>
      <c r="AEM988" s="131"/>
      <c r="AEN988" s="131"/>
      <c r="AEO988" s="131"/>
      <c r="AEP988" s="131"/>
      <c r="AEQ988" s="131"/>
      <c r="AER988" s="131"/>
      <c r="AES988" s="131"/>
      <c r="AET988" s="131"/>
      <c r="AEU988" s="131"/>
      <c r="AEV988" s="131"/>
      <c r="AEW988" s="131"/>
      <c r="AEX988" s="131"/>
      <c r="AEY988" s="131"/>
      <c r="AEZ988" s="131"/>
      <c r="AFA988" s="131"/>
      <c r="AFB988" s="131"/>
      <c r="AFC988" s="131"/>
      <c r="AFD988" s="131"/>
      <c r="AFE988" s="131"/>
      <c r="AFF988" s="131"/>
      <c r="AFG988" s="131"/>
      <c r="AFH988" s="131"/>
      <c r="AFI988" s="131"/>
      <c r="AFJ988" s="131"/>
      <c r="AFK988" s="131"/>
      <c r="AFL988" s="131"/>
      <c r="AFM988" s="131"/>
      <c r="AFN988" s="131"/>
      <c r="AFO988" s="131"/>
      <c r="AFP988" s="131"/>
      <c r="AFQ988" s="131"/>
      <c r="AFR988" s="131"/>
      <c r="AFS988" s="131"/>
      <c r="AFT988" s="131"/>
      <c r="AFU988" s="131"/>
      <c r="AFV988" s="131"/>
      <c r="AFW988" s="131"/>
      <c r="AFX988" s="131"/>
      <c r="AFY988" s="131"/>
      <c r="AFZ988" s="131"/>
      <c r="AGA988" s="131"/>
      <c r="AGB988" s="131"/>
      <c r="AGC988" s="131"/>
      <c r="AGD988" s="131"/>
      <c r="AGE988" s="131"/>
      <c r="AGF988" s="131"/>
      <c r="AGG988" s="131"/>
      <c r="AGH988" s="131"/>
      <c r="AGI988" s="131"/>
      <c r="AGJ988" s="131"/>
      <c r="AGK988" s="131"/>
      <c r="AGL988" s="131"/>
      <c r="AGM988" s="131"/>
      <c r="AGN988" s="131"/>
      <c r="AGO988" s="131"/>
      <c r="AGP988" s="131"/>
      <c r="AGQ988" s="131"/>
      <c r="AGR988" s="131"/>
      <c r="AGS988" s="131"/>
      <c r="AGT988" s="131"/>
      <c r="AGU988" s="131"/>
      <c r="AGV988" s="131"/>
      <c r="AGW988" s="131"/>
      <c r="AGX988" s="131"/>
      <c r="AGY988" s="131"/>
      <c r="AGZ988" s="131"/>
      <c r="AHA988" s="131"/>
      <c r="AHB988" s="131"/>
      <c r="AHC988" s="131"/>
      <c r="AHD988" s="131"/>
      <c r="AHE988" s="131"/>
      <c r="AHF988" s="131"/>
      <c r="AHG988" s="131"/>
      <c r="AHH988" s="131"/>
      <c r="AHI988" s="131"/>
      <c r="AHJ988" s="131"/>
      <c r="AHK988" s="131"/>
      <c r="AHL988" s="131"/>
      <c r="AHM988" s="131"/>
      <c r="AHN988" s="131"/>
      <c r="AHO988" s="131"/>
      <c r="AHP988" s="131"/>
      <c r="AHQ988" s="131"/>
      <c r="AHR988" s="131"/>
      <c r="AHS988" s="131"/>
      <c r="AHT988" s="131"/>
      <c r="AHU988" s="131"/>
      <c r="AHV988" s="131"/>
      <c r="AHW988" s="131"/>
      <c r="AHX988" s="131"/>
      <c r="AHY988" s="131"/>
      <c r="AHZ988" s="131"/>
      <c r="AIA988" s="131"/>
      <c r="AIB988" s="131"/>
      <c r="AIC988" s="131"/>
      <c r="AID988" s="131"/>
      <c r="AIE988" s="131"/>
      <c r="AIF988" s="131"/>
      <c r="AIG988" s="131"/>
      <c r="AIH988" s="131"/>
      <c r="AII988" s="131"/>
      <c r="AIJ988" s="131"/>
      <c r="AIK988" s="131"/>
      <c r="AIL988" s="131"/>
      <c r="AIM988" s="131"/>
      <c r="AIN988" s="131"/>
      <c r="AIO988" s="131"/>
      <c r="AIP988" s="131"/>
      <c r="AIQ988" s="131"/>
      <c r="AIR988" s="131"/>
      <c r="AIS988" s="131"/>
      <c r="AIT988" s="131"/>
      <c r="AIU988" s="131"/>
      <c r="AIV988" s="131"/>
      <c r="AIW988" s="131"/>
      <c r="AIX988" s="131"/>
      <c r="AIY988" s="131"/>
      <c r="AIZ988" s="131"/>
      <c r="AJA988" s="131"/>
      <c r="AJB988" s="131"/>
      <c r="AJC988" s="131"/>
      <c r="AJD988" s="131"/>
      <c r="AJE988" s="131"/>
      <c r="AJF988" s="131"/>
      <c r="AJG988" s="131"/>
      <c r="AJH988" s="131"/>
      <c r="AJI988" s="131"/>
      <c r="AJJ988" s="131"/>
      <c r="AJK988" s="131"/>
      <c r="AJL988" s="131"/>
      <c r="AJM988" s="131"/>
      <c r="AJN988" s="131"/>
      <c r="AJO988" s="131"/>
      <c r="AJP988" s="131"/>
      <c r="AJQ988" s="131"/>
      <c r="AJR988" s="131"/>
      <c r="AJS988" s="131"/>
      <c r="AJT988" s="131"/>
      <c r="AJU988" s="131"/>
      <c r="AJV988" s="131"/>
      <c r="AJW988" s="131"/>
      <c r="AJX988" s="131"/>
      <c r="AJY988" s="131"/>
      <c r="AJZ988" s="131"/>
      <c r="AKA988" s="131"/>
      <c r="AKB988" s="131"/>
      <c r="AKC988" s="131"/>
      <c r="AKD988" s="131"/>
      <c r="AKE988" s="131"/>
      <c r="AKF988" s="131"/>
      <c r="AKG988" s="131"/>
      <c r="AKH988" s="131"/>
      <c r="AKI988" s="131"/>
      <c r="AKJ988" s="131"/>
      <c r="AKK988" s="131"/>
      <c r="AKL988" s="131"/>
      <c r="AKM988" s="131"/>
      <c r="AKN988" s="131"/>
      <c r="AKO988" s="131"/>
      <c r="AKP988" s="131"/>
      <c r="AKQ988" s="131"/>
      <c r="AKR988" s="131"/>
      <c r="AKS988" s="131"/>
      <c r="AKT988" s="131"/>
      <c r="AKU988" s="131"/>
      <c r="AKV988" s="131"/>
      <c r="AKW988" s="131"/>
      <c r="AKX988" s="131"/>
      <c r="AKY988" s="131"/>
      <c r="AKZ988" s="131"/>
      <c r="ALA988" s="131"/>
      <c r="ALB988" s="131"/>
      <c r="ALC988" s="131"/>
      <c r="ALD988" s="131"/>
      <c r="ALE988" s="131"/>
      <c r="ALF988" s="131"/>
      <c r="ALG988" s="131"/>
      <c r="ALH988" s="131"/>
      <c r="ALI988" s="131"/>
      <c r="ALJ988" s="131"/>
      <c r="ALK988" s="131"/>
      <c r="ALL988" s="131"/>
      <c r="ALM988" s="131"/>
      <c r="ALN988" s="131"/>
      <c r="ALO988" s="131"/>
      <c r="ALP988" s="131"/>
      <c r="ALQ988" s="131"/>
      <c r="ALR988" s="131"/>
      <c r="ALS988" s="131"/>
      <c r="ALT988" s="131"/>
      <c r="ALU988" s="131"/>
      <c r="ALV988" s="131"/>
      <c r="ALW988" s="131"/>
      <c r="ALX988" s="131"/>
      <c r="ALY988" s="131"/>
      <c r="ALZ988" s="131"/>
      <c r="AMA988" s="131"/>
      <c r="AMB988" s="131"/>
      <c r="AMC988" s="131"/>
      <c r="AMD988" s="131"/>
      <c r="AME988" s="131"/>
      <c r="AMF988" s="131"/>
      <c r="AMG988" s="131"/>
      <c r="AMH988" s="131"/>
      <c r="AMI988" s="131"/>
      <c r="AMJ988" s="131"/>
      <c r="AMK988" s="131"/>
      <c r="AML988" s="131"/>
      <c r="AMM988" s="131"/>
      <c r="AMN988" s="131"/>
      <c r="AMO988" s="131"/>
      <c r="AMP988" s="131"/>
      <c r="AMQ988" s="131"/>
      <c r="AMR988" s="131"/>
      <c r="AMS988" s="131"/>
      <c r="AMT988" s="131"/>
      <c r="AMU988" s="131"/>
      <c r="AMV988" s="131"/>
      <c r="AMW988" s="131"/>
      <c r="AMX988" s="131"/>
      <c r="AMY988" s="131"/>
      <c r="AMZ988" s="131"/>
      <c r="ANA988" s="131"/>
      <c r="ANB988" s="131"/>
      <c r="ANC988" s="131"/>
      <c r="AND988" s="131"/>
      <c r="ANE988" s="131"/>
      <c r="ANF988" s="131"/>
      <c r="ANG988" s="131"/>
      <c r="ANH988" s="131"/>
      <c r="ANI988" s="131"/>
      <c r="ANJ988" s="131"/>
      <c r="ANK988" s="131"/>
      <c r="ANL988" s="131"/>
      <c r="ANM988" s="131"/>
      <c r="ANN988" s="131"/>
      <c r="ANO988" s="131"/>
      <c r="ANP988" s="131"/>
      <c r="ANQ988" s="131"/>
      <c r="ANR988" s="131"/>
      <c r="ANS988" s="131"/>
      <c r="ANT988" s="131"/>
      <c r="ANU988" s="131"/>
      <c r="ANV988" s="131"/>
      <c r="ANW988" s="131"/>
      <c r="ANX988" s="131"/>
      <c r="ANY988" s="131"/>
      <c r="ANZ988" s="131"/>
      <c r="AOA988" s="131"/>
      <c r="AOB988" s="131"/>
      <c r="AOC988" s="131"/>
      <c r="AOD988" s="131"/>
      <c r="AOE988" s="131"/>
      <c r="AOF988" s="131"/>
      <c r="AOG988" s="131"/>
      <c r="AOH988" s="131"/>
      <c r="AOI988" s="131"/>
      <c r="AOJ988" s="131"/>
      <c r="AOK988" s="131"/>
      <c r="AOL988" s="131"/>
      <c r="AOM988" s="131"/>
      <c r="AON988" s="131"/>
      <c r="AOO988" s="131"/>
      <c r="AOP988" s="131"/>
      <c r="AOQ988" s="131"/>
      <c r="AOR988" s="131"/>
      <c r="AOS988" s="131"/>
      <c r="AOT988" s="131"/>
      <c r="AOU988" s="131"/>
      <c r="AOV988" s="131"/>
      <c r="AOW988" s="131"/>
      <c r="AOX988" s="131"/>
      <c r="AOY988" s="131"/>
      <c r="AOZ988" s="131"/>
      <c r="APA988" s="131"/>
      <c r="APB988" s="131"/>
      <c r="APC988" s="131"/>
      <c r="APD988" s="131"/>
      <c r="APE988" s="131"/>
      <c r="APF988" s="131"/>
      <c r="APG988" s="131"/>
      <c r="APH988" s="131"/>
      <c r="API988" s="131"/>
      <c r="APJ988" s="131"/>
      <c r="APK988" s="131"/>
      <c r="APL988" s="131"/>
      <c r="APM988" s="131"/>
      <c r="APN988" s="131"/>
      <c r="APO988" s="131"/>
      <c r="APP988" s="131"/>
      <c r="APQ988" s="131"/>
      <c r="APR988" s="131"/>
      <c r="APS988" s="131"/>
      <c r="APT988" s="131"/>
      <c r="APU988" s="131"/>
      <c r="APV988" s="131"/>
      <c r="APW988" s="131"/>
      <c r="APX988" s="131"/>
      <c r="APY988" s="131"/>
      <c r="APZ988" s="131"/>
      <c r="AQA988" s="131"/>
      <c r="AQB988" s="131"/>
      <c r="AQC988" s="131"/>
      <c r="AQD988" s="131"/>
      <c r="AQE988" s="131"/>
      <c r="AQF988" s="131"/>
      <c r="AQG988" s="131"/>
      <c r="AQH988" s="131"/>
      <c r="AQI988" s="131"/>
      <c r="AQJ988" s="131"/>
      <c r="AQK988" s="131"/>
      <c r="AQL988" s="131"/>
      <c r="AQM988" s="131"/>
      <c r="AQN988" s="131"/>
      <c r="AQO988" s="131"/>
      <c r="AQP988" s="131"/>
      <c r="AQQ988" s="131"/>
      <c r="AQR988" s="131"/>
      <c r="AQS988" s="131"/>
      <c r="AQT988" s="131"/>
      <c r="AQU988" s="131"/>
      <c r="AQV988" s="131"/>
      <c r="AQW988" s="131"/>
      <c r="AQX988" s="131"/>
      <c r="AQY988" s="131"/>
      <c r="AQZ988" s="131"/>
      <c r="ARA988" s="131"/>
      <c r="ARB988" s="131"/>
      <c r="ARC988" s="131"/>
      <c r="ARD988" s="131"/>
      <c r="ARE988" s="131"/>
      <c r="ARF988" s="131"/>
      <c r="ARG988" s="131"/>
      <c r="ARH988" s="131"/>
      <c r="ARI988" s="131"/>
      <c r="ARJ988" s="131"/>
      <c r="ARK988" s="131"/>
      <c r="ARL988" s="131"/>
      <c r="ARM988" s="131"/>
      <c r="ARN988" s="131"/>
      <c r="ARO988" s="131"/>
      <c r="ARP988" s="131"/>
      <c r="ARQ988" s="131"/>
      <c r="ARR988" s="131"/>
      <c r="ARS988" s="131"/>
      <c r="ART988" s="131"/>
      <c r="ARU988" s="131"/>
      <c r="ARV988" s="131"/>
      <c r="ARW988" s="131"/>
      <c r="ARX988" s="131"/>
      <c r="ARY988" s="131"/>
      <c r="ARZ988" s="131"/>
      <c r="ASA988" s="131"/>
      <c r="ASB988" s="131"/>
      <c r="ASC988" s="131"/>
      <c r="ASD988" s="131"/>
      <c r="ASE988" s="131"/>
      <c r="ASF988" s="131"/>
      <c r="ASG988" s="131"/>
      <c r="ASH988" s="131"/>
      <c r="ASI988" s="131"/>
      <c r="ASJ988" s="131"/>
      <c r="ASK988" s="131"/>
      <c r="ASL988" s="131"/>
      <c r="ASM988" s="131"/>
      <c r="ASN988" s="131"/>
      <c r="ASO988" s="131"/>
      <c r="ASP988" s="131"/>
      <c r="ASQ988" s="131"/>
      <c r="ASR988" s="131"/>
      <c r="ASS988" s="131"/>
      <c r="AST988" s="131"/>
      <c r="ASU988" s="131"/>
      <c r="ASV988" s="131"/>
      <c r="ASW988" s="131"/>
      <c r="ASX988" s="131"/>
      <c r="ASY988" s="131"/>
      <c r="ASZ988" s="131"/>
      <c r="ATA988" s="131"/>
      <c r="ATB988" s="131"/>
      <c r="ATC988" s="131"/>
    </row>
    <row r="989" spans="1:1199" ht="50.1" customHeight="1" outlineLevel="2" x14ac:dyDescent="0.3">
      <c r="A989" s="103" t="s">
        <v>832</v>
      </c>
      <c r="B989" s="102" t="s">
        <v>39</v>
      </c>
      <c r="C989" s="79" t="s">
        <v>37</v>
      </c>
      <c r="D989" s="81">
        <f t="shared" ref="D989" si="223">E989+F989</f>
        <v>3154.1141799999996</v>
      </c>
      <c r="E989" s="82">
        <f t="shared" si="217"/>
        <v>267.28440999999998</v>
      </c>
      <c r="F989" s="83">
        <f t="shared" si="218"/>
        <v>2886.8297699999994</v>
      </c>
      <c r="G989" s="84"/>
      <c r="H989" s="85"/>
      <c r="I989" s="85"/>
      <c r="J989" s="84">
        <f>38.75673+33.9758</f>
        <v>72.732529999999997</v>
      </c>
      <c r="K989" s="85">
        <f>9.6892+8.49395</f>
        <v>18.183149999999998</v>
      </c>
      <c r="L989" s="85"/>
      <c r="M989" s="85"/>
      <c r="N989" s="85"/>
      <c r="O989" s="82"/>
      <c r="P989" s="83"/>
      <c r="Q989" s="83"/>
      <c r="R989" s="83"/>
      <c r="S989" s="82"/>
      <c r="T989" s="83"/>
      <c r="U989" s="83"/>
      <c r="V989" s="84">
        <v>44.070500000000003</v>
      </c>
      <c r="W989" s="85">
        <v>76.95</v>
      </c>
      <c r="X989" s="87"/>
      <c r="Y989" s="83">
        <v>218.4</v>
      </c>
      <c r="Z989" s="84"/>
      <c r="AA989" s="85"/>
      <c r="AB989" s="84"/>
      <c r="AC989" s="85"/>
      <c r="AD989" s="89">
        <f t="shared" si="219"/>
        <v>0</v>
      </c>
      <c r="AE989" s="89"/>
      <c r="AF989" s="186"/>
      <c r="AG989" s="85"/>
      <c r="AH989" s="85"/>
      <c r="AI989" s="85"/>
      <c r="AJ989" s="84"/>
      <c r="AK989" s="85"/>
      <c r="AL989" s="84"/>
      <c r="AM989" s="88"/>
      <c r="AN989" s="84"/>
      <c r="AO989" s="85"/>
      <c r="AP989" s="84"/>
      <c r="AQ989" s="83"/>
      <c r="AR989" s="83"/>
      <c r="AS989" s="83"/>
      <c r="AT989" s="85"/>
      <c r="AU989" s="85"/>
      <c r="AV989" s="85">
        <v>2437.0234999999998</v>
      </c>
      <c r="AW989" s="88"/>
      <c r="AX989" s="84"/>
      <c r="AY989" s="85"/>
      <c r="AZ989" s="84">
        <v>150.48138</v>
      </c>
      <c r="BA989" s="85">
        <v>136.27312000000001</v>
      </c>
      <c r="BB989" s="88"/>
      <c r="BC989" s="85"/>
      <c r="BD989" s="84"/>
      <c r="BE989" s="88"/>
      <c r="BF989" s="85"/>
      <c r="BG989" s="85"/>
      <c r="BH989" s="85"/>
      <c r="BI989" s="85"/>
      <c r="BJ989" s="85"/>
      <c r="BK989" s="85"/>
      <c r="BL989" s="85"/>
      <c r="BM989" s="85"/>
      <c r="BN989" s="85"/>
      <c r="BO989" s="85"/>
      <c r="BP989" s="85"/>
      <c r="BQ989" s="85"/>
      <c r="BR989" s="84"/>
      <c r="BS989" s="85"/>
      <c r="BT989" s="85"/>
      <c r="BU989" s="198"/>
      <c r="BV989" s="90"/>
      <c r="BW989" s="198"/>
      <c r="BX989" s="90"/>
      <c r="BY989" s="198"/>
      <c r="BZ989" s="90"/>
      <c r="CA989" s="91"/>
    </row>
    <row r="990" spans="1:1199" ht="50.1" customHeight="1" outlineLevel="2" x14ac:dyDescent="0.3">
      <c r="A990" s="103" t="s">
        <v>832</v>
      </c>
      <c r="B990" s="102" t="s">
        <v>351</v>
      </c>
      <c r="C990" s="79" t="s">
        <v>37</v>
      </c>
      <c r="D990" s="81">
        <f t="shared" ref="D990:D1011" si="224">E990+F990</f>
        <v>10212.424200000001</v>
      </c>
      <c r="E990" s="82">
        <f t="shared" si="217"/>
        <v>2212.55339</v>
      </c>
      <c r="F990" s="83">
        <f t="shared" si="218"/>
        <v>7999.8708100000003</v>
      </c>
      <c r="G990" s="84"/>
      <c r="H990" s="85"/>
      <c r="I990" s="85"/>
      <c r="J990" s="84"/>
      <c r="K990" s="85"/>
      <c r="L990" s="85"/>
      <c r="M990" s="85"/>
      <c r="N990" s="85"/>
      <c r="O990" s="82"/>
      <c r="P990" s="83"/>
      <c r="Q990" s="83"/>
      <c r="R990" s="83"/>
      <c r="S990" s="82"/>
      <c r="T990" s="83"/>
      <c r="U990" s="83"/>
      <c r="V990" s="84">
        <v>185.56</v>
      </c>
      <c r="W990" s="85">
        <v>324</v>
      </c>
      <c r="X990" s="87"/>
      <c r="Y990" s="83">
        <v>948.16800000000001</v>
      </c>
      <c r="Z990" s="84"/>
      <c r="AA990" s="85"/>
      <c r="AB990" s="84"/>
      <c r="AC990" s="85"/>
      <c r="AD990" s="89">
        <f t="shared" si="219"/>
        <v>997.86115999999993</v>
      </c>
      <c r="AE990" s="89">
        <f>586.1709+42.982</f>
        <v>629.15289999999993</v>
      </c>
      <c r="AF990" s="186">
        <v>368.70826</v>
      </c>
      <c r="AG990" s="85"/>
      <c r="AH990" s="85"/>
      <c r="AI990" s="85"/>
      <c r="AJ990" s="84"/>
      <c r="AK990" s="85"/>
      <c r="AL990" s="84"/>
      <c r="AM990" s="88"/>
      <c r="AN990" s="84"/>
      <c r="AO990" s="85">
        <v>3702.4</v>
      </c>
      <c r="AP990" s="84"/>
      <c r="AQ990" s="83"/>
      <c r="AR990" s="83"/>
      <c r="AS990" s="83"/>
      <c r="AT990" s="85"/>
      <c r="AU990" s="85"/>
      <c r="AV990" s="85">
        <v>22.74755</v>
      </c>
      <c r="AW990" s="88"/>
      <c r="AX990" s="84"/>
      <c r="AY990" s="85"/>
      <c r="AZ990" s="84">
        <v>2026.9933900000001</v>
      </c>
      <c r="BA990" s="85">
        <v>1835.6067700000001</v>
      </c>
      <c r="BB990" s="88"/>
      <c r="BC990" s="85"/>
      <c r="BD990" s="84"/>
      <c r="BE990" s="88"/>
      <c r="BF990" s="85"/>
      <c r="BG990" s="85"/>
      <c r="BH990" s="85"/>
      <c r="BI990" s="85"/>
      <c r="BJ990" s="85"/>
      <c r="BK990" s="85">
        <v>169.08733000000001</v>
      </c>
      <c r="BL990" s="85"/>
      <c r="BM990" s="85"/>
      <c r="BN990" s="85"/>
      <c r="BO990" s="85"/>
      <c r="BP990" s="85"/>
      <c r="BQ990" s="85"/>
      <c r="BR990" s="84"/>
      <c r="BS990" s="85"/>
      <c r="BT990" s="85"/>
      <c r="BU990" s="198"/>
      <c r="BV990" s="90"/>
      <c r="BW990" s="198"/>
      <c r="BX990" s="90"/>
      <c r="BY990" s="198"/>
      <c r="BZ990" s="90"/>
      <c r="CA990" s="91"/>
    </row>
    <row r="991" spans="1:1199" ht="50.1" customHeight="1" outlineLevel="2" x14ac:dyDescent="0.3">
      <c r="A991" s="103" t="s">
        <v>832</v>
      </c>
      <c r="B991" s="102" t="s">
        <v>596</v>
      </c>
      <c r="C991" s="79" t="s">
        <v>37</v>
      </c>
      <c r="D991" s="81">
        <f t="shared" si="224"/>
        <v>179.49489</v>
      </c>
      <c r="E991" s="82">
        <f t="shared" si="217"/>
        <v>72.418210000000002</v>
      </c>
      <c r="F991" s="83">
        <f t="shared" si="218"/>
        <v>107.07668000000001</v>
      </c>
      <c r="G991" s="84"/>
      <c r="H991" s="85"/>
      <c r="I991" s="85"/>
      <c r="J991" s="84"/>
      <c r="K991" s="85"/>
      <c r="L991" s="85"/>
      <c r="M991" s="85"/>
      <c r="N991" s="85"/>
      <c r="O991" s="82"/>
      <c r="P991" s="83"/>
      <c r="Q991" s="83"/>
      <c r="R991" s="83"/>
      <c r="S991" s="82"/>
      <c r="T991" s="83"/>
      <c r="U991" s="83"/>
      <c r="V991" s="84"/>
      <c r="W991" s="85"/>
      <c r="X991" s="87"/>
      <c r="Y991" s="83">
        <v>41.496000000000002</v>
      </c>
      <c r="Z991" s="84"/>
      <c r="AA991" s="85"/>
      <c r="AB991" s="84"/>
      <c r="AC991" s="85"/>
      <c r="AD991" s="89">
        <f t="shared" si="219"/>
        <v>0</v>
      </c>
      <c r="AE991" s="89"/>
      <c r="AF991" s="186"/>
      <c r="AG991" s="85"/>
      <c r="AH991" s="85"/>
      <c r="AI991" s="85"/>
      <c r="AJ991" s="84"/>
      <c r="AK991" s="85"/>
      <c r="AL991" s="84"/>
      <c r="AM991" s="88"/>
      <c r="AN991" s="84"/>
      <c r="AO991" s="85"/>
      <c r="AP991" s="84"/>
      <c r="AQ991" s="83"/>
      <c r="AR991" s="83"/>
      <c r="AS991" s="83"/>
      <c r="AT991" s="85"/>
      <c r="AU991" s="85"/>
      <c r="AV991" s="85"/>
      <c r="AW991" s="88"/>
      <c r="AX991" s="84"/>
      <c r="AY991" s="85"/>
      <c r="AZ991" s="84">
        <v>72.418210000000002</v>
      </c>
      <c r="BA991" s="85">
        <v>65.580680000000001</v>
      </c>
      <c r="BB991" s="88"/>
      <c r="BC991" s="85"/>
      <c r="BD991" s="84"/>
      <c r="BE991" s="88"/>
      <c r="BF991" s="85"/>
      <c r="BG991" s="85"/>
      <c r="BH991" s="85"/>
      <c r="BI991" s="85"/>
      <c r="BJ991" s="85"/>
      <c r="BK991" s="85"/>
      <c r="BL991" s="85"/>
      <c r="BM991" s="85"/>
      <c r="BN991" s="85"/>
      <c r="BO991" s="85"/>
      <c r="BP991" s="85"/>
      <c r="BQ991" s="85"/>
      <c r="BR991" s="84"/>
      <c r="BS991" s="85"/>
      <c r="BT991" s="85"/>
      <c r="BU991" s="198"/>
      <c r="BV991" s="90"/>
      <c r="BW991" s="198"/>
      <c r="BX991" s="90"/>
      <c r="BY991" s="198"/>
      <c r="BZ991" s="90"/>
      <c r="CA991" s="91"/>
    </row>
    <row r="992" spans="1:1199" ht="50.1" customHeight="1" outlineLevel="2" x14ac:dyDescent="0.3">
      <c r="A992" s="106" t="s">
        <v>832</v>
      </c>
      <c r="B992" s="96" t="s">
        <v>833</v>
      </c>
      <c r="C992" s="79" t="s">
        <v>37</v>
      </c>
      <c r="D992" s="81">
        <f t="shared" si="224"/>
        <v>2466.4732899999999</v>
      </c>
      <c r="E992" s="82">
        <f t="shared" si="217"/>
        <v>798.55826999999999</v>
      </c>
      <c r="F992" s="83">
        <f t="shared" si="218"/>
        <v>1667.9150199999999</v>
      </c>
      <c r="G992" s="84"/>
      <c r="H992" s="85"/>
      <c r="I992" s="85"/>
      <c r="J992" s="84">
        <f>261.40319+53.34641</f>
        <v>314.74959999999999</v>
      </c>
      <c r="K992" s="85">
        <f>155.96625+26.67319</f>
        <v>182.63944000000001</v>
      </c>
      <c r="L992" s="85"/>
      <c r="M992" s="85"/>
      <c r="N992" s="85"/>
      <c r="O992" s="82"/>
      <c r="P992" s="83"/>
      <c r="Q992" s="83"/>
      <c r="R992" s="83"/>
      <c r="S992" s="82"/>
      <c r="T992" s="83"/>
      <c r="U992" s="83"/>
      <c r="V992" s="84">
        <v>69.584999999999994</v>
      </c>
      <c r="W992" s="85">
        <v>121.5</v>
      </c>
      <c r="X992" s="87"/>
      <c r="Y992" s="83">
        <v>312</v>
      </c>
      <c r="Z992" s="84"/>
      <c r="AA992" s="85"/>
      <c r="AB992" s="84"/>
      <c r="AC992" s="85"/>
      <c r="AD992" s="89">
        <f t="shared" si="219"/>
        <v>209.26769999999999</v>
      </c>
      <c r="AE992" s="89">
        <v>73.069400000000002</v>
      </c>
      <c r="AF992" s="186">
        <v>136.19829999999999</v>
      </c>
      <c r="AG992" s="85"/>
      <c r="AH992" s="85"/>
      <c r="AI992" s="85"/>
      <c r="AJ992" s="84"/>
      <c r="AK992" s="85"/>
      <c r="AL992" s="84"/>
      <c r="AM992" s="88"/>
      <c r="AN992" s="84"/>
      <c r="AO992" s="85"/>
      <c r="AP992" s="84"/>
      <c r="AQ992" s="83"/>
      <c r="AR992" s="83"/>
      <c r="AS992" s="83"/>
      <c r="AT992" s="85"/>
      <c r="AU992" s="85"/>
      <c r="AV992" s="85">
        <v>467.39454999999998</v>
      </c>
      <c r="AW992" s="88"/>
      <c r="AX992" s="84"/>
      <c r="AY992" s="85"/>
      <c r="AZ992" s="84">
        <v>414.22367000000003</v>
      </c>
      <c r="BA992" s="85">
        <v>375.11333000000002</v>
      </c>
      <c r="BB992" s="88"/>
      <c r="BC992" s="85"/>
      <c r="BD992" s="84"/>
      <c r="BE992" s="88"/>
      <c r="BF992" s="85"/>
      <c r="BG992" s="85"/>
      <c r="BH992" s="85"/>
      <c r="BI992" s="85"/>
      <c r="BJ992" s="85"/>
      <c r="BK992" s="85"/>
      <c r="BL992" s="85"/>
      <c r="BM992" s="85"/>
      <c r="BN992" s="85"/>
      <c r="BO992" s="85"/>
      <c r="BP992" s="85"/>
      <c r="BQ992" s="85"/>
      <c r="BR992" s="84"/>
      <c r="BS992" s="85"/>
      <c r="BT992" s="85"/>
      <c r="BU992" s="198"/>
      <c r="BV992" s="90"/>
      <c r="BW992" s="198"/>
      <c r="BX992" s="90"/>
      <c r="BY992" s="198"/>
      <c r="BZ992" s="90"/>
      <c r="CA992" s="91"/>
    </row>
    <row r="993" spans="1:79" ht="50.1" customHeight="1" outlineLevel="2" x14ac:dyDescent="0.3">
      <c r="A993" s="106" t="s">
        <v>832</v>
      </c>
      <c r="B993" s="96" t="s">
        <v>834</v>
      </c>
      <c r="C993" s="79" t="s">
        <v>37</v>
      </c>
      <c r="D993" s="81">
        <f t="shared" si="224"/>
        <v>2256.0772699999998</v>
      </c>
      <c r="E993" s="82">
        <f t="shared" si="217"/>
        <v>388.43353999999999</v>
      </c>
      <c r="F993" s="83">
        <f t="shared" si="218"/>
        <v>1867.64373</v>
      </c>
      <c r="G993" s="84"/>
      <c r="H993" s="85"/>
      <c r="I993" s="85"/>
      <c r="J993" s="84"/>
      <c r="K993" s="85"/>
      <c r="L993" s="85"/>
      <c r="M993" s="85"/>
      <c r="N993" s="85"/>
      <c r="O993" s="82"/>
      <c r="P993" s="83"/>
      <c r="Q993" s="83"/>
      <c r="R993" s="83"/>
      <c r="S993" s="82"/>
      <c r="T993" s="83"/>
      <c r="U993" s="83"/>
      <c r="V993" s="84">
        <v>46.39</v>
      </c>
      <c r="W993" s="85">
        <v>81</v>
      </c>
      <c r="X993" s="87"/>
      <c r="Y993" s="83">
        <v>162.24</v>
      </c>
      <c r="Z993" s="84"/>
      <c r="AA993" s="85"/>
      <c r="AB993" s="84"/>
      <c r="AC993" s="85"/>
      <c r="AD993" s="89">
        <f t="shared" si="219"/>
        <v>205.20137999999997</v>
      </c>
      <c r="AE993" s="89">
        <v>134.18369999999999</v>
      </c>
      <c r="AF993" s="186">
        <v>71.017679999999999</v>
      </c>
      <c r="AG993" s="85"/>
      <c r="AH993" s="85"/>
      <c r="AI993" s="85"/>
      <c r="AJ993" s="84"/>
      <c r="AK993" s="85"/>
      <c r="AL993" s="84"/>
      <c r="AM993" s="88"/>
      <c r="AN993" s="84"/>
      <c r="AO993" s="85"/>
      <c r="AP993" s="84"/>
      <c r="AQ993" s="83"/>
      <c r="AR993" s="83"/>
      <c r="AS993" s="83"/>
      <c r="AT993" s="85"/>
      <c r="AU993" s="85"/>
      <c r="AV993" s="85">
        <f>977.36205+132.0921</f>
        <v>1109.45415</v>
      </c>
      <c r="AW993" s="88"/>
      <c r="AX993" s="84"/>
      <c r="AY993" s="85"/>
      <c r="AZ993" s="84">
        <v>342.04354000000001</v>
      </c>
      <c r="BA993" s="85">
        <v>309.7482</v>
      </c>
      <c r="BB993" s="88"/>
      <c r="BC993" s="85"/>
      <c r="BD993" s="84"/>
      <c r="BE993" s="88"/>
      <c r="BF993" s="85"/>
      <c r="BG993" s="85"/>
      <c r="BH993" s="85"/>
      <c r="BI993" s="85"/>
      <c r="BJ993" s="85"/>
      <c r="BK993" s="85"/>
      <c r="BL993" s="85"/>
      <c r="BM993" s="85"/>
      <c r="BN993" s="85"/>
      <c r="BO993" s="85"/>
      <c r="BP993" s="85"/>
      <c r="BQ993" s="85"/>
      <c r="BR993" s="84"/>
      <c r="BS993" s="85"/>
      <c r="BT993" s="85"/>
      <c r="BU993" s="198"/>
      <c r="BV993" s="90"/>
      <c r="BW993" s="198"/>
      <c r="BX993" s="90"/>
      <c r="BY993" s="198"/>
      <c r="BZ993" s="90"/>
      <c r="CA993" s="91"/>
    </row>
    <row r="994" spans="1:79" ht="50.1" customHeight="1" outlineLevel="2" x14ac:dyDescent="0.3">
      <c r="A994" s="106" t="s">
        <v>832</v>
      </c>
      <c r="B994" s="96" t="s">
        <v>1219</v>
      </c>
      <c r="C994" s="79" t="s">
        <v>99</v>
      </c>
      <c r="D994" s="81">
        <f t="shared" si="224"/>
        <v>447.36617000000001</v>
      </c>
      <c r="E994" s="82">
        <f t="shared" si="217"/>
        <v>0</v>
      </c>
      <c r="F994" s="83">
        <f t="shared" si="218"/>
        <v>447.36617000000001</v>
      </c>
      <c r="G994" s="84"/>
      <c r="H994" s="85"/>
      <c r="I994" s="85"/>
      <c r="J994" s="84"/>
      <c r="K994" s="85"/>
      <c r="L994" s="85"/>
      <c r="M994" s="85"/>
      <c r="N994" s="85"/>
      <c r="O994" s="82"/>
      <c r="P994" s="83"/>
      <c r="Q994" s="83"/>
      <c r="R994" s="83"/>
      <c r="S994" s="82"/>
      <c r="T994" s="83"/>
      <c r="U994" s="83"/>
      <c r="V994" s="84"/>
      <c r="W994" s="85"/>
      <c r="X994" s="87"/>
      <c r="Y994" s="83"/>
      <c r="Z994" s="84"/>
      <c r="AA994" s="85"/>
      <c r="AB994" s="84"/>
      <c r="AC994" s="85"/>
      <c r="AD994" s="89"/>
      <c r="AE994" s="89"/>
      <c r="AF994" s="186"/>
      <c r="AG994" s="85"/>
      <c r="AH994" s="85"/>
      <c r="AI994" s="85"/>
      <c r="AJ994" s="84"/>
      <c r="AK994" s="85"/>
      <c r="AL994" s="84"/>
      <c r="AM994" s="88"/>
      <c r="AN994" s="84"/>
      <c r="AO994" s="85"/>
      <c r="AP994" s="84"/>
      <c r="AQ994" s="83"/>
      <c r="AR994" s="83"/>
      <c r="AS994" s="83"/>
      <c r="AT994" s="85"/>
      <c r="AU994" s="85"/>
      <c r="AV994" s="85">
        <v>447.36617000000001</v>
      </c>
      <c r="AW994" s="88"/>
      <c r="AX994" s="84"/>
      <c r="AY994" s="85"/>
      <c r="AZ994" s="84"/>
      <c r="BA994" s="85"/>
      <c r="BB994" s="88"/>
      <c r="BC994" s="85"/>
      <c r="BD994" s="84"/>
      <c r="BE994" s="88"/>
      <c r="BF994" s="85"/>
      <c r="BG994" s="85"/>
      <c r="BH994" s="85"/>
      <c r="BI994" s="85"/>
      <c r="BJ994" s="85"/>
      <c r="BK994" s="85"/>
      <c r="BL994" s="85"/>
      <c r="BM994" s="85"/>
      <c r="BN994" s="85"/>
      <c r="BO994" s="85"/>
      <c r="BP994" s="85"/>
      <c r="BQ994" s="85"/>
      <c r="BR994" s="84"/>
      <c r="BS994" s="85"/>
      <c r="BT994" s="85"/>
      <c r="BU994" s="198"/>
      <c r="BV994" s="90"/>
      <c r="BW994" s="198"/>
      <c r="BX994" s="90"/>
      <c r="BY994" s="198"/>
      <c r="BZ994" s="90"/>
      <c r="CA994" s="91"/>
    </row>
    <row r="995" spans="1:79" ht="50.1" customHeight="1" outlineLevel="2" x14ac:dyDescent="0.3">
      <c r="A995" s="106" t="s">
        <v>1261</v>
      </c>
      <c r="B995" s="96" t="s">
        <v>835</v>
      </c>
      <c r="C995" s="79" t="s">
        <v>37</v>
      </c>
      <c r="D995" s="81">
        <f t="shared" si="224"/>
        <v>494.34241000000003</v>
      </c>
      <c r="E995" s="82">
        <f t="shared" si="217"/>
        <v>95.688469999999995</v>
      </c>
      <c r="F995" s="83">
        <f t="shared" si="218"/>
        <v>398.65394000000003</v>
      </c>
      <c r="G995" s="84"/>
      <c r="H995" s="85"/>
      <c r="I995" s="85"/>
      <c r="J995" s="84"/>
      <c r="K995" s="85"/>
      <c r="L995" s="85"/>
      <c r="M995" s="85"/>
      <c r="N995" s="85"/>
      <c r="O995" s="82"/>
      <c r="P995" s="83"/>
      <c r="Q995" s="83"/>
      <c r="R995" s="83"/>
      <c r="S995" s="82"/>
      <c r="T995" s="83"/>
      <c r="U995" s="83"/>
      <c r="V995" s="84"/>
      <c r="W995" s="85"/>
      <c r="X995" s="87"/>
      <c r="Y995" s="83">
        <v>312</v>
      </c>
      <c r="Z995" s="84"/>
      <c r="AA995" s="85"/>
      <c r="AB995" s="84"/>
      <c r="AC995" s="85"/>
      <c r="AD995" s="89">
        <f t="shared" si="219"/>
        <v>0</v>
      </c>
      <c r="AE995" s="89"/>
      <c r="AF995" s="186"/>
      <c r="AG995" s="85"/>
      <c r="AH995" s="85"/>
      <c r="AI995" s="85"/>
      <c r="AJ995" s="84"/>
      <c r="AK995" s="85"/>
      <c r="AL995" s="84"/>
      <c r="AM995" s="88"/>
      <c r="AN995" s="84"/>
      <c r="AO995" s="85"/>
      <c r="AP995" s="84"/>
      <c r="AQ995" s="83"/>
      <c r="AR995" s="83"/>
      <c r="AS995" s="83"/>
      <c r="AT995" s="85"/>
      <c r="AU995" s="85"/>
      <c r="AV995" s="85"/>
      <c r="AW995" s="88"/>
      <c r="AX995" s="84"/>
      <c r="AY995" s="85"/>
      <c r="AZ995" s="84">
        <v>95.688469999999995</v>
      </c>
      <c r="BA995" s="85">
        <v>86.653940000000006</v>
      </c>
      <c r="BB995" s="88"/>
      <c r="BC995" s="85"/>
      <c r="BD995" s="84"/>
      <c r="BE995" s="88"/>
      <c r="BF995" s="85"/>
      <c r="BG995" s="85"/>
      <c r="BH995" s="85"/>
      <c r="BI995" s="85"/>
      <c r="BJ995" s="85"/>
      <c r="BK995" s="85"/>
      <c r="BL995" s="85"/>
      <c r="BM995" s="85"/>
      <c r="BN995" s="85"/>
      <c r="BO995" s="85"/>
      <c r="BP995" s="85"/>
      <c r="BQ995" s="85"/>
      <c r="BR995" s="84"/>
      <c r="BS995" s="85"/>
      <c r="BT995" s="85"/>
      <c r="BU995" s="198"/>
      <c r="BV995" s="90"/>
      <c r="BW995" s="198"/>
      <c r="BX995" s="90"/>
      <c r="BY995" s="198"/>
      <c r="BZ995" s="90"/>
      <c r="CA995" s="91"/>
    </row>
    <row r="996" spans="1:79" ht="50.1" customHeight="1" outlineLevel="2" x14ac:dyDescent="0.3">
      <c r="A996" s="96" t="s">
        <v>832</v>
      </c>
      <c r="B996" s="80" t="s">
        <v>836</v>
      </c>
      <c r="C996" s="79" t="s">
        <v>37</v>
      </c>
      <c r="D996" s="81">
        <f t="shared" si="224"/>
        <v>541.1353499999999</v>
      </c>
      <c r="E996" s="82">
        <f t="shared" si="217"/>
        <v>120.46431</v>
      </c>
      <c r="F996" s="83">
        <f t="shared" si="218"/>
        <v>420.67103999999995</v>
      </c>
      <c r="G996" s="84"/>
      <c r="H996" s="85"/>
      <c r="I996" s="85"/>
      <c r="J996" s="84"/>
      <c r="K996" s="85"/>
      <c r="L996" s="85"/>
      <c r="M996" s="85"/>
      <c r="N996" s="85"/>
      <c r="O996" s="82"/>
      <c r="P996" s="83"/>
      <c r="Q996" s="83"/>
      <c r="R996" s="83"/>
      <c r="S996" s="82"/>
      <c r="T996" s="83"/>
      <c r="U996" s="83"/>
      <c r="V996" s="84"/>
      <c r="W996" s="85"/>
      <c r="X996" s="87"/>
      <c r="Y996" s="83">
        <v>62.4</v>
      </c>
      <c r="Z996" s="84"/>
      <c r="AA996" s="85"/>
      <c r="AB996" s="84"/>
      <c r="AC996" s="85"/>
      <c r="AD996" s="89">
        <f t="shared" si="219"/>
        <v>0</v>
      </c>
      <c r="AE996" s="89"/>
      <c r="AF996" s="186"/>
      <c r="AG996" s="85"/>
      <c r="AH996" s="85"/>
      <c r="AI996" s="85"/>
      <c r="AJ996" s="84"/>
      <c r="AK996" s="85"/>
      <c r="AL996" s="84"/>
      <c r="AM996" s="88"/>
      <c r="AN996" s="84"/>
      <c r="AO996" s="85"/>
      <c r="AP996" s="84"/>
      <c r="AQ996" s="83"/>
      <c r="AR996" s="83"/>
      <c r="AS996" s="83"/>
      <c r="AT996" s="85"/>
      <c r="AU996" s="85"/>
      <c r="AV996" s="85">
        <v>249.18074999999999</v>
      </c>
      <c r="AW996" s="88"/>
      <c r="AX996" s="84"/>
      <c r="AY996" s="85"/>
      <c r="AZ996" s="84">
        <v>120.46431</v>
      </c>
      <c r="BA996" s="85">
        <v>109.09029</v>
      </c>
      <c r="BB996" s="88"/>
      <c r="BC996" s="85"/>
      <c r="BD996" s="84"/>
      <c r="BE996" s="88"/>
      <c r="BF996" s="85"/>
      <c r="BG996" s="85"/>
      <c r="BH996" s="85"/>
      <c r="BI996" s="85"/>
      <c r="BJ996" s="85"/>
      <c r="BK996" s="85"/>
      <c r="BL996" s="85"/>
      <c r="BM996" s="85"/>
      <c r="BN996" s="85"/>
      <c r="BO996" s="85"/>
      <c r="BP996" s="85"/>
      <c r="BQ996" s="85"/>
      <c r="BR996" s="84"/>
      <c r="BS996" s="85"/>
      <c r="BT996" s="85"/>
      <c r="BU996" s="198"/>
      <c r="BV996" s="90"/>
      <c r="BW996" s="198"/>
      <c r="BX996" s="90"/>
      <c r="BY996" s="198"/>
      <c r="BZ996" s="90"/>
      <c r="CA996" s="91"/>
    </row>
    <row r="997" spans="1:79" ht="50.1" customHeight="1" outlineLevel="2" x14ac:dyDescent="0.3">
      <c r="A997" s="96" t="s">
        <v>832</v>
      </c>
      <c r="B997" s="80" t="s">
        <v>837</v>
      </c>
      <c r="C997" s="79" t="s">
        <v>55</v>
      </c>
      <c r="D997" s="81">
        <f t="shared" si="224"/>
        <v>41.8185</v>
      </c>
      <c r="E997" s="82">
        <f t="shared" si="217"/>
        <v>10.4842</v>
      </c>
      <c r="F997" s="83">
        <f t="shared" si="218"/>
        <v>31.334299999999999</v>
      </c>
      <c r="G997" s="84"/>
      <c r="H997" s="85"/>
      <c r="I997" s="85"/>
      <c r="J997" s="84"/>
      <c r="K997" s="85"/>
      <c r="L997" s="85"/>
      <c r="M997" s="85"/>
      <c r="N997" s="85"/>
      <c r="O997" s="82"/>
      <c r="P997" s="83"/>
      <c r="Q997" s="83"/>
      <c r="R997" s="83"/>
      <c r="S997" s="82"/>
      <c r="T997" s="83"/>
      <c r="U997" s="83"/>
      <c r="V997" s="84"/>
      <c r="W997" s="85"/>
      <c r="X997" s="87"/>
      <c r="Y997" s="83">
        <v>21.84</v>
      </c>
      <c r="Z997" s="84"/>
      <c r="AA997" s="85"/>
      <c r="AB997" s="84"/>
      <c r="AC997" s="85"/>
      <c r="AD997" s="89">
        <f t="shared" si="219"/>
        <v>0</v>
      </c>
      <c r="AE997" s="89"/>
      <c r="AF997" s="186"/>
      <c r="AG997" s="85"/>
      <c r="AH997" s="85"/>
      <c r="AI997" s="85"/>
      <c r="AJ997" s="84"/>
      <c r="AK997" s="85"/>
      <c r="AL997" s="84"/>
      <c r="AM997" s="88"/>
      <c r="AN997" s="84"/>
      <c r="AO997" s="85"/>
      <c r="AP997" s="84"/>
      <c r="AQ997" s="83"/>
      <c r="AR997" s="83"/>
      <c r="AS997" s="83"/>
      <c r="AT997" s="85"/>
      <c r="AU997" s="85"/>
      <c r="AV997" s="85"/>
      <c r="AW997" s="88"/>
      <c r="AX997" s="84"/>
      <c r="AY997" s="85"/>
      <c r="AZ997" s="84">
        <v>10.4842</v>
      </c>
      <c r="BA997" s="85">
        <v>9.4943000000000008</v>
      </c>
      <c r="BB997" s="88"/>
      <c r="BC997" s="85"/>
      <c r="BD997" s="84"/>
      <c r="BE997" s="88"/>
      <c r="BF997" s="85"/>
      <c r="BG997" s="85"/>
      <c r="BH997" s="85"/>
      <c r="BI997" s="85"/>
      <c r="BJ997" s="85"/>
      <c r="BK997" s="85"/>
      <c r="BL997" s="85"/>
      <c r="BM997" s="85"/>
      <c r="BN997" s="85"/>
      <c r="BO997" s="85"/>
      <c r="BP997" s="85"/>
      <c r="BQ997" s="85"/>
      <c r="BR997" s="84"/>
      <c r="BS997" s="85"/>
      <c r="BT997" s="85"/>
      <c r="BU997" s="198"/>
      <c r="BV997" s="90"/>
      <c r="BW997" s="198"/>
      <c r="BX997" s="90"/>
      <c r="BY997" s="198"/>
      <c r="BZ997" s="90"/>
      <c r="CA997" s="91"/>
    </row>
    <row r="998" spans="1:79" ht="50.1" customHeight="1" outlineLevel="2" x14ac:dyDescent="0.3">
      <c r="A998" s="96" t="s">
        <v>832</v>
      </c>
      <c r="B998" s="80" t="s">
        <v>838</v>
      </c>
      <c r="C998" s="79" t="s">
        <v>55</v>
      </c>
      <c r="D998" s="81">
        <f t="shared" si="224"/>
        <v>376.76441999999997</v>
      </c>
      <c r="E998" s="82">
        <f t="shared" si="217"/>
        <v>93.86766999999999</v>
      </c>
      <c r="F998" s="83">
        <f t="shared" si="218"/>
        <v>282.89675</v>
      </c>
      <c r="G998" s="84"/>
      <c r="H998" s="85"/>
      <c r="I998" s="85"/>
      <c r="J998" s="84">
        <v>13.870419999999999</v>
      </c>
      <c r="K998" s="85">
        <v>2.04644</v>
      </c>
      <c r="L998" s="85"/>
      <c r="M998" s="85"/>
      <c r="N998" s="85"/>
      <c r="O998" s="82"/>
      <c r="P998" s="83"/>
      <c r="Q998" s="83"/>
      <c r="R998" s="83"/>
      <c r="S998" s="82"/>
      <c r="T998" s="83"/>
      <c r="U998" s="83"/>
      <c r="V998" s="84"/>
      <c r="W998" s="85"/>
      <c r="X998" s="87"/>
      <c r="Y998" s="83">
        <v>124.8</v>
      </c>
      <c r="Z998" s="84"/>
      <c r="AA998" s="85"/>
      <c r="AB998" s="84"/>
      <c r="AC998" s="85"/>
      <c r="AD998" s="89">
        <f t="shared" si="219"/>
        <v>0</v>
      </c>
      <c r="AE998" s="89"/>
      <c r="AF998" s="186"/>
      <c r="AG998" s="85"/>
      <c r="AH998" s="85"/>
      <c r="AI998" s="85"/>
      <c r="AJ998" s="84"/>
      <c r="AK998" s="85"/>
      <c r="AL998" s="84"/>
      <c r="AM998" s="88"/>
      <c r="AN998" s="84"/>
      <c r="AO998" s="85"/>
      <c r="AP998" s="84"/>
      <c r="AQ998" s="83"/>
      <c r="AR998" s="83"/>
      <c r="AS998" s="83"/>
      <c r="AT998" s="85"/>
      <c r="AU998" s="85"/>
      <c r="AV998" s="85">
        <v>83.606250000000003</v>
      </c>
      <c r="AW998" s="88"/>
      <c r="AX998" s="84"/>
      <c r="AY998" s="85"/>
      <c r="AZ998" s="84">
        <v>79.997249999999994</v>
      </c>
      <c r="BA998" s="85">
        <v>72.444059999999993</v>
      </c>
      <c r="BB998" s="88"/>
      <c r="BC998" s="85"/>
      <c r="BD998" s="84"/>
      <c r="BE998" s="88"/>
      <c r="BF998" s="85"/>
      <c r="BG998" s="85"/>
      <c r="BH998" s="85"/>
      <c r="BI998" s="85"/>
      <c r="BJ998" s="85"/>
      <c r="BK998" s="85"/>
      <c r="BL998" s="85"/>
      <c r="BM998" s="85"/>
      <c r="BN998" s="85"/>
      <c r="BO998" s="85"/>
      <c r="BP998" s="85"/>
      <c r="BQ998" s="85"/>
      <c r="BR998" s="84"/>
      <c r="BS998" s="85"/>
      <c r="BT998" s="85"/>
      <c r="BU998" s="198"/>
      <c r="BV998" s="90"/>
      <c r="BW998" s="198"/>
      <c r="BX998" s="90"/>
      <c r="BY998" s="198"/>
      <c r="BZ998" s="90"/>
      <c r="CA998" s="91"/>
    </row>
    <row r="999" spans="1:79" ht="50.1" customHeight="1" outlineLevel="2" x14ac:dyDescent="0.3">
      <c r="A999" s="96" t="s">
        <v>832</v>
      </c>
      <c r="B999" s="102" t="s">
        <v>839</v>
      </c>
      <c r="C999" s="79" t="s">
        <v>55</v>
      </c>
      <c r="D999" s="81">
        <f t="shared" si="224"/>
        <v>1986.4249399999999</v>
      </c>
      <c r="E999" s="82">
        <f t="shared" si="217"/>
        <v>57.958449999999999</v>
      </c>
      <c r="F999" s="83">
        <f t="shared" si="218"/>
        <v>1928.4664899999998</v>
      </c>
      <c r="G999" s="84"/>
      <c r="H999" s="85"/>
      <c r="I999" s="85"/>
      <c r="J999" s="84"/>
      <c r="K999" s="85"/>
      <c r="L999" s="85"/>
      <c r="M999" s="85"/>
      <c r="N999" s="85"/>
      <c r="O999" s="82"/>
      <c r="P999" s="83"/>
      <c r="Q999" s="83"/>
      <c r="R999" s="83"/>
      <c r="S999" s="82"/>
      <c r="T999" s="83"/>
      <c r="U999" s="83"/>
      <c r="V999" s="84"/>
      <c r="W999" s="85"/>
      <c r="X999" s="87"/>
      <c r="Y999" s="83">
        <v>103.1472</v>
      </c>
      <c r="Z999" s="84"/>
      <c r="AA999" s="85"/>
      <c r="AB999" s="84"/>
      <c r="AC999" s="85"/>
      <c r="AD999" s="89">
        <f t="shared" si="219"/>
        <v>0</v>
      </c>
      <c r="AE999" s="89"/>
      <c r="AF999" s="186"/>
      <c r="AG999" s="85"/>
      <c r="AH999" s="85"/>
      <c r="AI999" s="85"/>
      <c r="AJ999" s="84"/>
      <c r="AK999" s="85"/>
      <c r="AL999" s="84"/>
      <c r="AM999" s="88"/>
      <c r="AN999" s="84"/>
      <c r="AO999" s="85"/>
      <c r="AP999" s="84"/>
      <c r="AQ999" s="83"/>
      <c r="AR999" s="83"/>
      <c r="AS999" s="83"/>
      <c r="AT999" s="85"/>
      <c r="AU999" s="85"/>
      <c r="AV999" s="85">
        <v>1772.8331499999999</v>
      </c>
      <c r="AW999" s="88"/>
      <c r="AX999" s="84"/>
      <c r="AY999" s="85"/>
      <c r="AZ999" s="84">
        <v>57.958449999999999</v>
      </c>
      <c r="BA999" s="85">
        <v>52.486139999999999</v>
      </c>
      <c r="BB999" s="88"/>
      <c r="BC999" s="85"/>
      <c r="BD999" s="84"/>
      <c r="BE999" s="88"/>
      <c r="BF999" s="85"/>
      <c r="BG999" s="85"/>
      <c r="BH999" s="85"/>
      <c r="BI999" s="85"/>
      <c r="BJ999" s="85"/>
      <c r="BK999" s="85"/>
      <c r="BL999" s="85"/>
      <c r="BM999" s="85"/>
      <c r="BN999" s="85"/>
      <c r="BO999" s="85"/>
      <c r="BP999" s="85"/>
      <c r="BQ999" s="85"/>
      <c r="BR999" s="84"/>
      <c r="BS999" s="85"/>
      <c r="BT999" s="85"/>
      <c r="BU999" s="198"/>
      <c r="BV999" s="90"/>
      <c r="BW999" s="198"/>
      <c r="BX999" s="90"/>
      <c r="BY999" s="198"/>
      <c r="BZ999" s="90"/>
      <c r="CA999" s="91"/>
    </row>
    <row r="1000" spans="1:79" ht="50.1" customHeight="1" outlineLevel="2" x14ac:dyDescent="0.3">
      <c r="A1000" s="103" t="s">
        <v>832</v>
      </c>
      <c r="B1000" s="102" t="s">
        <v>840</v>
      </c>
      <c r="C1000" s="79" t="s">
        <v>55</v>
      </c>
      <c r="D1000" s="81">
        <f t="shared" si="224"/>
        <v>1019.1456299999999</v>
      </c>
      <c r="E1000" s="82">
        <f t="shared" si="217"/>
        <v>121.68162</v>
      </c>
      <c r="F1000" s="83">
        <f t="shared" si="218"/>
        <v>897.46400999999992</v>
      </c>
      <c r="G1000" s="84"/>
      <c r="H1000" s="85"/>
      <c r="I1000" s="85"/>
      <c r="J1000" s="84"/>
      <c r="K1000" s="85"/>
      <c r="L1000" s="85"/>
      <c r="M1000" s="85"/>
      <c r="N1000" s="85"/>
      <c r="O1000" s="82"/>
      <c r="P1000" s="83"/>
      <c r="Q1000" s="83"/>
      <c r="R1000" s="83"/>
      <c r="S1000" s="82"/>
      <c r="T1000" s="83"/>
      <c r="U1000" s="83"/>
      <c r="V1000" s="84"/>
      <c r="W1000" s="85"/>
      <c r="X1000" s="87"/>
      <c r="Y1000" s="83">
        <v>187.2</v>
      </c>
      <c r="Z1000" s="84"/>
      <c r="AA1000" s="85"/>
      <c r="AB1000" s="84"/>
      <c r="AC1000" s="85"/>
      <c r="AD1000" s="89">
        <f t="shared" si="219"/>
        <v>29.18535</v>
      </c>
      <c r="AE1000" s="89"/>
      <c r="AF1000" s="187">
        <v>29.18535</v>
      </c>
      <c r="AG1000" s="85"/>
      <c r="AH1000" s="85"/>
      <c r="AI1000" s="85"/>
      <c r="AJ1000" s="84"/>
      <c r="AK1000" s="85"/>
      <c r="AL1000" s="84"/>
      <c r="AM1000" s="88"/>
      <c r="AN1000" s="84"/>
      <c r="AO1000" s="85"/>
      <c r="AP1000" s="84"/>
      <c r="AQ1000" s="83"/>
      <c r="AR1000" s="83"/>
      <c r="AS1000" s="83"/>
      <c r="AT1000" s="85"/>
      <c r="AU1000" s="85"/>
      <c r="AV1000" s="85">
        <v>570.88604999999995</v>
      </c>
      <c r="AW1000" s="88"/>
      <c r="AX1000" s="84"/>
      <c r="AY1000" s="85"/>
      <c r="AZ1000" s="84">
        <v>121.68162</v>
      </c>
      <c r="BA1000" s="85">
        <v>110.19261</v>
      </c>
      <c r="BB1000" s="88"/>
      <c r="BC1000" s="85"/>
      <c r="BD1000" s="84"/>
      <c r="BE1000" s="88"/>
      <c r="BF1000" s="85"/>
      <c r="BG1000" s="85"/>
      <c r="BH1000" s="85"/>
      <c r="BI1000" s="85"/>
      <c r="BJ1000" s="85"/>
      <c r="BK1000" s="85"/>
      <c r="BL1000" s="85"/>
      <c r="BM1000" s="85"/>
      <c r="BN1000" s="85"/>
      <c r="BO1000" s="85"/>
      <c r="BP1000" s="85"/>
      <c r="BQ1000" s="85"/>
      <c r="BR1000" s="84"/>
      <c r="BS1000" s="85"/>
      <c r="BT1000" s="85"/>
      <c r="BU1000" s="198"/>
      <c r="BV1000" s="90"/>
      <c r="BW1000" s="198"/>
      <c r="BX1000" s="90"/>
      <c r="BY1000" s="198"/>
      <c r="BZ1000" s="90"/>
      <c r="CA1000" s="91"/>
    </row>
    <row r="1001" spans="1:79" ht="50.1" customHeight="1" outlineLevel="2" x14ac:dyDescent="0.3">
      <c r="A1001" s="96" t="s">
        <v>832</v>
      </c>
      <c r="B1001" s="80" t="s">
        <v>841</v>
      </c>
      <c r="C1001" s="79" t="s">
        <v>55</v>
      </c>
      <c r="D1001" s="81">
        <f t="shared" si="224"/>
        <v>65.834000000000003</v>
      </c>
      <c r="E1001" s="82">
        <f t="shared" si="217"/>
        <v>28.326250000000002</v>
      </c>
      <c r="F1001" s="83">
        <f t="shared" si="218"/>
        <v>37.507750000000001</v>
      </c>
      <c r="G1001" s="84"/>
      <c r="H1001" s="85"/>
      <c r="I1001" s="85"/>
      <c r="J1001" s="84"/>
      <c r="K1001" s="85"/>
      <c r="L1001" s="85"/>
      <c r="M1001" s="85"/>
      <c r="N1001" s="85"/>
      <c r="O1001" s="82"/>
      <c r="P1001" s="83"/>
      <c r="Q1001" s="83"/>
      <c r="R1001" s="83"/>
      <c r="S1001" s="82"/>
      <c r="T1001" s="83"/>
      <c r="U1001" s="83"/>
      <c r="V1001" s="84"/>
      <c r="W1001" s="85"/>
      <c r="X1001" s="87"/>
      <c r="Y1001" s="83">
        <v>11.856</v>
      </c>
      <c r="Z1001" s="84"/>
      <c r="AA1001" s="85"/>
      <c r="AB1001" s="84"/>
      <c r="AC1001" s="85"/>
      <c r="AD1001" s="89">
        <f t="shared" si="219"/>
        <v>0</v>
      </c>
      <c r="AE1001" s="89"/>
      <c r="AF1001" s="186"/>
      <c r="AG1001" s="85"/>
      <c r="AH1001" s="85"/>
      <c r="AI1001" s="85"/>
      <c r="AJ1001" s="84"/>
      <c r="AK1001" s="85"/>
      <c r="AL1001" s="84"/>
      <c r="AM1001" s="88"/>
      <c r="AN1001" s="84"/>
      <c r="AO1001" s="85"/>
      <c r="AP1001" s="84"/>
      <c r="AQ1001" s="83"/>
      <c r="AR1001" s="83"/>
      <c r="AS1001" s="83"/>
      <c r="AT1001" s="85"/>
      <c r="AU1001" s="85"/>
      <c r="AV1001" s="85"/>
      <c r="AW1001" s="88"/>
      <c r="AX1001" s="84"/>
      <c r="AY1001" s="85"/>
      <c r="AZ1001" s="84">
        <v>28.326250000000002</v>
      </c>
      <c r="BA1001" s="85">
        <v>25.65175</v>
      </c>
      <c r="BB1001" s="88"/>
      <c r="BC1001" s="85"/>
      <c r="BD1001" s="84"/>
      <c r="BE1001" s="88"/>
      <c r="BF1001" s="85"/>
      <c r="BG1001" s="85"/>
      <c r="BH1001" s="85"/>
      <c r="BI1001" s="85"/>
      <c r="BJ1001" s="85"/>
      <c r="BK1001" s="85"/>
      <c r="BL1001" s="85"/>
      <c r="BM1001" s="85"/>
      <c r="BN1001" s="85"/>
      <c r="BO1001" s="85"/>
      <c r="BP1001" s="85"/>
      <c r="BQ1001" s="85"/>
      <c r="BR1001" s="84"/>
      <c r="BS1001" s="85"/>
      <c r="BT1001" s="85"/>
      <c r="BU1001" s="198"/>
      <c r="BV1001" s="90"/>
      <c r="BW1001" s="198"/>
      <c r="BX1001" s="90"/>
      <c r="BY1001" s="198"/>
      <c r="BZ1001" s="90"/>
      <c r="CA1001" s="91"/>
    </row>
    <row r="1002" spans="1:79" ht="50.1" customHeight="1" outlineLevel="2" x14ac:dyDescent="0.3">
      <c r="A1002" s="96" t="s">
        <v>832</v>
      </c>
      <c r="B1002" s="102" t="s">
        <v>842</v>
      </c>
      <c r="C1002" s="79" t="s">
        <v>55</v>
      </c>
      <c r="D1002" s="81">
        <f t="shared" si="224"/>
        <v>194.72073</v>
      </c>
      <c r="E1002" s="82">
        <f t="shared" si="217"/>
        <v>77.526730000000001</v>
      </c>
      <c r="F1002" s="83">
        <f t="shared" si="218"/>
        <v>117.194</v>
      </c>
      <c r="G1002" s="84"/>
      <c r="H1002" s="85"/>
      <c r="I1002" s="85"/>
      <c r="J1002" s="84"/>
      <c r="K1002" s="85"/>
      <c r="L1002" s="85"/>
      <c r="M1002" s="85"/>
      <c r="N1002" s="85"/>
      <c r="O1002" s="82"/>
      <c r="P1002" s="83"/>
      <c r="Q1002" s="83"/>
      <c r="R1002" s="83"/>
      <c r="S1002" s="82"/>
      <c r="T1002" s="83"/>
      <c r="U1002" s="83"/>
      <c r="V1002" s="84"/>
      <c r="W1002" s="85"/>
      <c r="X1002" s="87"/>
      <c r="Y1002" s="83">
        <v>46.987200000000001</v>
      </c>
      <c r="Z1002" s="84"/>
      <c r="AA1002" s="85"/>
      <c r="AB1002" s="84"/>
      <c r="AC1002" s="85"/>
      <c r="AD1002" s="89">
        <f t="shared" si="219"/>
        <v>0</v>
      </c>
      <c r="AE1002" s="89"/>
      <c r="AF1002" s="186"/>
      <c r="AG1002" s="85"/>
      <c r="AH1002" s="85"/>
      <c r="AI1002" s="85"/>
      <c r="AJ1002" s="84"/>
      <c r="AK1002" s="85"/>
      <c r="AL1002" s="84"/>
      <c r="AM1002" s="88"/>
      <c r="AN1002" s="84"/>
      <c r="AO1002" s="85"/>
      <c r="AP1002" s="84"/>
      <c r="AQ1002" s="83"/>
      <c r="AR1002" s="83"/>
      <c r="AS1002" s="83"/>
      <c r="AT1002" s="85"/>
      <c r="AU1002" s="85"/>
      <c r="AV1002" s="85"/>
      <c r="AW1002" s="88"/>
      <c r="AX1002" s="84"/>
      <c r="AY1002" s="85"/>
      <c r="AZ1002" s="84">
        <v>77.526730000000001</v>
      </c>
      <c r="BA1002" s="85">
        <v>70.206800000000001</v>
      </c>
      <c r="BB1002" s="88"/>
      <c r="BC1002" s="85"/>
      <c r="BD1002" s="84"/>
      <c r="BE1002" s="88"/>
      <c r="BF1002" s="85"/>
      <c r="BG1002" s="85"/>
      <c r="BH1002" s="85"/>
      <c r="BI1002" s="85"/>
      <c r="BJ1002" s="85"/>
      <c r="BK1002" s="85"/>
      <c r="BL1002" s="85"/>
      <c r="BM1002" s="85"/>
      <c r="BN1002" s="85"/>
      <c r="BO1002" s="85"/>
      <c r="BP1002" s="85"/>
      <c r="BQ1002" s="85"/>
      <c r="BR1002" s="84"/>
      <c r="BS1002" s="85"/>
      <c r="BT1002" s="85"/>
      <c r="BU1002" s="198"/>
      <c r="BV1002" s="90"/>
      <c r="BW1002" s="198"/>
      <c r="BX1002" s="90"/>
      <c r="BY1002" s="198"/>
      <c r="BZ1002" s="90"/>
      <c r="CA1002" s="91"/>
    </row>
    <row r="1003" spans="1:79" ht="50.1" customHeight="1" outlineLevel="2" x14ac:dyDescent="0.3">
      <c r="A1003" s="96" t="s">
        <v>832</v>
      </c>
      <c r="B1003" s="102" t="s">
        <v>843</v>
      </c>
      <c r="C1003" s="79" t="s">
        <v>55</v>
      </c>
      <c r="D1003" s="81">
        <f t="shared" si="224"/>
        <v>21.407999999999998</v>
      </c>
      <c r="E1003" s="82">
        <f t="shared" si="217"/>
        <v>6.3224799999999997</v>
      </c>
      <c r="F1003" s="83">
        <f t="shared" si="218"/>
        <v>15.085519999999999</v>
      </c>
      <c r="G1003" s="84"/>
      <c r="H1003" s="85"/>
      <c r="I1003" s="85"/>
      <c r="J1003" s="84"/>
      <c r="K1003" s="85"/>
      <c r="L1003" s="85"/>
      <c r="M1003" s="85"/>
      <c r="N1003" s="85"/>
      <c r="O1003" s="82"/>
      <c r="P1003" s="83"/>
      <c r="Q1003" s="83"/>
      <c r="R1003" s="83"/>
      <c r="S1003" s="82"/>
      <c r="T1003" s="83"/>
      <c r="U1003" s="83"/>
      <c r="V1003" s="84"/>
      <c r="W1003" s="85"/>
      <c r="X1003" s="87"/>
      <c r="Y1003" s="83">
        <v>9.36</v>
      </c>
      <c r="Z1003" s="84"/>
      <c r="AA1003" s="85"/>
      <c r="AB1003" s="84"/>
      <c r="AC1003" s="85"/>
      <c r="AD1003" s="89">
        <f t="shared" si="219"/>
        <v>0</v>
      </c>
      <c r="AE1003" s="89"/>
      <c r="AF1003" s="186"/>
      <c r="AG1003" s="85"/>
      <c r="AH1003" s="85"/>
      <c r="AI1003" s="85"/>
      <c r="AJ1003" s="84"/>
      <c r="AK1003" s="85"/>
      <c r="AL1003" s="84"/>
      <c r="AM1003" s="88"/>
      <c r="AN1003" s="84"/>
      <c r="AO1003" s="85"/>
      <c r="AP1003" s="84"/>
      <c r="AQ1003" s="83"/>
      <c r="AR1003" s="83"/>
      <c r="AS1003" s="83"/>
      <c r="AT1003" s="85"/>
      <c r="AU1003" s="85"/>
      <c r="AV1003" s="85"/>
      <c r="AW1003" s="88"/>
      <c r="AX1003" s="84"/>
      <c r="AY1003" s="85"/>
      <c r="AZ1003" s="84">
        <v>6.3224799999999997</v>
      </c>
      <c r="BA1003" s="85">
        <v>5.7255200000000004</v>
      </c>
      <c r="BB1003" s="88"/>
      <c r="BC1003" s="85"/>
      <c r="BD1003" s="84"/>
      <c r="BE1003" s="88"/>
      <c r="BF1003" s="85"/>
      <c r="BG1003" s="85"/>
      <c r="BH1003" s="85"/>
      <c r="BI1003" s="85"/>
      <c r="BJ1003" s="85"/>
      <c r="BK1003" s="85"/>
      <c r="BL1003" s="85"/>
      <c r="BM1003" s="85"/>
      <c r="BN1003" s="85"/>
      <c r="BO1003" s="85"/>
      <c r="BP1003" s="85"/>
      <c r="BQ1003" s="85"/>
      <c r="BR1003" s="84"/>
      <c r="BS1003" s="85"/>
      <c r="BT1003" s="85"/>
      <c r="BU1003" s="198"/>
      <c r="BV1003" s="90"/>
      <c r="BW1003" s="198"/>
      <c r="BX1003" s="90"/>
      <c r="BY1003" s="198"/>
      <c r="BZ1003" s="90"/>
      <c r="CA1003" s="91"/>
    </row>
    <row r="1004" spans="1:79" ht="50.1" customHeight="1" outlineLevel="2" x14ac:dyDescent="0.3">
      <c r="A1004" s="96" t="s">
        <v>832</v>
      </c>
      <c r="B1004" s="102" t="s">
        <v>844</v>
      </c>
      <c r="C1004" s="79" t="s">
        <v>55</v>
      </c>
      <c r="D1004" s="81">
        <f t="shared" si="224"/>
        <v>6.5519999999999996</v>
      </c>
      <c r="E1004" s="82">
        <f t="shared" si="217"/>
        <v>0</v>
      </c>
      <c r="F1004" s="83">
        <f t="shared" si="218"/>
        <v>6.5519999999999996</v>
      </c>
      <c r="G1004" s="138"/>
      <c r="H1004" s="79"/>
      <c r="I1004" s="79"/>
      <c r="J1004" s="138"/>
      <c r="K1004" s="79"/>
      <c r="L1004" s="79"/>
      <c r="M1004" s="79"/>
      <c r="N1004" s="79"/>
      <c r="O1004" s="138"/>
      <c r="P1004" s="79"/>
      <c r="Q1004" s="79"/>
      <c r="R1004" s="79"/>
      <c r="S1004" s="138"/>
      <c r="T1004" s="79"/>
      <c r="U1004" s="83"/>
      <c r="V1004" s="84"/>
      <c r="W1004" s="85"/>
      <c r="X1004" s="87"/>
      <c r="Y1004" s="83">
        <v>6.5519999999999996</v>
      </c>
      <c r="Z1004" s="84"/>
      <c r="AA1004" s="85"/>
      <c r="AB1004" s="84"/>
      <c r="AC1004" s="85"/>
      <c r="AD1004" s="89">
        <f t="shared" si="219"/>
        <v>0</v>
      </c>
      <c r="AE1004" s="83"/>
      <c r="AF1004" s="123"/>
      <c r="AG1004" s="85"/>
      <c r="AH1004" s="85"/>
      <c r="AI1004" s="85"/>
      <c r="AJ1004" s="84"/>
      <c r="AK1004" s="85"/>
      <c r="AL1004" s="84"/>
      <c r="AM1004" s="85"/>
      <c r="AN1004" s="84"/>
      <c r="AO1004" s="85"/>
      <c r="AP1004" s="84"/>
      <c r="AQ1004" s="83"/>
      <c r="AR1004" s="83"/>
      <c r="AS1004" s="83"/>
      <c r="AT1004" s="85"/>
      <c r="AU1004" s="85"/>
      <c r="AV1004" s="85"/>
      <c r="AW1004" s="85"/>
      <c r="AX1004" s="84"/>
      <c r="AY1004" s="85"/>
      <c r="AZ1004" s="84"/>
      <c r="BA1004" s="85"/>
      <c r="BB1004" s="85"/>
      <c r="BC1004" s="85"/>
      <c r="BD1004" s="85"/>
      <c r="BE1004" s="85"/>
      <c r="BF1004" s="85"/>
      <c r="BG1004" s="85"/>
      <c r="BH1004" s="85"/>
      <c r="BI1004" s="85"/>
      <c r="BJ1004" s="85"/>
      <c r="BK1004" s="85"/>
      <c r="BL1004" s="85"/>
      <c r="BM1004" s="85"/>
      <c r="BN1004" s="85"/>
      <c r="BO1004" s="85"/>
      <c r="BP1004" s="85"/>
      <c r="BQ1004" s="85"/>
      <c r="BR1004" s="84"/>
      <c r="BS1004" s="85"/>
      <c r="BT1004" s="85"/>
      <c r="BU1004" s="198"/>
      <c r="BV1004" s="90"/>
      <c r="BW1004" s="198"/>
      <c r="BX1004" s="90"/>
      <c r="BY1004" s="198"/>
      <c r="BZ1004" s="90"/>
      <c r="CA1004" s="91"/>
    </row>
    <row r="1005" spans="1:79" ht="50.1" customHeight="1" outlineLevel="2" x14ac:dyDescent="0.3">
      <c r="A1005" s="96" t="s">
        <v>832</v>
      </c>
      <c r="B1005" s="102" t="s">
        <v>845</v>
      </c>
      <c r="C1005" s="79" t="s">
        <v>55</v>
      </c>
      <c r="D1005" s="81">
        <f t="shared" si="224"/>
        <v>56.783999999999999</v>
      </c>
      <c r="E1005" s="82">
        <f t="shared" ref="E1005:E1049" si="225">G1005+J1005+O1005+S1005+V1005+X1005+Z1005+AB1005+AJ1005+AL1005+AN1005+AP1005+AX1005+AZ1005+BD1005+BV1005+BX1005+BZ1005+BR1005</f>
        <v>0</v>
      </c>
      <c r="F1005" s="83">
        <f t="shared" si="218"/>
        <v>56.783999999999999</v>
      </c>
      <c r="G1005" s="84"/>
      <c r="H1005" s="85"/>
      <c r="I1005" s="85"/>
      <c r="J1005" s="84"/>
      <c r="K1005" s="85"/>
      <c r="L1005" s="85"/>
      <c r="M1005" s="85"/>
      <c r="N1005" s="85"/>
      <c r="O1005" s="82"/>
      <c r="P1005" s="83"/>
      <c r="Q1005" s="83"/>
      <c r="R1005" s="83"/>
      <c r="S1005" s="82"/>
      <c r="T1005" s="83"/>
      <c r="U1005" s="83"/>
      <c r="V1005" s="84"/>
      <c r="W1005" s="85"/>
      <c r="X1005" s="87"/>
      <c r="Y1005" s="83">
        <v>56.783999999999999</v>
      </c>
      <c r="Z1005" s="84"/>
      <c r="AA1005" s="85"/>
      <c r="AB1005" s="84"/>
      <c r="AC1005" s="85"/>
      <c r="AD1005" s="89">
        <f t="shared" si="219"/>
        <v>0</v>
      </c>
      <c r="AE1005" s="83"/>
      <c r="AF1005" s="123"/>
      <c r="AG1005" s="85"/>
      <c r="AH1005" s="85"/>
      <c r="AI1005" s="85"/>
      <c r="AJ1005" s="84"/>
      <c r="AK1005" s="85"/>
      <c r="AL1005" s="84"/>
      <c r="AM1005" s="85"/>
      <c r="AN1005" s="84"/>
      <c r="AO1005" s="85"/>
      <c r="AP1005" s="84"/>
      <c r="AQ1005" s="83"/>
      <c r="AR1005" s="83"/>
      <c r="AS1005" s="83"/>
      <c r="AT1005" s="85"/>
      <c r="AU1005" s="85"/>
      <c r="AV1005" s="85"/>
      <c r="AW1005" s="85"/>
      <c r="AX1005" s="84"/>
      <c r="AY1005" s="85"/>
      <c r="AZ1005" s="84"/>
      <c r="BA1005" s="85"/>
      <c r="BB1005" s="85"/>
      <c r="BC1005" s="85"/>
      <c r="BD1005" s="85"/>
      <c r="BE1005" s="85"/>
      <c r="BF1005" s="85"/>
      <c r="BG1005" s="85"/>
      <c r="BH1005" s="85"/>
      <c r="BI1005" s="85"/>
      <c r="BJ1005" s="85"/>
      <c r="BK1005" s="85"/>
      <c r="BL1005" s="85"/>
      <c r="BM1005" s="85"/>
      <c r="BN1005" s="85"/>
      <c r="BO1005" s="85"/>
      <c r="BP1005" s="85"/>
      <c r="BQ1005" s="85"/>
      <c r="BR1005" s="84"/>
      <c r="BS1005" s="85"/>
      <c r="BT1005" s="85"/>
      <c r="BU1005" s="198"/>
      <c r="BV1005" s="90"/>
      <c r="BW1005" s="198"/>
      <c r="BX1005" s="90"/>
      <c r="BY1005" s="198"/>
      <c r="BZ1005" s="90"/>
      <c r="CA1005" s="91"/>
    </row>
    <row r="1006" spans="1:79" ht="50.1" customHeight="1" outlineLevel="2" x14ac:dyDescent="0.3">
      <c r="A1006" s="96" t="s">
        <v>832</v>
      </c>
      <c r="B1006" s="102" t="s">
        <v>846</v>
      </c>
      <c r="C1006" s="79" t="s">
        <v>55</v>
      </c>
      <c r="D1006" s="81">
        <f t="shared" si="224"/>
        <v>10.608000000000001</v>
      </c>
      <c r="E1006" s="82">
        <f t="shared" si="225"/>
        <v>0</v>
      </c>
      <c r="F1006" s="83">
        <f t="shared" si="218"/>
        <v>10.608000000000001</v>
      </c>
      <c r="G1006" s="84"/>
      <c r="H1006" s="85"/>
      <c r="I1006" s="85"/>
      <c r="J1006" s="84"/>
      <c r="K1006" s="85"/>
      <c r="L1006" s="85"/>
      <c r="M1006" s="85"/>
      <c r="N1006" s="85"/>
      <c r="O1006" s="82"/>
      <c r="P1006" s="83"/>
      <c r="Q1006" s="83"/>
      <c r="R1006" s="83"/>
      <c r="S1006" s="82"/>
      <c r="T1006" s="83"/>
      <c r="U1006" s="83"/>
      <c r="V1006" s="84"/>
      <c r="W1006" s="85"/>
      <c r="X1006" s="87"/>
      <c r="Y1006" s="83">
        <v>10.608000000000001</v>
      </c>
      <c r="Z1006" s="84"/>
      <c r="AA1006" s="85"/>
      <c r="AB1006" s="84"/>
      <c r="AC1006" s="85"/>
      <c r="AD1006" s="89">
        <f t="shared" si="219"/>
        <v>0</v>
      </c>
      <c r="AE1006" s="83"/>
      <c r="AF1006" s="123"/>
      <c r="AG1006" s="85"/>
      <c r="AH1006" s="85"/>
      <c r="AI1006" s="85"/>
      <c r="AJ1006" s="84"/>
      <c r="AK1006" s="85"/>
      <c r="AL1006" s="84"/>
      <c r="AM1006" s="85"/>
      <c r="AN1006" s="84"/>
      <c r="AO1006" s="85"/>
      <c r="AP1006" s="84"/>
      <c r="AQ1006" s="83"/>
      <c r="AR1006" s="83"/>
      <c r="AS1006" s="83"/>
      <c r="AT1006" s="85"/>
      <c r="AU1006" s="85"/>
      <c r="AV1006" s="85"/>
      <c r="AW1006" s="85"/>
      <c r="AX1006" s="84"/>
      <c r="AY1006" s="85"/>
      <c r="AZ1006" s="84"/>
      <c r="BA1006" s="85"/>
      <c r="BB1006" s="85"/>
      <c r="BC1006" s="85"/>
      <c r="BD1006" s="85"/>
      <c r="BE1006" s="85"/>
      <c r="BF1006" s="85"/>
      <c r="BG1006" s="85"/>
      <c r="BH1006" s="85"/>
      <c r="BI1006" s="85"/>
      <c r="BJ1006" s="85"/>
      <c r="BK1006" s="85"/>
      <c r="BL1006" s="85"/>
      <c r="BM1006" s="85"/>
      <c r="BN1006" s="85"/>
      <c r="BO1006" s="85"/>
      <c r="BP1006" s="85"/>
      <c r="BQ1006" s="85"/>
      <c r="BR1006" s="84"/>
      <c r="BS1006" s="85"/>
      <c r="BT1006" s="85"/>
      <c r="BU1006" s="198"/>
      <c r="BV1006" s="90"/>
      <c r="BW1006" s="198"/>
      <c r="BX1006" s="90"/>
      <c r="BY1006" s="198"/>
      <c r="BZ1006" s="90"/>
      <c r="CA1006" s="91"/>
    </row>
    <row r="1007" spans="1:79" ht="50.1" customHeight="1" outlineLevel="2" x14ac:dyDescent="0.3">
      <c r="A1007" s="103" t="s">
        <v>832</v>
      </c>
      <c r="B1007" s="102" t="s">
        <v>1164</v>
      </c>
      <c r="C1007" s="79" t="s">
        <v>55</v>
      </c>
      <c r="D1007" s="81">
        <f t="shared" si="224"/>
        <v>93.6</v>
      </c>
      <c r="E1007" s="82">
        <f t="shared" si="225"/>
        <v>0</v>
      </c>
      <c r="F1007" s="83">
        <f t="shared" ref="F1007:F1052" si="226">H1007+I1007+K1007+L1007+M1007+N1007+P1007+Q1007+R1007+T1007+U1007+W1007+Y1007+AA1007+AC1007+AD1007+AG1007+AH1007+AI1007+AK1007+AM1007+AO1007+AQ1007+AR1007+AS1007+AT1007+AU1007+AV1007+AW1007+AY1007+BA1007+BB1007+BC1007+BE1007+BF1007+BG1007+BH1007+BI1007+BJ1007+BK1007+BL1007+BO1007+BP1007+BQ1007+BS1007+BT1007+BU1007+BW1007+BY1007+CA1007+BM1007+BN1007</f>
        <v>93.6</v>
      </c>
      <c r="G1007" s="84"/>
      <c r="H1007" s="85"/>
      <c r="I1007" s="85"/>
      <c r="J1007" s="84"/>
      <c r="K1007" s="85"/>
      <c r="L1007" s="85"/>
      <c r="M1007" s="85"/>
      <c r="N1007" s="85"/>
      <c r="O1007" s="82"/>
      <c r="P1007" s="83"/>
      <c r="Q1007" s="83"/>
      <c r="R1007" s="83"/>
      <c r="S1007" s="82"/>
      <c r="T1007" s="83"/>
      <c r="U1007" s="83"/>
      <c r="V1007" s="84"/>
      <c r="W1007" s="85"/>
      <c r="X1007" s="87"/>
      <c r="Y1007" s="83">
        <v>93.6</v>
      </c>
      <c r="Z1007" s="84"/>
      <c r="AA1007" s="85"/>
      <c r="AB1007" s="84"/>
      <c r="AC1007" s="85"/>
      <c r="AD1007" s="89"/>
      <c r="AE1007" s="89"/>
      <c r="AF1007" s="186"/>
      <c r="AG1007" s="85"/>
      <c r="AH1007" s="85"/>
      <c r="AI1007" s="85"/>
      <c r="AJ1007" s="84"/>
      <c r="AK1007" s="85"/>
      <c r="AL1007" s="84"/>
      <c r="AM1007" s="88"/>
      <c r="AN1007" s="84"/>
      <c r="AO1007" s="85"/>
      <c r="AP1007" s="84"/>
      <c r="AQ1007" s="83"/>
      <c r="AR1007" s="83"/>
      <c r="AS1007" s="83"/>
      <c r="AT1007" s="85"/>
      <c r="AU1007" s="85"/>
      <c r="AV1007" s="85"/>
      <c r="AW1007" s="88"/>
      <c r="AX1007" s="84"/>
      <c r="AY1007" s="85"/>
      <c r="AZ1007" s="84"/>
      <c r="BA1007" s="85"/>
      <c r="BB1007" s="88"/>
      <c r="BC1007" s="85"/>
      <c r="BD1007" s="84"/>
      <c r="BE1007" s="88"/>
      <c r="BF1007" s="85"/>
      <c r="BG1007" s="85"/>
      <c r="BH1007" s="85"/>
      <c r="BI1007" s="85"/>
      <c r="BJ1007" s="85"/>
      <c r="BK1007" s="85"/>
      <c r="BL1007" s="85"/>
      <c r="BM1007" s="85"/>
      <c r="BN1007" s="85"/>
      <c r="BO1007" s="85"/>
      <c r="BP1007" s="85"/>
      <c r="BQ1007" s="85"/>
      <c r="BR1007" s="84"/>
      <c r="BS1007" s="85"/>
      <c r="BT1007" s="85"/>
      <c r="BU1007" s="198"/>
      <c r="BV1007" s="90"/>
      <c r="BW1007" s="198"/>
      <c r="BX1007" s="90"/>
      <c r="BY1007" s="198"/>
      <c r="BZ1007" s="90"/>
      <c r="CA1007" s="91"/>
    </row>
    <row r="1008" spans="1:79" ht="50.1" customHeight="1" outlineLevel="2" x14ac:dyDescent="0.3">
      <c r="A1008" s="103" t="s">
        <v>832</v>
      </c>
      <c r="B1008" s="102" t="s">
        <v>1165</v>
      </c>
      <c r="C1008" s="79" t="s">
        <v>55</v>
      </c>
      <c r="D1008" s="81">
        <f t="shared" si="224"/>
        <v>39.311999999999998</v>
      </c>
      <c r="E1008" s="82">
        <f t="shared" si="225"/>
        <v>0</v>
      </c>
      <c r="F1008" s="83">
        <f t="shared" si="226"/>
        <v>39.311999999999998</v>
      </c>
      <c r="G1008" s="84"/>
      <c r="H1008" s="85"/>
      <c r="I1008" s="85"/>
      <c r="J1008" s="84"/>
      <c r="K1008" s="85"/>
      <c r="L1008" s="85"/>
      <c r="M1008" s="85"/>
      <c r="N1008" s="85"/>
      <c r="O1008" s="82"/>
      <c r="P1008" s="83"/>
      <c r="Q1008" s="83"/>
      <c r="R1008" s="83"/>
      <c r="S1008" s="82"/>
      <c r="T1008" s="83"/>
      <c r="U1008" s="83"/>
      <c r="V1008" s="84"/>
      <c r="W1008" s="85"/>
      <c r="X1008" s="87"/>
      <c r="Y1008" s="83">
        <v>39.311999999999998</v>
      </c>
      <c r="Z1008" s="84"/>
      <c r="AA1008" s="85"/>
      <c r="AB1008" s="84"/>
      <c r="AC1008" s="85"/>
      <c r="AD1008" s="89"/>
      <c r="AE1008" s="89"/>
      <c r="AF1008" s="186"/>
      <c r="AG1008" s="85"/>
      <c r="AH1008" s="85"/>
      <c r="AI1008" s="85"/>
      <c r="AJ1008" s="84"/>
      <c r="AK1008" s="85"/>
      <c r="AL1008" s="84"/>
      <c r="AM1008" s="88"/>
      <c r="AN1008" s="84"/>
      <c r="AO1008" s="85"/>
      <c r="AP1008" s="84"/>
      <c r="AQ1008" s="83"/>
      <c r="AR1008" s="83"/>
      <c r="AS1008" s="83"/>
      <c r="AT1008" s="85"/>
      <c r="AU1008" s="85"/>
      <c r="AV1008" s="85"/>
      <c r="AW1008" s="88"/>
      <c r="AX1008" s="84"/>
      <c r="AY1008" s="85"/>
      <c r="AZ1008" s="84"/>
      <c r="BA1008" s="85"/>
      <c r="BB1008" s="88"/>
      <c r="BC1008" s="85"/>
      <c r="BD1008" s="84"/>
      <c r="BE1008" s="88"/>
      <c r="BF1008" s="85"/>
      <c r="BG1008" s="85"/>
      <c r="BH1008" s="85"/>
      <c r="BI1008" s="85"/>
      <c r="BJ1008" s="85"/>
      <c r="BK1008" s="85"/>
      <c r="BL1008" s="85"/>
      <c r="BM1008" s="85"/>
      <c r="BN1008" s="85"/>
      <c r="BO1008" s="85"/>
      <c r="BP1008" s="85"/>
      <c r="BQ1008" s="85"/>
      <c r="BR1008" s="84"/>
      <c r="BS1008" s="85"/>
      <c r="BT1008" s="85"/>
      <c r="BU1008" s="198"/>
      <c r="BV1008" s="90"/>
      <c r="BW1008" s="198"/>
      <c r="BX1008" s="90"/>
      <c r="BY1008" s="198"/>
      <c r="BZ1008" s="90"/>
      <c r="CA1008" s="91"/>
    </row>
    <row r="1009" spans="1:1199" ht="50.1" customHeight="1" outlineLevel="2" x14ac:dyDescent="0.3">
      <c r="A1009" s="103" t="s">
        <v>832</v>
      </c>
      <c r="B1009" s="102" t="s">
        <v>1166</v>
      </c>
      <c r="C1009" s="79" t="s">
        <v>55</v>
      </c>
      <c r="D1009" s="81">
        <f t="shared" si="224"/>
        <v>312</v>
      </c>
      <c r="E1009" s="82">
        <f t="shared" si="225"/>
        <v>0</v>
      </c>
      <c r="F1009" s="83">
        <f t="shared" si="226"/>
        <v>312</v>
      </c>
      <c r="G1009" s="84"/>
      <c r="H1009" s="85"/>
      <c r="I1009" s="85"/>
      <c r="J1009" s="84"/>
      <c r="K1009" s="85"/>
      <c r="L1009" s="85"/>
      <c r="M1009" s="85"/>
      <c r="N1009" s="85"/>
      <c r="O1009" s="82"/>
      <c r="P1009" s="83"/>
      <c r="Q1009" s="83"/>
      <c r="R1009" s="83"/>
      <c r="S1009" s="82"/>
      <c r="T1009" s="83"/>
      <c r="U1009" s="83"/>
      <c r="V1009" s="84"/>
      <c r="W1009" s="85"/>
      <c r="X1009" s="87"/>
      <c r="Y1009" s="83">
        <v>312</v>
      </c>
      <c r="Z1009" s="84"/>
      <c r="AA1009" s="85"/>
      <c r="AB1009" s="84"/>
      <c r="AC1009" s="85"/>
      <c r="AD1009" s="89"/>
      <c r="AE1009" s="89"/>
      <c r="AF1009" s="186"/>
      <c r="AG1009" s="85"/>
      <c r="AH1009" s="85"/>
      <c r="AI1009" s="85"/>
      <c r="AJ1009" s="84"/>
      <c r="AK1009" s="85"/>
      <c r="AL1009" s="84"/>
      <c r="AM1009" s="88"/>
      <c r="AN1009" s="84"/>
      <c r="AO1009" s="85"/>
      <c r="AP1009" s="84"/>
      <c r="AQ1009" s="83"/>
      <c r="AR1009" s="83"/>
      <c r="AS1009" s="83"/>
      <c r="AT1009" s="85"/>
      <c r="AU1009" s="85"/>
      <c r="AV1009" s="85"/>
      <c r="AW1009" s="88"/>
      <c r="AX1009" s="84"/>
      <c r="AY1009" s="85"/>
      <c r="AZ1009" s="84"/>
      <c r="BA1009" s="85"/>
      <c r="BB1009" s="88"/>
      <c r="BC1009" s="85"/>
      <c r="BD1009" s="84"/>
      <c r="BE1009" s="88"/>
      <c r="BF1009" s="85"/>
      <c r="BG1009" s="85"/>
      <c r="BH1009" s="85"/>
      <c r="BI1009" s="85"/>
      <c r="BJ1009" s="85"/>
      <c r="BK1009" s="85"/>
      <c r="BL1009" s="85"/>
      <c r="BM1009" s="85"/>
      <c r="BN1009" s="85"/>
      <c r="BO1009" s="85"/>
      <c r="BP1009" s="85"/>
      <c r="BQ1009" s="85"/>
      <c r="BR1009" s="84"/>
      <c r="BS1009" s="85"/>
      <c r="BT1009" s="85"/>
      <c r="BU1009" s="198"/>
      <c r="BV1009" s="90"/>
      <c r="BW1009" s="198"/>
      <c r="BX1009" s="90"/>
      <c r="BY1009" s="198"/>
      <c r="BZ1009" s="90"/>
      <c r="CA1009" s="91"/>
    </row>
    <row r="1010" spans="1:1199" ht="50.1" customHeight="1" outlineLevel="2" x14ac:dyDescent="0.3">
      <c r="A1010" s="103" t="s">
        <v>832</v>
      </c>
      <c r="B1010" s="102" t="s">
        <v>1167</v>
      </c>
      <c r="C1010" s="79" t="s">
        <v>55</v>
      </c>
      <c r="D1010" s="81">
        <f t="shared" si="224"/>
        <v>40.56</v>
      </c>
      <c r="E1010" s="82">
        <f t="shared" si="225"/>
        <v>0</v>
      </c>
      <c r="F1010" s="83">
        <f t="shared" si="226"/>
        <v>40.56</v>
      </c>
      <c r="G1010" s="84"/>
      <c r="H1010" s="85"/>
      <c r="I1010" s="85"/>
      <c r="J1010" s="84"/>
      <c r="K1010" s="85"/>
      <c r="L1010" s="85"/>
      <c r="M1010" s="85"/>
      <c r="N1010" s="85"/>
      <c r="O1010" s="82"/>
      <c r="P1010" s="83"/>
      <c r="Q1010" s="83"/>
      <c r="R1010" s="83"/>
      <c r="S1010" s="82"/>
      <c r="T1010" s="83"/>
      <c r="U1010" s="83"/>
      <c r="V1010" s="84"/>
      <c r="W1010" s="85"/>
      <c r="X1010" s="87"/>
      <c r="Y1010" s="83">
        <v>40.56</v>
      </c>
      <c r="Z1010" s="84"/>
      <c r="AA1010" s="85"/>
      <c r="AB1010" s="84"/>
      <c r="AC1010" s="85"/>
      <c r="AD1010" s="89"/>
      <c r="AE1010" s="89"/>
      <c r="AF1010" s="186"/>
      <c r="AG1010" s="85"/>
      <c r="AH1010" s="85"/>
      <c r="AI1010" s="85"/>
      <c r="AJ1010" s="84"/>
      <c r="AK1010" s="85"/>
      <c r="AL1010" s="84"/>
      <c r="AM1010" s="88"/>
      <c r="AN1010" s="84"/>
      <c r="AO1010" s="85"/>
      <c r="AP1010" s="84"/>
      <c r="AQ1010" s="83"/>
      <c r="AR1010" s="83"/>
      <c r="AS1010" s="83"/>
      <c r="AT1010" s="85"/>
      <c r="AU1010" s="85"/>
      <c r="AV1010" s="85"/>
      <c r="AW1010" s="88"/>
      <c r="AX1010" s="84"/>
      <c r="AY1010" s="85"/>
      <c r="AZ1010" s="84"/>
      <c r="BA1010" s="85"/>
      <c r="BB1010" s="88"/>
      <c r="BC1010" s="85"/>
      <c r="BD1010" s="84"/>
      <c r="BE1010" s="88"/>
      <c r="BF1010" s="85"/>
      <c r="BG1010" s="85"/>
      <c r="BH1010" s="85"/>
      <c r="BI1010" s="85"/>
      <c r="BJ1010" s="85"/>
      <c r="BK1010" s="85"/>
      <c r="BL1010" s="85"/>
      <c r="BM1010" s="85"/>
      <c r="BN1010" s="85"/>
      <c r="BO1010" s="85"/>
      <c r="BP1010" s="85"/>
      <c r="BQ1010" s="85"/>
      <c r="BR1010" s="84"/>
      <c r="BS1010" s="85"/>
      <c r="BT1010" s="85"/>
      <c r="BU1010" s="198"/>
      <c r="BV1010" s="90"/>
      <c r="BW1010" s="198"/>
      <c r="BX1010" s="90"/>
      <c r="BY1010" s="198"/>
      <c r="BZ1010" s="90"/>
      <c r="CA1010" s="91"/>
    </row>
    <row r="1011" spans="1:1199" ht="50.1" customHeight="1" outlineLevel="2" x14ac:dyDescent="0.3">
      <c r="A1011" s="96" t="s">
        <v>832</v>
      </c>
      <c r="B1011" s="102" t="s">
        <v>1068</v>
      </c>
      <c r="C1011" s="79" t="s">
        <v>55</v>
      </c>
      <c r="D1011" s="81">
        <f t="shared" si="224"/>
        <v>87.36</v>
      </c>
      <c r="E1011" s="82">
        <f t="shared" si="225"/>
        <v>0</v>
      </c>
      <c r="F1011" s="83">
        <f t="shared" si="226"/>
        <v>87.36</v>
      </c>
      <c r="G1011" s="84"/>
      <c r="H1011" s="85"/>
      <c r="I1011" s="85"/>
      <c r="J1011" s="84"/>
      <c r="K1011" s="85"/>
      <c r="L1011" s="85"/>
      <c r="M1011" s="85"/>
      <c r="N1011" s="85"/>
      <c r="O1011" s="82"/>
      <c r="P1011" s="83"/>
      <c r="Q1011" s="83"/>
      <c r="R1011" s="83"/>
      <c r="S1011" s="82"/>
      <c r="T1011" s="83"/>
      <c r="U1011" s="83"/>
      <c r="V1011" s="84"/>
      <c r="W1011" s="85"/>
      <c r="X1011" s="87"/>
      <c r="Y1011" s="83">
        <v>87.36</v>
      </c>
      <c r="Z1011" s="84"/>
      <c r="AA1011" s="85"/>
      <c r="AB1011" s="84"/>
      <c r="AC1011" s="85"/>
      <c r="AD1011" s="89"/>
      <c r="AE1011" s="89"/>
      <c r="AF1011" s="186"/>
      <c r="AG1011" s="85"/>
      <c r="AH1011" s="85"/>
      <c r="AI1011" s="85"/>
      <c r="AJ1011" s="84"/>
      <c r="AK1011" s="85"/>
      <c r="AL1011" s="84"/>
      <c r="AM1011" s="88"/>
      <c r="AN1011" s="84"/>
      <c r="AO1011" s="85"/>
      <c r="AP1011" s="84"/>
      <c r="AQ1011" s="83"/>
      <c r="AR1011" s="83"/>
      <c r="AS1011" s="83"/>
      <c r="AT1011" s="85"/>
      <c r="AU1011" s="85"/>
      <c r="AV1011" s="85"/>
      <c r="AW1011" s="88"/>
      <c r="AX1011" s="84"/>
      <c r="AY1011" s="85"/>
      <c r="AZ1011" s="84"/>
      <c r="BA1011" s="85"/>
      <c r="BB1011" s="88"/>
      <c r="BC1011" s="85"/>
      <c r="BD1011" s="84"/>
      <c r="BE1011" s="88"/>
      <c r="BF1011" s="85"/>
      <c r="BG1011" s="85"/>
      <c r="BH1011" s="85"/>
      <c r="BI1011" s="85"/>
      <c r="BJ1011" s="85"/>
      <c r="BK1011" s="85"/>
      <c r="BL1011" s="85"/>
      <c r="BM1011" s="85"/>
      <c r="BN1011" s="85"/>
      <c r="BO1011" s="85"/>
      <c r="BP1011" s="85"/>
      <c r="BQ1011" s="85"/>
      <c r="BR1011" s="84"/>
      <c r="BS1011" s="85"/>
      <c r="BT1011" s="85"/>
      <c r="BU1011" s="198"/>
      <c r="BV1011" s="90"/>
      <c r="BW1011" s="198"/>
      <c r="BX1011" s="90"/>
      <c r="BY1011" s="198"/>
      <c r="BZ1011" s="90"/>
      <c r="CA1011" s="91"/>
    </row>
    <row r="1012" spans="1:1199" s="141" customFormat="1" ht="50.1" customHeight="1" outlineLevel="1" x14ac:dyDescent="0.3">
      <c r="A1012" s="132" t="s">
        <v>847</v>
      </c>
      <c r="B1012" s="133"/>
      <c r="C1012" s="134" t="s">
        <v>94</v>
      </c>
      <c r="D1012" s="81">
        <f t="shared" ref="D1012:AI1012" si="227">SUBTOTAL(9,D989:D1011)</f>
        <v>24104.319980000007</v>
      </c>
      <c r="E1012" s="81">
        <f t="shared" si="227"/>
        <v>4351.5679999999993</v>
      </c>
      <c r="F1012" s="81">
        <f t="shared" si="227"/>
        <v>19752.751980000001</v>
      </c>
      <c r="G1012" s="81">
        <f t="shared" si="227"/>
        <v>0</v>
      </c>
      <c r="H1012" s="81">
        <f t="shared" si="227"/>
        <v>0</v>
      </c>
      <c r="I1012" s="81">
        <f t="shared" si="227"/>
        <v>0</v>
      </c>
      <c r="J1012" s="81">
        <f t="shared" si="227"/>
        <v>401.35255000000001</v>
      </c>
      <c r="K1012" s="81">
        <f t="shared" si="227"/>
        <v>202.86902999999998</v>
      </c>
      <c r="L1012" s="81">
        <f t="shared" si="227"/>
        <v>0</v>
      </c>
      <c r="M1012" s="81">
        <f t="shared" si="227"/>
        <v>0</v>
      </c>
      <c r="N1012" s="81">
        <f t="shared" si="227"/>
        <v>0</v>
      </c>
      <c r="O1012" s="81">
        <f t="shared" si="227"/>
        <v>0</v>
      </c>
      <c r="P1012" s="81">
        <f t="shared" si="227"/>
        <v>0</v>
      </c>
      <c r="Q1012" s="81">
        <f t="shared" si="227"/>
        <v>0</v>
      </c>
      <c r="R1012" s="81">
        <f t="shared" si="227"/>
        <v>0</v>
      </c>
      <c r="S1012" s="81">
        <f t="shared" si="227"/>
        <v>0</v>
      </c>
      <c r="T1012" s="81">
        <f t="shared" si="227"/>
        <v>0</v>
      </c>
      <c r="U1012" s="81">
        <f t="shared" si="227"/>
        <v>0</v>
      </c>
      <c r="V1012" s="81">
        <f t="shared" si="227"/>
        <v>345.60550000000001</v>
      </c>
      <c r="W1012" s="81">
        <f t="shared" si="227"/>
        <v>603.45000000000005</v>
      </c>
      <c r="X1012" s="81">
        <f t="shared" si="227"/>
        <v>0</v>
      </c>
      <c r="Y1012" s="81">
        <f t="shared" si="227"/>
        <v>3208.6704000000009</v>
      </c>
      <c r="Z1012" s="81">
        <f t="shared" si="227"/>
        <v>0</v>
      </c>
      <c r="AA1012" s="81">
        <f t="shared" si="227"/>
        <v>0</v>
      </c>
      <c r="AB1012" s="81">
        <f t="shared" si="227"/>
        <v>0</v>
      </c>
      <c r="AC1012" s="81">
        <f t="shared" si="227"/>
        <v>0</v>
      </c>
      <c r="AD1012" s="81">
        <f t="shared" si="227"/>
        <v>1441.5155899999997</v>
      </c>
      <c r="AE1012" s="81">
        <f t="shared" si="227"/>
        <v>836.40599999999995</v>
      </c>
      <c r="AF1012" s="192">
        <f t="shared" si="227"/>
        <v>605.10959000000003</v>
      </c>
      <c r="AG1012" s="81">
        <f t="shared" si="227"/>
        <v>0</v>
      </c>
      <c r="AH1012" s="81">
        <f t="shared" si="227"/>
        <v>0</v>
      </c>
      <c r="AI1012" s="81">
        <f t="shared" si="227"/>
        <v>0</v>
      </c>
      <c r="AJ1012" s="81">
        <f t="shared" ref="AJ1012:BO1012" si="228">SUBTOTAL(9,AJ989:AJ1011)</f>
        <v>0</v>
      </c>
      <c r="AK1012" s="81">
        <f t="shared" si="228"/>
        <v>0</v>
      </c>
      <c r="AL1012" s="81">
        <f t="shared" si="228"/>
        <v>0</v>
      </c>
      <c r="AM1012" s="81">
        <f t="shared" si="228"/>
        <v>0</v>
      </c>
      <c r="AN1012" s="81">
        <f t="shared" si="228"/>
        <v>0</v>
      </c>
      <c r="AO1012" s="81">
        <f t="shared" si="228"/>
        <v>3702.4</v>
      </c>
      <c r="AP1012" s="81">
        <f t="shared" si="228"/>
        <v>0</v>
      </c>
      <c r="AQ1012" s="81">
        <f t="shared" si="228"/>
        <v>0</v>
      </c>
      <c r="AR1012" s="81">
        <f t="shared" si="228"/>
        <v>0</v>
      </c>
      <c r="AS1012" s="81">
        <f t="shared" si="228"/>
        <v>0</v>
      </c>
      <c r="AT1012" s="81">
        <f t="shared" si="228"/>
        <v>0</v>
      </c>
      <c r="AU1012" s="81">
        <f t="shared" si="228"/>
        <v>0</v>
      </c>
      <c r="AV1012" s="81">
        <f t="shared" si="228"/>
        <v>7160.4921199999999</v>
      </c>
      <c r="AW1012" s="81">
        <f t="shared" si="228"/>
        <v>0</v>
      </c>
      <c r="AX1012" s="81">
        <f t="shared" si="228"/>
        <v>0</v>
      </c>
      <c r="AY1012" s="81">
        <f t="shared" si="228"/>
        <v>0</v>
      </c>
      <c r="AZ1012" s="81">
        <f t="shared" si="228"/>
        <v>3604.6099499999996</v>
      </c>
      <c r="BA1012" s="81">
        <f t="shared" si="228"/>
        <v>3264.2675100000001</v>
      </c>
      <c r="BB1012" s="81">
        <f t="shared" si="228"/>
        <v>0</v>
      </c>
      <c r="BC1012" s="81">
        <f t="shared" si="228"/>
        <v>0</v>
      </c>
      <c r="BD1012" s="81">
        <f t="shared" si="228"/>
        <v>0</v>
      </c>
      <c r="BE1012" s="81">
        <f t="shared" si="228"/>
        <v>0</v>
      </c>
      <c r="BF1012" s="81">
        <f t="shared" si="228"/>
        <v>0</v>
      </c>
      <c r="BG1012" s="81">
        <f t="shared" si="228"/>
        <v>0</v>
      </c>
      <c r="BH1012" s="81">
        <f t="shared" si="228"/>
        <v>0</v>
      </c>
      <c r="BI1012" s="81">
        <f t="shared" si="228"/>
        <v>0</v>
      </c>
      <c r="BJ1012" s="81">
        <f t="shared" si="228"/>
        <v>0</v>
      </c>
      <c r="BK1012" s="81">
        <f t="shared" si="228"/>
        <v>169.08733000000001</v>
      </c>
      <c r="BL1012" s="81">
        <f t="shared" si="228"/>
        <v>0</v>
      </c>
      <c r="BM1012" s="81">
        <f t="shared" si="228"/>
        <v>0</v>
      </c>
      <c r="BN1012" s="81">
        <f t="shared" si="228"/>
        <v>0</v>
      </c>
      <c r="BO1012" s="81">
        <f t="shared" si="228"/>
        <v>0</v>
      </c>
      <c r="BP1012" s="81">
        <f t="shared" ref="BP1012:CU1012" si="229">SUBTOTAL(9,BP989:BP1011)</f>
        <v>0</v>
      </c>
      <c r="BQ1012" s="81">
        <f t="shared" si="229"/>
        <v>0</v>
      </c>
      <c r="BR1012" s="81">
        <f t="shared" si="229"/>
        <v>0</v>
      </c>
      <c r="BS1012" s="81">
        <f t="shared" si="229"/>
        <v>0</v>
      </c>
      <c r="BT1012" s="81">
        <f t="shared" si="229"/>
        <v>0</v>
      </c>
      <c r="BU1012" s="81">
        <f t="shared" si="229"/>
        <v>0</v>
      </c>
      <c r="BV1012" s="81">
        <f t="shared" si="229"/>
        <v>0</v>
      </c>
      <c r="BW1012" s="81">
        <f t="shared" si="229"/>
        <v>0</v>
      </c>
      <c r="BX1012" s="81">
        <f t="shared" si="229"/>
        <v>0</v>
      </c>
      <c r="BY1012" s="81">
        <f t="shared" si="229"/>
        <v>0</v>
      </c>
      <c r="BZ1012" s="81">
        <f t="shared" si="229"/>
        <v>0</v>
      </c>
      <c r="CA1012" s="81">
        <f t="shared" si="229"/>
        <v>0</v>
      </c>
      <c r="CB1012" s="176"/>
      <c r="CC1012" s="176"/>
      <c r="CD1012" s="176"/>
      <c r="CE1012" s="176"/>
      <c r="CF1012" s="176"/>
      <c r="CG1012" s="176"/>
      <c r="CH1012" s="176"/>
      <c r="CI1012" s="176"/>
      <c r="CJ1012" s="176"/>
      <c r="CK1012" s="176"/>
      <c r="CL1012" s="176"/>
      <c r="CM1012" s="176"/>
      <c r="CN1012" s="176"/>
      <c r="CO1012" s="176"/>
      <c r="CP1012" s="176"/>
      <c r="CQ1012" s="176"/>
      <c r="CR1012" s="176"/>
      <c r="CS1012" s="176"/>
      <c r="CT1012" s="176"/>
      <c r="CU1012" s="176"/>
      <c r="CV1012" s="176"/>
      <c r="CW1012" s="176"/>
      <c r="CX1012" s="176"/>
      <c r="CY1012" s="176"/>
      <c r="CZ1012" s="176"/>
      <c r="DA1012" s="176"/>
      <c r="DB1012" s="176"/>
      <c r="DC1012" s="176"/>
      <c r="DD1012" s="176"/>
      <c r="DE1012" s="176"/>
      <c r="DF1012" s="176"/>
      <c r="DG1012" s="176"/>
      <c r="DH1012" s="176"/>
      <c r="DI1012" s="176"/>
      <c r="DJ1012" s="176"/>
      <c r="DK1012" s="176"/>
      <c r="DL1012" s="176"/>
      <c r="DM1012" s="176"/>
      <c r="DN1012" s="176"/>
      <c r="DO1012" s="176"/>
      <c r="DP1012" s="176"/>
      <c r="DQ1012" s="176"/>
      <c r="DR1012" s="176"/>
      <c r="DS1012" s="176"/>
      <c r="DT1012" s="176"/>
      <c r="DU1012" s="176"/>
      <c r="DV1012" s="176"/>
      <c r="DW1012" s="176"/>
      <c r="DX1012" s="176"/>
      <c r="DY1012" s="176"/>
      <c r="DZ1012" s="176"/>
      <c r="EA1012" s="176"/>
      <c r="EB1012" s="176"/>
      <c r="EC1012" s="176"/>
      <c r="ED1012" s="176"/>
      <c r="EE1012" s="176"/>
      <c r="EF1012" s="176"/>
      <c r="EG1012" s="176"/>
      <c r="EH1012" s="176"/>
      <c r="EI1012" s="176"/>
      <c r="EJ1012" s="176"/>
      <c r="EK1012" s="176"/>
      <c r="EL1012" s="176"/>
      <c r="EM1012" s="176"/>
      <c r="EN1012" s="176"/>
      <c r="EO1012" s="176"/>
      <c r="EP1012" s="176"/>
      <c r="EQ1012" s="176"/>
      <c r="ER1012" s="176"/>
      <c r="ES1012" s="176"/>
      <c r="ET1012" s="176"/>
      <c r="EU1012" s="176"/>
      <c r="EV1012" s="176"/>
      <c r="EW1012" s="176"/>
      <c r="EX1012" s="176"/>
      <c r="EY1012" s="176"/>
      <c r="EZ1012" s="176"/>
      <c r="FA1012" s="176"/>
      <c r="FB1012" s="176"/>
      <c r="FC1012" s="176"/>
      <c r="FD1012" s="176"/>
      <c r="FE1012" s="176"/>
      <c r="FF1012" s="176"/>
      <c r="FG1012" s="176"/>
      <c r="FH1012" s="176"/>
      <c r="FI1012" s="176"/>
      <c r="FJ1012" s="176"/>
      <c r="FK1012" s="176"/>
      <c r="FL1012" s="176"/>
      <c r="FM1012" s="176"/>
      <c r="FN1012" s="176"/>
      <c r="FO1012" s="176"/>
      <c r="FP1012" s="176"/>
      <c r="FQ1012" s="176"/>
      <c r="FR1012" s="176"/>
      <c r="FS1012" s="176"/>
      <c r="FT1012" s="176"/>
      <c r="FU1012" s="176"/>
      <c r="FV1012" s="176"/>
      <c r="FW1012" s="176"/>
      <c r="FX1012" s="176"/>
      <c r="FY1012" s="176"/>
      <c r="FZ1012" s="176"/>
      <c r="GA1012" s="176"/>
      <c r="GB1012" s="176"/>
      <c r="GC1012" s="176"/>
      <c r="GD1012" s="176"/>
      <c r="GE1012" s="176"/>
      <c r="GF1012" s="176"/>
      <c r="GG1012" s="176"/>
      <c r="GH1012" s="176"/>
      <c r="GI1012" s="176"/>
      <c r="GJ1012" s="176"/>
      <c r="GK1012" s="176"/>
      <c r="GL1012" s="176"/>
      <c r="GM1012" s="176"/>
      <c r="GN1012" s="176"/>
      <c r="GO1012" s="176"/>
      <c r="GP1012" s="176"/>
      <c r="GQ1012" s="176"/>
      <c r="GR1012" s="176"/>
      <c r="GS1012" s="176"/>
      <c r="GT1012" s="176"/>
      <c r="GU1012" s="176"/>
      <c r="GV1012" s="176"/>
      <c r="GW1012" s="176"/>
      <c r="GX1012" s="176"/>
      <c r="GY1012" s="176"/>
      <c r="GZ1012" s="176"/>
      <c r="HA1012" s="176"/>
      <c r="HB1012" s="176"/>
      <c r="HC1012" s="176"/>
      <c r="HD1012" s="176"/>
      <c r="HE1012" s="176"/>
      <c r="HF1012" s="176"/>
      <c r="HG1012" s="176"/>
      <c r="HH1012" s="176"/>
      <c r="HI1012" s="176"/>
      <c r="HJ1012" s="176"/>
      <c r="HK1012" s="176"/>
      <c r="HL1012" s="176"/>
      <c r="HM1012" s="176"/>
      <c r="HN1012" s="176"/>
      <c r="HO1012" s="176"/>
      <c r="HP1012" s="176"/>
      <c r="HQ1012" s="176"/>
      <c r="HR1012" s="176"/>
      <c r="HS1012" s="176"/>
      <c r="HT1012" s="176"/>
      <c r="HU1012" s="176"/>
      <c r="HV1012" s="176"/>
      <c r="HW1012" s="176"/>
      <c r="HX1012" s="176"/>
      <c r="HY1012" s="176"/>
      <c r="HZ1012" s="176"/>
      <c r="IA1012" s="176"/>
      <c r="IB1012" s="176"/>
      <c r="IC1012" s="176"/>
      <c r="ID1012" s="176"/>
      <c r="IE1012" s="176"/>
      <c r="IF1012" s="176"/>
      <c r="IG1012" s="176"/>
      <c r="IH1012" s="176"/>
      <c r="II1012" s="176"/>
      <c r="IJ1012" s="176"/>
      <c r="IK1012" s="176"/>
      <c r="IL1012" s="176"/>
      <c r="IM1012" s="176"/>
      <c r="IN1012" s="176"/>
      <c r="IO1012" s="176"/>
      <c r="IP1012" s="176"/>
      <c r="IQ1012" s="176"/>
      <c r="IR1012" s="176"/>
      <c r="IS1012" s="176"/>
      <c r="IT1012" s="176"/>
      <c r="IU1012" s="176"/>
      <c r="IV1012" s="176"/>
      <c r="IW1012" s="176"/>
      <c r="IX1012" s="176"/>
      <c r="IY1012" s="176"/>
      <c r="IZ1012" s="176"/>
      <c r="JA1012" s="176"/>
      <c r="JB1012" s="176"/>
      <c r="JC1012" s="176"/>
      <c r="JD1012" s="176"/>
      <c r="JE1012" s="176"/>
      <c r="JF1012" s="176"/>
      <c r="JG1012" s="176"/>
      <c r="JH1012" s="176"/>
      <c r="JI1012" s="176"/>
      <c r="JJ1012" s="176"/>
      <c r="JK1012" s="176"/>
      <c r="JL1012" s="176"/>
      <c r="JM1012" s="176"/>
      <c r="JN1012" s="176"/>
      <c r="JO1012" s="176"/>
      <c r="JP1012" s="176"/>
      <c r="JQ1012" s="176"/>
      <c r="JR1012" s="176"/>
      <c r="JS1012" s="176"/>
      <c r="JT1012" s="176"/>
      <c r="JU1012" s="176"/>
      <c r="JV1012" s="176"/>
      <c r="JW1012" s="174"/>
      <c r="JX1012" s="152"/>
      <c r="JY1012" s="152"/>
      <c r="JZ1012" s="152"/>
      <c r="KA1012" s="152"/>
      <c r="KB1012" s="152"/>
      <c r="KC1012" s="152"/>
      <c r="KD1012" s="152"/>
      <c r="KE1012" s="152"/>
      <c r="KF1012" s="152"/>
      <c r="KG1012" s="152"/>
      <c r="KH1012" s="152"/>
      <c r="KI1012" s="152"/>
      <c r="KJ1012" s="152"/>
      <c r="KK1012" s="152"/>
      <c r="KL1012" s="152"/>
      <c r="KM1012" s="152"/>
      <c r="KN1012" s="152"/>
      <c r="KO1012" s="152"/>
      <c r="KP1012" s="152"/>
      <c r="KQ1012" s="152"/>
      <c r="KR1012" s="152"/>
      <c r="KS1012" s="152"/>
      <c r="KT1012" s="152"/>
      <c r="KU1012" s="152"/>
      <c r="KV1012" s="152"/>
      <c r="KW1012" s="152"/>
      <c r="KX1012" s="152"/>
      <c r="KY1012" s="152"/>
      <c r="KZ1012" s="152"/>
      <c r="LA1012" s="152"/>
      <c r="LB1012" s="152"/>
      <c r="LC1012" s="152"/>
      <c r="LD1012" s="152"/>
      <c r="LE1012" s="152"/>
      <c r="LF1012" s="152"/>
      <c r="LG1012" s="152"/>
      <c r="LH1012" s="152"/>
      <c r="LI1012" s="152"/>
      <c r="LJ1012" s="152"/>
      <c r="LK1012" s="152"/>
      <c r="LL1012" s="152"/>
      <c r="LM1012" s="152"/>
      <c r="LN1012" s="152"/>
      <c r="LO1012" s="152"/>
      <c r="LP1012" s="152"/>
      <c r="LQ1012" s="152"/>
      <c r="LR1012" s="152"/>
      <c r="LS1012" s="152"/>
      <c r="LT1012" s="152"/>
      <c r="LU1012" s="152"/>
      <c r="LV1012" s="152"/>
      <c r="LW1012" s="152"/>
      <c r="LX1012" s="152"/>
      <c r="LY1012" s="152"/>
      <c r="LZ1012" s="152"/>
      <c r="MA1012" s="152"/>
      <c r="MB1012" s="152"/>
      <c r="MC1012" s="152"/>
      <c r="MD1012" s="152"/>
      <c r="ME1012" s="152"/>
      <c r="MF1012" s="152"/>
      <c r="MG1012" s="152"/>
      <c r="MH1012" s="152"/>
      <c r="MI1012" s="152"/>
      <c r="MJ1012" s="152"/>
      <c r="MK1012" s="152"/>
      <c r="ML1012" s="152"/>
      <c r="MM1012" s="152"/>
      <c r="MN1012" s="152"/>
      <c r="MO1012" s="152"/>
      <c r="MP1012" s="152"/>
      <c r="MQ1012" s="152"/>
      <c r="MR1012" s="152"/>
      <c r="MS1012" s="152"/>
      <c r="MT1012" s="152"/>
      <c r="MU1012" s="152"/>
      <c r="MV1012" s="152"/>
      <c r="MW1012" s="152"/>
      <c r="MX1012" s="152"/>
      <c r="MY1012" s="152"/>
      <c r="MZ1012" s="152"/>
      <c r="NA1012" s="152"/>
      <c r="NB1012" s="152"/>
      <c r="NC1012" s="152"/>
      <c r="ND1012" s="152"/>
      <c r="NE1012" s="152"/>
      <c r="NF1012" s="152"/>
      <c r="NG1012" s="152"/>
      <c r="NH1012" s="152"/>
      <c r="NI1012" s="152"/>
      <c r="NJ1012" s="152"/>
      <c r="NK1012" s="152"/>
      <c r="NL1012" s="152"/>
      <c r="NM1012" s="152"/>
      <c r="NN1012" s="152"/>
      <c r="NO1012" s="152"/>
      <c r="NP1012" s="152"/>
      <c r="NQ1012" s="152"/>
      <c r="NR1012" s="152"/>
      <c r="NS1012" s="152"/>
      <c r="NT1012" s="152"/>
      <c r="NU1012" s="152"/>
      <c r="NV1012" s="152"/>
      <c r="NW1012" s="152"/>
      <c r="NX1012" s="152"/>
      <c r="NY1012" s="152"/>
      <c r="NZ1012" s="152"/>
      <c r="OA1012" s="152"/>
      <c r="OB1012" s="152"/>
      <c r="OC1012" s="152"/>
      <c r="OD1012" s="152"/>
      <c r="OE1012" s="152"/>
      <c r="OF1012" s="152"/>
      <c r="OG1012" s="152"/>
      <c r="OH1012" s="152"/>
      <c r="OI1012" s="152"/>
      <c r="OJ1012" s="152"/>
      <c r="OK1012" s="152"/>
      <c r="OL1012" s="152"/>
      <c r="OM1012" s="152"/>
      <c r="ON1012" s="152"/>
      <c r="OO1012" s="152"/>
      <c r="OP1012" s="152"/>
      <c r="OQ1012" s="152"/>
      <c r="OR1012" s="152"/>
      <c r="OS1012" s="152"/>
      <c r="OT1012" s="152"/>
      <c r="OU1012" s="152"/>
      <c r="OV1012" s="152"/>
      <c r="OW1012" s="152"/>
      <c r="OX1012" s="152"/>
      <c r="OY1012" s="152"/>
      <c r="OZ1012" s="152"/>
      <c r="PA1012" s="152"/>
      <c r="PB1012" s="152"/>
      <c r="PC1012" s="152"/>
      <c r="PD1012" s="152"/>
      <c r="PE1012" s="152"/>
      <c r="PF1012" s="152"/>
      <c r="PG1012" s="152"/>
      <c r="PH1012" s="152"/>
      <c r="PI1012" s="152"/>
      <c r="PJ1012" s="152"/>
      <c r="PK1012" s="152"/>
      <c r="PL1012" s="152"/>
      <c r="PM1012" s="152"/>
      <c r="PN1012" s="152"/>
      <c r="PO1012" s="152"/>
      <c r="PP1012" s="152"/>
      <c r="PQ1012" s="152"/>
      <c r="PR1012" s="152"/>
      <c r="PS1012" s="152"/>
      <c r="PT1012" s="152"/>
      <c r="PU1012" s="152"/>
      <c r="PV1012" s="152"/>
      <c r="PW1012" s="152"/>
      <c r="PX1012" s="152"/>
      <c r="PY1012" s="152"/>
      <c r="PZ1012" s="152"/>
      <c r="QA1012" s="152"/>
      <c r="QB1012" s="152"/>
      <c r="QC1012" s="152"/>
      <c r="QD1012" s="152"/>
      <c r="QE1012" s="152"/>
      <c r="QF1012" s="152"/>
      <c r="QG1012" s="152"/>
      <c r="QH1012" s="152"/>
      <c r="QI1012" s="152"/>
      <c r="QJ1012" s="152"/>
      <c r="QK1012" s="152"/>
      <c r="QL1012" s="152"/>
      <c r="QM1012" s="152"/>
      <c r="QN1012" s="152"/>
      <c r="QO1012" s="152"/>
      <c r="QP1012" s="152"/>
      <c r="QQ1012" s="152"/>
      <c r="QR1012" s="152"/>
      <c r="QS1012" s="152"/>
      <c r="QT1012" s="152"/>
      <c r="QU1012" s="152"/>
      <c r="QV1012" s="152"/>
      <c r="QW1012" s="152"/>
      <c r="QX1012" s="152"/>
      <c r="QY1012" s="152"/>
      <c r="QZ1012" s="152"/>
      <c r="RA1012" s="152"/>
      <c r="RB1012" s="152"/>
      <c r="RC1012" s="152"/>
      <c r="RD1012" s="152"/>
      <c r="RE1012" s="152"/>
      <c r="RF1012" s="152"/>
      <c r="RG1012" s="152"/>
      <c r="RH1012" s="152"/>
      <c r="RI1012" s="152"/>
      <c r="RJ1012" s="152"/>
      <c r="RK1012" s="152"/>
      <c r="RL1012" s="152"/>
      <c r="RM1012" s="152"/>
      <c r="RN1012" s="152"/>
      <c r="RO1012" s="152"/>
      <c r="RP1012" s="152"/>
      <c r="RQ1012" s="152"/>
      <c r="RR1012" s="152"/>
      <c r="RS1012" s="152"/>
      <c r="RT1012" s="152"/>
      <c r="RU1012" s="152"/>
      <c r="RV1012" s="152"/>
      <c r="RW1012" s="152"/>
      <c r="RX1012" s="152"/>
      <c r="RY1012" s="152"/>
      <c r="RZ1012" s="152"/>
      <c r="SA1012" s="152"/>
      <c r="SB1012" s="152"/>
      <c r="SC1012" s="152"/>
      <c r="SD1012" s="152"/>
      <c r="SE1012" s="152"/>
      <c r="SF1012" s="152"/>
      <c r="SG1012" s="152"/>
      <c r="SH1012" s="152"/>
      <c r="SI1012" s="152"/>
      <c r="SJ1012" s="152"/>
      <c r="SK1012" s="152"/>
      <c r="SL1012" s="152"/>
      <c r="SM1012" s="152"/>
      <c r="SN1012" s="152"/>
      <c r="SO1012" s="152"/>
      <c r="SP1012" s="152"/>
      <c r="SQ1012" s="152"/>
      <c r="SR1012" s="152"/>
      <c r="SS1012" s="152"/>
      <c r="ST1012" s="152"/>
      <c r="SU1012" s="152"/>
      <c r="SV1012" s="152"/>
      <c r="SW1012" s="152"/>
      <c r="SX1012" s="152"/>
      <c r="SY1012" s="152"/>
      <c r="SZ1012" s="152"/>
      <c r="TA1012" s="152"/>
      <c r="TB1012" s="152"/>
      <c r="TC1012" s="152"/>
      <c r="TD1012" s="152"/>
      <c r="TE1012" s="152"/>
      <c r="TF1012" s="152"/>
      <c r="TG1012" s="152"/>
      <c r="TH1012" s="152"/>
      <c r="TI1012" s="152"/>
      <c r="TJ1012" s="152"/>
      <c r="TK1012" s="152"/>
      <c r="TL1012" s="152"/>
      <c r="TM1012" s="152"/>
      <c r="TN1012" s="152"/>
      <c r="TO1012" s="152"/>
      <c r="TP1012" s="152"/>
      <c r="TQ1012" s="152"/>
      <c r="TR1012" s="152"/>
      <c r="TS1012" s="152"/>
      <c r="TT1012" s="152"/>
      <c r="TU1012" s="152"/>
      <c r="TV1012" s="152"/>
      <c r="TW1012" s="152"/>
      <c r="TX1012" s="152"/>
      <c r="TY1012" s="152"/>
      <c r="TZ1012" s="152"/>
      <c r="UA1012" s="152"/>
      <c r="UB1012" s="152"/>
      <c r="UC1012" s="152"/>
      <c r="UD1012" s="152"/>
      <c r="UE1012" s="152"/>
      <c r="UF1012" s="152"/>
      <c r="UG1012" s="152"/>
      <c r="UH1012" s="152"/>
      <c r="UI1012" s="152"/>
      <c r="UJ1012" s="152"/>
      <c r="UK1012" s="152"/>
      <c r="UL1012" s="152"/>
      <c r="UM1012" s="152"/>
      <c r="UN1012" s="152"/>
      <c r="UO1012" s="152"/>
      <c r="UP1012" s="152"/>
      <c r="UQ1012" s="152"/>
      <c r="UR1012" s="152"/>
      <c r="US1012" s="152"/>
      <c r="UT1012" s="152"/>
      <c r="UU1012" s="152"/>
      <c r="UV1012" s="152"/>
      <c r="UW1012" s="152"/>
      <c r="UX1012" s="152"/>
      <c r="UY1012" s="152"/>
      <c r="UZ1012" s="152"/>
      <c r="VA1012" s="152"/>
      <c r="VB1012" s="152"/>
      <c r="VC1012" s="152"/>
      <c r="VD1012" s="152"/>
      <c r="VE1012" s="152"/>
      <c r="VF1012" s="152"/>
      <c r="VG1012" s="152"/>
      <c r="VH1012" s="152"/>
      <c r="VI1012" s="152"/>
      <c r="VJ1012" s="152"/>
      <c r="VK1012" s="152"/>
      <c r="VL1012" s="152"/>
      <c r="VM1012" s="152"/>
      <c r="VN1012" s="152"/>
      <c r="VO1012" s="152"/>
      <c r="VP1012" s="152"/>
      <c r="VQ1012" s="152"/>
      <c r="VR1012" s="152"/>
      <c r="VS1012" s="152"/>
      <c r="VT1012" s="152"/>
      <c r="VU1012" s="152"/>
      <c r="VV1012" s="152"/>
      <c r="VW1012" s="152"/>
      <c r="VX1012" s="152"/>
      <c r="VY1012" s="152"/>
      <c r="VZ1012" s="152"/>
      <c r="WA1012" s="152"/>
      <c r="WB1012" s="152"/>
      <c r="WC1012" s="152"/>
      <c r="WD1012" s="152"/>
      <c r="WE1012" s="152"/>
      <c r="WF1012" s="152"/>
      <c r="WG1012" s="152"/>
      <c r="WH1012" s="152"/>
      <c r="WI1012" s="152"/>
      <c r="WJ1012" s="152"/>
      <c r="WK1012" s="152"/>
      <c r="WL1012" s="152"/>
      <c r="WM1012" s="152"/>
      <c r="WN1012" s="152"/>
      <c r="WO1012" s="152"/>
      <c r="WP1012" s="152"/>
      <c r="WQ1012" s="152"/>
      <c r="WR1012" s="152"/>
      <c r="WS1012" s="152"/>
      <c r="WT1012" s="152"/>
      <c r="WU1012" s="152"/>
      <c r="WV1012" s="152"/>
      <c r="WW1012" s="152"/>
      <c r="WX1012" s="152"/>
      <c r="WY1012" s="152"/>
      <c r="WZ1012" s="152"/>
      <c r="XA1012" s="152"/>
      <c r="XB1012" s="152"/>
      <c r="XC1012" s="152"/>
      <c r="XD1012" s="152"/>
      <c r="XE1012" s="152"/>
      <c r="XF1012" s="152"/>
      <c r="XG1012" s="152"/>
      <c r="XH1012" s="152"/>
      <c r="XI1012" s="152"/>
      <c r="XJ1012" s="152"/>
      <c r="XK1012" s="152"/>
      <c r="XL1012" s="152"/>
      <c r="XM1012" s="152"/>
      <c r="XN1012" s="152"/>
      <c r="XO1012" s="152"/>
      <c r="XP1012" s="152"/>
      <c r="XQ1012" s="152"/>
      <c r="XR1012" s="152"/>
      <c r="XS1012" s="152"/>
      <c r="XT1012" s="152"/>
      <c r="XU1012" s="152"/>
      <c r="XV1012" s="152"/>
      <c r="XW1012" s="152"/>
      <c r="XX1012" s="152"/>
      <c r="XY1012" s="152"/>
      <c r="XZ1012" s="152"/>
      <c r="YA1012" s="152"/>
      <c r="YB1012" s="152"/>
      <c r="YC1012" s="152"/>
      <c r="YD1012" s="152"/>
      <c r="YE1012" s="152"/>
      <c r="YF1012" s="152"/>
      <c r="YG1012" s="152"/>
      <c r="YH1012" s="152"/>
      <c r="YI1012" s="152"/>
      <c r="YJ1012" s="152"/>
      <c r="YK1012" s="152"/>
      <c r="YL1012" s="152"/>
      <c r="YM1012" s="152"/>
      <c r="YN1012" s="152"/>
      <c r="YO1012" s="152"/>
      <c r="YP1012" s="152"/>
      <c r="YQ1012" s="152"/>
      <c r="YR1012" s="152"/>
      <c r="YS1012" s="152"/>
      <c r="YT1012" s="152"/>
      <c r="YU1012" s="152"/>
      <c r="YV1012" s="152"/>
      <c r="YW1012" s="152"/>
      <c r="YX1012" s="152"/>
      <c r="YY1012" s="152"/>
      <c r="YZ1012" s="152"/>
      <c r="ZA1012" s="152"/>
      <c r="ZB1012" s="152"/>
      <c r="ZC1012" s="152"/>
      <c r="ZD1012" s="152"/>
      <c r="ZE1012" s="152"/>
      <c r="ZF1012" s="152"/>
      <c r="ZG1012" s="152"/>
      <c r="ZH1012" s="152"/>
      <c r="ZI1012" s="152"/>
      <c r="ZJ1012" s="152"/>
      <c r="ZK1012" s="152"/>
      <c r="ZL1012" s="152"/>
      <c r="ZM1012" s="152"/>
      <c r="ZN1012" s="152"/>
      <c r="ZO1012" s="152"/>
      <c r="ZP1012" s="152"/>
      <c r="ZQ1012" s="152"/>
      <c r="ZR1012" s="152"/>
      <c r="ZS1012" s="152"/>
      <c r="ZT1012" s="152"/>
      <c r="ZU1012" s="152"/>
      <c r="ZV1012" s="152"/>
      <c r="ZW1012" s="152"/>
      <c r="ZX1012" s="152"/>
      <c r="ZY1012" s="152"/>
      <c r="ZZ1012" s="152"/>
      <c r="AAA1012" s="152"/>
      <c r="AAB1012" s="152"/>
      <c r="AAC1012" s="152"/>
      <c r="AAD1012" s="152"/>
      <c r="AAE1012" s="152"/>
      <c r="AAF1012" s="152"/>
      <c r="AAG1012" s="152"/>
      <c r="AAH1012" s="152"/>
      <c r="AAI1012" s="152"/>
      <c r="AAJ1012" s="152"/>
      <c r="AAK1012" s="152"/>
      <c r="AAL1012" s="152"/>
      <c r="AAM1012" s="152"/>
      <c r="AAN1012" s="152"/>
      <c r="AAO1012" s="152"/>
      <c r="AAP1012" s="152"/>
      <c r="AAQ1012" s="152"/>
      <c r="AAR1012" s="152"/>
      <c r="AAS1012" s="152"/>
      <c r="AAT1012" s="152"/>
      <c r="AAU1012" s="152"/>
      <c r="AAV1012" s="152"/>
      <c r="AAW1012" s="152"/>
      <c r="AAX1012" s="152"/>
      <c r="AAY1012" s="152"/>
      <c r="AAZ1012" s="152"/>
      <c r="ABA1012" s="152"/>
      <c r="ABB1012" s="152"/>
      <c r="ABC1012" s="152"/>
      <c r="ABD1012" s="152"/>
      <c r="ABE1012" s="152"/>
      <c r="ABF1012" s="152"/>
      <c r="ABG1012" s="152"/>
      <c r="ABH1012" s="152"/>
      <c r="ABI1012" s="152"/>
      <c r="ABJ1012" s="152"/>
      <c r="ABK1012" s="152"/>
      <c r="ABL1012" s="152"/>
      <c r="ABM1012" s="152"/>
      <c r="ABN1012" s="152"/>
      <c r="ABO1012" s="152"/>
      <c r="ABP1012" s="152"/>
      <c r="ABQ1012" s="152"/>
      <c r="ABR1012" s="152"/>
      <c r="ABS1012" s="152"/>
      <c r="ABT1012" s="152"/>
      <c r="ABU1012" s="152"/>
      <c r="ABV1012" s="152"/>
      <c r="ABW1012" s="152"/>
      <c r="ABX1012" s="152"/>
      <c r="ABY1012" s="152"/>
      <c r="ABZ1012" s="152"/>
      <c r="ACA1012" s="152"/>
      <c r="ACB1012" s="152"/>
      <c r="ACC1012" s="152"/>
      <c r="ACD1012" s="152"/>
      <c r="ACE1012" s="152"/>
      <c r="ACF1012" s="152"/>
      <c r="ACG1012" s="152"/>
      <c r="ACH1012" s="152"/>
      <c r="ACI1012" s="152"/>
      <c r="ACJ1012" s="152"/>
      <c r="ACK1012" s="152"/>
      <c r="ACL1012" s="152"/>
      <c r="ACM1012" s="152"/>
      <c r="ACN1012" s="152"/>
      <c r="ACO1012" s="152"/>
      <c r="ACP1012" s="152"/>
      <c r="ACQ1012" s="152"/>
      <c r="ACR1012" s="152"/>
      <c r="ACS1012" s="152"/>
      <c r="ACT1012" s="152"/>
      <c r="ACU1012" s="152"/>
      <c r="ACV1012" s="152"/>
      <c r="ACW1012" s="152"/>
      <c r="ACX1012" s="152"/>
      <c r="ACY1012" s="152"/>
      <c r="ACZ1012" s="152"/>
      <c r="ADA1012" s="152"/>
      <c r="ADB1012" s="152"/>
      <c r="ADC1012" s="152"/>
      <c r="ADD1012" s="152"/>
      <c r="ADE1012" s="152"/>
      <c r="ADF1012" s="152"/>
      <c r="ADG1012" s="152"/>
      <c r="ADH1012" s="152"/>
      <c r="ADI1012" s="152"/>
      <c r="ADJ1012" s="152"/>
      <c r="ADK1012" s="152"/>
      <c r="ADL1012" s="152"/>
      <c r="ADM1012" s="152"/>
      <c r="ADN1012" s="152"/>
      <c r="ADO1012" s="152"/>
      <c r="ADP1012" s="152"/>
      <c r="ADQ1012" s="152"/>
      <c r="ADR1012" s="152"/>
      <c r="ADS1012" s="152"/>
      <c r="ADT1012" s="152"/>
      <c r="ADU1012" s="152"/>
      <c r="ADV1012" s="152"/>
      <c r="ADW1012" s="152"/>
      <c r="ADX1012" s="152"/>
      <c r="ADY1012" s="152"/>
      <c r="ADZ1012" s="152"/>
      <c r="AEA1012" s="152"/>
      <c r="AEB1012" s="152"/>
      <c r="AEC1012" s="152"/>
      <c r="AED1012" s="152"/>
      <c r="AEE1012" s="152"/>
      <c r="AEF1012" s="152"/>
      <c r="AEG1012" s="152"/>
      <c r="AEH1012" s="152"/>
      <c r="AEI1012" s="152"/>
      <c r="AEJ1012" s="152"/>
      <c r="AEK1012" s="152"/>
      <c r="AEL1012" s="152"/>
      <c r="AEM1012" s="152"/>
      <c r="AEN1012" s="152"/>
      <c r="AEO1012" s="152"/>
      <c r="AEP1012" s="152"/>
      <c r="AEQ1012" s="152"/>
      <c r="AER1012" s="152"/>
      <c r="AES1012" s="152"/>
      <c r="AET1012" s="152"/>
      <c r="AEU1012" s="152"/>
      <c r="AEV1012" s="152"/>
      <c r="AEW1012" s="152"/>
      <c r="AEX1012" s="152"/>
      <c r="AEY1012" s="152"/>
      <c r="AEZ1012" s="152"/>
      <c r="AFA1012" s="152"/>
      <c r="AFB1012" s="152"/>
      <c r="AFC1012" s="152"/>
      <c r="AFD1012" s="152"/>
      <c r="AFE1012" s="152"/>
      <c r="AFF1012" s="152"/>
      <c r="AFG1012" s="152"/>
      <c r="AFH1012" s="152"/>
      <c r="AFI1012" s="152"/>
      <c r="AFJ1012" s="152"/>
      <c r="AFK1012" s="152"/>
      <c r="AFL1012" s="152"/>
      <c r="AFM1012" s="152"/>
      <c r="AFN1012" s="152"/>
      <c r="AFO1012" s="152"/>
      <c r="AFP1012" s="152"/>
      <c r="AFQ1012" s="152"/>
      <c r="AFR1012" s="152"/>
      <c r="AFS1012" s="152"/>
      <c r="AFT1012" s="152"/>
      <c r="AFU1012" s="152"/>
      <c r="AFV1012" s="152"/>
      <c r="AFW1012" s="152"/>
      <c r="AFX1012" s="152"/>
      <c r="AFY1012" s="152"/>
      <c r="AFZ1012" s="152"/>
      <c r="AGA1012" s="152"/>
      <c r="AGB1012" s="152"/>
      <c r="AGC1012" s="152"/>
      <c r="AGD1012" s="152"/>
      <c r="AGE1012" s="152"/>
      <c r="AGF1012" s="152"/>
      <c r="AGG1012" s="152"/>
      <c r="AGH1012" s="152"/>
      <c r="AGI1012" s="152"/>
      <c r="AGJ1012" s="152"/>
      <c r="AGK1012" s="152"/>
      <c r="AGL1012" s="152"/>
      <c r="AGM1012" s="152"/>
      <c r="AGN1012" s="152"/>
      <c r="AGO1012" s="152"/>
      <c r="AGP1012" s="152"/>
      <c r="AGQ1012" s="152"/>
      <c r="AGR1012" s="152"/>
      <c r="AGS1012" s="152"/>
      <c r="AGT1012" s="152"/>
      <c r="AGU1012" s="152"/>
      <c r="AGV1012" s="152"/>
      <c r="AGW1012" s="152"/>
      <c r="AGX1012" s="152"/>
      <c r="AGY1012" s="152"/>
      <c r="AGZ1012" s="152"/>
      <c r="AHA1012" s="152"/>
      <c r="AHB1012" s="152"/>
      <c r="AHC1012" s="152"/>
      <c r="AHD1012" s="152"/>
      <c r="AHE1012" s="152"/>
      <c r="AHF1012" s="152"/>
      <c r="AHG1012" s="152"/>
      <c r="AHH1012" s="152"/>
      <c r="AHI1012" s="152"/>
      <c r="AHJ1012" s="152"/>
      <c r="AHK1012" s="152"/>
      <c r="AHL1012" s="152"/>
      <c r="AHM1012" s="152"/>
      <c r="AHN1012" s="152"/>
      <c r="AHO1012" s="152"/>
      <c r="AHP1012" s="152"/>
      <c r="AHQ1012" s="152"/>
      <c r="AHR1012" s="152"/>
      <c r="AHS1012" s="152"/>
      <c r="AHT1012" s="152"/>
      <c r="AHU1012" s="152"/>
      <c r="AHV1012" s="152"/>
      <c r="AHW1012" s="152"/>
      <c r="AHX1012" s="152"/>
      <c r="AHY1012" s="152"/>
      <c r="AHZ1012" s="152"/>
      <c r="AIA1012" s="152"/>
      <c r="AIB1012" s="152"/>
      <c r="AIC1012" s="152"/>
      <c r="AID1012" s="152"/>
      <c r="AIE1012" s="152"/>
      <c r="AIF1012" s="152"/>
      <c r="AIG1012" s="152"/>
      <c r="AIH1012" s="152"/>
      <c r="AII1012" s="152"/>
      <c r="AIJ1012" s="152"/>
      <c r="AIK1012" s="152"/>
      <c r="AIL1012" s="152"/>
      <c r="AIM1012" s="152"/>
      <c r="AIN1012" s="152"/>
      <c r="AIO1012" s="152"/>
      <c r="AIP1012" s="152"/>
      <c r="AIQ1012" s="152"/>
      <c r="AIR1012" s="152"/>
      <c r="AIS1012" s="152"/>
      <c r="AIT1012" s="152"/>
      <c r="AIU1012" s="152"/>
      <c r="AIV1012" s="152"/>
      <c r="AIW1012" s="152"/>
      <c r="AIX1012" s="152"/>
      <c r="AIY1012" s="152"/>
      <c r="AIZ1012" s="152"/>
      <c r="AJA1012" s="152"/>
      <c r="AJB1012" s="152"/>
      <c r="AJC1012" s="152"/>
      <c r="AJD1012" s="152"/>
      <c r="AJE1012" s="152"/>
      <c r="AJF1012" s="152"/>
      <c r="AJG1012" s="152"/>
      <c r="AJH1012" s="152"/>
      <c r="AJI1012" s="152"/>
      <c r="AJJ1012" s="152"/>
      <c r="AJK1012" s="152"/>
      <c r="AJL1012" s="152"/>
      <c r="AJM1012" s="152"/>
      <c r="AJN1012" s="152"/>
      <c r="AJO1012" s="152"/>
      <c r="AJP1012" s="152"/>
      <c r="AJQ1012" s="152"/>
      <c r="AJR1012" s="152"/>
      <c r="AJS1012" s="152"/>
      <c r="AJT1012" s="152"/>
      <c r="AJU1012" s="152"/>
      <c r="AJV1012" s="152"/>
      <c r="AJW1012" s="152"/>
      <c r="AJX1012" s="152"/>
      <c r="AJY1012" s="152"/>
      <c r="AJZ1012" s="152"/>
      <c r="AKA1012" s="152"/>
      <c r="AKB1012" s="152"/>
      <c r="AKC1012" s="152"/>
      <c r="AKD1012" s="152"/>
      <c r="AKE1012" s="152"/>
      <c r="AKF1012" s="152"/>
      <c r="AKG1012" s="152"/>
      <c r="AKH1012" s="152"/>
      <c r="AKI1012" s="152"/>
      <c r="AKJ1012" s="152"/>
      <c r="AKK1012" s="152"/>
      <c r="AKL1012" s="152"/>
      <c r="AKM1012" s="152"/>
      <c r="AKN1012" s="152"/>
      <c r="AKO1012" s="152"/>
      <c r="AKP1012" s="152"/>
      <c r="AKQ1012" s="152"/>
      <c r="AKR1012" s="152"/>
      <c r="AKS1012" s="152"/>
      <c r="AKT1012" s="152"/>
      <c r="AKU1012" s="152"/>
      <c r="AKV1012" s="152"/>
      <c r="AKW1012" s="152"/>
      <c r="AKX1012" s="152"/>
      <c r="AKY1012" s="152"/>
      <c r="AKZ1012" s="152"/>
      <c r="ALA1012" s="152"/>
      <c r="ALB1012" s="152"/>
      <c r="ALC1012" s="152"/>
      <c r="ALD1012" s="152"/>
      <c r="ALE1012" s="152"/>
      <c r="ALF1012" s="152"/>
      <c r="ALG1012" s="152"/>
      <c r="ALH1012" s="152"/>
      <c r="ALI1012" s="152"/>
      <c r="ALJ1012" s="152"/>
      <c r="ALK1012" s="152"/>
      <c r="ALL1012" s="152"/>
      <c r="ALM1012" s="152"/>
      <c r="ALN1012" s="152"/>
      <c r="ALO1012" s="152"/>
      <c r="ALP1012" s="152"/>
      <c r="ALQ1012" s="152"/>
      <c r="ALR1012" s="152"/>
      <c r="ALS1012" s="152"/>
      <c r="ALT1012" s="152"/>
      <c r="ALU1012" s="152"/>
      <c r="ALV1012" s="152"/>
      <c r="ALW1012" s="152"/>
      <c r="ALX1012" s="152"/>
      <c r="ALY1012" s="152"/>
      <c r="ALZ1012" s="152"/>
      <c r="AMA1012" s="152"/>
      <c r="AMB1012" s="152"/>
      <c r="AMC1012" s="152"/>
      <c r="AMD1012" s="152"/>
      <c r="AME1012" s="152"/>
      <c r="AMF1012" s="152"/>
      <c r="AMG1012" s="152"/>
      <c r="AMH1012" s="152"/>
      <c r="AMI1012" s="152"/>
      <c r="AMJ1012" s="152"/>
      <c r="AMK1012" s="152"/>
      <c r="AML1012" s="152"/>
      <c r="AMM1012" s="152"/>
      <c r="AMN1012" s="152"/>
      <c r="AMO1012" s="152"/>
      <c r="AMP1012" s="152"/>
      <c r="AMQ1012" s="152"/>
      <c r="AMR1012" s="152"/>
      <c r="AMS1012" s="152"/>
      <c r="AMT1012" s="152"/>
      <c r="AMU1012" s="152"/>
      <c r="AMV1012" s="152"/>
      <c r="AMW1012" s="152"/>
      <c r="AMX1012" s="152"/>
      <c r="AMY1012" s="152"/>
      <c r="AMZ1012" s="152"/>
      <c r="ANA1012" s="152"/>
      <c r="ANB1012" s="152"/>
      <c r="ANC1012" s="152"/>
      <c r="AND1012" s="152"/>
      <c r="ANE1012" s="152"/>
      <c r="ANF1012" s="152"/>
      <c r="ANG1012" s="152"/>
      <c r="ANH1012" s="152"/>
      <c r="ANI1012" s="152"/>
      <c r="ANJ1012" s="152"/>
      <c r="ANK1012" s="152"/>
      <c r="ANL1012" s="152"/>
      <c r="ANM1012" s="152"/>
      <c r="ANN1012" s="152"/>
      <c r="ANO1012" s="152"/>
      <c r="ANP1012" s="152"/>
      <c r="ANQ1012" s="152"/>
      <c r="ANR1012" s="152"/>
      <c r="ANS1012" s="152"/>
      <c r="ANT1012" s="152"/>
      <c r="ANU1012" s="152"/>
      <c r="ANV1012" s="152"/>
      <c r="ANW1012" s="152"/>
      <c r="ANX1012" s="152"/>
      <c r="ANY1012" s="152"/>
      <c r="ANZ1012" s="152"/>
      <c r="AOA1012" s="152"/>
      <c r="AOB1012" s="152"/>
      <c r="AOC1012" s="152"/>
      <c r="AOD1012" s="152"/>
      <c r="AOE1012" s="152"/>
      <c r="AOF1012" s="152"/>
      <c r="AOG1012" s="152"/>
      <c r="AOH1012" s="152"/>
      <c r="AOI1012" s="152"/>
      <c r="AOJ1012" s="152"/>
      <c r="AOK1012" s="152"/>
      <c r="AOL1012" s="152"/>
      <c r="AOM1012" s="152"/>
      <c r="AON1012" s="152"/>
      <c r="AOO1012" s="152"/>
      <c r="AOP1012" s="152"/>
      <c r="AOQ1012" s="152"/>
      <c r="AOR1012" s="152"/>
      <c r="AOS1012" s="152"/>
      <c r="AOT1012" s="152"/>
      <c r="AOU1012" s="152"/>
      <c r="AOV1012" s="152"/>
      <c r="AOW1012" s="152"/>
      <c r="AOX1012" s="152"/>
      <c r="AOY1012" s="152"/>
      <c r="AOZ1012" s="152"/>
      <c r="APA1012" s="152"/>
      <c r="APB1012" s="152"/>
      <c r="APC1012" s="152"/>
      <c r="APD1012" s="152"/>
      <c r="APE1012" s="152"/>
      <c r="APF1012" s="152"/>
      <c r="APG1012" s="152"/>
      <c r="APH1012" s="152"/>
      <c r="API1012" s="152"/>
      <c r="APJ1012" s="152"/>
      <c r="APK1012" s="152"/>
      <c r="APL1012" s="152"/>
      <c r="APM1012" s="152"/>
      <c r="APN1012" s="152"/>
      <c r="APO1012" s="152"/>
      <c r="APP1012" s="152"/>
      <c r="APQ1012" s="152"/>
      <c r="APR1012" s="152"/>
      <c r="APS1012" s="152"/>
      <c r="APT1012" s="152"/>
      <c r="APU1012" s="152"/>
      <c r="APV1012" s="152"/>
      <c r="APW1012" s="152"/>
      <c r="APX1012" s="152"/>
      <c r="APY1012" s="152"/>
      <c r="APZ1012" s="152"/>
      <c r="AQA1012" s="152"/>
      <c r="AQB1012" s="152"/>
      <c r="AQC1012" s="152"/>
      <c r="AQD1012" s="152"/>
      <c r="AQE1012" s="152"/>
      <c r="AQF1012" s="152"/>
      <c r="AQG1012" s="152"/>
      <c r="AQH1012" s="152"/>
      <c r="AQI1012" s="152"/>
      <c r="AQJ1012" s="152"/>
      <c r="AQK1012" s="152"/>
      <c r="AQL1012" s="152"/>
      <c r="AQM1012" s="152"/>
      <c r="AQN1012" s="152"/>
      <c r="AQO1012" s="152"/>
      <c r="AQP1012" s="152"/>
      <c r="AQQ1012" s="152"/>
      <c r="AQR1012" s="152"/>
      <c r="AQS1012" s="152"/>
      <c r="AQT1012" s="152"/>
      <c r="AQU1012" s="152"/>
      <c r="AQV1012" s="152"/>
      <c r="AQW1012" s="152"/>
      <c r="AQX1012" s="152"/>
      <c r="AQY1012" s="152"/>
      <c r="AQZ1012" s="152"/>
      <c r="ARA1012" s="152"/>
      <c r="ARB1012" s="152"/>
      <c r="ARC1012" s="152"/>
      <c r="ARD1012" s="152"/>
      <c r="ARE1012" s="152"/>
      <c r="ARF1012" s="152"/>
      <c r="ARG1012" s="152"/>
      <c r="ARH1012" s="152"/>
      <c r="ARI1012" s="152"/>
      <c r="ARJ1012" s="152"/>
      <c r="ARK1012" s="152"/>
      <c r="ARL1012" s="152"/>
      <c r="ARM1012" s="152"/>
      <c r="ARN1012" s="152"/>
      <c r="ARO1012" s="152"/>
      <c r="ARP1012" s="152"/>
      <c r="ARQ1012" s="152"/>
      <c r="ARR1012" s="152"/>
      <c r="ARS1012" s="152"/>
      <c r="ART1012" s="152"/>
      <c r="ARU1012" s="152"/>
      <c r="ARV1012" s="152"/>
      <c r="ARW1012" s="152"/>
      <c r="ARX1012" s="152"/>
      <c r="ARY1012" s="152"/>
      <c r="ARZ1012" s="152"/>
      <c r="ASA1012" s="152"/>
      <c r="ASB1012" s="152"/>
      <c r="ASC1012" s="152"/>
      <c r="ASD1012" s="152"/>
      <c r="ASE1012" s="152"/>
      <c r="ASF1012" s="152"/>
      <c r="ASG1012" s="152"/>
      <c r="ASH1012" s="152"/>
      <c r="ASI1012" s="152"/>
      <c r="ASJ1012" s="152"/>
      <c r="ASK1012" s="152"/>
      <c r="ASL1012" s="152"/>
      <c r="ASM1012" s="152"/>
      <c r="ASN1012" s="152"/>
      <c r="ASO1012" s="152"/>
      <c r="ASP1012" s="152"/>
      <c r="ASQ1012" s="152"/>
      <c r="ASR1012" s="152"/>
      <c r="ASS1012" s="152"/>
      <c r="AST1012" s="152"/>
      <c r="ASU1012" s="152"/>
      <c r="ASV1012" s="152"/>
      <c r="ASW1012" s="152"/>
      <c r="ASX1012" s="152"/>
      <c r="ASY1012" s="152"/>
      <c r="ASZ1012" s="152"/>
      <c r="ATA1012" s="152"/>
      <c r="ATB1012" s="152"/>
      <c r="ATC1012" s="152"/>
    </row>
    <row r="1013" spans="1:1199" s="142" customFormat="1" ht="50.1" customHeight="1" outlineLevel="2" x14ac:dyDescent="0.3">
      <c r="A1013" s="103" t="s">
        <v>848</v>
      </c>
      <c r="B1013" s="102" t="s">
        <v>849</v>
      </c>
      <c r="C1013" s="79" t="s">
        <v>37</v>
      </c>
      <c r="D1013" s="81">
        <f t="shared" ref="D1013" si="230">E1013+F1013</f>
        <v>161.79852</v>
      </c>
      <c r="E1013" s="82">
        <f t="shared" si="225"/>
        <v>73.446579999999997</v>
      </c>
      <c r="F1013" s="83">
        <f t="shared" si="226"/>
        <v>88.351939999999999</v>
      </c>
      <c r="G1013" s="84"/>
      <c r="H1013" s="85"/>
      <c r="I1013" s="85"/>
      <c r="J1013" s="84"/>
      <c r="K1013" s="85"/>
      <c r="L1013" s="85"/>
      <c r="M1013" s="85"/>
      <c r="N1013" s="85"/>
      <c r="O1013" s="82"/>
      <c r="P1013" s="83"/>
      <c r="Q1013" s="83"/>
      <c r="R1013" s="83"/>
      <c r="S1013" s="82"/>
      <c r="T1013" s="83"/>
      <c r="U1013" s="83"/>
      <c r="V1013" s="84"/>
      <c r="W1013" s="85"/>
      <c r="X1013" s="87"/>
      <c r="Y1013" s="83">
        <v>21.84</v>
      </c>
      <c r="Z1013" s="84"/>
      <c r="AA1013" s="85"/>
      <c r="AB1013" s="84"/>
      <c r="AC1013" s="85"/>
      <c r="AD1013" s="89">
        <f t="shared" si="219"/>
        <v>0</v>
      </c>
      <c r="AE1013" s="89"/>
      <c r="AF1013" s="186"/>
      <c r="AG1013" s="85"/>
      <c r="AH1013" s="85"/>
      <c r="AI1013" s="85"/>
      <c r="AJ1013" s="84"/>
      <c r="AK1013" s="85"/>
      <c r="AL1013" s="84"/>
      <c r="AM1013" s="88"/>
      <c r="AN1013" s="84"/>
      <c r="AO1013" s="85"/>
      <c r="AP1013" s="84"/>
      <c r="AQ1013" s="83"/>
      <c r="AR1013" s="83"/>
      <c r="AS1013" s="83"/>
      <c r="AT1013" s="85"/>
      <c r="AU1013" s="85"/>
      <c r="AV1013" s="85"/>
      <c r="AW1013" s="88"/>
      <c r="AX1013" s="84"/>
      <c r="AY1013" s="85"/>
      <c r="AZ1013" s="84">
        <v>73.446579999999997</v>
      </c>
      <c r="BA1013" s="85">
        <v>66.511939999999996</v>
      </c>
      <c r="BB1013" s="88"/>
      <c r="BC1013" s="85"/>
      <c r="BD1013" s="84"/>
      <c r="BE1013" s="88"/>
      <c r="BF1013" s="85"/>
      <c r="BG1013" s="85"/>
      <c r="BH1013" s="85"/>
      <c r="BI1013" s="85"/>
      <c r="BJ1013" s="85"/>
      <c r="BK1013" s="85"/>
      <c r="BL1013" s="85"/>
      <c r="BM1013" s="85"/>
      <c r="BN1013" s="85"/>
      <c r="BO1013" s="85"/>
      <c r="BP1013" s="85"/>
      <c r="BQ1013" s="85"/>
      <c r="BR1013" s="84"/>
      <c r="BS1013" s="85"/>
      <c r="BT1013" s="85"/>
      <c r="BU1013" s="198"/>
      <c r="BV1013" s="90"/>
      <c r="BW1013" s="198"/>
      <c r="BX1013" s="90"/>
      <c r="BY1013" s="198"/>
      <c r="BZ1013" s="90"/>
      <c r="CA1013" s="91"/>
      <c r="CB1013" s="175"/>
      <c r="CC1013" s="175"/>
      <c r="CD1013" s="175"/>
      <c r="CE1013" s="175"/>
      <c r="CF1013" s="175"/>
      <c r="CG1013" s="175"/>
      <c r="CH1013" s="175"/>
      <c r="CI1013" s="175"/>
      <c r="CJ1013" s="175"/>
      <c r="CK1013" s="175"/>
      <c r="CL1013" s="175"/>
      <c r="CM1013" s="175"/>
      <c r="CN1013" s="175"/>
      <c r="CO1013" s="175"/>
      <c r="CP1013" s="175"/>
      <c r="CQ1013" s="175"/>
      <c r="CR1013" s="175"/>
      <c r="CS1013" s="175"/>
      <c r="CT1013" s="175"/>
      <c r="CU1013" s="175"/>
      <c r="CV1013" s="175"/>
      <c r="CW1013" s="175"/>
      <c r="CX1013" s="175"/>
      <c r="CY1013" s="175"/>
      <c r="CZ1013" s="175"/>
      <c r="DA1013" s="175"/>
      <c r="DB1013" s="175"/>
      <c r="DC1013" s="175"/>
      <c r="DD1013" s="175"/>
      <c r="DE1013" s="175"/>
      <c r="DF1013" s="175"/>
      <c r="DG1013" s="175"/>
      <c r="DH1013" s="175"/>
      <c r="DI1013" s="175"/>
      <c r="DJ1013" s="175"/>
      <c r="DK1013" s="175"/>
      <c r="DL1013" s="175"/>
      <c r="DM1013" s="175"/>
      <c r="DN1013" s="175"/>
      <c r="DO1013" s="175"/>
      <c r="DP1013" s="175"/>
      <c r="DQ1013" s="175"/>
      <c r="DR1013" s="175"/>
      <c r="DS1013" s="175"/>
      <c r="DT1013" s="175"/>
      <c r="DU1013" s="175"/>
      <c r="DV1013" s="175"/>
      <c r="DW1013" s="175"/>
      <c r="DX1013" s="175"/>
      <c r="DY1013" s="175"/>
      <c r="DZ1013" s="175"/>
      <c r="EA1013" s="175"/>
      <c r="EB1013" s="175"/>
      <c r="EC1013" s="175"/>
      <c r="ED1013" s="175"/>
      <c r="EE1013" s="175"/>
      <c r="EF1013" s="175"/>
      <c r="EG1013" s="175"/>
      <c r="EH1013" s="175"/>
      <c r="EI1013" s="175"/>
      <c r="EJ1013" s="175"/>
      <c r="EK1013" s="175"/>
      <c r="EL1013" s="175"/>
      <c r="EM1013" s="175"/>
      <c r="EN1013" s="175"/>
      <c r="EO1013" s="175"/>
      <c r="EP1013" s="175"/>
      <c r="EQ1013" s="175"/>
      <c r="ER1013" s="175"/>
      <c r="ES1013" s="175"/>
      <c r="ET1013" s="175"/>
      <c r="EU1013" s="175"/>
      <c r="EV1013" s="175"/>
      <c r="EW1013" s="175"/>
      <c r="EX1013" s="175"/>
      <c r="EY1013" s="175"/>
      <c r="EZ1013" s="175"/>
      <c r="FA1013" s="175"/>
      <c r="FB1013" s="175"/>
      <c r="FC1013" s="175"/>
      <c r="FD1013" s="175"/>
      <c r="FE1013" s="175"/>
      <c r="FF1013" s="175"/>
      <c r="FG1013" s="175"/>
      <c r="FH1013" s="175"/>
      <c r="FI1013" s="175"/>
      <c r="FJ1013" s="175"/>
      <c r="FK1013" s="175"/>
      <c r="FL1013" s="175"/>
      <c r="FM1013" s="175"/>
      <c r="FN1013" s="175"/>
      <c r="FO1013" s="175"/>
      <c r="FP1013" s="175"/>
      <c r="FQ1013" s="175"/>
      <c r="FR1013" s="175"/>
      <c r="FS1013" s="175"/>
      <c r="FT1013" s="175"/>
      <c r="FU1013" s="175"/>
      <c r="FV1013" s="175"/>
      <c r="FW1013" s="175"/>
      <c r="FX1013" s="175"/>
      <c r="FY1013" s="175"/>
      <c r="FZ1013" s="175"/>
      <c r="GA1013" s="175"/>
      <c r="GB1013" s="175"/>
      <c r="GC1013" s="175"/>
      <c r="GD1013" s="175"/>
      <c r="GE1013" s="175"/>
      <c r="GF1013" s="175"/>
      <c r="GG1013" s="175"/>
      <c r="GH1013" s="175"/>
      <c r="GI1013" s="175"/>
      <c r="GJ1013" s="175"/>
      <c r="GK1013" s="175"/>
      <c r="GL1013" s="175"/>
      <c r="GM1013" s="175"/>
      <c r="GN1013" s="175"/>
      <c r="GO1013" s="175"/>
      <c r="GP1013" s="175"/>
      <c r="GQ1013" s="175"/>
      <c r="GR1013" s="175"/>
      <c r="GS1013" s="175"/>
      <c r="GT1013" s="175"/>
      <c r="GU1013" s="175"/>
      <c r="GV1013" s="175"/>
      <c r="GW1013" s="175"/>
      <c r="GX1013" s="175"/>
      <c r="GY1013" s="175"/>
      <c r="GZ1013" s="175"/>
      <c r="HA1013" s="175"/>
      <c r="HB1013" s="175"/>
      <c r="HC1013" s="175"/>
      <c r="HD1013" s="175"/>
      <c r="HE1013" s="175"/>
      <c r="HF1013" s="175"/>
      <c r="HG1013" s="175"/>
      <c r="HH1013" s="175"/>
      <c r="HI1013" s="175"/>
      <c r="HJ1013" s="175"/>
      <c r="HK1013" s="175"/>
      <c r="HL1013" s="175"/>
      <c r="HM1013" s="175"/>
      <c r="HN1013" s="175"/>
      <c r="HO1013" s="175"/>
      <c r="HP1013" s="175"/>
      <c r="HQ1013" s="175"/>
      <c r="HR1013" s="175"/>
      <c r="HS1013" s="175"/>
      <c r="HT1013" s="175"/>
      <c r="HU1013" s="175"/>
      <c r="HV1013" s="175"/>
      <c r="HW1013" s="175"/>
      <c r="HX1013" s="175"/>
      <c r="HY1013" s="175"/>
      <c r="HZ1013" s="175"/>
      <c r="IA1013" s="175"/>
      <c r="IB1013" s="175"/>
      <c r="IC1013" s="175"/>
      <c r="ID1013" s="175"/>
      <c r="IE1013" s="175"/>
      <c r="IF1013" s="175"/>
      <c r="IG1013" s="175"/>
      <c r="IH1013" s="175"/>
      <c r="II1013" s="175"/>
      <c r="IJ1013" s="175"/>
      <c r="IK1013" s="175"/>
      <c r="IL1013" s="175"/>
      <c r="IM1013" s="175"/>
      <c r="IN1013" s="175"/>
      <c r="IO1013" s="175"/>
      <c r="IP1013" s="175"/>
      <c r="IQ1013" s="175"/>
      <c r="IR1013" s="175"/>
      <c r="IS1013" s="175"/>
      <c r="IT1013" s="175"/>
      <c r="IU1013" s="175"/>
      <c r="IV1013" s="175"/>
      <c r="IW1013" s="175"/>
      <c r="IX1013" s="175"/>
      <c r="IY1013" s="175"/>
      <c r="IZ1013" s="175"/>
      <c r="JA1013" s="175"/>
      <c r="JB1013" s="175"/>
      <c r="JC1013" s="175"/>
      <c r="JD1013" s="175"/>
      <c r="JE1013" s="175"/>
      <c r="JF1013" s="175"/>
      <c r="JG1013" s="175"/>
      <c r="JH1013" s="175"/>
      <c r="JI1013" s="175"/>
      <c r="JJ1013" s="175"/>
      <c r="JK1013" s="175"/>
      <c r="JL1013" s="175"/>
      <c r="JM1013" s="175"/>
      <c r="JN1013" s="175"/>
      <c r="JO1013" s="175"/>
      <c r="JP1013" s="175"/>
      <c r="JQ1013" s="175"/>
      <c r="JR1013" s="175"/>
      <c r="JS1013" s="175"/>
      <c r="JT1013" s="175"/>
      <c r="JU1013" s="175"/>
      <c r="JV1013" s="175"/>
      <c r="JW1013" s="173"/>
    </row>
    <row r="1014" spans="1:1199" ht="50.1" customHeight="1" outlineLevel="2" x14ac:dyDescent="0.3">
      <c r="A1014" s="103" t="s">
        <v>848</v>
      </c>
      <c r="B1014" s="102" t="s">
        <v>850</v>
      </c>
      <c r="C1014" s="79" t="s">
        <v>37</v>
      </c>
      <c r="D1014" s="81">
        <f t="shared" ref="D1014:D1023" si="231">E1014+F1014</f>
        <v>668.73374000000001</v>
      </c>
      <c r="E1014" s="82">
        <f t="shared" si="225"/>
        <v>331.28640999999999</v>
      </c>
      <c r="F1014" s="83">
        <f t="shared" si="226"/>
        <v>337.44733000000002</v>
      </c>
      <c r="G1014" s="84"/>
      <c r="H1014" s="85"/>
      <c r="I1014" s="85"/>
      <c r="J1014" s="84"/>
      <c r="K1014" s="85"/>
      <c r="L1014" s="85"/>
      <c r="M1014" s="85"/>
      <c r="N1014" s="85"/>
      <c r="O1014" s="82"/>
      <c r="P1014" s="83"/>
      <c r="Q1014" s="83"/>
      <c r="R1014" s="83"/>
      <c r="S1014" s="82"/>
      <c r="T1014" s="83"/>
      <c r="U1014" s="83"/>
      <c r="V1014" s="84"/>
      <c r="W1014" s="85"/>
      <c r="X1014" s="87"/>
      <c r="Y1014" s="83">
        <v>37.44</v>
      </c>
      <c r="Z1014" s="84"/>
      <c r="AA1014" s="85"/>
      <c r="AB1014" s="84"/>
      <c r="AC1014" s="85"/>
      <c r="AD1014" s="89">
        <f t="shared" si="219"/>
        <v>0</v>
      </c>
      <c r="AE1014" s="89"/>
      <c r="AF1014" s="186"/>
      <c r="AG1014" s="85"/>
      <c r="AH1014" s="85"/>
      <c r="AI1014" s="85"/>
      <c r="AJ1014" s="84"/>
      <c r="AK1014" s="85"/>
      <c r="AL1014" s="84"/>
      <c r="AM1014" s="88"/>
      <c r="AN1014" s="84"/>
      <c r="AO1014" s="85"/>
      <c r="AP1014" s="84"/>
      <c r="AQ1014" s="83"/>
      <c r="AR1014" s="83"/>
      <c r="AS1014" s="83"/>
      <c r="AT1014" s="85"/>
      <c r="AU1014" s="85"/>
      <c r="AV1014" s="85"/>
      <c r="AW1014" s="88"/>
      <c r="AX1014" s="84"/>
      <c r="AY1014" s="85"/>
      <c r="AZ1014" s="84">
        <v>331.28640999999999</v>
      </c>
      <c r="BA1014" s="85">
        <v>300.00733000000002</v>
      </c>
      <c r="BB1014" s="88"/>
      <c r="BC1014" s="85"/>
      <c r="BD1014" s="84"/>
      <c r="BE1014" s="88"/>
      <c r="BF1014" s="85"/>
      <c r="BG1014" s="85"/>
      <c r="BH1014" s="85"/>
      <c r="BI1014" s="85"/>
      <c r="BJ1014" s="85"/>
      <c r="BK1014" s="85"/>
      <c r="BL1014" s="85"/>
      <c r="BM1014" s="85"/>
      <c r="BN1014" s="85"/>
      <c r="BO1014" s="85"/>
      <c r="BP1014" s="85"/>
      <c r="BQ1014" s="85"/>
      <c r="BR1014" s="84"/>
      <c r="BS1014" s="85"/>
      <c r="BT1014" s="85"/>
      <c r="BU1014" s="198"/>
      <c r="BV1014" s="90"/>
      <c r="BW1014" s="198"/>
      <c r="BX1014" s="90"/>
      <c r="BY1014" s="198"/>
      <c r="BZ1014" s="90"/>
      <c r="CA1014" s="91"/>
    </row>
    <row r="1015" spans="1:1199" s="120" customFormat="1" ht="50.1" customHeight="1" outlineLevel="2" x14ac:dyDescent="0.3">
      <c r="A1015" s="103" t="s">
        <v>848</v>
      </c>
      <c r="B1015" s="102" t="s">
        <v>851</v>
      </c>
      <c r="C1015" s="79" t="s">
        <v>55</v>
      </c>
      <c r="D1015" s="81">
        <f t="shared" si="231"/>
        <v>1723.6240299999999</v>
      </c>
      <c r="E1015" s="82">
        <f t="shared" si="225"/>
        <v>638.62563999999998</v>
      </c>
      <c r="F1015" s="83">
        <f t="shared" si="226"/>
        <v>1084.99839</v>
      </c>
      <c r="G1015" s="84"/>
      <c r="H1015" s="85"/>
      <c r="I1015" s="85"/>
      <c r="J1015" s="84">
        <f>77.63281+24.66444</f>
        <v>102.29725000000001</v>
      </c>
      <c r="K1015" s="85">
        <f>38.81638+12.33222</f>
        <v>51.148600000000002</v>
      </c>
      <c r="L1015" s="85">
        <v>12.828279999999999</v>
      </c>
      <c r="M1015" s="85"/>
      <c r="N1015" s="85"/>
      <c r="O1015" s="82">
        <v>12.3729</v>
      </c>
      <c r="P1015" s="83">
        <v>6.1864499999999998</v>
      </c>
      <c r="Q1015" s="83"/>
      <c r="R1015" s="83"/>
      <c r="S1015" s="82"/>
      <c r="T1015" s="83"/>
      <c r="U1015" s="83"/>
      <c r="V1015" s="84">
        <v>23.195</v>
      </c>
      <c r="W1015" s="85">
        <v>40.5</v>
      </c>
      <c r="X1015" s="87"/>
      <c r="Y1015" s="83">
        <v>341.64</v>
      </c>
      <c r="Z1015" s="84"/>
      <c r="AA1015" s="85"/>
      <c r="AB1015" s="84"/>
      <c r="AC1015" s="85"/>
      <c r="AD1015" s="89">
        <f t="shared" si="219"/>
        <v>82.214210000000008</v>
      </c>
      <c r="AE1015" s="89">
        <v>25.789200000000001</v>
      </c>
      <c r="AF1015" s="186">
        <v>56.42501</v>
      </c>
      <c r="AG1015" s="85"/>
      <c r="AH1015" s="85"/>
      <c r="AI1015" s="85"/>
      <c r="AJ1015" s="84"/>
      <c r="AK1015" s="85"/>
      <c r="AL1015" s="84"/>
      <c r="AM1015" s="88"/>
      <c r="AN1015" s="84"/>
      <c r="AO1015" s="85"/>
      <c r="AP1015" s="84">
        <v>52.541699999999999</v>
      </c>
      <c r="AQ1015" s="83">
        <v>144.5823</v>
      </c>
      <c r="AR1015" s="83"/>
      <c r="AS1015" s="83"/>
      <c r="AT1015" s="85"/>
      <c r="AU1015" s="85"/>
      <c r="AV1015" s="85"/>
      <c r="AW1015" s="88"/>
      <c r="AX1015" s="84"/>
      <c r="AY1015" s="85"/>
      <c r="AZ1015" s="84">
        <v>448.21879000000001</v>
      </c>
      <c r="BA1015" s="85">
        <v>405.89855</v>
      </c>
      <c r="BB1015" s="88"/>
      <c r="BC1015" s="85"/>
      <c r="BD1015" s="84"/>
      <c r="BE1015" s="88"/>
      <c r="BF1015" s="85"/>
      <c r="BG1015" s="85"/>
      <c r="BH1015" s="85"/>
      <c r="BI1015" s="85"/>
      <c r="BJ1015" s="85"/>
      <c r="BK1015" s="85"/>
      <c r="BL1015" s="85"/>
      <c r="BM1015" s="85"/>
      <c r="BN1015" s="85"/>
      <c r="BO1015" s="85"/>
      <c r="BP1015" s="85"/>
      <c r="BQ1015" s="85"/>
      <c r="BR1015" s="84"/>
      <c r="BS1015" s="85"/>
      <c r="BT1015" s="85"/>
      <c r="BU1015" s="198"/>
      <c r="BV1015" s="90"/>
      <c r="BW1015" s="198"/>
      <c r="BX1015" s="90"/>
      <c r="BY1015" s="198"/>
      <c r="BZ1015" s="90"/>
      <c r="CA1015" s="91"/>
      <c r="CB1015" s="175"/>
      <c r="CC1015" s="175"/>
      <c r="CD1015" s="175"/>
      <c r="CE1015" s="175"/>
      <c r="CF1015" s="175"/>
      <c r="CG1015" s="175"/>
      <c r="CH1015" s="175"/>
      <c r="CI1015" s="175"/>
      <c r="CJ1015" s="175"/>
      <c r="CK1015" s="175"/>
      <c r="CL1015" s="175"/>
      <c r="CM1015" s="175"/>
      <c r="CN1015" s="175"/>
      <c r="CO1015" s="175"/>
      <c r="CP1015" s="175"/>
      <c r="CQ1015" s="175"/>
      <c r="CR1015" s="175"/>
      <c r="CS1015" s="175"/>
      <c r="CT1015" s="175"/>
      <c r="CU1015" s="175"/>
      <c r="CV1015" s="175"/>
      <c r="CW1015" s="175"/>
      <c r="CX1015" s="175"/>
      <c r="CY1015" s="175"/>
      <c r="CZ1015" s="175"/>
      <c r="DA1015" s="175"/>
      <c r="DB1015" s="175"/>
      <c r="DC1015" s="175"/>
      <c r="DD1015" s="175"/>
      <c r="DE1015" s="175"/>
      <c r="DF1015" s="175"/>
      <c r="DG1015" s="175"/>
      <c r="DH1015" s="175"/>
      <c r="DI1015" s="175"/>
      <c r="DJ1015" s="175"/>
      <c r="DK1015" s="175"/>
      <c r="DL1015" s="175"/>
      <c r="DM1015" s="175"/>
      <c r="DN1015" s="175"/>
      <c r="DO1015" s="175"/>
      <c r="DP1015" s="175"/>
      <c r="DQ1015" s="175"/>
      <c r="DR1015" s="175"/>
      <c r="DS1015" s="175"/>
      <c r="DT1015" s="175"/>
      <c r="DU1015" s="175"/>
      <c r="DV1015" s="175"/>
      <c r="DW1015" s="175"/>
      <c r="DX1015" s="175"/>
      <c r="DY1015" s="175"/>
      <c r="DZ1015" s="175"/>
      <c r="EA1015" s="175"/>
      <c r="EB1015" s="175"/>
      <c r="EC1015" s="175"/>
      <c r="ED1015" s="175"/>
      <c r="EE1015" s="175"/>
      <c r="EF1015" s="175"/>
      <c r="EG1015" s="175"/>
      <c r="EH1015" s="175"/>
      <c r="EI1015" s="175"/>
      <c r="EJ1015" s="175"/>
      <c r="EK1015" s="175"/>
      <c r="EL1015" s="175"/>
      <c r="EM1015" s="175"/>
      <c r="EN1015" s="175"/>
      <c r="EO1015" s="175"/>
      <c r="EP1015" s="175"/>
      <c r="EQ1015" s="175"/>
      <c r="ER1015" s="175"/>
      <c r="ES1015" s="175"/>
      <c r="ET1015" s="175"/>
      <c r="EU1015" s="175"/>
      <c r="EV1015" s="175"/>
      <c r="EW1015" s="175"/>
      <c r="EX1015" s="175"/>
      <c r="EY1015" s="175"/>
      <c r="EZ1015" s="175"/>
      <c r="FA1015" s="175"/>
      <c r="FB1015" s="175"/>
      <c r="FC1015" s="175"/>
      <c r="FD1015" s="175"/>
      <c r="FE1015" s="175"/>
      <c r="FF1015" s="175"/>
      <c r="FG1015" s="175"/>
      <c r="FH1015" s="175"/>
      <c r="FI1015" s="175"/>
      <c r="FJ1015" s="175"/>
      <c r="FK1015" s="175"/>
      <c r="FL1015" s="175"/>
      <c r="FM1015" s="175"/>
      <c r="FN1015" s="175"/>
      <c r="FO1015" s="175"/>
      <c r="FP1015" s="175"/>
      <c r="FQ1015" s="175"/>
      <c r="FR1015" s="175"/>
      <c r="FS1015" s="175"/>
      <c r="FT1015" s="175"/>
      <c r="FU1015" s="175"/>
      <c r="FV1015" s="175"/>
      <c r="FW1015" s="175"/>
      <c r="FX1015" s="175"/>
      <c r="FY1015" s="175"/>
      <c r="FZ1015" s="175"/>
      <c r="GA1015" s="175"/>
      <c r="GB1015" s="175"/>
      <c r="GC1015" s="175"/>
      <c r="GD1015" s="175"/>
      <c r="GE1015" s="175"/>
      <c r="GF1015" s="175"/>
      <c r="GG1015" s="175"/>
      <c r="GH1015" s="175"/>
      <c r="GI1015" s="175"/>
      <c r="GJ1015" s="175"/>
      <c r="GK1015" s="175"/>
      <c r="GL1015" s="175"/>
      <c r="GM1015" s="175"/>
      <c r="GN1015" s="175"/>
      <c r="GO1015" s="175"/>
      <c r="GP1015" s="175"/>
      <c r="GQ1015" s="175"/>
      <c r="GR1015" s="175"/>
      <c r="GS1015" s="175"/>
      <c r="GT1015" s="175"/>
      <c r="GU1015" s="175"/>
      <c r="GV1015" s="175"/>
      <c r="GW1015" s="175"/>
      <c r="GX1015" s="175"/>
      <c r="GY1015" s="175"/>
      <c r="GZ1015" s="175"/>
      <c r="HA1015" s="175"/>
      <c r="HB1015" s="175"/>
      <c r="HC1015" s="175"/>
      <c r="HD1015" s="175"/>
      <c r="HE1015" s="175"/>
      <c r="HF1015" s="175"/>
      <c r="HG1015" s="175"/>
      <c r="HH1015" s="175"/>
      <c r="HI1015" s="175"/>
      <c r="HJ1015" s="175"/>
      <c r="HK1015" s="175"/>
      <c r="HL1015" s="175"/>
      <c r="HM1015" s="175"/>
      <c r="HN1015" s="175"/>
      <c r="HO1015" s="175"/>
      <c r="HP1015" s="175"/>
      <c r="HQ1015" s="175"/>
      <c r="HR1015" s="175"/>
      <c r="HS1015" s="175"/>
      <c r="HT1015" s="175"/>
      <c r="HU1015" s="175"/>
      <c r="HV1015" s="175"/>
      <c r="HW1015" s="175"/>
      <c r="HX1015" s="175"/>
      <c r="HY1015" s="175"/>
      <c r="HZ1015" s="175"/>
      <c r="IA1015" s="175"/>
      <c r="IB1015" s="175"/>
      <c r="IC1015" s="175"/>
      <c r="ID1015" s="175"/>
      <c r="IE1015" s="175"/>
      <c r="IF1015" s="175"/>
      <c r="IG1015" s="175"/>
      <c r="IH1015" s="175"/>
      <c r="II1015" s="175"/>
      <c r="IJ1015" s="175"/>
      <c r="IK1015" s="175"/>
      <c r="IL1015" s="175"/>
      <c r="IM1015" s="175"/>
      <c r="IN1015" s="175"/>
      <c r="IO1015" s="175"/>
      <c r="IP1015" s="175"/>
      <c r="IQ1015" s="175"/>
      <c r="IR1015" s="175"/>
      <c r="IS1015" s="175"/>
      <c r="IT1015" s="175"/>
      <c r="IU1015" s="175"/>
      <c r="IV1015" s="175"/>
      <c r="IW1015" s="175"/>
      <c r="IX1015" s="175"/>
      <c r="IY1015" s="175"/>
      <c r="IZ1015" s="175"/>
      <c r="JA1015" s="175"/>
      <c r="JB1015" s="175"/>
      <c r="JC1015" s="175"/>
      <c r="JD1015" s="175"/>
      <c r="JE1015" s="175"/>
      <c r="JF1015" s="175"/>
      <c r="JG1015" s="175"/>
      <c r="JH1015" s="175"/>
      <c r="JI1015" s="175"/>
      <c r="JJ1015" s="175"/>
      <c r="JK1015" s="175"/>
      <c r="JL1015" s="175"/>
      <c r="JM1015" s="175"/>
      <c r="JN1015" s="175"/>
      <c r="JO1015" s="175"/>
      <c r="JP1015" s="175"/>
      <c r="JQ1015" s="175"/>
      <c r="JR1015" s="175"/>
      <c r="JS1015" s="175"/>
      <c r="JT1015" s="175"/>
      <c r="JU1015" s="175"/>
      <c r="JV1015" s="175"/>
      <c r="JW1015" s="172"/>
    </row>
    <row r="1016" spans="1:1199" ht="50.1" customHeight="1" outlineLevel="2" x14ac:dyDescent="0.3">
      <c r="A1016" s="103" t="s">
        <v>848</v>
      </c>
      <c r="B1016" s="102" t="s">
        <v>852</v>
      </c>
      <c r="C1016" s="79" t="s">
        <v>55</v>
      </c>
      <c r="D1016" s="81">
        <f t="shared" si="231"/>
        <v>435.85073999999997</v>
      </c>
      <c r="E1016" s="82">
        <f t="shared" si="225"/>
        <v>250.36912999999998</v>
      </c>
      <c r="F1016" s="83">
        <f t="shared" si="226"/>
        <v>185.48160999999999</v>
      </c>
      <c r="G1016" s="84"/>
      <c r="H1016" s="85"/>
      <c r="I1016" s="85"/>
      <c r="J1016" s="84"/>
      <c r="K1016" s="85"/>
      <c r="L1016" s="85"/>
      <c r="M1016" s="85"/>
      <c r="N1016" s="85"/>
      <c r="O1016" s="82">
        <f>24.23515+118.3732</f>
        <v>142.60835</v>
      </c>
      <c r="P1016" s="83">
        <f>12.11759+8.53442</f>
        <v>20.652010000000001</v>
      </c>
      <c r="Q1016" s="83"/>
      <c r="R1016" s="83"/>
      <c r="S1016" s="82"/>
      <c r="T1016" s="83"/>
      <c r="U1016" s="83"/>
      <c r="V1016" s="84"/>
      <c r="W1016" s="85"/>
      <c r="X1016" s="87"/>
      <c r="Y1016" s="83">
        <v>24.96</v>
      </c>
      <c r="Z1016" s="84"/>
      <c r="AA1016" s="85"/>
      <c r="AB1016" s="84"/>
      <c r="AC1016" s="85"/>
      <c r="AD1016" s="89">
        <f t="shared" si="219"/>
        <v>42.283360000000002</v>
      </c>
      <c r="AE1016" s="89">
        <v>15.043699999999999</v>
      </c>
      <c r="AF1016" s="186">
        <v>27.239660000000001</v>
      </c>
      <c r="AG1016" s="85"/>
      <c r="AH1016" s="85"/>
      <c r="AI1016" s="85"/>
      <c r="AJ1016" s="84"/>
      <c r="AK1016" s="85"/>
      <c r="AL1016" s="84"/>
      <c r="AM1016" s="88"/>
      <c r="AN1016" s="84"/>
      <c r="AO1016" s="85"/>
      <c r="AP1016" s="84"/>
      <c r="AQ1016" s="83"/>
      <c r="AR1016" s="83"/>
      <c r="AS1016" s="83"/>
      <c r="AT1016" s="85"/>
      <c r="AU1016" s="85"/>
      <c r="AV1016" s="85"/>
      <c r="AW1016" s="88"/>
      <c r="AX1016" s="84"/>
      <c r="AY1016" s="85"/>
      <c r="AZ1016" s="84">
        <v>107.76078</v>
      </c>
      <c r="BA1016" s="85">
        <v>97.586240000000004</v>
      </c>
      <c r="BB1016" s="88"/>
      <c r="BC1016" s="85"/>
      <c r="BD1016" s="84"/>
      <c r="BE1016" s="88"/>
      <c r="BF1016" s="85"/>
      <c r="BG1016" s="85"/>
      <c r="BH1016" s="85"/>
      <c r="BI1016" s="85"/>
      <c r="BJ1016" s="85"/>
      <c r="BK1016" s="85"/>
      <c r="BL1016" s="85"/>
      <c r="BM1016" s="85"/>
      <c r="BN1016" s="85"/>
      <c r="BO1016" s="85"/>
      <c r="BP1016" s="85"/>
      <c r="BQ1016" s="85"/>
      <c r="BR1016" s="84"/>
      <c r="BS1016" s="85"/>
      <c r="BT1016" s="85"/>
      <c r="BU1016" s="198"/>
      <c r="BV1016" s="90"/>
      <c r="BW1016" s="198"/>
      <c r="BX1016" s="90"/>
      <c r="BY1016" s="198"/>
      <c r="BZ1016" s="90"/>
      <c r="CA1016" s="91"/>
    </row>
    <row r="1017" spans="1:1199" ht="50.1" customHeight="1" outlineLevel="2" x14ac:dyDescent="0.3">
      <c r="A1017" s="103" t="s">
        <v>848</v>
      </c>
      <c r="B1017" s="102" t="s">
        <v>853</v>
      </c>
      <c r="C1017" s="79" t="s">
        <v>55</v>
      </c>
      <c r="D1017" s="81">
        <f t="shared" si="231"/>
        <v>174.72</v>
      </c>
      <c r="E1017" s="82">
        <f t="shared" si="225"/>
        <v>0</v>
      </c>
      <c r="F1017" s="83">
        <f t="shared" si="226"/>
        <v>174.72</v>
      </c>
      <c r="G1017" s="84"/>
      <c r="H1017" s="85"/>
      <c r="I1017" s="85"/>
      <c r="J1017" s="84"/>
      <c r="K1017" s="85"/>
      <c r="L1017" s="85"/>
      <c r="M1017" s="85"/>
      <c r="N1017" s="85"/>
      <c r="O1017" s="82"/>
      <c r="P1017" s="83"/>
      <c r="Q1017" s="83"/>
      <c r="R1017" s="83"/>
      <c r="S1017" s="82"/>
      <c r="T1017" s="83"/>
      <c r="U1017" s="83"/>
      <c r="V1017" s="84"/>
      <c r="W1017" s="85"/>
      <c r="X1017" s="87"/>
      <c r="Y1017" s="83"/>
      <c r="Z1017" s="84"/>
      <c r="AA1017" s="85"/>
      <c r="AB1017" s="84"/>
      <c r="AC1017" s="85"/>
      <c r="AD1017" s="89">
        <f t="shared" si="219"/>
        <v>0</v>
      </c>
      <c r="AE1017" s="89"/>
      <c r="AF1017" s="186"/>
      <c r="AG1017" s="85"/>
      <c r="AH1017" s="85"/>
      <c r="AI1017" s="85"/>
      <c r="AJ1017" s="84"/>
      <c r="AK1017" s="85"/>
      <c r="AL1017" s="84"/>
      <c r="AM1017" s="88"/>
      <c r="AN1017" s="84"/>
      <c r="AO1017" s="85">
        <v>174.72</v>
      </c>
      <c r="AP1017" s="84"/>
      <c r="AQ1017" s="83"/>
      <c r="AR1017" s="83"/>
      <c r="AS1017" s="83"/>
      <c r="AT1017" s="85"/>
      <c r="AU1017" s="85"/>
      <c r="AV1017" s="85"/>
      <c r="AW1017" s="88"/>
      <c r="AX1017" s="84"/>
      <c r="AY1017" s="85"/>
      <c r="AZ1017" s="84"/>
      <c r="BA1017" s="85"/>
      <c r="BB1017" s="88"/>
      <c r="BC1017" s="85"/>
      <c r="BD1017" s="84"/>
      <c r="BE1017" s="88"/>
      <c r="BF1017" s="85"/>
      <c r="BG1017" s="85"/>
      <c r="BH1017" s="85"/>
      <c r="BI1017" s="85"/>
      <c r="BJ1017" s="85"/>
      <c r="BK1017" s="85"/>
      <c r="BL1017" s="85"/>
      <c r="BM1017" s="85"/>
      <c r="BN1017" s="85"/>
      <c r="BO1017" s="85"/>
      <c r="BP1017" s="85"/>
      <c r="BQ1017" s="85"/>
      <c r="BR1017" s="84"/>
      <c r="BS1017" s="85"/>
      <c r="BT1017" s="85"/>
      <c r="BU1017" s="198"/>
      <c r="BV1017" s="90"/>
      <c r="BW1017" s="198"/>
      <c r="BX1017" s="90"/>
      <c r="BY1017" s="198"/>
      <c r="BZ1017" s="90"/>
      <c r="CA1017" s="91"/>
    </row>
    <row r="1018" spans="1:1199" ht="50.1" customHeight="1" outlineLevel="2" x14ac:dyDescent="0.3">
      <c r="A1018" s="103" t="s">
        <v>848</v>
      </c>
      <c r="B1018" s="102" t="s">
        <v>854</v>
      </c>
      <c r="C1018" s="79" t="s">
        <v>55</v>
      </c>
      <c r="D1018" s="81">
        <f t="shared" si="231"/>
        <v>2514.4983999999999</v>
      </c>
      <c r="E1018" s="82">
        <f t="shared" si="225"/>
        <v>925.11514</v>
      </c>
      <c r="F1018" s="83">
        <f t="shared" si="226"/>
        <v>1589.3832600000001</v>
      </c>
      <c r="G1018" s="84"/>
      <c r="H1018" s="85"/>
      <c r="I1018" s="85"/>
      <c r="J1018" s="84">
        <f>31.86362+10.29071</f>
        <v>42.154330000000002</v>
      </c>
      <c r="K1018" s="85">
        <f>15.93183+5.14535</f>
        <v>21.077179999999998</v>
      </c>
      <c r="L1018" s="85"/>
      <c r="M1018" s="85"/>
      <c r="N1018" s="85"/>
      <c r="O1018" s="82"/>
      <c r="P1018" s="83"/>
      <c r="Q1018" s="83"/>
      <c r="R1018" s="83"/>
      <c r="S1018" s="82"/>
      <c r="T1018" s="83"/>
      <c r="U1018" s="83"/>
      <c r="V1018" s="84">
        <v>231.95</v>
      </c>
      <c r="W1018" s="85">
        <v>405</v>
      </c>
      <c r="X1018" s="87"/>
      <c r="Y1018" s="83">
        <v>321.36</v>
      </c>
      <c r="Z1018" s="84"/>
      <c r="AA1018" s="85"/>
      <c r="AB1018" s="84"/>
      <c r="AC1018" s="85"/>
      <c r="AD1018" s="89">
        <f t="shared" si="219"/>
        <v>252.40271999999999</v>
      </c>
      <c r="AE1018" s="83">
        <v>148.3083</v>
      </c>
      <c r="AF1018" s="123">
        <v>104.09442</v>
      </c>
      <c r="AG1018" s="85"/>
      <c r="AH1018" s="85"/>
      <c r="AI1018" s="85"/>
      <c r="AJ1018" s="84"/>
      <c r="AK1018" s="85"/>
      <c r="AL1018" s="84"/>
      <c r="AM1018" s="85"/>
      <c r="AN1018" s="84"/>
      <c r="AO1018" s="85"/>
      <c r="AP1018" s="84"/>
      <c r="AQ1018" s="83"/>
      <c r="AR1018" s="83"/>
      <c r="AS1018" s="83"/>
      <c r="AT1018" s="85"/>
      <c r="AU1018" s="85"/>
      <c r="AV1018" s="85"/>
      <c r="AW1018" s="85"/>
      <c r="AX1018" s="84"/>
      <c r="AY1018" s="85"/>
      <c r="AZ1018" s="84">
        <v>651.01080999999999</v>
      </c>
      <c r="BA1018" s="85">
        <v>589.54336000000001</v>
      </c>
      <c r="BB1018" s="85"/>
      <c r="BC1018" s="85"/>
      <c r="BD1018" s="84"/>
      <c r="BE1018" s="85"/>
      <c r="BF1018" s="85"/>
      <c r="BG1018" s="85"/>
      <c r="BH1018" s="85"/>
      <c r="BI1018" s="85"/>
      <c r="BJ1018" s="85"/>
      <c r="BK1018" s="85"/>
      <c r="BL1018" s="85"/>
      <c r="BM1018" s="85"/>
      <c r="BN1018" s="85"/>
      <c r="BO1018" s="85"/>
      <c r="BP1018" s="85"/>
      <c r="BQ1018" s="85"/>
      <c r="BR1018" s="84"/>
      <c r="BS1018" s="85"/>
      <c r="BT1018" s="85"/>
      <c r="BU1018" s="198"/>
      <c r="BV1018" s="90"/>
      <c r="BW1018" s="198"/>
      <c r="BX1018" s="90"/>
      <c r="BY1018" s="198"/>
      <c r="BZ1018" s="90"/>
      <c r="CA1018" s="91"/>
    </row>
    <row r="1019" spans="1:1199" ht="50.1" customHeight="1" outlineLevel="2" x14ac:dyDescent="0.3">
      <c r="A1019" s="103" t="s">
        <v>848</v>
      </c>
      <c r="B1019" s="102" t="s">
        <v>855</v>
      </c>
      <c r="C1019" s="79" t="s">
        <v>55</v>
      </c>
      <c r="D1019" s="81">
        <f t="shared" si="231"/>
        <v>1480.48045</v>
      </c>
      <c r="E1019" s="82">
        <f t="shared" si="225"/>
        <v>509.99318</v>
      </c>
      <c r="F1019" s="83">
        <f t="shared" si="226"/>
        <v>970.48727000000008</v>
      </c>
      <c r="G1019" s="84"/>
      <c r="H1019" s="85"/>
      <c r="I1019" s="85"/>
      <c r="J1019" s="84"/>
      <c r="K1019" s="85"/>
      <c r="L1019" s="85"/>
      <c r="M1019" s="85"/>
      <c r="N1019" s="85"/>
      <c r="O1019" s="82"/>
      <c r="P1019" s="83"/>
      <c r="Q1019" s="83"/>
      <c r="R1019" s="83"/>
      <c r="S1019" s="82"/>
      <c r="T1019" s="83"/>
      <c r="U1019" s="83"/>
      <c r="V1019" s="84">
        <v>74.224000000000004</v>
      </c>
      <c r="W1019" s="85">
        <v>129.6</v>
      </c>
      <c r="X1019" s="87"/>
      <c r="Y1019" s="83">
        <v>207.48</v>
      </c>
      <c r="Z1019" s="84"/>
      <c r="AA1019" s="85"/>
      <c r="AB1019" s="84"/>
      <c r="AC1019" s="85"/>
      <c r="AD1019" s="89">
        <f t="shared" si="219"/>
        <v>238.78288000000001</v>
      </c>
      <c r="AE1019" s="89">
        <v>148.3083</v>
      </c>
      <c r="AF1019" s="186">
        <v>90.474580000000003</v>
      </c>
      <c r="AG1019" s="85"/>
      <c r="AH1019" s="85"/>
      <c r="AI1019" s="85"/>
      <c r="AJ1019" s="84"/>
      <c r="AK1019" s="85"/>
      <c r="AL1019" s="84"/>
      <c r="AM1019" s="88"/>
      <c r="AN1019" s="84"/>
      <c r="AO1019" s="85"/>
      <c r="AP1019" s="84"/>
      <c r="AQ1019" s="83"/>
      <c r="AR1019" s="83"/>
      <c r="AS1019" s="83"/>
      <c r="AT1019" s="85"/>
      <c r="AU1019" s="85"/>
      <c r="AV1019" s="85"/>
      <c r="AW1019" s="88"/>
      <c r="AX1019" s="84"/>
      <c r="AY1019" s="85"/>
      <c r="AZ1019" s="84">
        <v>435.76918000000001</v>
      </c>
      <c r="BA1019" s="85">
        <v>394.62439000000001</v>
      </c>
      <c r="BB1019" s="88"/>
      <c r="BC1019" s="85"/>
      <c r="BD1019" s="84"/>
      <c r="BE1019" s="88"/>
      <c r="BF1019" s="85"/>
      <c r="BG1019" s="85"/>
      <c r="BH1019" s="85"/>
      <c r="BI1019" s="85"/>
      <c r="BJ1019" s="85"/>
      <c r="BK1019" s="85"/>
      <c r="BL1019" s="85"/>
      <c r="BM1019" s="85"/>
      <c r="BN1019" s="85"/>
      <c r="BO1019" s="85"/>
      <c r="BP1019" s="85"/>
      <c r="BQ1019" s="85"/>
      <c r="BR1019" s="84"/>
      <c r="BS1019" s="85"/>
      <c r="BT1019" s="85"/>
      <c r="BU1019" s="198"/>
      <c r="BV1019" s="90"/>
      <c r="BW1019" s="198"/>
      <c r="BX1019" s="90"/>
      <c r="BY1019" s="198"/>
      <c r="BZ1019" s="90"/>
      <c r="CA1019" s="91"/>
    </row>
    <row r="1020" spans="1:1199" ht="50.1" customHeight="1" outlineLevel="2" x14ac:dyDescent="0.3">
      <c r="A1020" s="103" t="s">
        <v>848</v>
      </c>
      <c r="B1020" s="102" t="s">
        <v>856</v>
      </c>
      <c r="C1020" s="79" t="s">
        <v>55</v>
      </c>
      <c r="D1020" s="81">
        <f t="shared" si="231"/>
        <v>365.69358999999997</v>
      </c>
      <c r="E1020" s="82">
        <f t="shared" si="225"/>
        <v>140.95222999999999</v>
      </c>
      <c r="F1020" s="83">
        <f t="shared" si="226"/>
        <v>224.74136000000001</v>
      </c>
      <c r="G1020" s="84"/>
      <c r="H1020" s="85"/>
      <c r="I1020" s="85"/>
      <c r="J1020" s="84"/>
      <c r="K1020" s="85"/>
      <c r="L1020" s="85"/>
      <c r="M1020" s="85"/>
      <c r="N1020" s="85"/>
      <c r="O1020" s="82"/>
      <c r="P1020" s="83"/>
      <c r="Q1020" s="83"/>
      <c r="R1020" s="83"/>
      <c r="S1020" s="82"/>
      <c r="T1020" s="83"/>
      <c r="U1020" s="83"/>
      <c r="V1020" s="84">
        <v>57.987499999999997</v>
      </c>
      <c r="W1020" s="85">
        <v>101.25</v>
      </c>
      <c r="X1020" s="87"/>
      <c r="Y1020" s="83">
        <v>48.36</v>
      </c>
      <c r="Z1020" s="84"/>
      <c r="AA1020" s="85"/>
      <c r="AB1020" s="84"/>
      <c r="AC1020" s="85"/>
      <c r="AD1020" s="89">
        <f t="shared" si="219"/>
        <v>0</v>
      </c>
      <c r="AE1020" s="89"/>
      <c r="AF1020" s="186"/>
      <c r="AG1020" s="85"/>
      <c r="AH1020" s="85"/>
      <c r="AI1020" s="85"/>
      <c r="AJ1020" s="84"/>
      <c r="AK1020" s="85"/>
      <c r="AL1020" s="84"/>
      <c r="AM1020" s="88"/>
      <c r="AN1020" s="84"/>
      <c r="AO1020" s="85"/>
      <c r="AP1020" s="84"/>
      <c r="AQ1020" s="83"/>
      <c r="AR1020" s="83"/>
      <c r="AS1020" s="83"/>
      <c r="AT1020" s="85"/>
      <c r="AU1020" s="85"/>
      <c r="AV1020" s="85"/>
      <c r="AW1020" s="88"/>
      <c r="AX1020" s="84"/>
      <c r="AY1020" s="85"/>
      <c r="AZ1020" s="84">
        <v>82.964730000000003</v>
      </c>
      <c r="BA1020" s="85">
        <v>75.131360000000001</v>
      </c>
      <c r="BB1020" s="88"/>
      <c r="BC1020" s="85"/>
      <c r="BD1020" s="84"/>
      <c r="BE1020" s="88"/>
      <c r="BF1020" s="85"/>
      <c r="BG1020" s="85"/>
      <c r="BH1020" s="85"/>
      <c r="BI1020" s="85"/>
      <c r="BJ1020" s="85"/>
      <c r="BK1020" s="85"/>
      <c r="BL1020" s="85"/>
      <c r="BM1020" s="85"/>
      <c r="BN1020" s="85"/>
      <c r="BO1020" s="85"/>
      <c r="BP1020" s="85"/>
      <c r="BQ1020" s="85"/>
      <c r="BR1020" s="84"/>
      <c r="BS1020" s="85"/>
      <c r="BT1020" s="85"/>
      <c r="BU1020" s="198"/>
      <c r="BV1020" s="90"/>
      <c r="BW1020" s="198"/>
      <c r="BX1020" s="90"/>
      <c r="BY1020" s="198"/>
      <c r="BZ1020" s="90"/>
      <c r="CA1020" s="91"/>
    </row>
    <row r="1021" spans="1:1199" ht="50.1" customHeight="1" outlineLevel="2" x14ac:dyDescent="0.3">
      <c r="A1021" s="103" t="s">
        <v>848</v>
      </c>
      <c r="B1021" s="102" t="s">
        <v>857</v>
      </c>
      <c r="C1021" s="79" t="s">
        <v>55</v>
      </c>
      <c r="D1021" s="81">
        <f t="shared" si="231"/>
        <v>54.14913</v>
      </c>
      <c r="E1021" s="82">
        <f t="shared" si="225"/>
        <v>28.416060000000002</v>
      </c>
      <c r="F1021" s="83">
        <f t="shared" si="226"/>
        <v>25.733070000000001</v>
      </c>
      <c r="G1021" s="84"/>
      <c r="H1021" s="85"/>
      <c r="I1021" s="85"/>
      <c r="J1021" s="84"/>
      <c r="K1021" s="85"/>
      <c r="L1021" s="85"/>
      <c r="M1021" s="85"/>
      <c r="N1021" s="85"/>
      <c r="O1021" s="82"/>
      <c r="P1021" s="83"/>
      <c r="Q1021" s="83"/>
      <c r="R1021" s="83"/>
      <c r="S1021" s="82"/>
      <c r="T1021" s="83"/>
      <c r="U1021" s="83"/>
      <c r="V1021" s="84"/>
      <c r="W1021" s="85"/>
      <c r="X1021" s="87"/>
      <c r="Y1021" s="83"/>
      <c r="Z1021" s="84"/>
      <c r="AA1021" s="85"/>
      <c r="AB1021" s="84"/>
      <c r="AC1021" s="85"/>
      <c r="AD1021" s="89">
        <f t="shared" si="219"/>
        <v>0</v>
      </c>
      <c r="AE1021" s="89"/>
      <c r="AF1021" s="186"/>
      <c r="AG1021" s="85"/>
      <c r="AH1021" s="85"/>
      <c r="AI1021" s="85"/>
      <c r="AJ1021" s="84"/>
      <c r="AK1021" s="85"/>
      <c r="AL1021" s="84"/>
      <c r="AM1021" s="88"/>
      <c r="AN1021" s="84"/>
      <c r="AO1021" s="85"/>
      <c r="AP1021" s="84"/>
      <c r="AQ1021" s="83"/>
      <c r="AR1021" s="83"/>
      <c r="AS1021" s="83"/>
      <c r="AT1021" s="85"/>
      <c r="AU1021" s="85"/>
      <c r="AV1021" s="85"/>
      <c r="AW1021" s="88"/>
      <c r="AX1021" s="84"/>
      <c r="AY1021" s="85"/>
      <c r="AZ1021" s="84">
        <v>28.416060000000002</v>
      </c>
      <c r="BA1021" s="85">
        <v>25.733070000000001</v>
      </c>
      <c r="BB1021" s="88"/>
      <c r="BC1021" s="85"/>
      <c r="BD1021" s="84"/>
      <c r="BE1021" s="88"/>
      <c r="BF1021" s="85"/>
      <c r="BG1021" s="85"/>
      <c r="BH1021" s="85"/>
      <c r="BI1021" s="85"/>
      <c r="BJ1021" s="85"/>
      <c r="BK1021" s="85"/>
      <c r="BL1021" s="85"/>
      <c r="BM1021" s="85"/>
      <c r="BN1021" s="85"/>
      <c r="BO1021" s="85"/>
      <c r="BP1021" s="85"/>
      <c r="BQ1021" s="85"/>
      <c r="BR1021" s="84"/>
      <c r="BS1021" s="85"/>
      <c r="BT1021" s="85"/>
      <c r="BU1021" s="198"/>
      <c r="BV1021" s="90"/>
      <c r="BW1021" s="198"/>
      <c r="BX1021" s="90"/>
      <c r="BY1021" s="198"/>
      <c r="BZ1021" s="90"/>
      <c r="CA1021" s="91"/>
    </row>
    <row r="1022" spans="1:1199" ht="50.1" customHeight="1" outlineLevel="2" x14ac:dyDescent="0.3">
      <c r="A1022" s="103" t="s">
        <v>848</v>
      </c>
      <c r="B1022" s="102" t="s">
        <v>1175</v>
      </c>
      <c r="C1022" s="79" t="s">
        <v>55</v>
      </c>
      <c r="D1022" s="81">
        <f t="shared" si="231"/>
        <v>2714.7599999999998</v>
      </c>
      <c r="E1022" s="82">
        <f t="shared" si="225"/>
        <v>2579.0219999999999</v>
      </c>
      <c r="F1022" s="83">
        <f t="shared" si="226"/>
        <v>135.738</v>
      </c>
      <c r="G1022" s="84"/>
      <c r="H1022" s="85"/>
      <c r="I1022" s="85"/>
      <c r="J1022" s="84"/>
      <c r="K1022" s="85"/>
      <c r="L1022" s="85"/>
      <c r="M1022" s="85"/>
      <c r="N1022" s="85"/>
      <c r="O1022" s="82"/>
      <c r="P1022" s="83"/>
      <c r="Q1022" s="83"/>
      <c r="R1022" s="83"/>
      <c r="S1022" s="82"/>
      <c r="T1022" s="83"/>
      <c r="U1022" s="83"/>
      <c r="V1022" s="84"/>
      <c r="W1022" s="85"/>
      <c r="X1022" s="87"/>
      <c r="Y1022" s="83"/>
      <c r="Z1022" s="84"/>
      <c r="AA1022" s="85"/>
      <c r="AB1022" s="84"/>
      <c r="AC1022" s="85"/>
      <c r="AD1022" s="89"/>
      <c r="AE1022" s="89"/>
      <c r="AF1022" s="186"/>
      <c r="AG1022" s="85"/>
      <c r="AH1022" s="85"/>
      <c r="AI1022" s="85"/>
      <c r="AJ1022" s="84"/>
      <c r="AK1022" s="85"/>
      <c r="AL1022" s="84"/>
      <c r="AM1022" s="88"/>
      <c r="AN1022" s="84"/>
      <c r="AO1022" s="85"/>
      <c r="AP1022" s="84"/>
      <c r="AQ1022" s="83"/>
      <c r="AR1022" s="83"/>
      <c r="AS1022" s="83"/>
      <c r="AT1022" s="85"/>
      <c r="AU1022" s="85"/>
      <c r="AV1022" s="85"/>
      <c r="AW1022" s="88"/>
      <c r="AX1022" s="84"/>
      <c r="AY1022" s="85"/>
      <c r="AZ1022" s="84"/>
      <c r="BA1022" s="85"/>
      <c r="BB1022" s="88"/>
      <c r="BC1022" s="85"/>
      <c r="BD1022" s="84"/>
      <c r="BE1022" s="88"/>
      <c r="BF1022" s="85"/>
      <c r="BG1022" s="85"/>
      <c r="BH1022" s="85"/>
      <c r="BI1022" s="85"/>
      <c r="BJ1022" s="85"/>
      <c r="BK1022" s="85"/>
      <c r="BL1022" s="85"/>
      <c r="BM1022" s="85"/>
      <c r="BN1022" s="85"/>
      <c r="BO1022" s="85"/>
      <c r="BP1022" s="85"/>
      <c r="BQ1022" s="85"/>
      <c r="BR1022" s="84"/>
      <c r="BS1022" s="85"/>
      <c r="BT1022" s="85"/>
      <c r="BU1022" s="198"/>
      <c r="BV1022" s="90">
        <v>2579.0219999999999</v>
      </c>
      <c r="BW1022" s="198">
        <v>135.738</v>
      </c>
      <c r="BX1022" s="90"/>
      <c r="BY1022" s="198"/>
      <c r="BZ1022" s="90"/>
      <c r="CA1022" s="91"/>
    </row>
    <row r="1023" spans="1:1199" ht="50.1" customHeight="1" outlineLevel="2" x14ac:dyDescent="0.3">
      <c r="A1023" s="103" t="s">
        <v>848</v>
      </c>
      <c r="B1023" s="102" t="s">
        <v>1211</v>
      </c>
      <c r="C1023" s="79" t="s">
        <v>55</v>
      </c>
      <c r="D1023" s="81">
        <f t="shared" si="231"/>
        <v>3000</v>
      </c>
      <c r="E1023" s="82">
        <f t="shared" si="225"/>
        <v>0</v>
      </c>
      <c r="F1023" s="83">
        <f t="shared" si="226"/>
        <v>3000</v>
      </c>
      <c r="G1023" s="84"/>
      <c r="H1023" s="85"/>
      <c r="I1023" s="85"/>
      <c r="J1023" s="84"/>
      <c r="K1023" s="85"/>
      <c r="L1023" s="85"/>
      <c r="M1023" s="85"/>
      <c r="N1023" s="85"/>
      <c r="O1023" s="82"/>
      <c r="P1023" s="83"/>
      <c r="Q1023" s="83"/>
      <c r="R1023" s="83"/>
      <c r="S1023" s="82"/>
      <c r="T1023" s="83"/>
      <c r="U1023" s="83"/>
      <c r="V1023" s="84"/>
      <c r="W1023" s="85"/>
      <c r="X1023" s="87"/>
      <c r="Y1023" s="83"/>
      <c r="Z1023" s="84"/>
      <c r="AA1023" s="85"/>
      <c r="AB1023" s="84"/>
      <c r="AC1023" s="85"/>
      <c r="AD1023" s="89"/>
      <c r="AE1023" s="89"/>
      <c r="AF1023" s="186"/>
      <c r="AG1023" s="85"/>
      <c r="AH1023" s="85"/>
      <c r="AI1023" s="85"/>
      <c r="AJ1023" s="84"/>
      <c r="AK1023" s="85"/>
      <c r="AL1023" s="84"/>
      <c r="AM1023" s="88"/>
      <c r="AN1023" s="84"/>
      <c r="AO1023" s="85"/>
      <c r="AP1023" s="84"/>
      <c r="AQ1023" s="83"/>
      <c r="AR1023" s="83"/>
      <c r="AS1023" s="83"/>
      <c r="AT1023" s="85"/>
      <c r="AU1023" s="85"/>
      <c r="AV1023" s="85"/>
      <c r="AW1023" s="88"/>
      <c r="AX1023" s="84"/>
      <c r="AY1023" s="85"/>
      <c r="AZ1023" s="84"/>
      <c r="BA1023" s="85"/>
      <c r="BB1023" s="88"/>
      <c r="BC1023" s="85"/>
      <c r="BD1023" s="84"/>
      <c r="BE1023" s="88"/>
      <c r="BF1023" s="85"/>
      <c r="BG1023" s="85"/>
      <c r="BH1023" s="85"/>
      <c r="BI1023" s="85"/>
      <c r="BJ1023" s="85"/>
      <c r="BK1023" s="85"/>
      <c r="BL1023" s="85"/>
      <c r="BM1023" s="85"/>
      <c r="BN1023" s="85"/>
      <c r="BO1023" s="85"/>
      <c r="BP1023" s="85"/>
      <c r="BQ1023" s="85"/>
      <c r="BR1023" s="84"/>
      <c r="BS1023" s="85"/>
      <c r="BT1023" s="85"/>
      <c r="BU1023" s="198"/>
      <c r="BV1023" s="90"/>
      <c r="BW1023" s="198">
        <v>3000</v>
      </c>
      <c r="BX1023" s="90"/>
      <c r="BY1023" s="198"/>
      <c r="BZ1023" s="90"/>
      <c r="CA1023" s="91"/>
    </row>
    <row r="1024" spans="1:1199" s="101" customFormat="1" ht="50.1" customHeight="1" outlineLevel="1" x14ac:dyDescent="0.3">
      <c r="A1024" s="132" t="s">
        <v>858</v>
      </c>
      <c r="B1024" s="133"/>
      <c r="C1024" s="134" t="s">
        <v>94</v>
      </c>
      <c r="D1024" s="81">
        <f t="shared" ref="D1024:AI1024" si="232">SUBTOTAL(9,D1013:D1023)</f>
        <v>13294.308599999998</v>
      </c>
      <c r="E1024" s="81">
        <f t="shared" si="232"/>
        <v>5477.2263700000003</v>
      </c>
      <c r="F1024" s="81">
        <f t="shared" si="232"/>
        <v>7817.0822300000009</v>
      </c>
      <c r="G1024" s="81">
        <f t="shared" si="232"/>
        <v>0</v>
      </c>
      <c r="H1024" s="81">
        <f t="shared" si="232"/>
        <v>0</v>
      </c>
      <c r="I1024" s="81">
        <f t="shared" si="232"/>
        <v>0</v>
      </c>
      <c r="J1024" s="81">
        <f t="shared" si="232"/>
        <v>144.45158000000001</v>
      </c>
      <c r="K1024" s="81">
        <f t="shared" si="232"/>
        <v>72.22578</v>
      </c>
      <c r="L1024" s="81">
        <f t="shared" si="232"/>
        <v>12.828279999999999</v>
      </c>
      <c r="M1024" s="81">
        <f t="shared" si="232"/>
        <v>0</v>
      </c>
      <c r="N1024" s="81">
        <f t="shared" si="232"/>
        <v>0</v>
      </c>
      <c r="O1024" s="81">
        <f t="shared" si="232"/>
        <v>154.98124999999999</v>
      </c>
      <c r="P1024" s="81">
        <f t="shared" si="232"/>
        <v>26.838460000000001</v>
      </c>
      <c r="Q1024" s="81">
        <f t="shared" si="232"/>
        <v>0</v>
      </c>
      <c r="R1024" s="81">
        <f t="shared" si="232"/>
        <v>0</v>
      </c>
      <c r="S1024" s="81">
        <f t="shared" si="232"/>
        <v>0</v>
      </c>
      <c r="T1024" s="81">
        <f t="shared" si="232"/>
        <v>0</v>
      </c>
      <c r="U1024" s="81">
        <f t="shared" si="232"/>
        <v>0</v>
      </c>
      <c r="V1024" s="81">
        <f t="shared" si="232"/>
        <v>387.35649999999998</v>
      </c>
      <c r="W1024" s="81">
        <f t="shared" si="232"/>
        <v>676.35</v>
      </c>
      <c r="X1024" s="81">
        <f t="shared" si="232"/>
        <v>0</v>
      </c>
      <c r="Y1024" s="81">
        <f t="shared" si="232"/>
        <v>1003.08</v>
      </c>
      <c r="Z1024" s="81">
        <f t="shared" si="232"/>
        <v>0</v>
      </c>
      <c r="AA1024" s="81">
        <f t="shared" si="232"/>
        <v>0</v>
      </c>
      <c r="AB1024" s="81">
        <f t="shared" si="232"/>
        <v>0</v>
      </c>
      <c r="AC1024" s="81">
        <f t="shared" si="232"/>
        <v>0</v>
      </c>
      <c r="AD1024" s="81">
        <f t="shared" si="232"/>
        <v>615.68317000000002</v>
      </c>
      <c r="AE1024" s="81">
        <f t="shared" si="232"/>
        <v>337.4495</v>
      </c>
      <c r="AF1024" s="192">
        <f t="shared" si="232"/>
        <v>278.23367000000002</v>
      </c>
      <c r="AG1024" s="81">
        <f t="shared" si="232"/>
        <v>0</v>
      </c>
      <c r="AH1024" s="81">
        <f t="shared" si="232"/>
        <v>0</v>
      </c>
      <c r="AI1024" s="81">
        <f t="shared" si="232"/>
        <v>0</v>
      </c>
      <c r="AJ1024" s="81">
        <f t="shared" ref="AJ1024:BO1024" si="233">SUBTOTAL(9,AJ1013:AJ1023)</f>
        <v>0</v>
      </c>
      <c r="AK1024" s="81">
        <f t="shared" si="233"/>
        <v>0</v>
      </c>
      <c r="AL1024" s="81">
        <f t="shared" si="233"/>
        <v>0</v>
      </c>
      <c r="AM1024" s="81">
        <f t="shared" si="233"/>
        <v>0</v>
      </c>
      <c r="AN1024" s="81">
        <f t="shared" si="233"/>
        <v>0</v>
      </c>
      <c r="AO1024" s="81">
        <f t="shared" si="233"/>
        <v>174.72</v>
      </c>
      <c r="AP1024" s="81">
        <f t="shared" si="233"/>
        <v>52.541699999999999</v>
      </c>
      <c r="AQ1024" s="81">
        <f t="shared" si="233"/>
        <v>144.5823</v>
      </c>
      <c r="AR1024" s="81">
        <f t="shared" si="233"/>
        <v>0</v>
      </c>
      <c r="AS1024" s="81">
        <f t="shared" si="233"/>
        <v>0</v>
      </c>
      <c r="AT1024" s="81">
        <f t="shared" si="233"/>
        <v>0</v>
      </c>
      <c r="AU1024" s="81">
        <f t="shared" si="233"/>
        <v>0</v>
      </c>
      <c r="AV1024" s="81">
        <f t="shared" si="233"/>
        <v>0</v>
      </c>
      <c r="AW1024" s="81">
        <f t="shared" si="233"/>
        <v>0</v>
      </c>
      <c r="AX1024" s="81">
        <f t="shared" si="233"/>
        <v>0</v>
      </c>
      <c r="AY1024" s="81">
        <f t="shared" si="233"/>
        <v>0</v>
      </c>
      <c r="AZ1024" s="81">
        <f t="shared" si="233"/>
        <v>2158.8733400000001</v>
      </c>
      <c r="BA1024" s="81">
        <f t="shared" si="233"/>
        <v>1955.0362399999999</v>
      </c>
      <c r="BB1024" s="81">
        <f t="shared" si="233"/>
        <v>0</v>
      </c>
      <c r="BC1024" s="81">
        <f t="shared" si="233"/>
        <v>0</v>
      </c>
      <c r="BD1024" s="81">
        <f t="shared" si="233"/>
        <v>0</v>
      </c>
      <c r="BE1024" s="81">
        <f t="shared" si="233"/>
        <v>0</v>
      </c>
      <c r="BF1024" s="81">
        <f t="shared" si="233"/>
        <v>0</v>
      </c>
      <c r="BG1024" s="81">
        <f t="shared" si="233"/>
        <v>0</v>
      </c>
      <c r="BH1024" s="81">
        <f t="shared" si="233"/>
        <v>0</v>
      </c>
      <c r="BI1024" s="81">
        <f t="shared" si="233"/>
        <v>0</v>
      </c>
      <c r="BJ1024" s="81">
        <f t="shared" si="233"/>
        <v>0</v>
      </c>
      <c r="BK1024" s="81">
        <f t="shared" si="233"/>
        <v>0</v>
      </c>
      <c r="BL1024" s="81">
        <f t="shared" si="233"/>
        <v>0</v>
      </c>
      <c r="BM1024" s="81">
        <f t="shared" si="233"/>
        <v>0</v>
      </c>
      <c r="BN1024" s="81">
        <f t="shared" si="233"/>
        <v>0</v>
      </c>
      <c r="BO1024" s="81">
        <f t="shared" si="233"/>
        <v>0</v>
      </c>
      <c r="BP1024" s="81">
        <f t="shared" ref="BP1024:CU1024" si="234">SUBTOTAL(9,BP1013:BP1023)</f>
        <v>0</v>
      </c>
      <c r="BQ1024" s="81">
        <f t="shared" si="234"/>
        <v>0</v>
      </c>
      <c r="BR1024" s="81">
        <f t="shared" si="234"/>
        <v>0</v>
      </c>
      <c r="BS1024" s="81">
        <f t="shared" si="234"/>
        <v>0</v>
      </c>
      <c r="BT1024" s="81">
        <f t="shared" si="234"/>
        <v>0</v>
      </c>
      <c r="BU1024" s="81">
        <f t="shared" si="234"/>
        <v>0</v>
      </c>
      <c r="BV1024" s="81">
        <f t="shared" si="234"/>
        <v>2579.0219999999999</v>
      </c>
      <c r="BW1024" s="81">
        <f t="shared" si="234"/>
        <v>3135.7379999999998</v>
      </c>
      <c r="BX1024" s="81">
        <f t="shared" si="234"/>
        <v>0</v>
      </c>
      <c r="BY1024" s="81">
        <f t="shared" si="234"/>
        <v>0</v>
      </c>
      <c r="BZ1024" s="81">
        <f t="shared" si="234"/>
        <v>0</v>
      </c>
      <c r="CA1024" s="81">
        <f t="shared" si="234"/>
        <v>0</v>
      </c>
      <c r="CB1024" s="176"/>
      <c r="CC1024" s="176"/>
      <c r="CD1024" s="176"/>
      <c r="CE1024" s="176"/>
      <c r="CF1024" s="176"/>
      <c r="CG1024" s="176"/>
      <c r="CH1024" s="176"/>
      <c r="CI1024" s="176"/>
      <c r="CJ1024" s="176"/>
      <c r="CK1024" s="176"/>
      <c r="CL1024" s="176"/>
      <c r="CM1024" s="176"/>
      <c r="CN1024" s="176"/>
      <c r="CO1024" s="176"/>
      <c r="CP1024" s="176"/>
      <c r="CQ1024" s="176"/>
      <c r="CR1024" s="176"/>
      <c r="CS1024" s="176"/>
      <c r="CT1024" s="176"/>
      <c r="CU1024" s="176"/>
      <c r="CV1024" s="176"/>
      <c r="CW1024" s="176"/>
      <c r="CX1024" s="176"/>
      <c r="CY1024" s="176"/>
      <c r="CZ1024" s="176"/>
      <c r="DA1024" s="176"/>
      <c r="DB1024" s="176"/>
      <c r="DC1024" s="176"/>
      <c r="DD1024" s="176"/>
      <c r="DE1024" s="176"/>
      <c r="DF1024" s="176"/>
      <c r="DG1024" s="176"/>
      <c r="DH1024" s="176"/>
      <c r="DI1024" s="176"/>
      <c r="DJ1024" s="176"/>
      <c r="DK1024" s="176"/>
      <c r="DL1024" s="176"/>
      <c r="DM1024" s="176"/>
      <c r="DN1024" s="176"/>
      <c r="DO1024" s="176"/>
      <c r="DP1024" s="176"/>
      <c r="DQ1024" s="176"/>
      <c r="DR1024" s="176"/>
      <c r="DS1024" s="176"/>
      <c r="DT1024" s="176"/>
      <c r="DU1024" s="176"/>
      <c r="DV1024" s="176"/>
      <c r="DW1024" s="176"/>
      <c r="DX1024" s="176"/>
      <c r="DY1024" s="176"/>
      <c r="DZ1024" s="176"/>
      <c r="EA1024" s="176"/>
      <c r="EB1024" s="176"/>
      <c r="EC1024" s="176"/>
      <c r="ED1024" s="176"/>
      <c r="EE1024" s="176"/>
      <c r="EF1024" s="176"/>
      <c r="EG1024" s="176"/>
      <c r="EH1024" s="176"/>
      <c r="EI1024" s="176"/>
      <c r="EJ1024" s="176"/>
      <c r="EK1024" s="176"/>
      <c r="EL1024" s="176"/>
      <c r="EM1024" s="176"/>
      <c r="EN1024" s="176"/>
      <c r="EO1024" s="176"/>
      <c r="EP1024" s="176"/>
      <c r="EQ1024" s="176"/>
      <c r="ER1024" s="176"/>
      <c r="ES1024" s="176"/>
      <c r="ET1024" s="176"/>
      <c r="EU1024" s="176"/>
      <c r="EV1024" s="176"/>
      <c r="EW1024" s="176"/>
      <c r="EX1024" s="176"/>
      <c r="EY1024" s="176"/>
      <c r="EZ1024" s="176"/>
      <c r="FA1024" s="176"/>
      <c r="FB1024" s="176"/>
      <c r="FC1024" s="176"/>
      <c r="FD1024" s="176"/>
      <c r="FE1024" s="176"/>
      <c r="FF1024" s="176"/>
      <c r="FG1024" s="176"/>
      <c r="FH1024" s="176"/>
      <c r="FI1024" s="176"/>
      <c r="FJ1024" s="176"/>
      <c r="FK1024" s="176"/>
      <c r="FL1024" s="176"/>
      <c r="FM1024" s="176"/>
      <c r="FN1024" s="176"/>
      <c r="FO1024" s="176"/>
      <c r="FP1024" s="176"/>
      <c r="FQ1024" s="176"/>
      <c r="FR1024" s="176"/>
      <c r="FS1024" s="176"/>
      <c r="FT1024" s="176"/>
      <c r="FU1024" s="176"/>
      <c r="FV1024" s="176"/>
      <c r="FW1024" s="176"/>
      <c r="FX1024" s="176"/>
      <c r="FY1024" s="176"/>
      <c r="FZ1024" s="176"/>
      <c r="GA1024" s="176"/>
      <c r="GB1024" s="176"/>
      <c r="GC1024" s="176"/>
      <c r="GD1024" s="176"/>
      <c r="GE1024" s="176"/>
      <c r="GF1024" s="176"/>
      <c r="GG1024" s="176"/>
      <c r="GH1024" s="176"/>
      <c r="GI1024" s="176"/>
      <c r="GJ1024" s="176"/>
      <c r="GK1024" s="176"/>
      <c r="GL1024" s="176"/>
      <c r="GM1024" s="176"/>
      <c r="GN1024" s="176"/>
      <c r="GO1024" s="176"/>
      <c r="GP1024" s="176"/>
      <c r="GQ1024" s="176"/>
      <c r="GR1024" s="176"/>
      <c r="GS1024" s="176"/>
      <c r="GT1024" s="176"/>
      <c r="GU1024" s="176"/>
      <c r="GV1024" s="176"/>
      <c r="GW1024" s="176"/>
      <c r="GX1024" s="176"/>
      <c r="GY1024" s="176"/>
      <c r="GZ1024" s="176"/>
      <c r="HA1024" s="176"/>
      <c r="HB1024" s="176"/>
      <c r="HC1024" s="176"/>
      <c r="HD1024" s="176"/>
      <c r="HE1024" s="176"/>
      <c r="HF1024" s="176"/>
      <c r="HG1024" s="176"/>
      <c r="HH1024" s="176"/>
      <c r="HI1024" s="176"/>
      <c r="HJ1024" s="176"/>
      <c r="HK1024" s="176"/>
      <c r="HL1024" s="176"/>
      <c r="HM1024" s="176"/>
      <c r="HN1024" s="176"/>
      <c r="HO1024" s="176"/>
      <c r="HP1024" s="176"/>
      <c r="HQ1024" s="176"/>
      <c r="HR1024" s="176"/>
      <c r="HS1024" s="176"/>
      <c r="HT1024" s="176"/>
      <c r="HU1024" s="176"/>
      <c r="HV1024" s="176"/>
      <c r="HW1024" s="176"/>
      <c r="HX1024" s="176"/>
      <c r="HY1024" s="176"/>
      <c r="HZ1024" s="176"/>
      <c r="IA1024" s="176"/>
      <c r="IB1024" s="176"/>
      <c r="IC1024" s="176"/>
      <c r="ID1024" s="176"/>
      <c r="IE1024" s="176"/>
      <c r="IF1024" s="176"/>
      <c r="IG1024" s="176"/>
      <c r="IH1024" s="176"/>
      <c r="II1024" s="176"/>
      <c r="IJ1024" s="176"/>
      <c r="IK1024" s="176"/>
      <c r="IL1024" s="176"/>
      <c r="IM1024" s="176"/>
      <c r="IN1024" s="176"/>
      <c r="IO1024" s="176"/>
      <c r="IP1024" s="176"/>
      <c r="IQ1024" s="176"/>
      <c r="IR1024" s="176"/>
      <c r="IS1024" s="176"/>
      <c r="IT1024" s="176"/>
      <c r="IU1024" s="176"/>
      <c r="IV1024" s="176"/>
      <c r="IW1024" s="176"/>
      <c r="IX1024" s="176"/>
      <c r="IY1024" s="176"/>
      <c r="IZ1024" s="176"/>
      <c r="JA1024" s="176"/>
      <c r="JB1024" s="176"/>
      <c r="JC1024" s="176"/>
      <c r="JD1024" s="176"/>
      <c r="JE1024" s="176"/>
      <c r="JF1024" s="176"/>
      <c r="JG1024" s="176"/>
      <c r="JH1024" s="176"/>
      <c r="JI1024" s="176"/>
      <c r="JJ1024" s="176"/>
      <c r="JK1024" s="176"/>
      <c r="JL1024" s="176"/>
      <c r="JM1024" s="176"/>
      <c r="JN1024" s="176"/>
      <c r="JO1024" s="176"/>
      <c r="JP1024" s="176"/>
      <c r="JQ1024" s="176"/>
      <c r="JR1024" s="176"/>
      <c r="JS1024" s="176"/>
      <c r="JT1024" s="176"/>
      <c r="JU1024" s="176"/>
      <c r="JV1024" s="176"/>
      <c r="JW1024" s="131"/>
      <c r="JX1024" s="131"/>
      <c r="JY1024" s="131"/>
      <c r="JZ1024" s="131"/>
      <c r="KA1024" s="131"/>
      <c r="KB1024" s="131"/>
      <c r="KC1024" s="131"/>
      <c r="KD1024" s="131"/>
      <c r="KE1024" s="131"/>
      <c r="KF1024" s="131"/>
      <c r="KG1024" s="131"/>
      <c r="KH1024" s="131"/>
      <c r="KI1024" s="131"/>
      <c r="KJ1024" s="131"/>
      <c r="KK1024" s="131"/>
      <c r="KL1024" s="131"/>
      <c r="KM1024" s="131"/>
      <c r="KN1024" s="131"/>
      <c r="KO1024" s="131"/>
      <c r="KP1024" s="131"/>
      <c r="KQ1024" s="131"/>
      <c r="KR1024" s="131"/>
      <c r="KS1024" s="131"/>
      <c r="KT1024" s="131"/>
      <c r="KU1024" s="131"/>
      <c r="KV1024" s="131"/>
      <c r="KW1024" s="131"/>
      <c r="KX1024" s="131"/>
      <c r="KY1024" s="131"/>
      <c r="KZ1024" s="131"/>
      <c r="LA1024" s="131"/>
      <c r="LB1024" s="131"/>
      <c r="LC1024" s="131"/>
      <c r="LD1024" s="131"/>
      <c r="LE1024" s="131"/>
      <c r="LF1024" s="131"/>
      <c r="LG1024" s="131"/>
      <c r="LH1024" s="131"/>
      <c r="LI1024" s="131"/>
      <c r="LJ1024" s="131"/>
      <c r="LK1024" s="131"/>
      <c r="LL1024" s="131"/>
      <c r="LM1024" s="131"/>
      <c r="LN1024" s="131"/>
      <c r="LO1024" s="131"/>
      <c r="LP1024" s="131"/>
      <c r="LQ1024" s="131"/>
      <c r="LR1024" s="131"/>
      <c r="LS1024" s="131"/>
      <c r="LT1024" s="131"/>
      <c r="LU1024" s="131"/>
      <c r="LV1024" s="131"/>
      <c r="LW1024" s="131"/>
      <c r="LX1024" s="131"/>
      <c r="LY1024" s="131"/>
      <c r="LZ1024" s="131"/>
      <c r="MA1024" s="131"/>
      <c r="MB1024" s="131"/>
      <c r="MC1024" s="131"/>
      <c r="MD1024" s="131"/>
      <c r="ME1024" s="131"/>
      <c r="MF1024" s="131"/>
      <c r="MG1024" s="131"/>
      <c r="MH1024" s="131"/>
      <c r="MI1024" s="131"/>
      <c r="MJ1024" s="131"/>
      <c r="MK1024" s="131"/>
      <c r="ML1024" s="131"/>
      <c r="MM1024" s="131"/>
      <c r="MN1024" s="131"/>
      <c r="MO1024" s="131"/>
      <c r="MP1024" s="131"/>
      <c r="MQ1024" s="131"/>
      <c r="MR1024" s="131"/>
      <c r="MS1024" s="131"/>
      <c r="MT1024" s="131"/>
      <c r="MU1024" s="131"/>
      <c r="MV1024" s="131"/>
      <c r="MW1024" s="131"/>
      <c r="MX1024" s="131"/>
      <c r="MY1024" s="131"/>
      <c r="MZ1024" s="131"/>
      <c r="NA1024" s="131"/>
      <c r="NB1024" s="131"/>
      <c r="NC1024" s="131"/>
      <c r="ND1024" s="131"/>
      <c r="NE1024" s="131"/>
      <c r="NF1024" s="131"/>
      <c r="NG1024" s="131"/>
      <c r="NH1024" s="131"/>
      <c r="NI1024" s="131"/>
      <c r="NJ1024" s="131"/>
      <c r="NK1024" s="131"/>
      <c r="NL1024" s="131"/>
      <c r="NM1024" s="131"/>
      <c r="NN1024" s="131"/>
      <c r="NO1024" s="131"/>
      <c r="NP1024" s="131"/>
      <c r="NQ1024" s="131"/>
      <c r="NR1024" s="131"/>
      <c r="NS1024" s="131"/>
      <c r="NT1024" s="131"/>
      <c r="NU1024" s="131"/>
      <c r="NV1024" s="131"/>
      <c r="NW1024" s="131"/>
      <c r="NX1024" s="131"/>
      <c r="NY1024" s="131"/>
      <c r="NZ1024" s="131"/>
      <c r="OA1024" s="131"/>
      <c r="OB1024" s="131"/>
      <c r="OC1024" s="131"/>
      <c r="OD1024" s="131"/>
      <c r="OE1024" s="131"/>
      <c r="OF1024" s="131"/>
      <c r="OG1024" s="131"/>
      <c r="OH1024" s="131"/>
      <c r="OI1024" s="131"/>
      <c r="OJ1024" s="131"/>
      <c r="OK1024" s="131"/>
      <c r="OL1024" s="131"/>
      <c r="OM1024" s="131"/>
      <c r="ON1024" s="131"/>
      <c r="OO1024" s="131"/>
      <c r="OP1024" s="131"/>
      <c r="OQ1024" s="131"/>
      <c r="OR1024" s="131"/>
      <c r="OS1024" s="131"/>
      <c r="OT1024" s="131"/>
      <c r="OU1024" s="131"/>
      <c r="OV1024" s="131"/>
      <c r="OW1024" s="131"/>
      <c r="OX1024" s="131"/>
      <c r="OY1024" s="131"/>
      <c r="OZ1024" s="131"/>
      <c r="PA1024" s="131"/>
      <c r="PB1024" s="131"/>
      <c r="PC1024" s="131"/>
      <c r="PD1024" s="131"/>
      <c r="PE1024" s="131"/>
      <c r="PF1024" s="131"/>
      <c r="PG1024" s="131"/>
      <c r="PH1024" s="131"/>
      <c r="PI1024" s="131"/>
      <c r="PJ1024" s="131"/>
      <c r="PK1024" s="131"/>
      <c r="PL1024" s="131"/>
      <c r="PM1024" s="131"/>
      <c r="PN1024" s="131"/>
      <c r="PO1024" s="131"/>
      <c r="PP1024" s="131"/>
      <c r="PQ1024" s="131"/>
      <c r="PR1024" s="131"/>
      <c r="PS1024" s="131"/>
      <c r="PT1024" s="131"/>
      <c r="PU1024" s="131"/>
      <c r="PV1024" s="131"/>
      <c r="PW1024" s="131"/>
      <c r="PX1024" s="131"/>
      <c r="PY1024" s="131"/>
      <c r="PZ1024" s="131"/>
      <c r="QA1024" s="131"/>
      <c r="QB1024" s="131"/>
      <c r="QC1024" s="131"/>
      <c r="QD1024" s="131"/>
      <c r="QE1024" s="131"/>
      <c r="QF1024" s="131"/>
      <c r="QG1024" s="131"/>
      <c r="QH1024" s="131"/>
      <c r="QI1024" s="131"/>
      <c r="QJ1024" s="131"/>
      <c r="QK1024" s="131"/>
      <c r="QL1024" s="131"/>
      <c r="QM1024" s="131"/>
      <c r="QN1024" s="131"/>
      <c r="QO1024" s="131"/>
      <c r="QP1024" s="131"/>
      <c r="QQ1024" s="131"/>
      <c r="QR1024" s="131"/>
      <c r="QS1024" s="131"/>
      <c r="QT1024" s="131"/>
      <c r="QU1024" s="131"/>
      <c r="QV1024" s="131"/>
      <c r="QW1024" s="131"/>
      <c r="QX1024" s="131"/>
      <c r="QY1024" s="131"/>
      <c r="QZ1024" s="131"/>
      <c r="RA1024" s="131"/>
      <c r="RB1024" s="131"/>
      <c r="RC1024" s="131"/>
      <c r="RD1024" s="131"/>
      <c r="RE1024" s="131"/>
      <c r="RF1024" s="131"/>
      <c r="RG1024" s="131"/>
      <c r="RH1024" s="131"/>
      <c r="RI1024" s="131"/>
      <c r="RJ1024" s="131"/>
      <c r="RK1024" s="131"/>
      <c r="RL1024" s="131"/>
      <c r="RM1024" s="131"/>
      <c r="RN1024" s="131"/>
      <c r="RO1024" s="131"/>
      <c r="RP1024" s="131"/>
      <c r="RQ1024" s="131"/>
      <c r="RR1024" s="131"/>
      <c r="RS1024" s="131"/>
      <c r="RT1024" s="131"/>
      <c r="RU1024" s="131"/>
      <c r="RV1024" s="131"/>
      <c r="RW1024" s="131"/>
      <c r="RX1024" s="131"/>
      <c r="RY1024" s="131"/>
      <c r="RZ1024" s="131"/>
      <c r="SA1024" s="131"/>
      <c r="SB1024" s="131"/>
      <c r="SC1024" s="131"/>
      <c r="SD1024" s="131"/>
      <c r="SE1024" s="131"/>
      <c r="SF1024" s="131"/>
      <c r="SG1024" s="131"/>
      <c r="SH1024" s="131"/>
      <c r="SI1024" s="131"/>
      <c r="SJ1024" s="131"/>
      <c r="SK1024" s="131"/>
      <c r="SL1024" s="131"/>
      <c r="SM1024" s="131"/>
      <c r="SN1024" s="131"/>
      <c r="SO1024" s="131"/>
      <c r="SP1024" s="131"/>
      <c r="SQ1024" s="131"/>
      <c r="SR1024" s="131"/>
      <c r="SS1024" s="131"/>
      <c r="ST1024" s="131"/>
      <c r="SU1024" s="131"/>
      <c r="SV1024" s="131"/>
      <c r="SW1024" s="131"/>
      <c r="SX1024" s="131"/>
      <c r="SY1024" s="131"/>
      <c r="SZ1024" s="131"/>
      <c r="TA1024" s="131"/>
      <c r="TB1024" s="131"/>
      <c r="TC1024" s="131"/>
      <c r="TD1024" s="131"/>
      <c r="TE1024" s="131"/>
      <c r="TF1024" s="131"/>
      <c r="TG1024" s="131"/>
      <c r="TH1024" s="131"/>
      <c r="TI1024" s="131"/>
      <c r="TJ1024" s="131"/>
      <c r="TK1024" s="131"/>
      <c r="TL1024" s="131"/>
      <c r="TM1024" s="131"/>
      <c r="TN1024" s="131"/>
      <c r="TO1024" s="131"/>
      <c r="TP1024" s="131"/>
      <c r="TQ1024" s="131"/>
      <c r="TR1024" s="131"/>
      <c r="TS1024" s="131"/>
      <c r="TT1024" s="131"/>
      <c r="TU1024" s="131"/>
      <c r="TV1024" s="131"/>
      <c r="TW1024" s="131"/>
      <c r="TX1024" s="131"/>
      <c r="TY1024" s="131"/>
      <c r="TZ1024" s="131"/>
      <c r="UA1024" s="131"/>
      <c r="UB1024" s="131"/>
      <c r="UC1024" s="131"/>
      <c r="UD1024" s="131"/>
      <c r="UE1024" s="131"/>
      <c r="UF1024" s="131"/>
      <c r="UG1024" s="131"/>
      <c r="UH1024" s="131"/>
      <c r="UI1024" s="131"/>
      <c r="UJ1024" s="131"/>
      <c r="UK1024" s="131"/>
      <c r="UL1024" s="131"/>
      <c r="UM1024" s="131"/>
      <c r="UN1024" s="131"/>
      <c r="UO1024" s="131"/>
      <c r="UP1024" s="131"/>
      <c r="UQ1024" s="131"/>
      <c r="UR1024" s="131"/>
      <c r="US1024" s="131"/>
      <c r="UT1024" s="131"/>
      <c r="UU1024" s="131"/>
      <c r="UV1024" s="131"/>
      <c r="UW1024" s="131"/>
      <c r="UX1024" s="131"/>
      <c r="UY1024" s="131"/>
      <c r="UZ1024" s="131"/>
      <c r="VA1024" s="131"/>
      <c r="VB1024" s="131"/>
      <c r="VC1024" s="131"/>
      <c r="VD1024" s="131"/>
      <c r="VE1024" s="131"/>
      <c r="VF1024" s="131"/>
      <c r="VG1024" s="131"/>
      <c r="VH1024" s="131"/>
      <c r="VI1024" s="131"/>
      <c r="VJ1024" s="131"/>
      <c r="VK1024" s="131"/>
      <c r="VL1024" s="131"/>
      <c r="VM1024" s="131"/>
      <c r="VN1024" s="131"/>
      <c r="VO1024" s="131"/>
      <c r="VP1024" s="131"/>
      <c r="VQ1024" s="131"/>
      <c r="VR1024" s="131"/>
      <c r="VS1024" s="131"/>
      <c r="VT1024" s="131"/>
      <c r="VU1024" s="131"/>
      <c r="VV1024" s="131"/>
      <c r="VW1024" s="131"/>
      <c r="VX1024" s="131"/>
      <c r="VY1024" s="131"/>
      <c r="VZ1024" s="131"/>
      <c r="WA1024" s="131"/>
      <c r="WB1024" s="131"/>
      <c r="WC1024" s="131"/>
      <c r="WD1024" s="131"/>
      <c r="WE1024" s="131"/>
      <c r="WF1024" s="131"/>
      <c r="WG1024" s="131"/>
      <c r="WH1024" s="131"/>
      <c r="WI1024" s="131"/>
      <c r="WJ1024" s="131"/>
      <c r="WK1024" s="131"/>
      <c r="WL1024" s="131"/>
      <c r="WM1024" s="131"/>
      <c r="WN1024" s="131"/>
      <c r="WO1024" s="131"/>
      <c r="WP1024" s="131"/>
      <c r="WQ1024" s="131"/>
      <c r="WR1024" s="131"/>
      <c r="WS1024" s="131"/>
      <c r="WT1024" s="131"/>
      <c r="WU1024" s="131"/>
      <c r="WV1024" s="131"/>
      <c r="WW1024" s="131"/>
      <c r="WX1024" s="131"/>
      <c r="WY1024" s="131"/>
      <c r="WZ1024" s="131"/>
      <c r="XA1024" s="131"/>
      <c r="XB1024" s="131"/>
      <c r="XC1024" s="131"/>
      <c r="XD1024" s="131"/>
      <c r="XE1024" s="131"/>
      <c r="XF1024" s="131"/>
      <c r="XG1024" s="131"/>
      <c r="XH1024" s="131"/>
      <c r="XI1024" s="131"/>
      <c r="XJ1024" s="131"/>
      <c r="XK1024" s="131"/>
      <c r="XL1024" s="131"/>
      <c r="XM1024" s="131"/>
      <c r="XN1024" s="131"/>
      <c r="XO1024" s="131"/>
      <c r="XP1024" s="131"/>
      <c r="XQ1024" s="131"/>
      <c r="XR1024" s="131"/>
      <c r="XS1024" s="131"/>
      <c r="XT1024" s="131"/>
      <c r="XU1024" s="131"/>
      <c r="XV1024" s="131"/>
      <c r="XW1024" s="131"/>
      <c r="XX1024" s="131"/>
      <c r="XY1024" s="131"/>
      <c r="XZ1024" s="131"/>
      <c r="YA1024" s="131"/>
      <c r="YB1024" s="131"/>
      <c r="YC1024" s="131"/>
      <c r="YD1024" s="131"/>
      <c r="YE1024" s="131"/>
      <c r="YF1024" s="131"/>
      <c r="YG1024" s="131"/>
      <c r="YH1024" s="131"/>
      <c r="YI1024" s="131"/>
      <c r="YJ1024" s="131"/>
      <c r="YK1024" s="131"/>
      <c r="YL1024" s="131"/>
      <c r="YM1024" s="131"/>
      <c r="YN1024" s="131"/>
      <c r="YO1024" s="131"/>
      <c r="YP1024" s="131"/>
      <c r="YQ1024" s="131"/>
      <c r="YR1024" s="131"/>
      <c r="YS1024" s="131"/>
      <c r="YT1024" s="131"/>
      <c r="YU1024" s="131"/>
      <c r="YV1024" s="131"/>
      <c r="YW1024" s="131"/>
      <c r="YX1024" s="131"/>
      <c r="YY1024" s="131"/>
      <c r="YZ1024" s="131"/>
      <c r="ZA1024" s="131"/>
      <c r="ZB1024" s="131"/>
      <c r="ZC1024" s="131"/>
      <c r="ZD1024" s="131"/>
      <c r="ZE1024" s="131"/>
      <c r="ZF1024" s="131"/>
      <c r="ZG1024" s="131"/>
      <c r="ZH1024" s="131"/>
      <c r="ZI1024" s="131"/>
      <c r="ZJ1024" s="131"/>
      <c r="ZK1024" s="131"/>
      <c r="ZL1024" s="131"/>
      <c r="ZM1024" s="131"/>
      <c r="ZN1024" s="131"/>
      <c r="ZO1024" s="131"/>
      <c r="ZP1024" s="131"/>
      <c r="ZQ1024" s="131"/>
      <c r="ZR1024" s="131"/>
      <c r="ZS1024" s="131"/>
      <c r="ZT1024" s="131"/>
      <c r="ZU1024" s="131"/>
      <c r="ZV1024" s="131"/>
      <c r="ZW1024" s="131"/>
      <c r="ZX1024" s="131"/>
      <c r="ZY1024" s="131"/>
      <c r="ZZ1024" s="131"/>
      <c r="AAA1024" s="131"/>
      <c r="AAB1024" s="131"/>
      <c r="AAC1024" s="131"/>
      <c r="AAD1024" s="131"/>
      <c r="AAE1024" s="131"/>
      <c r="AAF1024" s="131"/>
      <c r="AAG1024" s="131"/>
      <c r="AAH1024" s="131"/>
      <c r="AAI1024" s="131"/>
      <c r="AAJ1024" s="131"/>
      <c r="AAK1024" s="131"/>
      <c r="AAL1024" s="131"/>
      <c r="AAM1024" s="131"/>
      <c r="AAN1024" s="131"/>
      <c r="AAO1024" s="131"/>
      <c r="AAP1024" s="131"/>
      <c r="AAQ1024" s="131"/>
      <c r="AAR1024" s="131"/>
      <c r="AAS1024" s="131"/>
      <c r="AAT1024" s="131"/>
      <c r="AAU1024" s="131"/>
      <c r="AAV1024" s="131"/>
      <c r="AAW1024" s="131"/>
      <c r="AAX1024" s="131"/>
      <c r="AAY1024" s="131"/>
      <c r="AAZ1024" s="131"/>
      <c r="ABA1024" s="131"/>
      <c r="ABB1024" s="131"/>
      <c r="ABC1024" s="131"/>
      <c r="ABD1024" s="131"/>
      <c r="ABE1024" s="131"/>
      <c r="ABF1024" s="131"/>
      <c r="ABG1024" s="131"/>
      <c r="ABH1024" s="131"/>
      <c r="ABI1024" s="131"/>
      <c r="ABJ1024" s="131"/>
      <c r="ABK1024" s="131"/>
      <c r="ABL1024" s="131"/>
      <c r="ABM1024" s="131"/>
      <c r="ABN1024" s="131"/>
      <c r="ABO1024" s="131"/>
      <c r="ABP1024" s="131"/>
      <c r="ABQ1024" s="131"/>
      <c r="ABR1024" s="131"/>
      <c r="ABS1024" s="131"/>
      <c r="ABT1024" s="131"/>
      <c r="ABU1024" s="131"/>
      <c r="ABV1024" s="131"/>
      <c r="ABW1024" s="131"/>
      <c r="ABX1024" s="131"/>
      <c r="ABY1024" s="131"/>
      <c r="ABZ1024" s="131"/>
      <c r="ACA1024" s="131"/>
      <c r="ACB1024" s="131"/>
      <c r="ACC1024" s="131"/>
      <c r="ACD1024" s="131"/>
      <c r="ACE1024" s="131"/>
      <c r="ACF1024" s="131"/>
      <c r="ACG1024" s="131"/>
      <c r="ACH1024" s="131"/>
      <c r="ACI1024" s="131"/>
      <c r="ACJ1024" s="131"/>
      <c r="ACK1024" s="131"/>
      <c r="ACL1024" s="131"/>
      <c r="ACM1024" s="131"/>
      <c r="ACN1024" s="131"/>
      <c r="ACO1024" s="131"/>
      <c r="ACP1024" s="131"/>
      <c r="ACQ1024" s="131"/>
      <c r="ACR1024" s="131"/>
      <c r="ACS1024" s="131"/>
      <c r="ACT1024" s="131"/>
      <c r="ACU1024" s="131"/>
      <c r="ACV1024" s="131"/>
      <c r="ACW1024" s="131"/>
      <c r="ACX1024" s="131"/>
      <c r="ACY1024" s="131"/>
      <c r="ACZ1024" s="131"/>
      <c r="ADA1024" s="131"/>
      <c r="ADB1024" s="131"/>
      <c r="ADC1024" s="131"/>
      <c r="ADD1024" s="131"/>
      <c r="ADE1024" s="131"/>
      <c r="ADF1024" s="131"/>
      <c r="ADG1024" s="131"/>
      <c r="ADH1024" s="131"/>
      <c r="ADI1024" s="131"/>
      <c r="ADJ1024" s="131"/>
      <c r="ADK1024" s="131"/>
      <c r="ADL1024" s="131"/>
      <c r="ADM1024" s="131"/>
      <c r="ADN1024" s="131"/>
      <c r="ADO1024" s="131"/>
      <c r="ADP1024" s="131"/>
      <c r="ADQ1024" s="131"/>
      <c r="ADR1024" s="131"/>
      <c r="ADS1024" s="131"/>
      <c r="ADT1024" s="131"/>
      <c r="ADU1024" s="131"/>
      <c r="ADV1024" s="131"/>
      <c r="ADW1024" s="131"/>
      <c r="ADX1024" s="131"/>
      <c r="ADY1024" s="131"/>
      <c r="ADZ1024" s="131"/>
      <c r="AEA1024" s="131"/>
      <c r="AEB1024" s="131"/>
      <c r="AEC1024" s="131"/>
      <c r="AED1024" s="131"/>
      <c r="AEE1024" s="131"/>
      <c r="AEF1024" s="131"/>
      <c r="AEG1024" s="131"/>
      <c r="AEH1024" s="131"/>
      <c r="AEI1024" s="131"/>
      <c r="AEJ1024" s="131"/>
      <c r="AEK1024" s="131"/>
      <c r="AEL1024" s="131"/>
      <c r="AEM1024" s="131"/>
      <c r="AEN1024" s="131"/>
      <c r="AEO1024" s="131"/>
      <c r="AEP1024" s="131"/>
      <c r="AEQ1024" s="131"/>
      <c r="AER1024" s="131"/>
      <c r="AES1024" s="131"/>
      <c r="AET1024" s="131"/>
      <c r="AEU1024" s="131"/>
      <c r="AEV1024" s="131"/>
      <c r="AEW1024" s="131"/>
      <c r="AEX1024" s="131"/>
      <c r="AEY1024" s="131"/>
      <c r="AEZ1024" s="131"/>
      <c r="AFA1024" s="131"/>
      <c r="AFB1024" s="131"/>
      <c r="AFC1024" s="131"/>
      <c r="AFD1024" s="131"/>
      <c r="AFE1024" s="131"/>
      <c r="AFF1024" s="131"/>
      <c r="AFG1024" s="131"/>
      <c r="AFH1024" s="131"/>
      <c r="AFI1024" s="131"/>
      <c r="AFJ1024" s="131"/>
      <c r="AFK1024" s="131"/>
      <c r="AFL1024" s="131"/>
      <c r="AFM1024" s="131"/>
      <c r="AFN1024" s="131"/>
      <c r="AFO1024" s="131"/>
      <c r="AFP1024" s="131"/>
      <c r="AFQ1024" s="131"/>
      <c r="AFR1024" s="131"/>
      <c r="AFS1024" s="131"/>
      <c r="AFT1024" s="131"/>
      <c r="AFU1024" s="131"/>
      <c r="AFV1024" s="131"/>
      <c r="AFW1024" s="131"/>
      <c r="AFX1024" s="131"/>
      <c r="AFY1024" s="131"/>
      <c r="AFZ1024" s="131"/>
      <c r="AGA1024" s="131"/>
      <c r="AGB1024" s="131"/>
      <c r="AGC1024" s="131"/>
      <c r="AGD1024" s="131"/>
      <c r="AGE1024" s="131"/>
      <c r="AGF1024" s="131"/>
      <c r="AGG1024" s="131"/>
      <c r="AGH1024" s="131"/>
      <c r="AGI1024" s="131"/>
      <c r="AGJ1024" s="131"/>
      <c r="AGK1024" s="131"/>
      <c r="AGL1024" s="131"/>
      <c r="AGM1024" s="131"/>
      <c r="AGN1024" s="131"/>
      <c r="AGO1024" s="131"/>
      <c r="AGP1024" s="131"/>
      <c r="AGQ1024" s="131"/>
      <c r="AGR1024" s="131"/>
      <c r="AGS1024" s="131"/>
      <c r="AGT1024" s="131"/>
      <c r="AGU1024" s="131"/>
      <c r="AGV1024" s="131"/>
      <c r="AGW1024" s="131"/>
      <c r="AGX1024" s="131"/>
      <c r="AGY1024" s="131"/>
      <c r="AGZ1024" s="131"/>
      <c r="AHA1024" s="131"/>
      <c r="AHB1024" s="131"/>
      <c r="AHC1024" s="131"/>
      <c r="AHD1024" s="131"/>
      <c r="AHE1024" s="131"/>
      <c r="AHF1024" s="131"/>
      <c r="AHG1024" s="131"/>
      <c r="AHH1024" s="131"/>
      <c r="AHI1024" s="131"/>
      <c r="AHJ1024" s="131"/>
      <c r="AHK1024" s="131"/>
      <c r="AHL1024" s="131"/>
      <c r="AHM1024" s="131"/>
      <c r="AHN1024" s="131"/>
      <c r="AHO1024" s="131"/>
      <c r="AHP1024" s="131"/>
      <c r="AHQ1024" s="131"/>
      <c r="AHR1024" s="131"/>
      <c r="AHS1024" s="131"/>
      <c r="AHT1024" s="131"/>
      <c r="AHU1024" s="131"/>
      <c r="AHV1024" s="131"/>
      <c r="AHW1024" s="131"/>
      <c r="AHX1024" s="131"/>
      <c r="AHY1024" s="131"/>
      <c r="AHZ1024" s="131"/>
      <c r="AIA1024" s="131"/>
      <c r="AIB1024" s="131"/>
      <c r="AIC1024" s="131"/>
      <c r="AID1024" s="131"/>
      <c r="AIE1024" s="131"/>
      <c r="AIF1024" s="131"/>
      <c r="AIG1024" s="131"/>
      <c r="AIH1024" s="131"/>
      <c r="AII1024" s="131"/>
      <c r="AIJ1024" s="131"/>
      <c r="AIK1024" s="131"/>
      <c r="AIL1024" s="131"/>
      <c r="AIM1024" s="131"/>
      <c r="AIN1024" s="131"/>
      <c r="AIO1024" s="131"/>
      <c r="AIP1024" s="131"/>
      <c r="AIQ1024" s="131"/>
      <c r="AIR1024" s="131"/>
      <c r="AIS1024" s="131"/>
      <c r="AIT1024" s="131"/>
      <c r="AIU1024" s="131"/>
      <c r="AIV1024" s="131"/>
      <c r="AIW1024" s="131"/>
      <c r="AIX1024" s="131"/>
      <c r="AIY1024" s="131"/>
      <c r="AIZ1024" s="131"/>
      <c r="AJA1024" s="131"/>
      <c r="AJB1024" s="131"/>
      <c r="AJC1024" s="131"/>
      <c r="AJD1024" s="131"/>
      <c r="AJE1024" s="131"/>
      <c r="AJF1024" s="131"/>
      <c r="AJG1024" s="131"/>
      <c r="AJH1024" s="131"/>
      <c r="AJI1024" s="131"/>
      <c r="AJJ1024" s="131"/>
      <c r="AJK1024" s="131"/>
      <c r="AJL1024" s="131"/>
      <c r="AJM1024" s="131"/>
      <c r="AJN1024" s="131"/>
      <c r="AJO1024" s="131"/>
      <c r="AJP1024" s="131"/>
      <c r="AJQ1024" s="131"/>
      <c r="AJR1024" s="131"/>
      <c r="AJS1024" s="131"/>
      <c r="AJT1024" s="131"/>
      <c r="AJU1024" s="131"/>
      <c r="AJV1024" s="131"/>
      <c r="AJW1024" s="131"/>
      <c r="AJX1024" s="131"/>
      <c r="AJY1024" s="131"/>
      <c r="AJZ1024" s="131"/>
      <c r="AKA1024" s="131"/>
      <c r="AKB1024" s="131"/>
      <c r="AKC1024" s="131"/>
      <c r="AKD1024" s="131"/>
      <c r="AKE1024" s="131"/>
      <c r="AKF1024" s="131"/>
      <c r="AKG1024" s="131"/>
      <c r="AKH1024" s="131"/>
      <c r="AKI1024" s="131"/>
      <c r="AKJ1024" s="131"/>
      <c r="AKK1024" s="131"/>
      <c r="AKL1024" s="131"/>
      <c r="AKM1024" s="131"/>
      <c r="AKN1024" s="131"/>
      <c r="AKO1024" s="131"/>
      <c r="AKP1024" s="131"/>
      <c r="AKQ1024" s="131"/>
      <c r="AKR1024" s="131"/>
      <c r="AKS1024" s="131"/>
      <c r="AKT1024" s="131"/>
      <c r="AKU1024" s="131"/>
      <c r="AKV1024" s="131"/>
      <c r="AKW1024" s="131"/>
      <c r="AKX1024" s="131"/>
      <c r="AKY1024" s="131"/>
      <c r="AKZ1024" s="131"/>
      <c r="ALA1024" s="131"/>
      <c r="ALB1024" s="131"/>
      <c r="ALC1024" s="131"/>
      <c r="ALD1024" s="131"/>
      <c r="ALE1024" s="131"/>
      <c r="ALF1024" s="131"/>
      <c r="ALG1024" s="131"/>
      <c r="ALH1024" s="131"/>
      <c r="ALI1024" s="131"/>
      <c r="ALJ1024" s="131"/>
      <c r="ALK1024" s="131"/>
      <c r="ALL1024" s="131"/>
      <c r="ALM1024" s="131"/>
      <c r="ALN1024" s="131"/>
      <c r="ALO1024" s="131"/>
      <c r="ALP1024" s="131"/>
      <c r="ALQ1024" s="131"/>
      <c r="ALR1024" s="131"/>
      <c r="ALS1024" s="131"/>
      <c r="ALT1024" s="131"/>
      <c r="ALU1024" s="131"/>
      <c r="ALV1024" s="131"/>
      <c r="ALW1024" s="131"/>
      <c r="ALX1024" s="131"/>
      <c r="ALY1024" s="131"/>
      <c r="ALZ1024" s="131"/>
      <c r="AMA1024" s="131"/>
      <c r="AMB1024" s="131"/>
      <c r="AMC1024" s="131"/>
      <c r="AMD1024" s="131"/>
      <c r="AME1024" s="131"/>
      <c r="AMF1024" s="131"/>
      <c r="AMG1024" s="131"/>
      <c r="AMH1024" s="131"/>
      <c r="AMI1024" s="131"/>
      <c r="AMJ1024" s="131"/>
      <c r="AMK1024" s="131"/>
      <c r="AML1024" s="131"/>
      <c r="AMM1024" s="131"/>
      <c r="AMN1024" s="131"/>
      <c r="AMO1024" s="131"/>
      <c r="AMP1024" s="131"/>
      <c r="AMQ1024" s="131"/>
      <c r="AMR1024" s="131"/>
      <c r="AMS1024" s="131"/>
      <c r="AMT1024" s="131"/>
      <c r="AMU1024" s="131"/>
      <c r="AMV1024" s="131"/>
      <c r="AMW1024" s="131"/>
      <c r="AMX1024" s="131"/>
      <c r="AMY1024" s="131"/>
      <c r="AMZ1024" s="131"/>
      <c r="ANA1024" s="131"/>
      <c r="ANB1024" s="131"/>
      <c r="ANC1024" s="131"/>
      <c r="AND1024" s="131"/>
      <c r="ANE1024" s="131"/>
      <c r="ANF1024" s="131"/>
      <c r="ANG1024" s="131"/>
      <c r="ANH1024" s="131"/>
      <c r="ANI1024" s="131"/>
      <c r="ANJ1024" s="131"/>
      <c r="ANK1024" s="131"/>
      <c r="ANL1024" s="131"/>
      <c r="ANM1024" s="131"/>
      <c r="ANN1024" s="131"/>
      <c r="ANO1024" s="131"/>
      <c r="ANP1024" s="131"/>
      <c r="ANQ1024" s="131"/>
      <c r="ANR1024" s="131"/>
      <c r="ANS1024" s="131"/>
      <c r="ANT1024" s="131"/>
      <c r="ANU1024" s="131"/>
      <c r="ANV1024" s="131"/>
      <c r="ANW1024" s="131"/>
      <c r="ANX1024" s="131"/>
      <c r="ANY1024" s="131"/>
      <c r="ANZ1024" s="131"/>
      <c r="AOA1024" s="131"/>
      <c r="AOB1024" s="131"/>
      <c r="AOC1024" s="131"/>
      <c r="AOD1024" s="131"/>
      <c r="AOE1024" s="131"/>
      <c r="AOF1024" s="131"/>
      <c r="AOG1024" s="131"/>
      <c r="AOH1024" s="131"/>
      <c r="AOI1024" s="131"/>
      <c r="AOJ1024" s="131"/>
      <c r="AOK1024" s="131"/>
      <c r="AOL1024" s="131"/>
      <c r="AOM1024" s="131"/>
      <c r="AON1024" s="131"/>
      <c r="AOO1024" s="131"/>
      <c r="AOP1024" s="131"/>
      <c r="AOQ1024" s="131"/>
      <c r="AOR1024" s="131"/>
      <c r="AOS1024" s="131"/>
      <c r="AOT1024" s="131"/>
      <c r="AOU1024" s="131"/>
      <c r="AOV1024" s="131"/>
      <c r="AOW1024" s="131"/>
      <c r="AOX1024" s="131"/>
      <c r="AOY1024" s="131"/>
      <c r="AOZ1024" s="131"/>
      <c r="APA1024" s="131"/>
      <c r="APB1024" s="131"/>
      <c r="APC1024" s="131"/>
      <c r="APD1024" s="131"/>
      <c r="APE1024" s="131"/>
      <c r="APF1024" s="131"/>
      <c r="APG1024" s="131"/>
      <c r="APH1024" s="131"/>
      <c r="API1024" s="131"/>
      <c r="APJ1024" s="131"/>
      <c r="APK1024" s="131"/>
      <c r="APL1024" s="131"/>
      <c r="APM1024" s="131"/>
      <c r="APN1024" s="131"/>
      <c r="APO1024" s="131"/>
      <c r="APP1024" s="131"/>
      <c r="APQ1024" s="131"/>
      <c r="APR1024" s="131"/>
      <c r="APS1024" s="131"/>
      <c r="APT1024" s="131"/>
      <c r="APU1024" s="131"/>
      <c r="APV1024" s="131"/>
      <c r="APW1024" s="131"/>
      <c r="APX1024" s="131"/>
      <c r="APY1024" s="131"/>
      <c r="APZ1024" s="131"/>
      <c r="AQA1024" s="131"/>
      <c r="AQB1024" s="131"/>
      <c r="AQC1024" s="131"/>
      <c r="AQD1024" s="131"/>
      <c r="AQE1024" s="131"/>
      <c r="AQF1024" s="131"/>
      <c r="AQG1024" s="131"/>
      <c r="AQH1024" s="131"/>
      <c r="AQI1024" s="131"/>
      <c r="AQJ1024" s="131"/>
      <c r="AQK1024" s="131"/>
      <c r="AQL1024" s="131"/>
      <c r="AQM1024" s="131"/>
      <c r="AQN1024" s="131"/>
      <c r="AQO1024" s="131"/>
      <c r="AQP1024" s="131"/>
      <c r="AQQ1024" s="131"/>
      <c r="AQR1024" s="131"/>
      <c r="AQS1024" s="131"/>
      <c r="AQT1024" s="131"/>
      <c r="AQU1024" s="131"/>
      <c r="AQV1024" s="131"/>
      <c r="AQW1024" s="131"/>
      <c r="AQX1024" s="131"/>
      <c r="AQY1024" s="131"/>
      <c r="AQZ1024" s="131"/>
      <c r="ARA1024" s="131"/>
      <c r="ARB1024" s="131"/>
      <c r="ARC1024" s="131"/>
      <c r="ARD1024" s="131"/>
      <c r="ARE1024" s="131"/>
      <c r="ARF1024" s="131"/>
      <c r="ARG1024" s="131"/>
      <c r="ARH1024" s="131"/>
      <c r="ARI1024" s="131"/>
      <c r="ARJ1024" s="131"/>
      <c r="ARK1024" s="131"/>
      <c r="ARL1024" s="131"/>
      <c r="ARM1024" s="131"/>
      <c r="ARN1024" s="131"/>
      <c r="ARO1024" s="131"/>
      <c r="ARP1024" s="131"/>
      <c r="ARQ1024" s="131"/>
      <c r="ARR1024" s="131"/>
      <c r="ARS1024" s="131"/>
      <c r="ART1024" s="131"/>
      <c r="ARU1024" s="131"/>
      <c r="ARV1024" s="131"/>
      <c r="ARW1024" s="131"/>
      <c r="ARX1024" s="131"/>
      <c r="ARY1024" s="131"/>
      <c r="ARZ1024" s="131"/>
      <c r="ASA1024" s="131"/>
      <c r="ASB1024" s="131"/>
      <c r="ASC1024" s="131"/>
      <c r="ASD1024" s="131"/>
      <c r="ASE1024" s="131"/>
      <c r="ASF1024" s="131"/>
      <c r="ASG1024" s="131"/>
      <c r="ASH1024" s="131"/>
      <c r="ASI1024" s="131"/>
      <c r="ASJ1024" s="131"/>
      <c r="ASK1024" s="131"/>
      <c r="ASL1024" s="131"/>
      <c r="ASM1024" s="131"/>
      <c r="ASN1024" s="131"/>
      <c r="ASO1024" s="131"/>
      <c r="ASP1024" s="131"/>
      <c r="ASQ1024" s="131"/>
      <c r="ASR1024" s="131"/>
      <c r="ASS1024" s="131"/>
      <c r="AST1024" s="131"/>
      <c r="ASU1024" s="131"/>
      <c r="ASV1024" s="131"/>
      <c r="ASW1024" s="131"/>
      <c r="ASX1024" s="131"/>
      <c r="ASY1024" s="131"/>
      <c r="ASZ1024" s="131"/>
      <c r="ATA1024" s="131"/>
      <c r="ATB1024" s="131"/>
      <c r="ATC1024" s="131"/>
    </row>
    <row r="1025" spans="1:282" ht="50.1" customHeight="1" outlineLevel="2" x14ac:dyDescent="0.3">
      <c r="A1025" s="103" t="s">
        <v>859</v>
      </c>
      <c r="B1025" s="96" t="s">
        <v>860</v>
      </c>
      <c r="C1025" s="79" t="s">
        <v>37</v>
      </c>
      <c r="D1025" s="81">
        <f t="shared" ref="D1025" si="235">E1025+F1025</f>
        <v>15680</v>
      </c>
      <c r="E1025" s="82">
        <f t="shared" si="225"/>
        <v>0</v>
      </c>
      <c r="F1025" s="83">
        <f t="shared" si="226"/>
        <v>15680</v>
      </c>
      <c r="G1025" s="84"/>
      <c r="H1025" s="85"/>
      <c r="I1025" s="85"/>
      <c r="J1025" s="84"/>
      <c r="K1025" s="85"/>
      <c r="L1025" s="85"/>
      <c r="M1025" s="85"/>
      <c r="N1025" s="85"/>
      <c r="O1025" s="82"/>
      <c r="P1025" s="83"/>
      <c r="Q1025" s="83"/>
      <c r="R1025" s="83"/>
      <c r="S1025" s="82"/>
      <c r="T1025" s="83"/>
      <c r="U1025" s="83"/>
      <c r="V1025" s="84"/>
      <c r="W1025" s="85"/>
      <c r="X1025" s="87"/>
      <c r="Y1025" s="83"/>
      <c r="Z1025" s="84"/>
      <c r="AA1025" s="85"/>
      <c r="AB1025" s="84"/>
      <c r="AC1025" s="85"/>
      <c r="AD1025" s="89">
        <f t="shared" si="219"/>
        <v>0</v>
      </c>
      <c r="AE1025" s="89"/>
      <c r="AF1025" s="186"/>
      <c r="AG1025" s="85"/>
      <c r="AH1025" s="85"/>
      <c r="AI1025" s="85"/>
      <c r="AJ1025" s="84"/>
      <c r="AK1025" s="85"/>
      <c r="AL1025" s="84"/>
      <c r="AM1025" s="88"/>
      <c r="AN1025" s="84"/>
      <c r="AO1025" s="85"/>
      <c r="AP1025" s="84"/>
      <c r="AQ1025" s="83"/>
      <c r="AR1025" s="83"/>
      <c r="AS1025" s="83"/>
      <c r="AT1025" s="85"/>
      <c r="AU1025" s="85">
        <v>15680</v>
      </c>
      <c r="AV1025" s="85"/>
      <c r="AW1025" s="88"/>
      <c r="AX1025" s="84"/>
      <c r="AY1025" s="85"/>
      <c r="AZ1025" s="84"/>
      <c r="BA1025" s="85"/>
      <c r="BB1025" s="88"/>
      <c r="BC1025" s="85"/>
      <c r="BD1025" s="84"/>
      <c r="BE1025" s="88"/>
      <c r="BF1025" s="85"/>
      <c r="BG1025" s="85"/>
      <c r="BH1025" s="85"/>
      <c r="BI1025" s="85"/>
      <c r="BJ1025" s="85"/>
      <c r="BK1025" s="85"/>
      <c r="BL1025" s="85"/>
      <c r="BM1025" s="85"/>
      <c r="BN1025" s="85"/>
      <c r="BO1025" s="85"/>
      <c r="BP1025" s="85"/>
      <c r="BQ1025" s="85"/>
      <c r="BR1025" s="84"/>
      <c r="BS1025" s="85"/>
      <c r="BT1025" s="85"/>
      <c r="BU1025" s="198"/>
      <c r="BV1025" s="90"/>
      <c r="BW1025" s="198"/>
      <c r="BX1025" s="90"/>
      <c r="BY1025" s="198"/>
      <c r="BZ1025" s="90"/>
      <c r="CA1025" s="91"/>
    </row>
    <row r="1026" spans="1:282" ht="50.1" customHeight="1" outlineLevel="2" x14ac:dyDescent="0.3">
      <c r="A1026" s="103" t="s">
        <v>859</v>
      </c>
      <c r="B1026" s="96" t="s">
        <v>861</v>
      </c>
      <c r="C1026" s="79" t="s">
        <v>37</v>
      </c>
      <c r="D1026" s="81">
        <f t="shared" ref="D1026:D1059" si="236">E1026+F1026</f>
        <v>178720.19420000003</v>
      </c>
      <c r="E1026" s="82">
        <f t="shared" si="225"/>
        <v>34407.286820000001</v>
      </c>
      <c r="F1026" s="83">
        <f t="shared" si="226"/>
        <v>144312.90738000002</v>
      </c>
      <c r="G1026" s="84"/>
      <c r="H1026" s="85"/>
      <c r="I1026" s="85"/>
      <c r="J1026" s="84"/>
      <c r="K1026" s="85"/>
      <c r="L1026" s="85"/>
      <c r="M1026" s="85"/>
      <c r="N1026" s="85">
        <f>19041.80844+31500</f>
        <v>50541.808440000001</v>
      </c>
      <c r="O1026" s="82"/>
      <c r="P1026" s="83"/>
      <c r="Q1026" s="83"/>
      <c r="R1026" s="83"/>
      <c r="S1026" s="82">
        <v>2366.7992899999999</v>
      </c>
      <c r="T1026" s="83">
        <v>7413.1797800000004</v>
      </c>
      <c r="U1026" s="83">
        <v>9574.2491800000007</v>
      </c>
      <c r="V1026" s="84">
        <v>465.71</v>
      </c>
      <c r="W1026" s="85">
        <v>819</v>
      </c>
      <c r="X1026" s="87"/>
      <c r="Y1026" s="83">
        <v>6951.0479999999998</v>
      </c>
      <c r="Z1026" s="84"/>
      <c r="AA1026" s="85"/>
      <c r="AB1026" s="84"/>
      <c r="AC1026" s="85"/>
      <c r="AD1026" s="89">
        <f t="shared" si="219"/>
        <v>6781.4837200000002</v>
      </c>
      <c r="AE1026" s="89">
        <v>3340.4679000000001</v>
      </c>
      <c r="AF1026" s="186">
        <f>624.33254+2147.62328+669.06</f>
        <v>3441.0158199999996</v>
      </c>
      <c r="AG1026" s="85"/>
      <c r="AH1026" s="85"/>
      <c r="AI1026" s="85"/>
      <c r="AJ1026" s="84">
        <f>10175.2+966</f>
        <v>11141.2</v>
      </c>
      <c r="AK1026" s="85">
        <f>3760.4+556.5</f>
        <v>4316.8999999999996</v>
      </c>
      <c r="AL1026" s="84"/>
      <c r="AM1026" s="88"/>
      <c r="AN1026" s="84"/>
      <c r="AO1026" s="85">
        <v>6839.04</v>
      </c>
      <c r="AP1026" s="84">
        <v>8447.8701700000001</v>
      </c>
      <c r="AQ1026" s="83">
        <v>24763.262859999999</v>
      </c>
      <c r="AR1026" s="83"/>
      <c r="AS1026" s="83"/>
      <c r="AT1026" s="85"/>
      <c r="AU1026" s="85"/>
      <c r="AV1026" s="85"/>
      <c r="AW1026" s="88"/>
      <c r="AX1026" s="84"/>
      <c r="AY1026" s="85"/>
      <c r="AZ1026" s="84">
        <v>11985.70736</v>
      </c>
      <c r="BA1026" s="85">
        <v>10854.00477</v>
      </c>
      <c r="BB1026" s="88"/>
      <c r="BC1026" s="85"/>
      <c r="BD1026" s="84"/>
      <c r="BE1026" s="88"/>
      <c r="BF1026" s="85"/>
      <c r="BG1026" s="85">
        <v>7556.1938399999999</v>
      </c>
      <c r="BH1026" s="85"/>
      <c r="BI1026" s="85"/>
      <c r="BJ1026" s="85"/>
      <c r="BK1026" s="85">
        <v>1247.3060499999999</v>
      </c>
      <c r="BL1026" s="85"/>
      <c r="BM1026" s="85"/>
      <c r="BN1026" s="85"/>
      <c r="BO1026" s="85"/>
      <c r="BP1026" s="85"/>
      <c r="BQ1026" s="85"/>
      <c r="BR1026" s="84"/>
      <c r="BS1026" s="85"/>
      <c r="BT1026" s="85"/>
      <c r="BU1026" s="97">
        <f>3604.59+64.08+26.91+2857.27273+0.85133+101.72668</f>
        <v>6655.4307400000007</v>
      </c>
      <c r="BV1026" s="90"/>
      <c r="BW1026" s="198"/>
      <c r="BX1026" s="90"/>
      <c r="BY1026" s="198"/>
      <c r="BZ1026" s="90"/>
      <c r="CA1026" s="91"/>
    </row>
    <row r="1027" spans="1:282" ht="50.1" customHeight="1" outlineLevel="2" x14ac:dyDescent="0.3">
      <c r="A1027" s="103" t="s">
        <v>859</v>
      </c>
      <c r="B1027" s="96" t="s">
        <v>862</v>
      </c>
      <c r="C1027" s="79" t="s">
        <v>37</v>
      </c>
      <c r="D1027" s="81">
        <f t="shared" si="236"/>
        <v>132909.08658000003</v>
      </c>
      <c r="E1027" s="82">
        <f t="shared" si="225"/>
        <v>41494.984080000002</v>
      </c>
      <c r="F1027" s="83">
        <f t="shared" si="226"/>
        <v>91414.102500000023</v>
      </c>
      <c r="G1027" s="84">
        <v>2778.7491300000002</v>
      </c>
      <c r="H1027" s="85">
        <v>576.05334000000005</v>
      </c>
      <c r="I1027" s="85"/>
      <c r="J1027" s="84">
        <f>28.52185+1181.85237+129.55058+109.11871+52.01273+27.23648+39.0096+39.0096+27.23648+28.52185</f>
        <v>1662.0702500000004</v>
      </c>
      <c r="K1027" s="85">
        <f>3.53803+199.66033+16.06221+13.5387+6.45405+3.38217+4.84054+4.84054+3.38217+3.53803</f>
        <v>259.23676999999998</v>
      </c>
      <c r="L1027" s="85">
        <v>19926.35367</v>
      </c>
      <c r="M1027" s="85"/>
      <c r="N1027" s="85"/>
      <c r="O1027" s="82"/>
      <c r="P1027" s="83"/>
      <c r="Q1027" s="83"/>
      <c r="R1027" s="83"/>
      <c r="S1027" s="82">
        <v>18449.18088</v>
      </c>
      <c r="T1027" s="83">
        <v>15214.50333</v>
      </c>
      <c r="U1027" s="83">
        <v>6079.2225799999997</v>
      </c>
      <c r="V1027" s="84">
        <v>92.78</v>
      </c>
      <c r="W1027" s="85">
        <v>162</v>
      </c>
      <c r="X1027" s="87"/>
      <c r="Y1027" s="83">
        <v>3164.616</v>
      </c>
      <c r="Z1027" s="84"/>
      <c r="AA1027" s="85"/>
      <c r="AB1027" s="84"/>
      <c r="AC1027" s="85"/>
      <c r="AD1027" s="89">
        <f t="shared" si="219"/>
        <v>4263.0140599999995</v>
      </c>
      <c r="AE1027" s="89">
        <f>2535.3657+42.982</f>
        <v>2578.3476999999998</v>
      </c>
      <c r="AF1027" s="186">
        <f>523.08943+1161.57693</f>
        <v>1684.6663599999999</v>
      </c>
      <c r="AG1027" s="85"/>
      <c r="AH1027" s="85"/>
      <c r="AI1027" s="85"/>
      <c r="AJ1027" s="84"/>
      <c r="AK1027" s="85"/>
      <c r="AL1027" s="84"/>
      <c r="AM1027" s="88"/>
      <c r="AN1027" s="84"/>
      <c r="AO1027" s="85">
        <v>440.96</v>
      </c>
      <c r="AP1027" s="82">
        <v>9827.8648200000007</v>
      </c>
      <c r="AQ1027" s="83">
        <v>25349.523700000002</v>
      </c>
      <c r="AR1027" s="83"/>
      <c r="AS1027" s="83"/>
      <c r="AT1027" s="85"/>
      <c r="AU1027" s="85"/>
      <c r="AV1027" s="85">
        <v>1380.1624999999999</v>
      </c>
      <c r="AW1027" s="88"/>
      <c r="AX1027" s="84"/>
      <c r="AY1027" s="85"/>
      <c r="AZ1027" s="84">
        <v>8684.3389999999999</v>
      </c>
      <c r="BA1027" s="85">
        <v>7864.3538600000002</v>
      </c>
      <c r="BB1027" s="88"/>
      <c r="BC1027" s="85"/>
      <c r="BD1027" s="84"/>
      <c r="BE1027" s="88"/>
      <c r="BF1027" s="85"/>
      <c r="BG1027" s="85">
        <v>3512.0344599999999</v>
      </c>
      <c r="BH1027" s="85"/>
      <c r="BI1027" s="85"/>
      <c r="BJ1027" s="85"/>
      <c r="BK1027" s="85">
        <v>876.95957999999996</v>
      </c>
      <c r="BL1027" s="85">
        <v>137.94547</v>
      </c>
      <c r="BM1027" s="85">
        <v>12.133330000000001</v>
      </c>
      <c r="BN1027" s="85"/>
      <c r="BO1027" s="85"/>
      <c r="BP1027" s="85"/>
      <c r="BQ1027" s="85"/>
      <c r="BR1027" s="84"/>
      <c r="BS1027" s="85"/>
      <c r="BT1027" s="85"/>
      <c r="BU1027" s="198">
        <v>2195.0298499999999</v>
      </c>
      <c r="BV1027" s="90"/>
      <c r="BW1027" s="198"/>
      <c r="BX1027" s="90"/>
      <c r="BY1027" s="198"/>
      <c r="BZ1027" s="90"/>
      <c r="CA1027" s="91"/>
    </row>
    <row r="1028" spans="1:282" ht="50.1" customHeight="1" outlineLevel="2" x14ac:dyDescent="0.3">
      <c r="A1028" s="106" t="s">
        <v>859</v>
      </c>
      <c r="B1028" s="96" t="s">
        <v>864</v>
      </c>
      <c r="C1028" s="140" t="s">
        <v>37</v>
      </c>
      <c r="D1028" s="81">
        <f t="shared" si="236"/>
        <v>15533.103050000002</v>
      </c>
      <c r="E1028" s="82">
        <f t="shared" si="225"/>
        <v>5443.0129100000004</v>
      </c>
      <c r="F1028" s="83">
        <f t="shared" si="226"/>
        <v>10090.09014</v>
      </c>
      <c r="G1028" s="84"/>
      <c r="H1028" s="85"/>
      <c r="I1028" s="85"/>
      <c r="J1028" s="84">
        <f>309.81877+349.47293</f>
        <v>659.29169999999999</v>
      </c>
      <c r="K1028" s="85">
        <f>82.73439+95.86271</f>
        <v>178.59710000000001</v>
      </c>
      <c r="L1028" s="85"/>
      <c r="M1028" s="85"/>
      <c r="N1028" s="85"/>
      <c r="O1028" s="82"/>
      <c r="P1028" s="83"/>
      <c r="Q1028" s="83"/>
      <c r="R1028" s="83"/>
      <c r="S1028" s="82">
        <v>326.41895</v>
      </c>
      <c r="T1028" s="83">
        <v>281.19171</v>
      </c>
      <c r="U1028" s="83"/>
      <c r="V1028" s="84"/>
      <c r="W1028" s="85"/>
      <c r="X1028" s="87"/>
      <c r="Y1028" s="83">
        <v>624</v>
      </c>
      <c r="Z1028" s="84"/>
      <c r="AA1028" s="85"/>
      <c r="AB1028" s="84"/>
      <c r="AC1028" s="85"/>
      <c r="AD1028" s="89">
        <f t="shared" si="219"/>
        <v>4773.8387600000005</v>
      </c>
      <c r="AE1028" s="89">
        <f>78.8535+572.0463</f>
        <v>650.89979999999991</v>
      </c>
      <c r="AF1028" s="186">
        <f>168.73853+245.16247+689.8752+2653.938+114.79571+250.42905</f>
        <v>4122.9389600000004</v>
      </c>
      <c r="AG1028" s="85"/>
      <c r="AH1028" s="85"/>
      <c r="AI1028" s="85"/>
      <c r="AJ1028" s="84">
        <v>1771</v>
      </c>
      <c r="AK1028" s="85">
        <v>654.5</v>
      </c>
      <c r="AL1028" s="84"/>
      <c r="AM1028" s="88"/>
      <c r="AN1028" s="84"/>
      <c r="AO1028" s="85"/>
      <c r="AP1028" s="84">
        <v>1097.5391999999999</v>
      </c>
      <c r="AQ1028" s="83">
        <v>2091.6895800000002</v>
      </c>
      <c r="AR1028" s="83"/>
      <c r="AS1028" s="83"/>
      <c r="AT1028" s="85"/>
      <c r="AU1028" s="85"/>
      <c r="AV1028" s="85"/>
      <c r="AW1028" s="88"/>
      <c r="AX1028" s="84"/>
      <c r="AY1028" s="85"/>
      <c r="AZ1028" s="84">
        <v>1588.76306</v>
      </c>
      <c r="BA1028" s="85">
        <v>1438.75218</v>
      </c>
      <c r="BB1028" s="88">
        <v>47.520809999999997</v>
      </c>
      <c r="BC1028" s="85"/>
      <c r="BD1028" s="84"/>
      <c r="BE1028" s="88"/>
      <c r="BF1028" s="85"/>
      <c r="BG1028" s="85"/>
      <c r="BH1028" s="85"/>
      <c r="BI1028" s="85"/>
      <c r="BJ1028" s="85"/>
      <c r="BK1028" s="85"/>
      <c r="BL1028" s="85"/>
      <c r="BM1028" s="85"/>
      <c r="BN1028" s="85"/>
      <c r="BO1028" s="85"/>
      <c r="BP1028" s="85"/>
      <c r="BQ1028" s="85"/>
      <c r="BR1028" s="84"/>
      <c r="BS1028" s="85"/>
      <c r="BT1028" s="85"/>
      <c r="BU1028" s="198"/>
      <c r="BV1028" s="90"/>
      <c r="BW1028" s="198"/>
      <c r="BX1028" s="90"/>
      <c r="BY1028" s="198"/>
      <c r="BZ1028" s="90"/>
      <c r="CA1028" s="91"/>
    </row>
    <row r="1029" spans="1:282" ht="50.1" customHeight="1" outlineLevel="2" x14ac:dyDescent="0.3">
      <c r="A1029" s="103" t="s">
        <v>859</v>
      </c>
      <c r="B1029" s="96" t="s">
        <v>441</v>
      </c>
      <c r="C1029" s="79" t="s">
        <v>37</v>
      </c>
      <c r="D1029" s="81">
        <f t="shared" si="236"/>
        <v>9517.0794800000003</v>
      </c>
      <c r="E1029" s="82">
        <f t="shared" si="225"/>
        <v>3316.7543699999997</v>
      </c>
      <c r="F1029" s="83">
        <f t="shared" si="226"/>
        <v>6200.3251099999998</v>
      </c>
      <c r="G1029" s="84"/>
      <c r="H1029" s="85"/>
      <c r="I1029" s="85"/>
      <c r="J1029" s="84"/>
      <c r="K1029" s="85"/>
      <c r="L1029" s="85">
        <v>122.95541</v>
      </c>
      <c r="M1029" s="85"/>
      <c r="N1029" s="85"/>
      <c r="O1029" s="82"/>
      <c r="P1029" s="83"/>
      <c r="Q1029" s="83"/>
      <c r="R1029" s="83"/>
      <c r="S1029" s="82">
        <v>291.43774000000002</v>
      </c>
      <c r="T1029" s="83">
        <v>410.73372000000001</v>
      </c>
      <c r="U1029" s="83"/>
      <c r="V1029" s="84"/>
      <c r="W1029" s="85"/>
      <c r="X1029" s="87"/>
      <c r="Y1029" s="83">
        <v>1085.76</v>
      </c>
      <c r="Z1029" s="84"/>
      <c r="AA1029" s="85"/>
      <c r="AB1029" s="84"/>
      <c r="AC1029" s="85"/>
      <c r="AD1029" s="89">
        <f t="shared" si="219"/>
        <v>1155.5265999999999</v>
      </c>
      <c r="AE1029" s="89">
        <f>550.8594+85.964+42.982</f>
        <v>679.80539999999996</v>
      </c>
      <c r="AF1029" s="186">
        <v>475.72120000000001</v>
      </c>
      <c r="AG1029" s="85"/>
      <c r="AH1029" s="85"/>
      <c r="AI1029" s="85"/>
      <c r="AJ1029" s="84"/>
      <c r="AK1029" s="85"/>
      <c r="AL1029" s="84"/>
      <c r="AM1029" s="88"/>
      <c r="AN1029" s="84"/>
      <c r="AO1029" s="85"/>
      <c r="AP1029" s="84"/>
      <c r="AQ1029" s="83"/>
      <c r="AR1029" s="83"/>
      <c r="AS1029" s="83"/>
      <c r="AT1029" s="85"/>
      <c r="AU1029" s="85"/>
      <c r="AV1029" s="85"/>
      <c r="AW1029" s="88"/>
      <c r="AX1029" s="84"/>
      <c r="AY1029" s="85"/>
      <c r="AZ1029" s="84">
        <v>3025.3166299999998</v>
      </c>
      <c r="BA1029" s="85">
        <v>2739.6643800000002</v>
      </c>
      <c r="BB1029" s="88"/>
      <c r="BC1029" s="85"/>
      <c r="BD1029" s="84"/>
      <c r="BE1029" s="88"/>
      <c r="BF1029" s="85"/>
      <c r="BG1029" s="85"/>
      <c r="BH1029" s="85"/>
      <c r="BI1029" s="85"/>
      <c r="BJ1029" s="85"/>
      <c r="BK1029" s="85"/>
      <c r="BL1029" s="85"/>
      <c r="BM1029" s="85"/>
      <c r="BN1029" s="85"/>
      <c r="BO1029" s="85"/>
      <c r="BP1029" s="85"/>
      <c r="BQ1029" s="85"/>
      <c r="BR1029" s="84"/>
      <c r="BS1029" s="85"/>
      <c r="BT1029" s="85">
        <v>685.68499999999995</v>
      </c>
      <c r="BU1029" s="198"/>
      <c r="BV1029" s="90"/>
      <c r="BW1029" s="198"/>
      <c r="BX1029" s="90"/>
      <c r="BY1029" s="198"/>
      <c r="BZ1029" s="90"/>
      <c r="CA1029" s="91"/>
    </row>
    <row r="1030" spans="1:282" ht="50.1" customHeight="1" outlineLevel="2" x14ac:dyDescent="0.3">
      <c r="A1030" s="103" t="s">
        <v>859</v>
      </c>
      <c r="B1030" s="96" t="s">
        <v>865</v>
      </c>
      <c r="C1030" s="79" t="s">
        <v>37</v>
      </c>
      <c r="D1030" s="81">
        <f t="shared" si="236"/>
        <v>2366.8503599999999</v>
      </c>
      <c r="E1030" s="82">
        <f t="shared" si="225"/>
        <v>876.98811000000001</v>
      </c>
      <c r="F1030" s="83">
        <f t="shared" si="226"/>
        <v>1489.8622499999999</v>
      </c>
      <c r="G1030" s="84"/>
      <c r="H1030" s="85"/>
      <c r="I1030" s="85"/>
      <c r="J1030" s="84">
        <v>331.23088999999999</v>
      </c>
      <c r="K1030" s="85">
        <v>58.422339999999998</v>
      </c>
      <c r="L1030" s="85"/>
      <c r="M1030" s="85"/>
      <c r="N1030" s="85"/>
      <c r="O1030" s="82"/>
      <c r="P1030" s="83"/>
      <c r="Q1030" s="83"/>
      <c r="R1030" s="83"/>
      <c r="S1030" s="82"/>
      <c r="T1030" s="83"/>
      <c r="U1030" s="83"/>
      <c r="V1030" s="84">
        <v>46.39</v>
      </c>
      <c r="W1030" s="85">
        <v>81</v>
      </c>
      <c r="X1030" s="87"/>
      <c r="Y1030" s="83">
        <v>233.376</v>
      </c>
      <c r="Z1030" s="84"/>
      <c r="AA1030" s="85"/>
      <c r="AB1030" s="84"/>
      <c r="AC1030" s="85"/>
      <c r="AD1030" s="89">
        <f t="shared" ref="AD1030:AD1088" si="237">AE1030+AF1030</f>
        <v>155.87621999999999</v>
      </c>
      <c r="AE1030" s="89">
        <v>53.727499999999999</v>
      </c>
      <c r="AF1030" s="186">
        <v>102.14872</v>
      </c>
      <c r="AG1030" s="85"/>
      <c r="AH1030" s="85"/>
      <c r="AI1030" s="85"/>
      <c r="AJ1030" s="84"/>
      <c r="AK1030" s="85"/>
      <c r="AL1030" s="84"/>
      <c r="AM1030" s="88"/>
      <c r="AN1030" s="84"/>
      <c r="AO1030" s="85">
        <v>282.88</v>
      </c>
      <c r="AP1030" s="84"/>
      <c r="AQ1030" s="83"/>
      <c r="AR1030" s="83"/>
      <c r="AS1030" s="83"/>
      <c r="AT1030" s="85"/>
      <c r="AU1030" s="85"/>
      <c r="AV1030" s="85"/>
      <c r="AW1030" s="88"/>
      <c r="AX1030" s="84"/>
      <c r="AY1030" s="85"/>
      <c r="AZ1030" s="84">
        <v>499.36721999999997</v>
      </c>
      <c r="BA1030" s="85">
        <v>452.21749999999997</v>
      </c>
      <c r="BB1030" s="88"/>
      <c r="BC1030" s="85"/>
      <c r="BD1030" s="84"/>
      <c r="BE1030" s="88"/>
      <c r="BF1030" s="85"/>
      <c r="BG1030" s="85">
        <v>122.12542000000001</v>
      </c>
      <c r="BH1030" s="85"/>
      <c r="BI1030" s="85"/>
      <c r="BJ1030" s="85"/>
      <c r="BK1030" s="85"/>
      <c r="BL1030" s="85"/>
      <c r="BM1030" s="85"/>
      <c r="BN1030" s="85"/>
      <c r="BO1030" s="85"/>
      <c r="BP1030" s="85"/>
      <c r="BQ1030" s="85"/>
      <c r="BR1030" s="84"/>
      <c r="BS1030" s="85"/>
      <c r="BT1030" s="85">
        <v>103.96477</v>
      </c>
      <c r="BU1030" s="198"/>
      <c r="BV1030" s="90"/>
      <c r="BW1030" s="198"/>
      <c r="BX1030" s="90"/>
      <c r="BY1030" s="198"/>
      <c r="BZ1030" s="90"/>
      <c r="CA1030" s="91"/>
    </row>
    <row r="1031" spans="1:282" ht="50.1" customHeight="1" outlineLevel="2" x14ac:dyDescent="0.3">
      <c r="A1031" s="106" t="s">
        <v>859</v>
      </c>
      <c r="B1031" s="96" t="s">
        <v>866</v>
      </c>
      <c r="C1031" s="79" t="s">
        <v>37</v>
      </c>
      <c r="D1031" s="81">
        <f t="shared" si="236"/>
        <v>24700.31983</v>
      </c>
      <c r="E1031" s="82">
        <f t="shared" si="225"/>
        <v>3835.6729100000002</v>
      </c>
      <c r="F1031" s="83">
        <f t="shared" si="226"/>
        <v>20864.646919999999</v>
      </c>
      <c r="G1031" s="84"/>
      <c r="H1031" s="85"/>
      <c r="I1031" s="85"/>
      <c r="J1031" s="84">
        <v>92.141180000000006</v>
      </c>
      <c r="K1031" s="85">
        <v>39.034129999999998</v>
      </c>
      <c r="L1031" s="143">
        <v>200.37272999999999</v>
      </c>
      <c r="M1031" s="143"/>
      <c r="N1031" s="143"/>
      <c r="O1031" s="128"/>
      <c r="P1031" s="129"/>
      <c r="Q1031" s="83">
        <v>7438.4313300000003</v>
      </c>
      <c r="R1031" s="129"/>
      <c r="S1031" s="82">
        <v>516.55157999999994</v>
      </c>
      <c r="T1031" s="83">
        <v>478.53564</v>
      </c>
      <c r="U1031" s="129"/>
      <c r="V1031" s="144">
        <v>266.74250000000001</v>
      </c>
      <c r="W1031" s="85">
        <v>465.75</v>
      </c>
      <c r="X1031" s="87"/>
      <c r="Y1031" s="83">
        <v>1150.6559999999999</v>
      </c>
      <c r="Z1031" s="145"/>
      <c r="AA1031" s="143"/>
      <c r="AB1031" s="145"/>
      <c r="AC1031" s="143"/>
      <c r="AD1031" s="89">
        <f t="shared" si="237"/>
        <v>1384.07951</v>
      </c>
      <c r="AE1031" s="89">
        <v>854.53830000000005</v>
      </c>
      <c r="AF1031" s="193">
        <f>6.53766+495.1781+27.82545</f>
        <v>529.54120999999998</v>
      </c>
      <c r="AG1031" s="143"/>
      <c r="AH1031" s="143"/>
      <c r="AI1031" s="143"/>
      <c r="AJ1031" s="145"/>
      <c r="AK1031" s="143"/>
      <c r="AL1031" s="145"/>
      <c r="AM1031" s="146"/>
      <c r="AN1031" s="84"/>
      <c r="AO1031" s="85">
        <v>257.92</v>
      </c>
      <c r="AP1031" s="145"/>
      <c r="AQ1031" s="129"/>
      <c r="AR1031" s="129"/>
      <c r="AS1031" s="129"/>
      <c r="AT1031" s="143"/>
      <c r="AU1031" s="143"/>
      <c r="AV1031" s="85">
        <v>5668.2799400000004</v>
      </c>
      <c r="AW1031" s="88"/>
      <c r="AX1031" s="84"/>
      <c r="AY1031" s="85"/>
      <c r="AZ1031" s="84">
        <v>2960.23765</v>
      </c>
      <c r="BA1031" s="85">
        <v>2680.7315400000002</v>
      </c>
      <c r="BB1031" s="88"/>
      <c r="BC1031" s="143"/>
      <c r="BD1031" s="145"/>
      <c r="BE1031" s="146"/>
      <c r="BF1031" s="143"/>
      <c r="BG1031" s="85">
        <v>89.287199999999999</v>
      </c>
      <c r="BH1031" s="143"/>
      <c r="BI1031" s="143"/>
      <c r="BJ1031" s="143"/>
      <c r="BK1031" s="143"/>
      <c r="BL1031" s="143"/>
      <c r="BM1031" s="143"/>
      <c r="BN1031" s="143"/>
      <c r="BO1031" s="143"/>
      <c r="BP1031" s="143"/>
      <c r="BQ1031" s="143"/>
      <c r="BR1031" s="145"/>
      <c r="BS1031" s="143"/>
      <c r="BT1031" s="85">
        <v>1011.5689</v>
      </c>
      <c r="BU1031" s="198"/>
      <c r="BV1031" s="90"/>
      <c r="BW1031" s="198"/>
      <c r="BX1031" s="90"/>
      <c r="BY1031" s="198"/>
      <c r="BZ1031" s="90"/>
      <c r="CA1031" s="91"/>
    </row>
    <row r="1032" spans="1:282" s="147" customFormat="1" ht="50.1" customHeight="1" outlineLevel="2" x14ac:dyDescent="0.3">
      <c r="A1032" s="103" t="s">
        <v>859</v>
      </c>
      <c r="B1032" s="96" t="s">
        <v>867</v>
      </c>
      <c r="C1032" s="79" t="s">
        <v>37</v>
      </c>
      <c r="D1032" s="81">
        <f t="shared" si="236"/>
        <v>40874.48416</v>
      </c>
      <c r="E1032" s="82">
        <f t="shared" si="225"/>
        <v>13596.66367</v>
      </c>
      <c r="F1032" s="83">
        <f t="shared" si="226"/>
        <v>27277.820490000002</v>
      </c>
      <c r="G1032" s="84"/>
      <c r="H1032" s="85"/>
      <c r="I1032" s="83">
        <f>119.48462+13.53852</f>
        <v>133.02314000000001</v>
      </c>
      <c r="J1032" s="84">
        <v>1110.12994</v>
      </c>
      <c r="K1032" s="85">
        <v>299.48849999999999</v>
      </c>
      <c r="L1032" s="85">
        <v>1629.9343100000001</v>
      </c>
      <c r="M1032" s="85"/>
      <c r="N1032" s="85"/>
      <c r="O1032" s="82"/>
      <c r="P1032" s="83"/>
      <c r="Q1032" s="83"/>
      <c r="R1032" s="83"/>
      <c r="S1032" s="82">
        <v>1254.94795</v>
      </c>
      <c r="T1032" s="83">
        <v>1189.5862199999999</v>
      </c>
      <c r="U1032" s="83"/>
      <c r="V1032" s="84">
        <v>159.31</v>
      </c>
      <c r="W1032" s="85">
        <v>662.4</v>
      </c>
      <c r="X1032" s="87"/>
      <c r="Y1032" s="83">
        <v>1620.2159999999999</v>
      </c>
      <c r="Z1032" s="84"/>
      <c r="AA1032" s="85"/>
      <c r="AB1032" s="84"/>
      <c r="AC1032" s="85"/>
      <c r="AD1032" s="89">
        <f t="shared" si="237"/>
        <v>2734.1959800000004</v>
      </c>
      <c r="AE1032" s="89">
        <v>1483.0830000000001</v>
      </c>
      <c r="AF1032" s="186">
        <f>539.96328+711.1497</f>
        <v>1251.1129800000001</v>
      </c>
      <c r="AG1032" s="85"/>
      <c r="AH1032" s="85"/>
      <c r="AI1032" s="85"/>
      <c r="AJ1032" s="84"/>
      <c r="AK1032" s="85"/>
      <c r="AL1032" s="84"/>
      <c r="AM1032" s="88"/>
      <c r="AN1032" s="84"/>
      <c r="AO1032" s="85"/>
      <c r="AP1032" s="84">
        <v>4923.0005799999999</v>
      </c>
      <c r="AQ1032" s="83">
        <v>10475.882729999999</v>
      </c>
      <c r="AR1032" s="83"/>
      <c r="AS1032" s="83"/>
      <c r="AT1032" s="85"/>
      <c r="AU1032" s="85"/>
      <c r="AV1032" s="85"/>
      <c r="AW1032" s="88"/>
      <c r="AX1032" s="84"/>
      <c r="AY1032" s="85"/>
      <c r="AZ1032" s="84">
        <v>6149.2752</v>
      </c>
      <c r="BA1032" s="85">
        <v>5568.6605799999998</v>
      </c>
      <c r="BB1032" s="88"/>
      <c r="BC1032" s="85"/>
      <c r="BD1032" s="84"/>
      <c r="BE1032" s="88"/>
      <c r="BF1032" s="85"/>
      <c r="BG1032" s="85">
        <v>2031.0028600000001</v>
      </c>
      <c r="BH1032" s="85"/>
      <c r="BI1032" s="85"/>
      <c r="BJ1032" s="85"/>
      <c r="BK1032" s="85">
        <v>933.43016999999998</v>
      </c>
      <c r="BL1032" s="85"/>
      <c r="BM1032" s="85"/>
      <c r="BN1032" s="85"/>
      <c r="BO1032" s="85"/>
      <c r="BP1032" s="85"/>
      <c r="BQ1032" s="85"/>
      <c r="BR1032" s="84"/>
      <c r="BS1032" s="85"/>
      <c r="BT1032" s="85"/>
      <c r="BU1032" s="198"/>
      <c r="BV1032" s="90"/>
      <c r="BW1032" s="198"/>
      <c r="BX1032" s="90"/>
      <c r="BY1032" s="198"/>
      <c r="BZ1032" s="90"/>
      <c r="CA1032" s="240"/>
      <c r="CB1032" s="178"/>
      <c r="CC1032" s="178"/>
      <c r="CD1032" s="178"/>
      <c r="CE1032" s="178"/>
      <c r="CF1032" s="178"/>
      <c r="CG1032" s="178"/>
      <c r="CH1032" s="178"/>
      <c r="CI1032" s="178"/>
      <c r="CJ1032" s="178"/>
      <c r="CK1032" s="178"/>
      <c r="CL1032" s="178"/>
      <c r="CM1032" s="178"/>
      <c r="CN1032" s="178"/>
      <c r="CO1032" s="178"/>
      <c r="CP1032" s="178"/>
      <c r="CQ1032" s="178"/>
      <c r="CR1032" s="178"/>
      <c r="CS1032" s="178"/>
      <c r="CT1032" s="178"/>
      <c r="CU1032" s="178"/>
      <c r="CV1032" s="178"/>
      <c r="CW1032" s="178"/>
      <c r="CX1032" s="178"/>
      <c r="CY1032" s="178"/>
      <c r="CZ1032" s="178"/>
      <c r="DA1032" s="178"/>
      <c r="DB1032" s="178"/>
      <c r="DC1032" s="178"/>
      <c r="DD1032" s="178"/>
      <c r="DE1032" s="178"/>
      <c r="DF1032" s="178"/>
      <c r="DG1032" s="178"/>
      <c r="DH1032" s="178"/>
      <c r="DI1032" s="178"/>
      <c r="DJ1032" s="178"/>
      <c r="DK1032" s="178"/>
      <c r="DL1032" s="178"/>
      <c r="DM1032" s="178"/>
      <c r="DN1032" s="178"/>
      <c r="DO1032" s="178"/>
      <c r="DP1032" s="178"/>
      <c r="DQ1032" s="178"/>
      <c r="DR1032" s="178"/>
      <c r="DS1032" s="178"/>
      <c r="DT1032" s="178"/>
      <c r="DU1032" s="178"/>
      <c r="DV1032" s="178"/>
      <c r="DW1032" s="178"/>
      <c r="DX1032" s="178"/>
      <c r="DY1032" s="178"/>
      <c r="DZ1032" s="178"/>
      <c r="EA1032" s="178"/>
      <c r="EB1032" s="178"/>
      <c r="EC1032" s="178"/>
      <c r="ED1032" s="178"/>
      <c r="EE1032" s="178"/>
      <c r="EF1032" s="178"/>
      <c r="EG1032" s="178"/>
      <c r="EH1032" s="178"/>
      <c r="EI1032" s="178"/>
      <c r="EJ1032" s="178"/>
      <c r="EK1032" s="178"/>
      <c r="EL1032" s="178"/>
      <c r="EM1032" s="178"/>
      <c r="EN1032" s="178"/>
      <c r="EO1032" s="178"/>
      <c r="EP1032" s="178"/>
      <c r="EQ1032" s="178"/>
      <c r="ER1032" s="178"/>
      <c r="ES1032" s="178"/>
      <c r="ET1032" s="178"/>
      <c r="EU1032" s="178"/>
      <c r="EV1032" s="178"/>
      <c r="EW1032" s="178"/>
      <c r="EX1032" s="178"/>
      <c r="EY1032" s="178"/>
      <c r="EZ1032" s="178"/>
      <c r="FA1032" s="178"/>
      <c r="FB1032" s="178"/>
      <c r="FC1032" s="178"/>
      <c r="FD1032" s="178"/>
      <c r="FE1032" s="178"/>
      <c r="FF1032" s="178"/>
      <c r="FG1032" s="178"/>
      <c r="FH1032" s="178"/>
      <c r="FI1032" s="178"/>
      <c r="FJ1032" s="178"/>
      <c r="FK1032" s="178"/>
      <c r="FL1032" s="178"/>
      <c r="FM1032" s="178"/>
      <c r="FN1032" s="178"/>
      <c r="FO1032" s="178"/>
      <c r="FP1032" s="178"/>
      <c r="FQ1032" s="178"/>
      <c r="FR1032" s="178"/>
      <c r="FS1032" s="178"/>
      <c r="FT1032" s="178"/>
      <c r="FU1032" s="178"/>
      <c r="FV1032" s="178"/>
      <c r="FW1032" s="178"/>
      <c r="FX1032" s="178"/>
      <c r="FY1032" s="178"/>
      <c r="FZ1032" s="178"/>
      <c r="GA1032" s="178"/>
      <c r="GB1032" s="178"/>
      <c r="GC1032" s="178"/>
      <c r="GD1032" s="178"/>
      <c r="GE1032" s="178"/>
      <c r="GF1032" s="178"/>
      <c r="GG1032" s="178"/>
      <c r="GH1032" s="178"/>
      <c r="GI1032" s="178"/>
      <c r="GJ1032" s="178"/>
      <c r="GK1032" s="178"/>
      <c r="GL1032" s="178"/>
      <c r="GM1032" s="178"/>
      <c r="GN1032" s="178"/>
      <c r="GO1032" s="178"/>
      <c r="GP1032" s="178"/>
      <c r="GQ1032" s="178"/>
      <c r="GR1032" s="178"/>
      <c r="GS1032" s="178"/>
      <c r="GT1032" s="178"/>
      <c r="GU1032" s="178"/>
      <c r="GV1032" s="178"/>
      <c r="GW1032" s="178"/>
      <c r="GX1032" s="178"/>
      <c r="GY1032" s="178"/>
      <c r="GZ1032" s="178"/>
      <c r="HA1032" s="178"/>
      <c r="HB1032" s="178"/>
      <c r="HC1032" s="178"/>
      <c r="HD1032" s="178"/>
      <c r="HE1032" s="178"/>
      <c r="HF1032" s="178"/>
      <c r="HG1032" s="178"/>
      <c r="HH1032" s="178"/>
      <c r="HI1032" s="178"/>
      <c r="HJ1032" s="178"/>
      <c r="HK1032" s="178"/>
      <c r="HL1032" s="178"/>
      <c r="HM1032" s="178"/>
      <c r="HN1032" s="178"/>
      <c r="HO1032" s="178"/>
      <c r="HP1032" s="178"/>
      <c r="HQ1032" s="178"/>
      <c r="HR1032" s="178"/>
      <c r="HS1032" s="178"/>
      <c r="HT1032" s="178"/>
      <c r="HU1032" s="178"/>
      <c r="HV1032" s="178"/>
      <c r="HW1032" s="178"/>
      <c r="HX1032" s="178"/>
      <c r="HY1032" s="178"/>
      <c r="HZ1032" s="178"/>
      <c r="IA1032" s="178"/>
      <c r="IB1032" s="178"/>
      <c r="IC1032" s="178"/>
      <c r="ID1032" s="178"/>
      <c r="IE1032" s="178"/>
      <c r="IF1032" s="178"/>
      <c r="IG1032" s="178"/>
      <c r="IH1032" s="178"/>
      <c r="II1032" s="178"/>
      <c r="IJ1032" s="178"/>
      <c r="IK1032" s="178"/>
      <c r="IL1032" s="178"/>
      <c r="IM1032" s="178"/>
      <c r="IN1032" s="178"/>
      <c r="IO1032" s="178"/>
      <c r="IP1032" s="178"/>
      <c r="IQ1032" s="178"/>
      <c r="IR1032" s="178"/>
      <c r="IS1032" s="178"/>
      <c r="IT1032" s="178"/>
      <c r="IU1032" s="178"/>
      <c r="IV1032" s="178"/>
      <c r="IW1032" s="178"/>
      <c r="IX1032" s="178"/>
      <c r="IY1032" s="178"/>
      <c r="IZ1032" s="178"/>
      <c r="JA1032" s="178"/>
      <c r="JB1032" s="178"/>
      <c r="JC1032" s="178"/>
      <c r="JD1032" s="178"/>
      <c r="JE1032" s="178"/>
      <c r="JF1032" s="178"/>
      <c r="JG1032" s="178"/>
      <c r="JH1032" s="178"/>
      <c r="JI1032" s="178"/>
      <c r="JJ1032" s="178"/>
      <c r="JK1032" s="178"/>
      <c r="JL1032" s="178"/>
      <c r="JM1032" s="178"/>
      <c r="JN1032" s="178"/>
      <c r="JO1032" s="178"/>
      <c r="JP1032" s="178"/>
      <c r="JQ1032" s="178"/>
      <c r="JR1032" s="178"/>
      <c r="JS1032" s="178"/>
      <c r="JT1032" s="178"/>
      <c r="JU1032" s="178"/>
      <c r="JV1032" s="178"/>
    </row>
    <row r="1033" spans="1:282" ht="50.1" customHeight="1" outlineLevel="2" x14ac:dyDescent="0.3">
      <c r="A1033" s="103" t="s">
        <v>859</v>
      </c>
      <c r="B1033" s="96" t="s">
        <v>868</v>
      </c>
      <c r="C1033" s="116" t="s">
        <v>37</v>
      </c>
      <c r="D1033" s="81">
        <f t="shared" si="236"/>
        <v>14982.41661</v>
      </c>
      <c r="E1033" s="82">
        <f t="shared" si="225"/>
        <v>3443.1460099999999</v>
      </c>
      <c r="F1033" s="83">
        <f t="shared" si="226"/>
        <v>11539.2706</v>
      </c>
      <c r="G1033" s="84"/>
      <c r="H1033" s="85"/>
      <c r="I1033" s="85"/>
      <c r="J1033" s="84">
        <f>95.12578+547.80293</f>
        <v>642.92870999999991</v>
      </c>
      <c r="K1033" s="85">
        <f>74.4252+81.6741</f>
        <v>156.0993</v>
      </c>
      <c r="L1033" s="143"/>
      <c r="M1033" s="143"/>
      <c r="N1033" s="143"/>
      <c r="O1033" s="128"/>
      <c r="P1033" s="129"/>
      <c r="Q1033" s="83">
        <v>747.62007000000006</v>
      </c>
      <c r="R1033" s="129"/>
      <c r="S1033" s="82">
        <v>1187.92561</v>
      </c>
      <c r="T1033" s="83">
        <v>1105.2675899999999</v>
      </c>
      <c r="U1033" s="129"/>
      <c r="V1033" s="144">
        <v>115.97499999999999</v>
      </c>
      <c r="W1033" s="85">
        <v>202.5</v>
      </c>
      <c r="X1033" s="87"/>
      <c r="Y1033" s="83">
        <v>499.2</v>
      </c>
      <c r="Z1033" s="145"/>
      <c r="AA1033" s="143"/>
      <c r="AB1033" s="145"/>
      <c r="AC1033" s="143"/>
      <c r="AD1033" s="89">
        <f t="shared" si="237"/>
        <v>606.34377999999992</v>
      </c>
      <c r="AE1033" s="89">
        <v>388.42649999999998</v>
      </c>
      <c r="AF1033" s="186">
        <v>217.91728000000001</v>
      </c>
      <c r="AG1033" s="143"/>
      <c r="AH1033" s="143"/>
      <c r="AI1033" s="143"/>
      <c r="AJ1033" s="145"/>
      <c r="AK1033" s="143"/>
      <c r="AL1033" s="145"/>
      <c r="AM1033" s="146"/>
      <c r="AN1033" s="84"/>
      <c r="AO1033" s="85"/>
      <c r="AP1033" s="145"/>
      <c r="AQ1033" s="129"/>
      <c r="AR1033" s="129"/>
      <c r="AS1033" s="129"/>
      <c r="AT1033" s="143"/>
      <c r="AU1033" s="143"/>
      <c r="AV1033" s="85">
        <v>3978.1609600000002</v>
      </c>
      <c r="AW1033" s="88"/>
      <c r="AX1033" s="84"/>
      <c r="AY1033" s="143"/>
      <c r="AZ1033" s="86">
        <v>1496.3166900000001</v>
      </c>
      <c r="BA1033" s="91">
        <v>1355.03295</v>
      </c>
      <c r="BB1033" s="88"/>
      <c r="BC1033" s="143"/>
      <c r="BD1033" s="145"/>
      <c r="BE1033" s="146"/>
      <c r="BF1033" s="143"/>
      <c r="BG1033" s="85"/>
      <c r="BH1033" s="143"/>
      <c r="BI1033" s="143"/>
      <c r="BJ1033" s="143"/>
      <c r="BK1033" s="143"/>
      <c r="BL1033" s="143"/>
      <c r="BM1033" s="143"/>
      <c r="BN1033" s="143"/>
      <c r="BO1033" s="143"/>
      <c r="BP1033" s="143"/>
      <c r="BQ1033" s="143"/>
      <c r="BR1033" s="145"/>
      <c r="BS1033" s="217">
        <v>2465.3000000000002</v>
      </c>
      <c r="BT1033" s="85">
        <v>423.74594999999999</v>
      </c>
      <c r="BU1033" s="198"/>
      <c r="BV1033" s="90"/>
      <c r="BW1033" s="198"/>
      <c r="BX1033" s="90"/>
      <c r="BY1033" s="198"/>
      <c r="BZ1033" s="90"/>
      <c r="CA1033" s="91"/>
    </row>
    <row r="1034" spans="1:282" ht="50.1" customHeight="1" outlineLevel="2" x14ac:dyDescent="0.3">
      <c r="A1034" s="103" t="s">
        <v>859</v>
      </c>
      <c r="B1034" s="96" t="s">
        <v>869</v>
      </c>
      <c r="C1034" s="79" t="s">
        <v>55</v>
      </c>
      <c r="D1034" s="81">
        <f t="shared" si="236"/>
        <v>1007.9775100000001</v>
      </c>
      <c r="E1034" s="82">
        <f t="shared" si="225"/>
        <v>372.33964000000003</v>
      </c>
      <c r="F1034" s="83">
        <f t="shared" si="226"/>
        <v>635.63787000000002</v>
      </c>
      <c r="G1034" s="84"/>
      <c r="H1034" s="85"/>
      <c r="I1034" s="85"/>
      <c r="J1034" s="84"/>
      <c r="K1034" s="85"/>
      <c r="L1034" s="85"/>
      <c r="M1034" s="85"/>
      <c r="N1034" s="85"/>
      <c r="O1034" s="82"/>
      <c r="P1034" s="83"/>
      <c r="Q1034" s="83"/>
      <c r="R1034" s="83"/>
      <c r="S1034" s="82"/>
      <c r="T1034" s="83"/>
      <c r="U1034" s="83"/>
      <c r="V1034" s="84">
        <v>185.56</v>
      </c>
      <c r="W1034" s="85">
        <v>324</v>
      </c>
      <c r="X1034" s="82"/>
      <c r="Y1034" s="83">
        <v>87.36</v>
      </c>
      <c r="Z1034" s="84"/>
      <c r="AA1034" s="85"/>
      <c r="AB1034" s="84"/>
      <c r="AC1034" s="85"/>
      <c r="AD1034" s="89">
        <f t="shared" si="237"/>
        <v>55.133759999999995</v>
      </c>
      <c r="AE1034" s="89">
        <v>17.192799999999998</v>
      </c>
      <c r="AF1034" s="186">
        <v>37.940959999999997</v>
      </c>
      <c r="AG1034" s="85"/>
      <c r="AH1034" s="85"/>
      <c r="AI1034" s="85"/>
      <c r="AJ1034" s="84"/>
      <c r="AK1034" s="85"/>
      <c r="AL1034" s="84"/>
      <c r="AM1034" s="88"/>
      <c r="AN1034" s="84"/>
      <c r="AO1034" s="85"/>
      <c r="AP1034" s="84"/>
      <c r="AQ1034" s="83"/>
      <c r="AR1034" s="83"/>
      <c r="AS1034" s="83"/>
      <c r="AT1034" s="85"/>
      <c r="AU1034" s="85"/>
      <c r="AV1034" s="85"/>
      <c r="AW1034" s="88"/>
      <c r="AX1034" s="84"/>
      <c r="AY1034" s="85"/>
      <c r="AZ1034" s="84">
        <v>186.77964</v>
      </c>
      <c r="BA1034" s="85">
        <v>169.14411000000001</v>
      </c>
      <c r="BB1034" s="88"/>
      <c r="BC1034" s="85"/>
      <c r="BD1034" s="84"/>
      <c r="BE1034" s="88"/>
      <c r="BF1034" s="85"/>
      <c r="BG1034" s="85"/>
      <c r="BH1034" s="85"/>
      <c r="BI1034" s="85"/>
      <c r="BJ1034" s="85"/>
      <c r="BK1034" s="85"/>
      <c r="BL1034" s="85"/>
      <c r="BM1034" s="85"/>
      <c r="BN1034" s="85"/>
      <c r="BO1034" s="85"/>
      <c r="BP1034" s="85"/>
      <c r="BQ1034" s="85"/>
      <c r="BR1034" s="84"/>
      <c r="BS1034" s="85"/>
      <c r="BT1034" s="85"/>
      <c r="BU1034" s="198"/>
      <c r="BV1034" s="90"/>
      <c r="BW1034" s="198"/>
      <c r="BX1034" s="90"/>
      <c r="BY1034" s="198"/>
      <c r="BZ1034" s="90"/>
      <c r="CA1034" s="91"/>
    </row>
    <row r="1035" spans="1:282" ht="50.1" customHeight="1" outlineLevel="2" x14ac:dyDescent="0.3">
      <c r="A1035" s="103" t="s">
        <v>859</v>
      </c>
      <c r="B1035" s="96" t="s">
        <v>870</v>
      </c>
      <c r="C1035" s="79" t="s">
        <v>55</v>
      </c>
      <c r="D1035" s="81">
        <f t="shared" si="236"/>
        <v>166.4</v>
      </c>
      <c r="E1035" s="82">
        <f t="shared" si="225"/>
        <v>0</v>
      </c>
      <c r="F1035" s="83">
        <f t="shared" si="226"/>
        <v>166.4</v>
      </c>
      <c r="G1035" s="84"/>
      <c r="H1035" s="85"/>
      <c r="I1035" s="85"/>
      <c r="J1035" s="84"/>
      <c r="K1035" s="85"/>
      <c r="L1035" s="85"/>
      <c r="M1035" s="85"/>
      <c r="N1035" s="85"/>
      <c r="O1035" s="82"/>
      <c r="P1035" s="83"/>
      <c r="Q1035" s="83"/>
      <c r="R1035" s="83"/>
      <c r="S1035" s="82"/>
      <c r="T1035" s="83"/>
      <c r="U1035" s="83"/>
      <c r="V1035" s="84"/>
      <c r="W1035" s="85"/>
      <c r="X1035" s="82"/>
      <c r="Y1035" s="83"/>
      <c r="Z1035" s="84"/>
      <c r="AA1035" s="85"/>
      <c r="AB1035" s="84"/>
      <c r="AC1035" s="85"/>
      <c r="AD1035" s="89">
        <f t="shared" si="237"/>
        <v>0</v>
      </c>
      <c r="AE1035" s="89"/>
      <c r="AF1035" s="186"/>
      <c r="AG1035" s="85"/>
      <c r="AH1035" s="85"/>
      <c r="AI1035" s="85"/>
      <c r="AJ1035" s="84"/>
      <c r="AK1035" s="85"/>
      <c r="AL1035" s="84"/>
      <c r="AM1035" s="88"/>
      <c r="AN1035" s="84"/>
      <c r="AO1035" s="85">
        <v>166.4</v>
      </c>
      <c r="AP1035" s="84"/>
      <c r="AQ1035" s="83"/>
      <c r="AR1035" s="83"/>
      <c r="AS1035" s="83"/>
      <c r="AT1035" s="85"/>
      <c r="AU1035" s="85"/>
      <c r="AV1035" s="85"/>
      <c r="AW1035" s="88"/>
      <c r="AX1035" s="84"/>
      <c r="AY1035" s="85"/>
      <c r="AZ1035" s="84"/>
      <c r="BA1035" s="85"/>
      <c r="BB1035" s="88"/>
      <c r="BC1035" s="85"/>
      <c r="BD1035" s="84"/>
      <c r="BE1035" s="88"/>
      <c r="BF1035" s="85"/>
      <c r="BG1035" s="85"/>
      <c r="BH1035" s="85"/>
      <c r="BI1035" s="85"/>
      <c r="BJ1035" s="85"/>
      <c r="BK1035" s="85"/>
      <c r="BL1035" s="85"/>
      <c r="BM1035" s="85"/>
      <c r="BN1035" s="85"/>
      <c r="BO1035" s="85"/>
      <c r="BP1035" s="85"/>
      <c r="BQ1035" s="85"/>
      <c r="BR1035" s="84"/>
      <c r="BS1035" s="85"/>
      <c r="BT1035" s="85"/>
      <c r="BU1035" s="198"/>
      <c r="BV1035" s="90"/>
      <c r="BW1035" s="198"/>
      <c r="BX1035" s="90"/>
      <c r="BY1035" s="198"/>
      <c r="BZ1035" s="90"/>
      <c r="CA1035" s="91"/>
    </row>
    <row r="1036" spans="1:282" ht="50.1" customHeight="1" outlineLevel="2" x14ac:dyDescent="0.3">
      <c r="A1036" s="103" t="s">
        <v>859</v>
      </c>
      <c r="B1036" s="96" t="s">
        <v>871</v>
      </c>
      <c r="C1036" s="79" t="s">
        <v>55</v>
      </c>
      <c r="D1036" s="81">
        <f t="shared" si="236"/>
        <v>232.96</v>
      </c>
      <c r="E1036" s="82">
        <f t="shared" si="225"/>
        <v>0</v>
      </c>
      <c r="F1036" s="83">
        <f t="shared" si="226"/>
        <v>232.96</v>
      </c>
      <c r="G1036" s="84"/>
      <c r="H1036" s="85"/>
      <c r="I1036" s="85"/>
      <c r="J1036" s="84"/>
      <c r="K1036" s="85"/>
      <c r="L1036" s="85"/>
      <c r="M1036" s="85"/>
      <c r="N1036" s="85"/>
      <c r="O1036" s="82"/>
      <c r="P1036" s="83"/>
      <c r="Q1036" s="83"/>
      <c r="R1036" s="83"/>
      <c r="S1036" s="82"/>
      <c r="T1036" s="83"/>
      <c r="U1036" s="83"/>
      <c r="V1036" s="84"/>
      <c r="W1036" s="85"/>
      <c r="X1036" s="82"/>
      <c r="Y1036" s="83"/>
      <c r="Z1036" s="84"/>
      <c r="AA1036" s="85"/>
      <c r="AB1036" s="84"/>
      <c r="AC1036" s="85"/>
      <c r="AD1036" s="89">
        <f t="shared" si="237"/>
        <v>0</v>
      </c>
      <c r="AE1036" s="89"/>
      <c r="AF1036" s="186"/>
      <c r="AG1036" s="85"/>
      <c r="AH1036" s="85"/>
      <c r="AI1036" s="85"/>
      <c r="AJ1036" s="84"/>
      <c r="AK1036" s="85"/>
      <c r="AL1036" s="84"/>
      <c r="AM1036" s="88"/>
      <c r="AN1036" s="84"/>
      <c r="AO1036" s="85">
        <v>232.96</v>
      </c>
      <c r="AP1036" s="84"/>
      <c r="AQ1036" s="83"/>
      <c r="AR1036" s="83"/>
      <c r="AS1036" s="83"/>
      <c r="AT1036" s="85"/>
      <c r="AU1036" s="85"/>
      <c r="AV1036" s="85"/>
      <c r="AW1036" s="88"/>
      <c r="AX1036" s="84"/>
      <c r="AY1036" s="85"/>
      <c r="AZ1036" s="84"/>
      <c r="BA1036" s="85"/>
      <c r="BB1036" s="88"/>
      <c r="BC1036" s="85"/>
      <c r="BD1036" s="84"/>
      <c r="BE1036" s="88"/>
      <c r="BF1036" s="85"/>
      <c r="BG1036" s="85"/>
      <c r="BH1036" s="85"/>
      <c r="BI1036" s="85"/>
      <c r="BJ1036" s="85"/>
      <c r="BK1036" s="85"/>
      <c r="BL1036" s="85"/>
      <c r="BM1036" s="85"/>
      <c r="BN1036" s="85"/>
      <c r="BO1036" s="85"/>
      <c r="BP1036" s="85"/>
      <c r="BQ1036" s="85"/>
      <c r="BR1036" s="84"/>
      <c r="BS1036" s="85"/>
      <c r="BT1036" s="85"/>
      <c r="BU1036" s="198"/>
      <c r="BV1036" s="90"/>
      <c r="BW1036" s="198"/>
      <c r="BX1036" s="90"/>
      <c r="BY1036" s="198"/>
      <c r="BZ1036" s="90"/>
      <c r="CA1036" s="91"/>
    </row>
    <row r="1037" spans="1:282" ht="50.1" customHeight="1" outlineLevel="2" x14ac:dyDescent="0.3">
      <c r="A1037" s="106" t="s">
        <v>859</v>
      </c>
      <c r="B1037" s="96" t="s">
        <v>872</v>
      </c>
      <c r="C1037" s="79" t="s">
        <v>55</v>
      </c>
      <c r="D1037" s="81">
        <f t="shared" si="236"/>
        <v>611.19848999999999</v>
      </c>
      <c r="E1037" s="82">
        <f t="shared" si="225"/>
        <v>122.57062999999999</v>
      </c>
      <c r="F1037" s="83">
        <f t="shared" si="226"/>
        <v>488.62786</v>
      </c>
      <c r="G1037" s="84"/>
      <c r="H1037" s="85"/>
      <c r="I1037" s="85"/>
      <c r="J1037" s="84"/>
      <c r="K1037" s="85"/>
      <c r="L1037" s="85"/>
      <c r="M1037" s="85"/>
      <c r="N1037" s="85"/>
      <c r="O1037" s="82"/>
      <c r="P1037" s="83"/>
      <c r="Q1037" s="83"/>
      <c r="R1037" s="83"/>
      <c r="S1037" s="82"/>
      <c r="T1037" s="83"/>
      <c r="U1037" s="83"/>
      <c r="V1037" s="84">
        <v>56.050199999999997</v>
      </c>
      <c r="W1037" s="85">
        <v>94.061700000000002</v>
      </c>
      <c r="X1037" s="87"/>
      <c r="Y1037" s="83">
        <v>31.2</v>
      </c>
      <c r="Z1037" s="84"/>
      <c r="AA1037" s="85"/>
      <c r="AB1037" s="84"/>
      <c r="AC1037" s="85"/>
      <c r="AD1037" s="89">
        <f t="shared" si="237"/>
        <v>11.92652</v>
      </c>
      <c r="AE1037" s="89">
        <v>7.0622999999999996</v>
      </c>
      <c r="AF1037" s="186">
        <v>4.8642200000000004</v>
      </c>
      <c r="AG1037" s="85"/>
      <c r="AH1037" s="85"/>
      <c r="AI1037" s="85"/>
      <c r="AJ1037" s="84"/>
      <c r="AK1037" s="85"/>
      <c r="AL1037" s="84"/>
      <c r="AM1037" s="88"/>
      <c r="AN1037" s="84"/>
      <c r="AO1037" s="85">
        <v>291.2</v>
      </c>
      <c r="AP1037" s="84"/>
      <c r="AQ1037" s="83"/>
      <c r="AR1037" s="83"/>
      <c r="AS1037" s="83"/>
      <c r="AT1037" s="85"/>
      <c r="AU1037" s="85"/>
      <c r="AV1037" s="85"/>
      <c r="AW1037" s="88"/>
      <c r="AX1037" s="84"/>
      <c r="AY1037" s="85"/>
      <c r="AZ1037" s="84">
        <v>66.520430000000005</v>
      </c>
      <c r="BA1037" s="85">
        <v>60.239640000000001</v>
      </c>
      <c r="BB1037" s="88"/>
      <c r="BC1037" s="85"/>
      <c r="BD1037" s="84"/>
      <c r="BE1037" s="88"/>
      <c r="BF1037" s="85"/>
      <c r="BG1037" s="85"/>
      <c r="BH1037" s="85"/>
      <c r="BI1037" s="85"/>
      <c r="BJ1037" s="85"/>
      <c r="BK1037" s="85"/>
      <c r="BL1037" s="85"/>
      <c r="BM1037" s="85"/>
      <c r="BN1037" s="85"/>
      <c r="BO1037" s="85"/>
      <c r="BP1037" s="85"/>
      <c r="BQ1037" s="85"/>
      <c r="BR1037" s="84"/>
      <c r="BS1037" s="85"/>
      <c r="BT1037" s="85"/>
      <c r="BU1037" s="198"/>
      <c r="BV1037" s="90"/>
      <c r="BW1037" s="198"/>
      <c r="BX1037" s="90"/>
      <c r="BY1037" s="198"/>
      <c r="BZ1037" s="90"/>
      <c r="CA1037" s="91"/>
    </row>
    <row r="1038" spans="1:282" ht="50.1" customHeight="1" outlineLevel="2" x14ac:dyDescent="0.3">
      <c r="A1038" s="106" t="s">
        <v>859</v>
      </c>
      <c r="B1038" s="96" t="s">
        <v>873</v>
      </c>
      <c r="C1038" s="79" t="s">
        <v>55</v>
      </c>
      <c r="D1038" s="81">
        <f t="shared" si="236"/>
        <v>1071.35959</v>
      </c>
      <c r="E1038" s="82">
        <f t="shared" si="225"/>
        <v>417.46802000000002</v>
      </c>
      <c r="F1038" s="83">
        <f t="shared" si="226"/>
        <v>653.89157</v>
      </c>
      <c r="G1038" s="84"/>
      <c r="H1038" s="85"/>
      <c r="I1038" s="85"/>
      <c r="J1038" s="84"/>
      <c r="K1038" s="85"/>
      <c r="L1038" s="85"/>
      <c r="M1038" s="85"/>
      <c r="N1038" s="85"/>
      <c r="O1038" s="82"/>
      <c r="P1038" s="83"/>
      <c r="Q1038" s="83"/>
      <c r="R1038" s="83"/>
      <c r="S1038" s="82"/>
      <c r="T1038" s="83"/>
      <c r="U1038" s="83"/>
      <c r="V1038" s="84">
        <v>208.755</v>
      </c>
      <c r="W1038" s="85">
        <v>364.5</v>
      </c>
      <c r="X1038" s="87"/>
      <c r="Y1038" s="83">
        <v>62.4</v>
      </c>
      <c r="Z1038" s="84"/>
      <c r="AA1038" s="85"/>
      <c r="AB1038" s="84"/>
      <c r="AC1038" s="85"/>
      <c r="AD1038" s="89">
        <f t="shared" si="237"/>
        <v>37.98516</v>
      </c>
      <c r="AE1038" s="89">
        <v>10.7455</v>
      </c>
      <c r="AF1038" s="186">
        <v>27.239660000000001</v>
      </c>
      <c r="AG1038" s="85"/>
      <c r="AH1038" s="85"/>
      <c r="AI1038" s="85"/>
      <c r="AJ1038" s="84"/>
      <c r="AK1038" s="85"/>
      <c r="AL1038" s="84"/>
      <c r="AM1038" s="88"/>
      <c r="AN1038" s="84"/>
      <c r="AO1038" s="85"/>
      <c r="AP1038" s="84"/>
      <c r="AQ1038" s="83"/>
      <c r="AR1038" s="83"/>
      <c r="AS1038" s="83"/>
      <c r="AT1038" s="85"/>
      <c r="AU1038" s="85"/>
      <c r="AV1038" s="85"/>
      <c r="AW1038" s="88"/>
      <c r="AX1038" s="84"/>
      <c r="AY1038" s="85"/>
      <c r="AZ1038" s="84">
        <v>208.71302</v>
      </c>
      <c r="BA1038" s="85">
        <v>189.00640999999999</v>
      </c>
      <c r="BB1038" s="88"/>
      <c r="BC1038" s="85"/>
      <c r="BD1038" s="84"/>
      <c r="BE1038" s="88"/>
      <c r="BF1038" s="85"/>
      <c r="BG1038" s="85"/>
      <c r="BH1038" s="85"/>
      <c r="BI1038" s="85"/>
      <c r="BJ1038" s="85"/>
      <c r="BK1038" s="85"/>
      <c r="BL1038" s="85"/>
      <c r="BM1038" s="85"/>
      <c r="BN1038" s="85"/>
      <c r="BO1038" s="85"/>
      <c r="BP1038" s="85"/>
      <c r="BQ1038" s="85"/>
      <c r="BR1038" s="84"/>
      <c r="BS1038" s="85"/>
      <c r="BT1038" s="85"/>
      <c r="BU1038" s="198"/>
      <c r="BV1038" s="90"/>
      <c r="BW1038" s="198"/>
      <c r="BX1038" s="90"/>
      <c r="BY1038" s="198"/>
      <c r="BZ1038" s="90"/>
      <c r="CA1038" s="91"/>
    </row>
    <row r="1039" spans="1:282" ht="50.1" customHeight="1" outlineLevel="2" x14ac:dyDescent="0.3">
      <c r="A1039" s="106" t="s">
        <v>859</v>
      </c>
      <c r="B1039" s="96" t="s">
        <v>874</v>
      </c>
      <c r="C1039" s="79" t="s">
        <v>55</v>
      </c>
      <c r="D1039" s="81">
        <f t="shared" si="236"/>
        <v>272.07596999999998</v>
      </c>
      <c r="E1039" s="82">
        <f t="shared" si="225"/>
        <v>120.78977999999999</v>
      </c>
      <c r="F1039" s="83">
        <f t="shared" si="226"/>
        <v>151.28619</v>
      </c>
      <c r="G1039" s="84"/>
      <c r="H1039" s="85"/>
      <c r="I1039" s="85"/>
      <c r="J1039" s="84"/>
      <c r="K1039" s="85"/>
      <c r="L1039" s="85"/>
      <c r="M1039" s="85"/>
      <c r="N1039" s="85"/>
      <c r="O1039" s="82"/>
      <c r="P1039" s="83"/>
      <c r="Q1039" s="83"/>
      <c r="R1039" s="83"/>
      <c r="S1039" s="82"/>
      <c r="T1039" s="83"/>
      <c r="U1039" s="83"/>
      <c r="V1039" s="84"/>
      <c r="W1039" s="85"/>
      <c r="X1039" s="87"/>
      <c r="Y1039" s="83">
        <v>31.2</v>
      </c>
      <c r="Z1039" s="84"/>
      <c r="AA1039" s="85"/>
      <c r="AB1039" s="84"/>
      <c r="AC1039" s="85"/>
      <c r="AD1039" s="89">
        <f t="shared" si="237"/>
        <v>10.7013</v>
      </c>
      <c r="AE1039" s="89"/>
      <c r="AF1039" s="186">
        <v>10.7013</v>
      </c>
      <c r="AG1039" s="85"/>
      <c r="AH1039" s="85"/>
      <c r="AI1039" s="85"/>
      <c r="AJ1039" s="84"/>
      <c r="AK1039" s="85"/>
      <c r="AL1039" s="84"/>
      <c r="AM1039" s="88"/>
      <c r="AN1039" s="84"/>
      <c r="AO1039" s="85"/>
      <c r="AP1039" s="84"/>
      <c r="AQ1039" s="83"/>
      <c r="AR1039" s="83"/>
      <c r="AS1039" s="83"/>
      <c r="AT1039" s="85"/>
      <c r="AU1039" s="85"/>
      <c r="AV1039" s="85"/>
      <c r="AW1039" s="88"/>
      <c r="AX1039" s="84"/>
      <c r="AY1039" s="85"/>
      <c r="AZ1039" s="84">
        <v>120.78977999999999</v>
      </c>
      <c r="BA1039" s="85">
        <v>109.38489</v>
      </c>
      <c r="BB1039" s="88"/>
      <c r="BC1039" s="85"/>
      <c r="BD1039" s="84"/>
      <c r="BE1039" s="88"/>
      <c r="BF1039" s="85"/>
      <c r="BG1039" s="85"/>
      <c r="BH1039" s="85"/>
      <c r="BI1039" s="85"/>
      <c r="BJ1039" s="85"/>
      <c r="BK1039" s="85"/>
      <c r="BL1039" s="85"/>
      <c r="BM1039" s="85"/>
      <c r="BN1039" s="85"/>
      <c r="BO1039" s="85"/>
      <c r="BP1039" s="85"/>
      <c r="BQ1039" s="85"/>
      <c r="BR1039" s="84"/>
      <c r="BS1039" s="85"/>
      <c r="BT1039" s="85"/>
      <c r="BU1039" s="198"/>
      <c r="BV1039" s="90"/>
      <c r="BW1039" s="198"/>
      <c r="BX1039" s="90"/>
      <c r="BY1039" s="198"/>
      <c r="BZ1039" s="90"/>
      <c r="CA1039" s="91"/>
    </row>
    <row r="1040" spans="1:282" ht="50.1" customHeight="1" outlineLevel="2" x14ac:dyDescent="0.3">
      <c r="A1040" s="106" t="s">
        <v>859</v>
      </c>
      <c r="B1040" s="96" t="s">
        <v>875</v>
      </c>
      <c r="C1040" s="79" t="s">
        <v>55</v>
      </c>
      <c r="D1040" s="81">
        <f t="shared" si="236"/>
        <v>671.28594999999996</v>
      </c>
      <c r="E1040" s="82">
        <f t="shared" si="225"/>
        <v>192.70609999999999</v>
      </c>
      <c r="F1040" s="83">
        <f t="shared" si="226"/>
        <v>478.57984999999996</v>
      </c>
      <c r="G1040" s="84"/>
      <c r="H1040" s="85"/>
      <c r="I1040" s="85"/>
      <c r="J1040" s="84"/>
      <c r="K1040" s="85"/>
      <c r="L1040" s="85">
        <v>8.19726</v>
      </c>
      <c r="M1040" s="85"/>
      <c r="N1040" s="85"/>
      <c r="O1040" s="82"/>
      <c r="P1040" s="83"/>
      <c r="Q1040" s="83"/>
      <c r="R1040" s="83"/>
      <c r="S1040" s="82"/>
      <c r="T1040" s="83"/>
      <c r="U1040" s="83"/>
      <c r="V1040" s="84"/>
      <c r="W1040" s="85"/>
      <c r="X1040" s="87"/>
      <c r="Y1040" s="83">
        <v>48.36</v>
      </c>
      <c r="Z1040" s="84"/>
      <c r="AA1040" s="85"/>
      <c r="AB1040" s="84"/>
      <c r="AC1040" s="85"/>
      <c r="AD1040" s="89">
        <f t="shared" si="237"/>
        <v>47.350999999999999</v>
      </c>
      <c r="AE1040" s="89">
        <v>17.192799999999998</v>
      </c>
      <c r="AF1040" s="186">
        <v>30.158200000000001</v>
      </c>
      <c r="AG1040" s="85"/>
      <c r="AH1040" s="85"/>
      <c r="AI1040" s="85"/>
      <c r="AJ1040" s="84"/>
      <c r="AK1040" s="85"/>
      <c r="AL1040" s="84"/>
      <c r="AM1040" s="88"/>
      <c r="AN1040" s="84"/>
      <c r="AO1040" s="85"/>
      <c r="AP1040" s="84"/>
      <c r="AQ1040" s="83"/>
      <c r="AR1040" s="83"/>
      <c r="AS1040" s="83"/>
      <c r="AT1040" s="85"/>
      <c r="AU1040" s="85"/>
      <c r="AV1040" s="85">
        <v>200.16079999999999</v>
      </c>
      <c r="AW1040" s="88"/>
      <c r="AX1040" s="84"/>
      <c r="AY1040" s="85"/>
      <c r="AZ1040" s="84">
        <v>192.70609999999999</v>
      </c>
      <c r="BA1040" s="85">
        <v>174.51078999999999</v>
      </c>
      <c r="BB1040" s="88"/>
      <c r="BC1040" s="85"/>
      <c r="BD1040" s="84"/>
      <c r="BE1040" s="88"/>
      <c r="BF1040" s="85"/>
      <c r="BG1040" s="85"/>
      <c r="BH1040" s="85"/>
      <c r="BI1040" s="85"/>
      <c r="BJ1040" s="85"/>
      <c r="BK1040" s="85"/>
      <c r="BL1040" s="85"/>
      <c r="BM1040" s="85"/>
      <c r="BN1040" s="85"/>
      <c r="BO1040" s="85"/>
      <c r="BP1040" s="85"/>
      <c r="BQ1040" s="85"/>
      <c r="BR1040" s="84"/>
      <c r="BS1040" s="85"/>
      <c r="BT1040" s="85"/>
      <c r="BU1040" s="198"/>
      <c r="BV1040" s="90"/>
      <c r="BW1040" s="198"/>
      <c r="BX1040" s="90"/>
      <c r="BY1040" s="198"/>
      <c r="BZ1040" s="90"/>
      <c r="CA1040" s="91"/>
    </row>
    <row r="1041" spans="1:79" ht="50.1" customHeight="1" outlineLevel="2" x14ac:dyDescent="0.3">
      <c r="A1041" s="106" t="s">
        <v>859</v>
      </c>
      <c r="B1041" s="96" t="s">
        <v>876</v>
      </c>
      <c r="C1041" s="79" t="s">
        <v>55</v>
      </c>
      <c r="D1041" s="81">
        <f t="shared" si="236"/>
        <v>546.17336999999998</v>
      </c>
      <c r="E1041" s="82">
        <f t="shared" si="225"/>
        <v>120.94627</v>
      </c>
      <c r="F1041" s="83">
        <f t="shared" si="226"/>
        <v>425.22709999999995</v>
      </c>
      <c r="G1041" s="84"/>
      <c r="H1041" s="85"/>
      <c r="I1041" s="85"/>
      <c r="J1041" s="84"/>
      <c r="K1041" s="85"/>
      <c r="L1041" s="85"/>
      <c r="M1041" s="85"/>
      <c r="N1041" s="85"/>
      <c r="O1041" s="82"/>
      <c r="P1041" s="83"/>
      <c r="Q1041" s="83"/>
      <c r="R1041" s="83"/>
      <c r="S1041" s="82"/>
      <c r="T1041" s="83"/>
      <c r="U1041" s="83"/>
      <c r="V1041" s="84"/>
      <c r="W1041" s="85"/>
      <c r="X1041" s="87"/>
      <c r="Y1041" s="83">
        <v>46.8</v>
      </c>
      <c r="Z1041" s="84"/>
      <c r="AA1041" s="85"/>
      <c r="AB1041" s="84"/>
      <c r="AC1041" s="85"/>
      <c r="AD1041" s="89">
        <f t="shared" si="237"/>
        <v>56.714089999999999</v>
      </c>
      <c r="AE1041" s="89">
        <v>35.311500000000002</v>
      </c>
      <c r="AF1041" s="186">
        <v>21.40259</v>
      </c>
      <c r="AG1041" s="85"/>
      <c r="AH1041" s="85"/>
      <c r="AI1041" s="85"/>
      <c r="AJ1041" s="84"/>
      <c r="AK1041" s="85"/>
      <c r="AL1041" s="84"/>
      <c r="AM1041" s="88"/>
      <c r="AN1041" s="84"/>
      <c r="AO1041" s="85"/>
      <c r="AP1041" s="84"/>
      <c r="AQ1041" s="83"/>
      <c r="AR1041" s="83"/>
      <c r="AS1041" s="83"/>
      <c r="AT1041" s="85"/>
      <c r="AU1041" s="85"/>
      <c r="AV1041" s="85"/>
      <c r="AW1041" s="88"/>
      <c r="AX1041" s="84"/>
      <c r="AY1041" s="85"/>
      <c r="AZ1041" s="84">
        <v>120.94627</v>
      </c>
      <c r="BA1041" s="85">
        <v>109.52651</v>
      </c>
      <c r="BB1041" s="88"/>
      <c r="BC1041" s="85"/>
      <c r="BD1041" s="84"/>
      <c r="BE1041" s="88"/>
      <c r="BF1041" s="85"/>
      <c r="BG1041" s="85">
        <v>212.1865</v>
      </c>
      <c r="BH1041" s="85"/>
      <c r="BI1041" s="85"/>
      <c r="BJ1041" s="85"/>
      <c r="BK1041" s="85"/>
      <c r="BL1041" s="85"/>
      <c r="BM1041" s="85"/>
      <c r="BN1041" s="85"/>
      <c r="BO1041" s="85"/>
      <c r="BP1041" s="85"/>
      <c r="BQ1041" s="85"/>
      <c r="BR1041" s="84"/>
      <c r="BS1041" s="85"/>
      <c r="BT1041" s="85"/>
      <c r="BU1041" s="198"/>
      <c r="BV1041" s="90"/>
      <c r="BW1041" s="198"/>
      <c r="BX1041" s="90"/>
      <c r="BY1041" s="198"/>
      <c r="BZ1041" s="90"/>
      <c r="CA1041" s="91"/>
    </row>
    <row r="1042" spans="1:79" ht="50.1" customHeight="1" outlineLevel="2" x14ac:dyDescent="0.3">
      <c r="A1042" s="106" t="s">
        <v>859</v>
      </c>
      <c r="B1042" s="96" t="s">
        <v>877</v>
      </c>
      <c r="C1042" s="79" t="s">
        <v>55</v>
      </c>
      <c r="D1042" s="81">
        <f t="shared" si="236"/>
        <v>638.29667999999992</v>
      </c>
      <c r="E1042" s="82">
        <f t="shared" si="225"/>
        <v>228.47266999999999</v>
      </c>
      <c r="F1042" s="83">
        <f t="shared" si="226"/>
        <v>409.82400999999999</v>
      </c>
      <c r="G1042" s="84"/>
      <c r="H1042" s="85"/>
      <c r="I1042" s="85"/>
      <c r="J1042" s="84"/>
      <c r="K1042" s="85"/>
      <c r="L1042" s="85"/>
      <c r="M1042" s="85"/>
      <c r="N1042" s="85"/>
      <c r="O1042" s="82"/>
      <c r="P1042" s="83"/>
      <c r="Q1042" s="83"/>
      <c r="R1042" s="83"/>
      <c r="S1042" s="82"/>
      <c r="T1042" s="83"/>
      <c r="U1042" s="83"/>
      <c r="V1042" s="84">
        <v>142.88120000000001</v>
      </c>
      <c r="W1042" s="85">
        <v>249.48</v>
      </c>
      <c r="X1042" s="87"/>
      <c r="Y1042" s="83">
        <v>39</v>
      </c>
      <c r="Z1042" s="84"/>
      <c r="AA1042" s="85"/>
      <c r="AB1042" s="84"/>
      <c r="AC1042" s="85"/>
      <c r="AD1042" s="89">
        <f t="shared" si="237"/>
        <v>35.934010000000001</v>
      </c>
      <c r="AE1042" s="89">
        <f>7.0623+7.0623+4.2982</f>
        <v>18.422799999999999</v>
      </c>
      <c r="AF1042" s="186">
        <v>17.511209999999998</v>
      </c>
      <c r="AG1042" s="85"/>
      <c r="AH1042" s="85"/>
      <c r="AI1042" s="85"/>
      <c r="AJ1042" s="84"/>
      <c r="AK1042" s="85"/>
      <c r="AL1042" s="84"/>
      <c r="AM1042" s="88"/>
      <c r="AN1042" s="84"/>
      <c r="AO1042" s="85"/>
      <c r="AP1042" s="84"/>
      <c r="AQ1042" s="83"/>
      <c r="AR1042" s="83"/>
      <c r="AS1042" s="83"/>
      <c r="AT1042" s="85"/>
      <c r="AU1042" s="85"/>
      <c r="AV1042" s="85"/>
      <c r="AW1042" s="88"/>
      <c r="AX1042" s="84"/>
      <c r="AY1042" s="85"/>
      <c r="AZ1042" s="84">
        <v>85.591470000000001</v>
      </c>
      <c r="BA1042" s="85">
        <v>77.510000000000005</v>
      </c>
      <c r="BB1042" s="88"/>
      <c r="BC1042" s="85"/>
      <c r="BD1042" s="84"/>
      <c r="BE1042" s="88"/>
      <c r="BF1042" s="85"/>
      <c r="BG1042" s="85">
        <v>7.9</v>
      </c>
      <c r="BH1042" s="85"/>
      <c r="BI1042" s="85"/>
      <c r="BJ1042" s="85"/>
      <c r="BK1042" s="85"/>
      <c r="BL1042" s="85"/>
      <c r="BM1042" s="85"/>
      <c r="BN1042" s="85"/>
      <c r="BO1042" s="85"/>
      <c r="BP1042" s="85"/>
      <c r="BQ1042" s="85"/>
      <c r="BR1042" s="84"/>
      <c r="BS1042" s="85"/>
      <c r="BT1042" s="85"/>
      <c r="BU1042" s="198"/>
      <c r="BV1042" s="90"/>
      <c r="BW1042" s="198"/>
      <c r="BX1042" s="90"/>
      <c r="BY1042" s="198"/>
      <c r="BZ1042" s="90"/>
      <c r="CA1042" s="91"/>
    </row>
    <row r="1043" spans="1:79" ht="50.1" customHeight="1" outlineLevel="2" x14ac:dyDescent="0.3">
      <c r="A1043" s="106" t="s">
        <v>859</v>
      </c>
      <c r="B1043" s="96" t="s">
        <v>878</v>
      </c>
      <c r="C1043" s="79" t="s">
        <v>55</v>
      </c>
      <c r="D1043" s="81">
        <f t="shared" si="236"/>
        <v>721.22939999999994</v>
      </c>
      <c r="E1043" s="82">
        <f t="shared" si="225"/>
        <v>613.44782999999995</v>
      </c>
      <c r="F1043" s="83">
        <f t="shared" si="226"/>
        <v>107.78156999999999</v>
      </c>
      <c r="G1043" s="84"/>
      <c r="H1043" s="85"/>
      <c r="I1043" s="85"/>
      <c r="J1043" s="84">
        <v>64.802239999999998</v>
      </c>
      <c r="K1043" s="85">
        <v>19.28444</v>
      </c>
      <c r="L1043" s="85"/>
      <c r="M1043" s="85"/>
      <c r="N1043" s="85"/>
      <c r="O1043" s="82"/>
      <c r="P1043" s="83"/>
      <c r="Q1043" s="83"/>
      <c r="R1043" s="83"/>
      <c r="S1043" s="82"/>
      <c r="T1043" s="83"/>
      <c r="U1043" s="83"/>
      <c r="V1043" s="84"/>
      <c r="W1043" s="85"/>
      <c r="X1043" s="87"/>
      <c r="Y1043" s="83">
        <v>24.96</v>
      </c>
      <c r="Z1043" s="84"/>
      <c r="AA1043" s="85"/>
      <c r="AB1043" s="84"/>
      <c r="AC1043" s="85"/>
      <c r="AD1043" s="89">
        <f t="shared" si="237"/>
        <v>21.907359999999997</v>
      </c>
      <c r="AE1043" s="89">
        <v>14.124599999999999</v>
      </c>
      <c r="AF1043" s="186">
        <v>7.7827599999999997</v>
      </c>
      <c r="AG1043" s="85"/>
      <c r="AH1043" s="85"/>
      <c r="AI1043" s="85"/>
      <c r="AJ1043" s="84"/>
      <c r="AK1043" s="85"/>
      <c r="AL1043" s="84"/>
      <c r="AM1043" s="88"/>
      <c r="AN1043" s="84"/>
      <c r="AO1043" s="85"/>
      <c r="AP1043" s="84"/>
      <c r="AQ1043" s="83"/>
      <c r="AR1043" s="83"/>
      <c r="AS1043" s="83"/>
      <c r="AT1043" s="85"/>
      <c r="AU1043" s="85"/>
      <c r="AV1043" s="85"/>
      <c r="AW1043" s="88"/>
      <c r="AX1043" s="84"/>
      <c r="AY1043" s="85"/>
      <c r="AZ1043" s="84">
        <v>45.970269999999999</v>
      </c>
      <c r="BA1043" s="85">
        <v>41.629770000000001</v>
      </c>
      <c r="BB1043" s="88"/>
      <c r="BC1043" s="85"/>
      <c r="BD1043" s="84"/>
      <c r="BE1043" s="88"/>
      <c r="BF1043" s="85"/>
      <c r="BG1043" s="85"/>
      <c r="BH1043" s="85"/>
      <c r="BI1043" s="85"/>
      <c r="BJ1043" s="85"/>
      <c r="BK1043" s="85"/>
      <c r="BL1043" s="85"/>
      <c r="BM1043" s="85"/>
      <c r="BN1043" s="85"/>
      <c r="BO1043" s="85"/>
      <c r="BP1043" s="85"/>
      <c r="BQ1043" s="85"/>
      <c r="BR1043" s="84">
        <v>502.67532</v>
      </c>
      <c r="BS1043" s="85"/>
      <c r="BT1043" s="85"/>
      <c r="BU1043" s="198"/>
      <c r="BV1043" s="90"/>
      <c r="BW1043" s="198"/>
      <c r="BX1043" s="90"/>
      <c r="BY1043" s="198"/>
      <c r="BZ1043" s="90"/>
      <c r="CA1043" s="91"/>
    </row>
    <row r="1044" spans="1:79" ht="50.1" customHeight="1" outlineLevel="2" x14ac:dyDescent="0.3">
      <c r="A1044" s="106" t="s">
        <v>859</v>
      </c>
      <c r="B1044" s="96" t="s">
        <v>879</v>
      </c>
      <c r="C1044" s="79" t="s">
        <v>55</v>
      </c>
      <c r="D1044" s="81">
        <f t="shared" si="236"/>
        <v>887.87655000000007</v>
      </c>
      <c r="E1044" s="82">
        <f t="shared" si="225"/>
        <v>612.51106000000004</v>
      </c>
      <c r="F1044" s="83">
        <f t="shared" si="226"/>
        <v>275.36549000000002</v>
      </c>
      <c r="G1044" s="84"/>
      <c r="H1044" s="85"/>
      <c r="I1044" s="85"/>
      <c r="J1044" s="84"/>
      <c r="K1044" s="85"/>
      <c r="L1044" s="85"/>
      <c r="M1044" s="85"/>
      <c r="N1044" s="85"/>
      <c r="O1044" s="82"/>
      <c r="P1044" s="83"/>
      <c r="Q1044" s="83"/>
      <c r="R1044" s="83"/>
      <c r="S1044" s="82"/>
      <c r="T1044" s="83"/>
      <c r="U1044" s="83"/>
      <c r="V1044" s="84">
        <v>105.7692</v>
      </c>
      <c r="W1044" s="85">
        <v>184.68</v>
      </c>
      <c r="X1044" s="87"/>
      <c r="Y1044" s="83">
        <v>11.544</v>
      </c>
      <c r="Z1044" s="84"/>
      <c r="AA1044" s="85"/>
      <c r="AB1044" s="84"/>
      <c r="AC1044" s="85"/>
      <c r="AD1044" s="89">
        <f t="shared" si="237"/>
        <v>17.7636</v>
      </c>
      <c r="AE1044" s="89">
        <v>7.0622999999999996</v>
      </c>
      <c r="AF1044" s="186">
        <v>10.7013</v>
      </c>
      <c r="AG1044" s="85"/>
      <c r="AH1044" s="85"/>
      <c r="AI1044" s="85"/>
      <c r="AJ1044" s="84"/>
      <c r="AK1044" s="85"/>
      <c r="AL1044" s="84"/>
      <c r="AM1044" s="88"/>
      <c r="AN1044" s="84"/>
      <c r="AO1044" s="85"/>
      <c r="AP1044" s="84"/>
      <c r="AQ1044" s="83"/>
      <c r="AR1044" s="83"/>
      <c r="AS1044" s="83"/>
      <c r="AT1044" s="85"/>
      <c r="AU1044" s="85"/>
      <c r="AV1044" s="85"/>
      <c r="AW1044" s="88"/>
      <c r="AX1044" s="84"/>
      <c r="AY1044" s="85"/>
      <c r="AZ1044" s="84">
        <v>67.777360000000002</v>
      </c>
      <c r="BA1044" s="85">
        <v>61.377890000000001</v>
      </c>
      <c r="BB1044" s="88"/>
      <c r="BC1044" s="85"/>
      <c r="BD1044" s="84"/>
      <c r="BE1044" s="88"/>
      <c r="BF1044" s="85"/>
      <c r="BG1044" s="85"/>
      <c r="BH1044" s="85"/>
      <c r="BI1044" s="85"/>
      <c r="BJ1044" s="85"/>
      <c r="BK1044" s="85"/>
      <c r="BL1044" s="85"/>
      <c r="BM1044" s="85"/>
      <c r="BN1044" s="85"/>
      <c r="BO1044" s="85"/>
      <c r="BP1044" s="85"/>
      <c r="BQ1044" s="85"/>
      <c r="BR1044" s="84">
        <v>438.96449999999999</v>
      </c>
      <c r="BS1044" s="85"/>
      <c r="BT1044" s="85"/>
      <c r="BU1044" s="198"/>
      <c r="BV1044" s="90"/>
      <c r="BW1044" s="198"/>
      <c r="BX1044" s="90"/>
      <c r="BY1044" s="198"/>
      <c r="BZ1044" s="90"/>
      <c r="CA1044" s="91"/>
    </row>
    <row r="1045" spans="1:79" ht="50.1" customHeight="1" outlineLevel="2" x14ac:dyDescent="0.3">
      <c r="A1045" s="106" t="s">
        <v>859</v>
      </c>
      <c r="B1045" s="96" t="s">
        <v>880</v>
      </c>
      <c r="C1045" s="79" t="s">
        <v>55</v>
      </c>
      <c r="D1045" s="81">
        <f t="shared" si="236"/>
        <v>854.36759000000006</v>
      </c>
      <c r="E1045" s="82">
        <f t="shared" si="225"/>
        <v>326.06329999999997</v>
      </c>
      <c r="F1045" s="83">
        <f t="shared" si="226"/>
        <v>528.30429000000004</v>
      </c>
      <c r="G1045" s="84"/>
      <c r="H1045" s="85"/>
      <c r="I1045" s="85"/>
      <c r="J1045" s="84"/>
      <c r="K1045" s="85"/>
      <c r="L1045" s="85"/>
      <c r="M1045" s="85"/>
      <c r="N1045" s="85"/>
      <c r="O1045" s="82"/>
      <c r="P1045" s="83"/>
      <c r="Q1045" s="83"/>
      <c r="R1045" s="83"/>
      <c r="S1045" s="82"/>
      <c r="T1045" s="83"/>
      <c r="U1045" s="83"/>
      <c r="V1045" s="84">
        <v>202.49234999999999</v>
      </c>
      <c r="W1045" s="85">
        <v>353.565</v>
      </c>
      <c r="X1045" s="87"/>
      <c r="Y1045" s="83">
        <v>31.2</v>
      </c>
      <c r="Z1045" s="84"/>
      <c r="AA1045" s="85"/>
      <c r="AB1045" s="84"/>
      <c r="AC1045" s="85"/>
      <c r="AD1045" s="89">
        <f t="shared" si="237"/>
        <v>31.635809999999999</v>
      </c>
      <c r="AE1045" s="89">
        <v>14.124599999999999</v>
      </c>
      <c r="AF1045" s="186">
        <v>17.511209999999998</v>
      </c>
      <c r="AG1045" s="85"/>
      <c r="AH1045" s="85"/>
      <c r="AI1045" s="85"/>
      <c r="AJ1045" s="84"/>
      <c r="AK1045" s="85"/>
      <c r="AL1045" s="84"/>
      <c r="AM1045" s="88"/>
      <c r="AN1045" s="84"/>
      <c r="AO1045" s="85"/>
      <c r="AP1045" s="84"/>
      <c r="AQ1045" s="83"/>
      <c r="AR1045" s="83"/>
      <c r="AS1045" s="83"/>
      <c r="AT1045" s="85"/>
      <c r="AU1045" s="85"/>
      <c r="AV1045" s="85"/>
      <c r="AW1045" s="88"/>
      <c r="AX1045" s="84"/>
      <c r="AY1045" s="85"/>
      <c r="AZ1045" s="84">
        <v>123.57095</v>
      </c>
      <c r="BA1045" s="85">
        <v>111.90348</v>
      </c>
      <c r="BB1045" s="88"/>
      <c r="BC1045" s="85"/>
      <c r="BD1045" s="84"/>
      <c r="BE1045" s="88"/>
      <c r="BF1045" s="85"/>
      <c r="BG1045" s="85"/>
      <c r="BH1045" s="85"/>
      <c r="BI1045" s="85"/>
      <c r="BJ1045" s="85"/>
      <c r="BK1045" s="85"/>
      <c r="BL1045" s="85"/>
      <c r="BM1045" s="85"/>
      <c r="BN1045" s="85"/>
      <c r="BO1045" s="85"/>
      <c r="BP1045" s="85"/>
      <c r="BQ1045" s="85"/>
      <c r="BR1045" s="84"/>
      <c r="BS1045" s="85"/>
      <c r="BT1045" s="85"/>
      <c r="BU1045" s="198"/>
      <c r="BV1045" s="90"/>
      <c r="BW1045" s="198"/>
      <c r="BX1045" s="90"/>
      <c r="BY1045" s="198"/>
      <c r="BZ1045" s="90"/>
      <c r="CA1045" s="91"/>
    </row>
    <row r="1046" spans="1:79" ht="50.1" customHeight="1" outlineLevel="2" x14ac:dyDescent="0.3">
      <c r="A1046" s="106" t="s">
        <v>859</v>
      </c>
      <c r="B1046" s="96" t="s">
        <v>881</v>
      </c>
      <c r="C1046" s="79" t="s">
        <v>55</v>
      </c>
      <c r="D1046" s="81">
        <f t="shared" si="236"/>
        <v>1000.40936</v>
      </c>
      <c r="E1046" s="82">
        <f t="shared" si="225"/>
        <v>369.97892999999999</v>
      </c>
      <c r="F1046" s="83">
        <f t="shared" si="226"/>
        <v>630.43043</v>
      </c>
      <c r="G1046" s="84"/>
      <c r="H1046" s="85"/>
      <c r="I1046" s="85"/>
      <c r="J1046" s="84"/>
      <c r="K1046" s="85"/>
      <c r="L1046" s="85"/>
      <c r="M1046" s="85"/>
      <c r="N1046" s="85"/>
      <c r="O1046" s="82"/>
      <c r="P1046" s="83"/>
      <c r="Q1046" s="83"/>
      <c r="R1046" s="83"/>
      <c r="S1046" s="82"/>
      <c r="T1046" s="83"/>
      <c r="U1046" s="83"/>
      <c r="V1046" s="84">
        <v>231.95</v>
      </c>
      <c r="W1046" s="85">
        <v>405</v>
      </c>
      <c r="X1046" s="87"/>
      <c r="Y1046" s="83">
        <v>52.728000000000002</v>
      </c>
      <c r="Z1046" s="84"/>
      <c r="AA1046" s="85"/>
      <c r="AB1046" s="84"/>
      <c r="AC1046" s="85"/>
      <c r="AD1046" s="89">
        <f t="shared" si="237"/>
        <v>47.706099999999999</v>
      </c>
      <c r="AE1046" s="89">
        <v>28.249199999999998</v>
      </c>
      <c r="AF1046" s="186">
        <v>19.456900000000001</v>
      </c>
      <c r="AG1046" s="85"/>
      <c r="AH1046" s="85"/>
      <c r="AI1046" s="85"/>
      <c r="AJ1046" s="84"/>
      <c r="AK1046" s="85"/>
      <c r="AL1046" s="84"/>
      <c r="AM1046" s="88"/>
      <c r="AN1046" s="84"/>
      <c r="AO1046" s="85"/>
      <c r="AP1046" s="84"/>
      <c r="AQ1046" s="83"/>
      <c r="AR1046" s="83"/>
      <c r="AS1046" s="83"/>
      <c r="AT1046" s="85"/>
      <c r="AU1046" s="85"/>
      <c r="AV1046" s="85"/>
      <c r="AW1046" s="88"/>
      <c r="AX1046" s="84"/>
      <c r="AY1046" s="85"/>
      <c r="AZ1046" s="84">
        <v>138.02893</v>
      </c>
      <c r="BA1046" s="85">
        <v>124.99633</v>
      </c>
      <c r="BB1046" s="88"/>
      <c r="BC1046" s="85"/>
      <c r="BD1046" s="84"/>
      <c r="BE1046" s="88"/>
      <c r="BF1046" s="85"/>
      <c r="BG1046" s="85"/>
      <c r="BH1046" s="85"/>
      <c r="BI1046" s="85"/>
      <c r="BJ1046" s="85"/>
      <c r="BK1046" s="85"/>
      <c r="BL1046" s="85"/>
      <c r="BM1046" s="85"/>
      <c r="BN1046" s="85"/>
      <c r="BO1046" s="85"/>
      <c r="BP1046" s="85"/>
      <c r="BQ1046" s="85"/>
      <c r="BR1046" s="84"/>
      <c r="BS1046" s="85"/>
      <c r="BT1046" s="85"/>
      <c r="BU1046" s="198"/>
      <c r="BV1046" s="90"/>
      <c r="BW1046" s="198"/>
      <c r="BX1046" s="90"/>
      <c r="BY1046" s="198"/>
      <c r="BZ1046" s="90"/>
      <c r="CA1046" s="91"/>
    </row>
    <row r="1047" spans="1:79" ht="50.1" customHeight="1" outlineLevel="2" x14ac:dyDescent="0.3">
      <c r="A1047" s="106" t="s">
        <v>859</v>
      </c>
      <c r="B1047" s="96" t="s">
        <v>882</v>
      </c>
      <c r="C1047" s="79" t="s">
        <v>55</v>
      </c>
      <c r="D1047" s="81">
        <f t="shared" si="236"/>
        <v>41.6</v>
      </c>
      <c r="E1047" s="82">
        <f t="shared" si="225"/>
        <v>0</v>
      </c>
      <c r="F1047" s="83">
        <f t="shared" si="226"/>
        <v>41.6</v>
      </c>
      <c r="G1047" s="84"/>
      <c r="H1047" s="85"/>
      <c r="I1047" s="85"/>
      <c r="J1047" s="84"/>
      <c r="K1047" s="85"/>
      <c r="L1047" s="85"/>
      <c r="M1047" s="85"/>
      <c r="N1047" s="85"/>
      <c r="O1047" s="82"/>
      <c r="P1047" s="83"/>
      <c r="Q1047" s="83"/>
      <c r="R1047" s="83"/>
      <c r="S1047" s="82"/>
      <c r="T1047" s="83"/>
      <c r="U1047" s="83"/>
      <c r="V1047" s="84"/>
      <c r="W1047" s="85"/>
      <c r="X1047" s="87"/>
      <c r="Y1047" s="83"/>
      <c r="Z1047" s="84"/>
      <c r="AA1047" s="85"/>
      <c r="AB1047" s="84"/>
      <c r="AC1047" s="85"/>
      <c r="AD1047" s="89">
        <f t="shared" si="237"/>
        <v>0</v>
      </c>
      <c r="AE1047" s="89"/>
      <c r="AF1047" s="186"/>
      <c r="AG1047" s="85"/>
      <c r="AH1047" s="85"/>
      <c r="AI1047" s="85"/>
      <c r="AJ1047" s="84"/>
      <c r="AK1047" s="85"/>
      <c r="AL1047" s="84"/>
      <c r="AM1047" s="88"/>
      <c r="AN1047" s="84"/>
      <c r="AO1047" s="85">
        <v>41.6</v>
      </c>
      <c r="AP1047" s="84"/>
      <c r="AQ1047" s="83"/>
      <c r="AR1047" s="83"/>
      <c r="AS1047" s="83"/>
      <c r="AT1047" s="85"/>
      <c r="AU1047" s="85"/>
      <c r="AV1047" s="85"/>
      <c r="AW1047" s="88"/>
      <c r="AX1047" s="84"/>
      <c r="AY1047" s="85"/>
      <c r="AZ1047" s="84"/>
      <c r="BA1047" s="85"/>
      <c r="BB1047" s="88"/>
      <c r="BC1047" s="85"/>
      <c r="BD1047" s="84"/>
      <c r="BE1047" s="88"/>
      <c r="BF1047" s="85"/>
      <c r="BG1047" s="85"/>
      <c r="BH1047" s="85"/>
      <c r="BI1047" s="85"/>
      <c r="BJ1047" s="85"/>
      <c r="BK1047" s="85"/>
      <c r="BL1047" s="85"/>
      <c r="BM1047" s="85"/>
      <c r="BN1047" s="85"/>
      <c r="BO1047" s="85"/>
      <c r="BP1047" s="85"/>
      <c r="BQ1047" s="85"/>
      <c r="BR1047" s="84"/>
      <c r="BS1047" s="85"/>
      <c r="BT1047" s="85"/>
      <c r="BU1047" s="198"/>
      <c r="BV1047" s="90"/>
      <c r="BW1047" s="198"/>
      <c r="BX1047" s="90"/>
      <c r="BY1047" s="198"/>
      <c r="BZ1047" s="90"/>
      <c r="CA1047" s="91"/>
    </row>
    <row r="1048" spans="1:79" ht="50.1" customHeight="1" outlineLevel="2" x14ac:dyDescent="0.3">
      <c r="A1048" s="106" t="s">
        <v>859</v>
      </c>
      <c r="B1048" s="96" t="s">
        <v>883</v>
      </c>
      <c r="C1048" s="140" t="s">
        <v>55</v>
      </c>
      <c r="D1048" s="81">
        <f t="shared" si="236"/>
        <v>1526.6856599999996</v>
      </c>
      <c r="E1048" s="82">
        <f t="shared" si="225"/>
        <v>320.43088</v>
      </c>
      <c r="F1048" s="83">
        <f>H1048+I1048+K1048+L1048+M1048+N1048+P1048+Q1048+R1048+T1048+U1048+W1048+Y1048+AA1048+AC1048+AD1048+AG1048+AH1048+AI1048+AK1048+AM1048+AO1048+AQ1048+AR1048+AS1048+AT1048+AU1048+AV1048+AW1048+AY1048+BA1048+BB1048+BC1048+BE1048+BF1048+BG1048+BH1048+BI1048+BJ1048+BK1048+BL1048+BO1048+BP1048+BQ1048+BS1048+BT1051+BU1048+BW1048+BY1048+CA1048+BM1048+BN1048</f>
        <v>1206.2547799999998</v>
      </c>
      <c r="G1048" s="84"/>
      <c r="H1048" s="85"/>
      <c r="I1048" s="85"/>
      <c r="J1048" s="84"/>
      <c r="K1048" s="85"/>
      <c r="L1048" s="85"/>
      <c r="M1048" s="85"/>
      <c r="N1048" s="85"/>
      <c r="O1048" s="82"/>
      <c r="P1048" s="83"/>
      <c r="Q1048" s="83"/>
      <c r="R1048" s="83"/>
      <c r="S1048" s="82"/>
      <c r="T1048" s="83"/>
      <c r="U1048" s="83"/>
      <c r="V1048" s="84"/>
      <c r="W1048" s="85"/>
      <c r="X1048" s="87"/>
      <c r="Y1048" s="83">
        <v>156</v>
      </c>
      <c r="Z1048" s="84"/>
      <c r="AA1048" s="85"/>
      <c r="AB1048" s="84"/>
      <c r="AC1048" s="85"/>
      <c r="AD1048" s="89">
        <f t="shared" si="237"/>
        <v>102.48474999999999</v>
      </c>
      <c r="AE1048" s="89">
        <v>34.385599999999997</v>
      </c>
      <c r="AF1048" s="186">
        <v>68.099149999999995</v>
      </c>
      <c r="AG1048" s="85"/>
      <c r="AH1048" s="85"/>
      <c r="AI1048" s="85"/>
      <c r="AJ1048" s="84"/>
      <c r="AK1048" s="85"/>
      <c r="AL1048" s="84"/>
      <c r="AM1048" s="88"/>
      <c r="AN1048" s="84"/>
      <c r="AO1048" s="85"/>
      <c r="AP1048" s="84"/>
      <c r="AQ1048" s="83"/>
      <c r="AR1048" s="83"/>
      <c r="AS1048" s="83"/>
      <c r="AT1048" s="85"/>
      <c r="AU1048" s="85"/>
      <c r="AV1048" s="85"/>
      <c r="AW1048" s="88"/>
      <c r="AX1048" s="84"/>
      <c r="AY1048" s="85"/>
      <c r="AZ1048" s="84">
        <v>320.43088</v>
      </c>
      <c r="BA1048" s="85">
        <v>290.17622999999998</v>
      </c>
      <c r="BB1048" s="88"/>
      <c r="BC1048" s="85"/>
      <c r="BD1048" s="84"/>
      <c r="BE1048" s="88"/>
      <c r="BF1048" s="85"/>
      <c r="BG1048" s="85">
        <v>236.99379999999999</v>
      </c>
      <c r="BH1048" s="85"/>
      <c r="BI1048" s="85"/>
      <c r="BJ1048" s="85"/>
      <c r="BK1048" s="85"/>
      <c r="BL1048" s="85"/>
      <c r="BM1048" s="85"/>
      <c r="BN1048" s="85"/>
      <c r="BO1048" s="85"/>
      <c r="BP1048" s="85"/>
      <c r="BQ1048" s="85"/>
      <c r="BR1048" s="84"/>
      <c r="BS1048" s="85"/>
      <c r="BU1048" s="198"/>
      <c r="BV1048" s="90"/>
      <c r="BW1048" s="198"/>
      <c r="BX1048" s="90"/>
      <c r="BY1048" s="198"/>
      <c r="BZ1048" s="90"/>
      <c r="CA1048" s="91"/>
    </row>
    <row r="1049" spans="1:79" ht="50.1" customHeight="1" outlineLevel="2" x14ac:dyDescent="0.3">
      <c r="A1049" s="106" t="s">
        <v>859</v>
      </c>
      <c r="B1049" s="96" t="s">
        <v>1056</v>
      </c>
      <c r="C1049" s="140" t="s">
        <v>55</v>
      </c>
      <c r="D1049" s="81">
        <f t="shared" si="236"/>
        <v>811.73896999999988</v>
      </c>
      <c r="E1049" s="82">
        <f t="shared" si="225"/>
        <v>255.14500000000001</v>
      </c>
      <c r="F1049" s="83">
        <f t="shared" si="226"/>
        <v>556.5939699999999</v>
      </c>
      <c r="G1049" s="84"/>
      <c r="H1049" s="85"/>
      <c r="I1049" s="85"/>
      <c r="J1049" s="84"/>
      <c r="K1049" s="85"/>
      <c r="L1049" s="85"/>
      <c r="M1049" s="85"/>
      <c r="N1049" s="85"/>
      <c r="O1049" s="82"/>
      <c r="P1049" s="83"/>
      <c r="Q1049" s="83"/>
      <c r="R1049" s="83"/>
      <c r="S1049" s="82"/>
      <c r="T1049" s="83"/>
      <c r="U1049" s="83"/>
      <c r="V1049" s="84">
        <v>255.14500000000001</v>
      </c>
      <c r="W1049" s="85">
        <v>445.5</v>
      </c>
      <c r="X1049" s="87"/>
      <c r="Y1049" s="83">
        <v>85.8</v>
      </c>
      <c r="Z1049" s="84"/>
      <c r="AA1049" s="85"/>
      <c r="AB1049" s="84"/>
      <c r="AC1049" s="85"/>
      <c r="AD1049" s="89">
        <f t="shared" si="237"/>
        <v>25.293970000000002</v>
      </c>
      <c r="AE1049" s="89"/>
      <c r="AF1049" s="186">
        <v>25.293970000000002</v>
      </c>
      <c r="AG1049" s="85"/>
      <c r="AH1049" s="85"/>
      <c r="AI1049" s="85"/>
      <c r="AJ1049" s="84"/>
      <c r="AK1049" s="85"/>
      <c r="AL1049" s="84"/>
      <c r="AM1049" s="88"/>
      <c r="AN1049" s="84"/>
      <c r="AO1049" s="85"/>
      <c r="AP1049" s="84"/>
      <c r="AQ1049" s="83"/>
      <c r="AR1049" s="83"/>
      <c r="AS1049" s="83"/>
      <c r="AT1049" s="85"/>
      <c r="AU1049" s="85"/>
      <c r="AV1049" s="85"/>
      <c r="AW1049" s="88"/>
      <c r="AX1049" s="84"/>
      <c r="AY1049" s="85"/>
      <c r="AZ1049" s="84"/>
      <c r="BA1049" s="85"/>
      <c r="BB1049" s="88"/>
      <c r="BC1049" s="85"/>
      <c r="BD1049" s="84"/>
      <c r="BE1049" s="88"/>
      <c r="BF1049" s="85"/>
      <c r="BG1049" s="85"/>
      <c r="BH1049" s="85"/>
      <c r="BI1049" s="85"/>
      <c r="BJ1049" s="85"/>
      <c r="BK1049" s="85"/>
      <c r="BL1049" s="85"/>
      <c r="BM1049" s="85"/>
      <c r="BN1049" s="85"/>
      <c r="BO1049" s="85"/>
      <c r="BP1049" s="85"/>
      <c r="BQ1049" s="85"/>
      <c r="BR1049" s="84"/>
      <c r="BS1049" s="85"/>
      <c r="BT1049" s="85"/>
      <c r="BU1049" s="198"/>
      <c r="BV1049" s="90"/>
      <c r="BW1049" s="198"/>
      <c r="BX1049" s="90"/>
      <c r="BY1049" s="198"/>
      <c r="BZ1049" s="90"/>
      <c r="CA1049" s="91"/>
    </row>
    <row r="1050" spans="1:79" ht="50.1" customHeight="1" outlineLevel="2" x14ac:dyDescent="0.3">
      <c r="A1050" s="106" t="s">
        <v>859</v>
      </c>
      <c r="B1050" s="96" t="s">
        <v>884</v>
      </c>
      <c r="C1050" s="140" t="s">
        <v>55</v>
      </c>
      <c r="D1050" s="81">
        <f t="shared" si="236"/>
        <v>323.16300999999999</v>
      </c>
      <c r="E1050" s="82">
        <f t="shared" ref="E1050:E1104" si="238">G1050+J1050+O1050+S1050+V1050+X1050+Z1050+AB1050+AJ1050+AL1050+AN1050+AP1050+AX1050+AZ1050+BD1050+BV1050+BX1050+BZ1050+BR1050</f>
        <v>116.73350000000001</v>
      </c>
      <c r="F1050" s="83">
        <f t="shared" si="226"/>
        <v>206.42950999999999</v>
      </c>
      <c r="G1050" s="84"/>
      <c r="H1050" s="85"/>
      <c r="I1050" s="85"/>
      <c r="J1050" s="84"/>
      <c r="K1050" s="85"/>
      <c r="L1050" s="85"/>
      <c r="M1050" s="85"/>
      <c r="N1050" s="85"/>
      <c r="O1050" s="82"/>
      <c r="P1050" s="83"/>
      <c r="Q1050" s="83"/>
      <c r="R1050" s="83"/>
      <c r="S1050" s="82"/>
      <c r="T1050" s="83"/>
      <c r="U1050" s="83"/>
      <c r="V1050" s="84"/>
      <c r="W1050" s="85"/>
      <c r="X1050" s="87"/>
      <c r="Y1050" s="83">
        <v>58.344000000000001</v>
      </c>
      <c r="Z1050" s="84"/>
      <c r="AA1050" s="85"/>
      <c r="AB1050" s="84"/>
      <c r="AC1050" s="85"/>
      <c r="AD1050" s="89">
        <f t="shared" si="237"/>
        <v>42.373800000000003</v>
      </c>
      <c r="AE1050" s="89">
        <v>42.373800000000003</v>
      </c>
      <c r="AF1050" s="186"/>
      <c r="AG1050" s="85"/>
      <c r="AH1050" s="85"/>
      <c r="AI1050" s="85"/>
      <c r="AJ1050" s="84"/>
      <c r="AK1050" s="85"/>
      <c r="AL1050" s="84"/>
      <c r="AM1050" s="88"/>
      <c r="AN1050" s="84"/>
      <c r="AO1050" s="85"/>
      <c r="AP1050" s="84"/>
      <c r="AQ1050" s="83"/>
      <c r="AR1050" s="83"/>
      <c r="AS1050" s="83"/>
      <c r="AT1050" s="85"/>
      <c r="AU1050" s="85"/>
      <c r="AV1050" s="85"/>
      <c r="AW1050" s="88"/>
      <c r="AX1050" s="84"/>
      <c r="AY1050" s="85"/>
      <c r="AZ1050" s="84">
        <v>116.73350000000001</v>
      </c>
      <c r="BA1050" s="85">
        <v>105.71171</v>
      </c>
      <c r="BB1050" s="88"/>
      <c r="BC1050" s="85"/>
      <c r="BD1050" s="84"/>
      <c r="BE1050" s="88"/>
      <c r="BF1050" s="85"/>
      <c r="BG1050" s="85"/>
      <c r="BH1050" s="85"/>
      <c r="BI1050" s="85"/>
      <c r="BJ1050" s="85"/>
      <c r="BK1050" s="85"/>
      <c r="BL1050" s="85"/>
      <c r="BM1050" s="85"/>
      <c r="BN1050" s="85"/>
      <c r="BO1050" s="85"/>
      <c r="BP1050" s="85"/>
      <c r="BQ1050" s="85"/>
      <c r="BR1050" s="84"/>
      <c r="BS1050" s="85"/>
      <c r="BT1050" s="85"/>
      <c r="BU1050" s="198"/>
      <c r="BV1050" s="90"/>
      <c r="BW1050" s="198"/>
      <c r="BX1050" s="90"/>
      <c r="BY1050" s="198"/>
      <c r="BZ1050" s="90"/>
      <c r="CA1050" s="91"/>
    </row>
    <row r="1051" spans="1:79" ht="50.1" customHeight="1" outlineLevel="2" x14ac:dyDescent="0.3">
      <c r="A1051" s="106" t="s">
        <v>859</v>
      </c>
      <c r="B1051" s="96" t="s">
        <v>885</v>
      </c>
      <c r="C1051" s="79" t="s">
        <v>55</v>
      </c>
      <c r="D1051" s="81">
        <f t="shared" si="236"/>
        <v>4235.5360199999996</v>
      </c>
      <c r="E1051" s="82">
        <f t="shared" si="238"/>
        <v>1423.7440799999999</v>
      </c>
      <c r="F1051" s="83">
        <f>H1051+I1051+K1051+L1051+M1051+N1051+P1051+Q1051+R1051+T1051+U1051+W1051+Y1051+AA1051+AC1051+AD1051+AG1051+AH1051+AI1051+AK1051+AM1051+AO1051+AQ1051+AR1051+AS1051+AT1051+AU1051+AV1051+AW1051+AY1051+BA1051+BB1051+BC1051+BE1051+BF1051+BG1051+BH1051+BI1051+BJ1051+BK1051+BL1051+BO1051+BP1051+BQ1051+BS1051+BU1051+BW1051+BY1051+CA1051+BM1051+BN1051</f>
        <v>2811.7919400000001</v>
      </c>
      <c r="G1051" s="84"/>
      <c r="H1051" s="85"/>
      <c r="I1051" s="85"/>
      <c r="J1051" s="84"/>
      <c r="K1051" s="85"/>
      <c r="L1051" s="85"/>
      <c r="M1051" s="85"/>
      <c r="N1051" s="85"/>
      <c r="O1051" s="82"/>
      <c r="P1051" s="83"/>
      <c r="Q1051" s="83"/>
      <c r="R1051" s="83"/>
      <c r="S1051" s="82"/>
      <c r="T1051" s="83"/>
      <c r="U1051" s="83"/>
      <c r="V1051" s="84"/>
      <c r="W1051" s="85"/>
      <c r="X1051" s="87"/>
      <c r="Y1051" s="83">
        <v>578.44799999999998</v>
      </c>
      <c r="Z1051" s="84"/>
      <c r="AA1051" s="85"/>
      <c r="AB1051" s="84"/>
      <c r="AC1051" s="85"/>
      <c r="AD1051" s="89">
        <f t="shared" si="237"/>
        <v>555.69269999999995</v>
      </c>
      <c r="AE1051" s="89">
        <f>268.3674+34.3856</f>
        <v>302.75299999999999</v>
      </c>
      <c r="AF1051" s="186">
        <v>252.93969999999999</v>
      </c>
      <c r="AG1051" s="85"/>
      <c r="AH1051" s="85"/>
      <c r="AI1051" s="85"/>
      <c r="AJ1051" s="84"/>
      <c r="AK1051" s="85"/>
      <c r="AL1051" s="84"/>
      <c r="AM1051" s="88"/>
      <c r="AN1051" s="84"/>
      <c r="AO1051" s="85"/>
      <c r="AP1051" s="84"/>
      <c r="AQ1051" s="83"/>
      <c r="AR1051" s="83"/>
      <c r="AS1051" s="83"/>
      <c r="AT1051" s="85"/>
      <c r="AU1051" s="85"/>
      <c r="AV1051" s="85"/>
      <c r="AW1051" s="88"/>
      <c r="AX1051" s="84"/>
      <c r="AY1051" s="85"/>
      <c r="AZ1051" s="84">
        <v>1423.7440799999999</v>
      </c>
      <c r="BA1051" s="85">
        <v>1289.3143399999999</v>
      </c>
      <c r="BB1051" s="88"/>
      <c r="BC1051" s="85"/>
      <c r="BD1051" s="84"/>
      <c r="BE1051" s="88"/>
      <c r="BF1051" s="85"/>
      <c r="BG1051" s="85">
        <v>388.33690000000001</v>
      </c>
      <c r="BH1051" s="85"/>
      <c r="BI1051" s="85"/>
      <c r="BJ1051" s="85"/>
      <c r="BK1051" s="85"/>
      <c r="BL1051" s="85"/>
      <c r="BM1051" s="85"/>
      <c r="BN1051" s="85"/>
      <c r="BO1051" s="85"/>
      <c r="BP1051" s="85"/>
      <c r="BQ1051" s="85"/>
      <c r="BR1051" s="84"/>
      <c r="BS1051" s="85"/>
      <c r="BT1051" s="85">
        <v>420.6</v>
      </c>
      <c r="BU1051" s="198"/>
      <c r="BV1051" s="90"/>
      <c r="BW1051" s="198"/>
      <c r="BX1051" s="90"/>
      <c r="BY1051" s="198"/>
      <c r="BZ1051" s="90"/>
      <c r="CA1051" s="91"/>
    </row>
    <row r="1052" spans="1:79" ht="50.1" customHeight="1" outlineLevel="2" x14ac:dyDescent="0.3">
      <c r="A1052" s="106" t="s">
        <v>859</v>
      </c>
      <c r="B1052" s="96" t="s">
        <v>886</v>
      </c>
      <c r="C1052" s="79" t="s">
        <v>55</v>
      </c>
      <c r="D1052" s="81">
        <f t="shared" si="236"/>
        <v>384.54811999999998</v>
      </c>
      <c r="E1052" s="82">
        <f t="shared" si="238"/>
        <v>168.40022999999999</v>
      </c>
      <c r="F1052" s="83">
        <f t="shared" si="226"/>
        <v>216.14788999999999</v>
      </c>
      <c r="G1052" s="84"/>
      <c r="H1052" s="85"/>
      <c r="I1052" s="85"/>
      <c r="J1052" s="84"/>
      <c r="K1052" s="85"/>
      <c r="L1052" s="85"/>
      <c r="M1052" s="85"/>
      <c r="N1052" s="85"/>
      <c r="O1052" s="82"/>
      <c r="P1052" s="83"/>
      <c r="Q1052" s="83"/>
      <c r="R1052" s="83"/>
      <c r="S1052" s="82"/>
      <c r="T1052" s="83"/>
      <c r="U1052" s="83"/>
      <c r="V1052" s="84"/>
      <c r="W1052" s="85"/>
      <c r="X1052" s="87"/>
      <c r="Y1052" s="83">
        <v>63.648000000000003</v>
      </c>
      <c r="Z1052" s="84"/>
      <c r="AA1052" s="85"/>
      <c r="AB1052" s="84"/>
      <c r="AC1052" s="85"/>
      <c r="AD1052" s="89">
        <f t="shared" si="237"/>
        <v>0</v>
      </c>
      <c r="AE1052" s="89"/>
      <c r="AF1052" s="186"/>
      <c r="AG1052" s="85"/>
      <c r="AH1052" s="85"/>
      <c r="AI1052" s="85"/>
      <c r="AJ1052" s="84"/>
      <c r="AK1052" s="85"/>
      <c r="AL1052" s="84"/>
      <c r="AM1052" s="88"/>
      <c r="AN1052" s="84"/>
      <c r="AO1052" s="85"/>
      <c r="AP1052" s="84"/>
      <c r="AQ1052" s="83"/>
      <c r="AR1052" s="83"/>
      <c r="AS1052" s="83"/>
      <c r="AT1052" s="85"/>
      <c r="AU1052" s="85"/>
      <c r="AV1052" s="85"/>
      <c r="AW1052" s="88"/>
      <c r="AX1052" s="84"/>
      <c r="AY1052" s="85"/>
      <c r="AZ1052" s="84">
        <v>168.40022999999999</v>
      </c>
      <c r="BA1052" s="85">
        <v>152.49988999999999</v>
      </c>
      <c r="BB1052" s="88"/>
      <c r="BC1052" s="85"/>
      <c r="BD1052" s="84"/>
      <c r="BE1052" s="88"/>
      <c r="BF1052" s="85"/>
      <c r="BG1052" s="85"/>
      <c r="BH1052" s="85"/>
      <c r="BI1052" s="85"/>
      <c r="BJ1052" s="85"/>
      <c r="BK1052" s="85"/>
      <c r="BL1052" s="85"/>
      <c r="BM1052" s="85"/>
      <c r="BN1052" s="85"/>
      <c r="BO1052" s="85"/>
      <c r="BP1052" s="85"/>
      <c r="BQ1052" s="85"/>
      <c r="BR1052" s="84"/>
      <c r="BS1052" s="85"/>
      <c r="BT1052" s="85"/>
      <c r="BU1052" s="198"/>
      <c r="BV1052" s="90"/>
      <c r="BW1052" s="198"/>
      <c r="BX1052" s="90"/>
      <c r="BY1052" s="198"/>
      <c r="BZ1052" s="90"/>
      <c r="CA1052" s="91"/>
    </row>
    <row r="1053" spans="1:79" ht="50.1" customHeight="1" outlineLevel="2" x14ac:dyDescent="0.3">
      <c r="A1053" s="103" t="s">
        <v>859</v>
      </c>
      <c r="B1053" s="96" t="s">
        <v>887</v>
      </c>
      <c r="C1053" s="79" t="s">
        <v>1268</v>
      </c>
      <c r="D1053" s="81">
        <f t="shared" si="236"/>
        <v>6.80992</v>
      </c>
      <c r="E1053" s="82">
        <f t="shared" si="238"/>
        <v>0</v>
      </c>
      <c r="F1053" s="83">
        <f t="shared" ref="F1053:F1107" si="239">H1053+I1053+K1053+L1053+M1053+N1053+P1053+Q1053+R1053+T1053+U1053+W1053+Y1053+AA1053+AC1053+AD1053+AG1053+AH1053+AI1053+AK1053+AM1053+AO1053+AQ1053+AR1053+AS1053+AT1053+AU1053+AV1053+AW1053+AY1053+BA1053+BB1053+BC1053+BE1053+BF1053+BG1053+BH1053+BI1053+BJ1053+BK1053+BL1053+BO1053+BP1053+BQ1053+BS1053+BT1053+BU1053+BW1053+BY1053+CA1053+BM1053+BN1053</f>
        <v>6.80992</v>
      </c>
      <c r="G1053" s="84"/>
      <c r="H1053" s="85"/>
      <c r="I1053" s="85"/>
      <c r="J1053" s="84"/>
      <c r="K1053" s="85"/>
      <c r="L1053" s="85"/>
      <c r="M1053" s="85"/>
      <c r="N1053" s="85"/>
      <c r="O1053" s="82"/>
      <c r="P1053" s="83"/>
      <c r="Q1053" s="83"/>
      <c r="R1053" s="83"/>
      <c r="S1053" s="82"/>
      <c r="T1053" s="83"/>
      <c r="U1053" s="83"/>
      <c r="V1053" s="84"/>
      <c r="W1053" s="85"/>
      <c r="X1053" s="82"/>
      <c r="Y1053" s="83"/>
      <c r="Z1053" s="84"/>
      <c r="AA1053" s="85"/>
      <c r="AB1053" s="84"/>
      <c r="AC1053" s="85"/>
      <c r="AD1053" s="89">
        <f t="shared" si="237"/>
        <v>6.80992</v>
      </c>
      <c r="AE1053" s="89"/>
      <c r="AF1053" s="186">
        <v>6.80992</v>
      </c>
      <c r="AG1053" s="85"/>
      <c r="AH1053" s="85"/>
      <c r="AI1053" s="85"/>
      <c r="AJ1053" s="84"/>
      <c r="AK1053" s="85"/>
      <c r="AL1053" s="84"/>
      <c r="AM1053" s="88"/>
      <c r="AN1053" s="84"/>
      <c r="AO1053" s="85"/>
      <c r="AP1053" s="84"/>
      <c r="AQ1053" s="83"/>
      <c r="AR1053" s="83"/>
      <c r="AS1053" s="83"/>
      <c r="AT1053" s="85"/>
      <c r="AU1053" s="85"/>
      <c r="AV1053" s="85"/>
      <c r="AW1053" s="88"/>
      <c r="AX1053" s="84"/>
      <c r="AY1053" s="85"/>
      <c r="AZ1053" s="84"/>
      <c r="BA1053" s="85"/>
      <c r="BB1053" s="88"/>
      <c r="BC1053" s="85"/>
      <c r="BD1053" s="84"/>
      <c r="BE1053" s="88"/>
      <c r="BF1053" s="85"/>
      <c r="BG1053" s="85"/>
      <c r="BH1053" s="85"/>
      <c r="BI1053" s="85"/>
      <c r="BJ1053" s="85"/>
      <c r="BK1053" s="85"/>
      <c r="BL1053" s="85"/>
      <c r="BM1053" s="85"/>
      <c r="BN1053" s="85"/>
      <c r="BO1053" s="85"/>
      <c r="BP1053" s="85"/>
      <c r="BQ1053" s="85"/>
      <c r="BR1053" s="84"/>
      <c r="BS1053" s="85"/>
      <c r="BT1053" s="85"/>
      <c r="BU1053" s="198"/>
      <c r="BV1053" s="90"/>
      <c r="BW1053" s="198"/>
      <c r="BX1053" s="90"/>
      <c r="BY1053" s="198"/>
      <c r="BZ1053" s="90"/>
      <c r="CA1053" s="91"/>
    </row>
    <row r="1054" spans="1:79" ht="50.1" customHeight="1" outlineLevel="2" x14ac:dyDescent="0.3">
      <c r="A1054" s="103" t="s">
        <v>859</v>
      </c>
      <c r="B1054" s="111" t="s">
        <v>888</v>
      </c>
      <c r="C1054" s="148"/>
      <c r="D1054" s="81">
        <f t="shared" si="236"/>
        <v>300</v>
      </c>
      <c r="E1054" s="82">
        <f t="shared" si="238"/>
        <v>0</v>
      </c>
      <c r="F1054" s="83">
        <f t="shared" si="239"/>
        <v>300</v>
      </c>
      <c r="G1054" s="84"/>
      <c r="H1054" s="85"/>
      <c r="I1054" s="85"/>
      <c r="J1054" s="145"/>
      <c r="K1054" s="143"/>
      <c r="L1054" s="143"/>
      <c r="M1054" s="143"/>
      <c r="N1054" s="143"/>
      <c r="O1054" s="128"/>
      <c r="P1054" s="129"/>
      <c r="Q1054" s="129"/>
      <c r="R1054" s="129"/>
      <c r="S1054" s="128"/>
      <c r="T1054" s="129"/>
      <c r="U1054" s="129"/>
      <c r="V1054" s="145"/>
      <c r="W1054" s="85"/>
      <c r="X1054" s="87"/>
      <c r="Y1054" s="83"/>
      <c r="Z1054" s="145"/>
      <c r="AA1054" s="143"/>
      <c r="AB1054" s="145"/>
      <c r="AC1054" s="143"/>
      <c r="AD1054" s="89">
        <f t="shared" si="237"/>
        <v>0</v>
      </c>
      <c r="AE1054" s="89"/>
      <c r="AF1054" s="194"/>
      <c r="AG1054" s="143"/>
      <c r="AH1054" s="143"/>
      <c r="AI1054" s="143"/>
      <c r="AJ1054" s="145"/>
      <c r="AK1054" s="143"/>
      <c r="AL1054" s="145"/>
      <c r="AM1054" s="146"/>
      <c r="AN1054" s="84"/>
      <c r="AO1054" s="85"/>
      <c r="AP1054" s="145"/>
      <c r="AQ1054" s="129"/>
      <c r="AR1054" s="129"/>
      <c r="AS1054" s="129"/>
      <c r="AT1054" s="143"/>
      <c r="AU1054" s="143"/>
      <c r="AV1054" s="85"/>
      <c r="AW1054" s="146"/>
      <c r="AX1054" s="145"/>
      <c r="AY1054" s="143"/>
      <c r="AZ1054" s="86"/>
      <c r="BA1054" s="91"/>
      <c r="BB1054" s="146"/>
      <c r="BC1054" s="143"/>
      <c r="BD1054" s="145"/>
      <c r="BE1054" s="146"/>
      <c r="BF1054" s="143"/>
      <c r="BG1054" s="85"/>
      <c r="BH1054" s="85">
        <v>300</v>
      </c>
      <c r="BI1054" s="143"/>
      <c r="BJ1054" s="143"/>
      <c r="BK1054" s="143"/>
      <c r="BL1054" s="143"/>
      <c r="BM1054" s="143"/>
      <c r="BN1054" s="143"/>
      <c r="BO1054" s="143"/>
      <c r="BP1054" s="143"/>
      <c r="BQ1054" s="143"/>
      <c r="BR1054" s="145"/>
      <c r="BS1054" s="143"/>
      <c r="BT1054" s="143"/>
      <c r="BU1054" s="198"/>
      <c r="BV1054" s="90"/>
      <c r="BW1054" s="198"/>
      <c r="BX1054" s="90"/>
      <c r="BY1054" s="198"/>
      <c r="BZ1054" s="90"/>
      <c r="CA1054" s="91"/>
    </row>
    <row r="1055" spans="1:79" ht="50.1" customHeight="1" outlineLevel="2" x14ac:dyDescent="0.3">
      <c r="A1055" s="103" t="s">
        <v>859</v>
      </c>
      <c r="B1055" s="111" t="s">
        <v>1025</v>
      </c>
      <c r="C1055" s="148"/>
      <c r="D1055" s="81">
        <f t="shared" si="236"/>
        <v>300</v>
      </c>
      <c r="E1055" s="82">
        <f t="shared" si="238"/>
        <v>0</v>
      </c>
      <c r="F1055" s="83">
        <f t="shared" si="239"/>
        <v>300</v>
      </c>
      <c r="G1055" s="84"/>
      <c r="H1055" s="85"/>
      <c r="I1055" s="85"/>
      <c r="J1055" s="145"/>
      <c r="K1055" s="143"/>
      <c r="L1055" s="143"/>
      <c r="M1055" s="143"/>
      <c r="N1055" s="143"/>
      <c r="O1055" s="128"/>
      <c r="P1055" s="129"/>
      <c r="Q1055" s="129"/>
      <c r="R1055" s="129"/>
      <c r="S1055" s="128"/>
      <c r="T1055" s="129"/>
      <c r="U1055" s="129"/>
      <c r="V1055" s="145"/>
      <c r="W1055" s="85"/>
      <c r="X1055" s="87"/>
      <c r="Y1055" s="83"/>
      <c r="Z1055" s="145"/>
      <c r="AA1055" s="143"/>
      <c r="AB1055" s="145"/>
      <c r="AC1055" s="143"/>
      <c r="AD1055" s="89">
        <f t="shared" si="237"/>
        <v>0</v>
      </c>
      <c r="AE1055" s="89"/>
      <c r="AF1055" s="194"/>
      <c r="AG1055" s="143"/>
      <c r="AH1055" s="143"/>
      <c r="AI1055" s="143"/>
      <c r="AJ1055" s="145"/>
      <c r="AK1055" s="143"/>
      <c r="AL1055" s="145"/>
      <c r="AM1055" s="146"/>
      <c r="AN1055" s="84"/>
      <c r="AO1055" s="85"/>
      <c r="AP1055" s="145"/>
      <c r="AQ1055" s="129"/>
      <c r="AR1055" s="129"/>
      <c r="AS1055" s="129"/>
      <c r="AT1055" s="143"/>
      <c r="AU1055" s="143"/>
      <c r="AV1055" s="85"/>
      <c r="AW1055" s="146"/>
      <c r="AX1055" s="145"/>
      <c r="AY1055" s="143"/>
      <c r="AZ1055" s="86"/>
      <c r="BA1055" s="91"/>
      <c r="BB1055" s="146"/>
      <c r="BC1055" s="143"/>
      <c r="BD1055" s="145"/>
      <c r="BE1055" s="146"/>
      <c r="BF1055" s="143"/>
      <c r="BG1055" s="85"/>
      <c r="BH1055" s="85">
        <v>300</v>
      </c>
      <c r="BI1055" s="143"/>
      <c r="BJ1055" s="143"/>
      <c r="BK1055" s="143"/>
      <c r="BL1055" s="143"/>
      <c r="BM1055" s="143"/>
      <c r="BN1055" s="143"/>
      <c r="BO1055" s="143"/>
      <c r="BP1055" s="143"/>
      <c r="BQ1055" s="143"/>
      <c r="BR1055" s="145"/>
      <c r="BS1055" s="143"/>
      <c r="BT1055" s="143"/>
      <c r="BU1055" s="198"/>
      <c r="BV1055" s="90"/>
      <c r="BW1055" s="198"/>
      <c r="BX1055" s="90"/>
      <c r="BY1055" s="198"/>
      <c r="BZ1055" s="90"/>
      <c r="CA1055" s="91"/>
    </row>
    <row r="1056" spans="1:79" ht="50.1" customHeight="1" outlineLevel="2" x14ac:dyDescent="0.3">
      <c r="A1056" s="103" t="s">
        <v>859</v>
      </c>
      <c r="B1056" s="111" t="s">
        <v>1026</v>
      </c>
      <c r="C1056" s="148"/>
      <c r="D1056" s="81">
        <f t="shared" si="236"/>
        <v>300</v>
      </c>
      <c r="E1056" s="82">
        <f t="shared" si="238"/>
        <v>0</v>
      </c>
      <c r="F1056" s="83">
        <f t="shared" si="239"/>
        <v>300</v>
      </c>
      <c r="G1056" s="84"/>
      <c r="H1056" s="85"/>
      <c r="I1056" s="85"/>
      <c r="J1056" s="145"/>
      <c r="K1056" s="143"/>
      <c r="L1056" s="143"/>
      <c r="M1056" s="143"/>
      <c r="N1056" s="143"/>
      <c r="O1056" s="128"/>
      <c r="P1056" s="129"/>
      <c r="Q1056" s="129"/>
      <c r="R1056" s="129"/>
      <c r="S1056" s="128"/>
      <c r="T1056" s="129"/>
      <c r="U1056" s="129"/>
      <c r="V1056" s="145"/>
      <c r="W1056" s="85"/>
      <c r="X1056" s="87"/>
      <c r="Y1056" s="83"/>
      <c r="Z1056" s="145"/>
      <c r="AA1056" s="143"/>
      <c r="AB1056" s="145"/>
      <c r="AC1056" s="143"/>
      <c r="AD1056" s="89">
        <f t="shared" si="237"/>
        <v>0</v>
      </c>
      <c r="AE1056" s="89"/>
      <c r="AF1056" s="194"/>
      <c r="AG1056" s="143"/>
      <c r="AH1056" s="143"/>
      <c r="AI1056" s="143"/>
      <c r="AJ1056" s="145"/>
      <c r="AK1056" s="143"/>
      <c r="AL1056" s="145"/>
      <c r="AM1056" s="146"/>
      <c r="AN1056" s="84"/>
      <c r="AO1056" s="85"/>
      <c r="AP1056" s="145"/>
      <c r="AQ1056" s="129"/>
      <c r="AR1056" s="129"/>
      <c r="AS1056" s="129"/>
      <c r="AT1056" s="143"/>
      <c r="AU1056" s="143"/>
      <c r="AV1056" s="85"/>
      <c r="AW1056" s="146"/>
      <c r="AX1056" s="145"/>
      <c r="AY1056" s="143"/>
      <c r="AZ1056" s="86"/>
      <c r="BA1056" s="91"/>
      <c r="BB1056" s="146"/>
      <c r="BC1056" s="143"/>
      <c r="BD1056" s="145"/>
      <c r="BE1056" s="146"/>
      <c r="BF1056" s="143"/>
      <c r="BG1056" s="85"/>
      <c r="BH1056" s="85">
        <v>300</v>
      </c>
      <c r="BI1056" s="143"/>
      <c r="BJ1056" s="143"/>
      <c r="BK1056" s="143"/>
      <c r="BL1056" s="143"/>
      <c r="BM1056" s="143"/>
      <c r="BN1056" s="143"/>
      <c r="BO1056" s="143"/>
      <c r="BP1056" s="143"/>
      <c r="BQ1056" s="143"/>
      <c r="BR1056" s="145"/>
      <c r="BS1056" s="143"/>
      <c r="BT1056" s="143"/>
      <c r="BU1056" s="198"/>
      <c r="BV1056" s="90"/>
      <c r="BW1056" s="198"/>
      <c r="BX1056" s="90"/>
      <c r="BY1056" s="198"/>
      <c r="BZ1056" s="90"/>
      <c r="CA1056" s="91"/>
    </row>
    <row r="1057" spans="1:1199" ht="50.1" customHeight="1" outlineLevel="2" x14ac:dyDescent="0.3">
      <c r="A1057" s="103" t="s">
        <v>859</v>
      </c>
      <c r="B1057" s="111" t="s">
        <v>1027</v>
      </c>
      <c r="C1057" s="79"/>
      <c r="D1057" s="81">
        <f t="shared" si="236"/>
        <v>300</v>
      </c>
      <c r="E1057" s="82">
        <f t="shared" si="238"/>
        <v>0</v>
      </c>
      <c r="F1057" s="83">
        <f t="shared" si="239"/>
        <v>300</v>
      </c>
      <c r="G1057" s="84"/>
      <c r="H1057" s="85"/>
      <c r="I1057" s="85"/>
      <c r="J1057" s="84"/>
      <c r="K1057" s="85"/>
      <c r="L1057" s="85"/>
      <c r="M1057" s="85"/>
      <c r="N1057" s="85"/>
      <c r="O1057" s="82"/>
      <c r="P1057" s="83"/>
      <c r="Q1057" s="83"/>
      <c r="R1057" s="83"/>
      <c r="S1057" s="82"/>
      <c r="T1057" s="83"/>
      <c r="U1057" s="83"/>
      <c r="V1057" s="84"/>
      <c r="W1057" s="85"/>
      <c r="X1057" s="87"/>
      <c r="Y1057" s="83"/>
      <c r="Z1057" s="84"/>
      <c r="AA1057" s="85"/>
      <c r="AB1057" s="84"/>
      <c r="AC1057" s="85"/>
      <c r="AD1057" s="89">
        <f t="shared" si="237"/>
        <v>0</v>
      </c>
      <c r="AE1057" s="89"/>
      <c r="AF1057" s="186"/>
      <c r="AG1057" s="85"/>
      <c r="AH1057" s="85"/>
      <c r="AI1057" s="85"/>
      <c r="AJ1057" s="84"/>
      <c r="AK1057" s="85"/>
      <c r="AL1057" s="84"/>
      <c r="AM1057" s="88"/>
      <c r="AN1057" s="84"/>
      <c r="AO1057" s="85"/>
      <c r="AP1057" s="84"/>
      <c r="AQ1057" s="83"/>
      <c r="AR1057" s="83"/>
      <c r="AS1057" s="83"/>
      <c r="AT1057" s="85"/>
      <c r="AU1057" s="85"/>
      <c r="AV1057" s="85"/>
      <c r="AW1057" s="88"/>
      <c r="AX1057" s="84"/>
      <c r="AY1057" s="85"/>
      <c r="AZ1057" s="84"/>
      <c r="BA1057" s="85"/>
      <c r="BB1057" s="88"/>
      <c r="BC1057" s="85"/>
      <c r="BD1057" s="84"/>
      <c r="BE1057" s="88"/>
      <c r="BF1057" s="85"/>
      <c r="BG1057" s="85"/>
      <c r="BH1057" s="85">
        <v>300</v>
      </c>
      <c r="BI1057" s="85"/>
      <c r="BJ1057" s="85"/>
      <c r="BK1057" s="85"/>
      <c r="BL1057" s="85"/>
      <c r="BM1057" s="85"/>
      <c r="BN1057" s="85"/>
      <c r="BO1057" s="85"/>
      <c r="BP1057" s="85"/>
      <c r="BQ1057" s="85"/>
      <c r="BR1057" s="84"/>
      <c r="BS1057" s="85"/>
      <c r="BT1057" s="85"/>
      <c r="BU1057" s="198"/>
      <c r="BV1057" s="90"/>
      <c r="BW1057" s="198"/>
      <c r="BX1057" s="90"/>
      <c r="BY1057" s="198"/>
      <c r="BZ1057" s="90"/>
      <c r="CA1057" s="91"/>
    </row>
    <row r="1058" spans="1:1199" ht="50.1" customHeight="1" outlineLevel="2" x14ac:dyDescent="0.3">
      <c r="A1058" s="103" t="s">
        <v>859</v>
      </c>
      <c r="B1058" s="111" t="s">
        <v>1124</v>
      </c>
      <c r="C1058" s="79"/>
      <c r="D1058" s="81">
        <f t="shared" si="236"/>
        <v>40</v>
      </c>
      <c r="E1058" s="82">
        <f t="shared" si="238"/>
        <v>0</v>
      </c>
      <c r="F1058" s="83">
        <f t="shared" si="239"/>
        <v>40</v>
      </c>
      <c r="G1058" s="84"/>
      <c r="H1058" s="85"/>
      <c r="I1058" s="85"/>
      <c r="J1058" s="84"/>
      <c r="K1058" s="85"/>
      <c r="L1058" s="85"/>
      <c r="M1058" s="85"/>
      <c r="N1058" s="85"/>
      <c r="O1058" s="82"/>
      <c r="P1058" s="83"/>
      <c r="Q1058" s="83"/>
      <c r="R1058" s="83"/>
      <c r="S1058" s="82"/>
      <c r="T1058" s="83"/>
      <c r="U1058" s="83"/>
      <c r="V1058" s="84"/>
      <c r="W1058" s="85"/>
      <c r="X1058" s="87"/>
      <c r="Y1058" s="83"/>
      <c r="Z1058" s="84"/>
      <c r="AA1058" s="85"/>
      <c r="AB1058" s="84"/>
      <c r="AC1058" s="85"/>
      <c r="AD1058" s="89"/>
      <c r="AE1058" s="89"/>
      <c r="AF1058" s="186"/>
      <c r="AG1058" s="85"/>
      <c r="AH1058" s="85"/>
      <c r="AI1058" s="85"/>
      <c r="AJ1058" s="84"/>
      <c r="AK1058" s="85"/>
      <c r="AL1058" s="84"/>
      <c r="AM1058" s="88"/>
      <c r="AN1058" s="84"/>
      <c r="AO1058" s="85"/>
      <c r="AP1058" s="84"/>
      <c r="AQ1058" s="83"/>
      <c r="AR1058" s="83"/>
      <c r="AS1058" s="83"/>
      <c r="AT1058" s="85"/>
      <c r="AU1058" s="85"/>
      <c r="AV1058" s="85"/>
      <c r="AW1058" s="88"/>
      <c r="AX1058" s="84"/>
      <c r="AY1058" s="85"/>
      <c r="AZ1058" s="84"/>
      <c r="BA1058" s="85"/>
      <c r="BB1058" s="88"/>
      <c r="BC1058" s="85"/>
      <c r="BD1058" s="84"/>
      <c r="BE1058" s="88"/>
      <c r="BF1058" s="85"/>
      <c r="BG1058" s="85"/>
      <c r="BH1058" s="85"/>
      <c r="BI1058" s="85">
        <v>40</v>
      </c>
      <c r="BJ1058" s="85"/>
      <c r="BK1058" s="85"/>
      <c r="BL1058" s="85"/>
      <c r="BM1058" s="85"/>
      <c r="BN1058" s="85"/>
      <c r="BO1058" s="85"/>
      <c r="BP1058" s="85"/>
      <c r="BQ1058" s="85"/>
      <c r="BR1058" s="84"/>
      <c r="BS1058" s="85"/>
      <c r="BT1058" s="85"/>
      <c r="BU1058" s="198"/>
      <c r="BV1058" s="90"/>
      <c r="BW1058" s="198"/>
      <c r="BX1058" s="90"/>
      <c r="BY1058" s="198"/>
      <c r="BZ1058" s="90"/>
      <c r="CA1058" s="91"/>
    </row>
    <row r="1059" spans="1:1199" ht="50.1" customHeight="1" outlineLevel="2" x14ac:dyDescent="0.3">
      <c r="A1059" s="103" t="s">
        <v>859</v>
      </c>
      <c r="B1059" s="111" t="s">
        <v>1038</v>
      </c>
      <c r="C1059" s="79"/>
      <c r="D1059" s="81">
        <f t="shared" si="236"/>
        <v>300</v>
      </c>
      <c r="E1059" s="82">
        <f t="shared" si="238"/>
        <v>0</v>
      </c>
      <c r="F1059" s="83">
        <f t="shared" si="239"/>
        <v>300</v>
      </c>
      <c r="G1059" s="84"/>
      <c r="H1059" s="85"/>
      <c r="I1059" s="85"/>
      <c r="J1059" s="84"/>
      <c r="K1059" s="85"/>
      <c r="L1059" s="85"/>
      <c r="M1059" s="85"/>
      <c r="N1059" s="85"/>
      <c r="O1059" s="82"/>
      <c r="P1059" s="83"/>
      <c r="Q1059" s="83"/>
      <c r="R1059" s="83"/>
      <c r="S1059" s="82"/>
      <c r="T1059" s="83"/>
      <c r="U1059" s="83"/>
      <c r="V1059" s="84"/>
      <c r="W1059" s="85"/>
      <c r="X1059" s="87"/>
      <c r="Y1059" s="83"/>
      <c r="Z1059" s="84"/>
      <c r="AA1059" s="85"/>
      <c r="AB1059" s="84"/>
      <c r="AC1059" s="85"/>
      <c r="AD1059" s="89">
        <f t="shared" si="237"/>
        <v>0</v>
      </c>
      <c r="AE1059" s="89"/>
      <c r="AF1059" s="186"/>
      <c r="AG1059" s="85"/>
      <c r="AH1059" s="85"/>
      <c r="AI1059" s="85"/>
      <c r="AJ1059" s="84"/>
      <c r="AK1059" s="85"/>
      <c r="AL1059" s="84"/>
      <c r="AM1059" s="88"/>
      <c r="AN1059" s="84"/>
      <c r="AO1059" s="85"/>
      <c r="AP1059" s="84"/>
      <c r="AQ1059" s="83"/>
      <c r="AR1059" s="83"/>
      <c r="AS1059" s="83"/>
      <c r="AT1059" s="85"/>
      <c r="AU1059" s="85"/>
      <c r="AV1059" s="85"/>
      <c r="AW1059" s="88"/>
      <c r="AX1059" s="84"/>
      <c r="AY1059" s="85"/>
      <c r="AZ1059" s="84"/>
      <c r="BA1059" s="85"/>
      <c r="BB1059" s="88"/>
      <c r="BC1059" s="85"/>
      <c r="BD1059" s="84"/>
      <c r="BE1059" s="88"/>
      <c r="BF1059" s="85"/>
      <c r="BG1059" s="85"/>
      <c r="BH1059" s="85">
        <v>300</v>
      </c>
      <c r="BI1059" s="85"/>
      <c r="BJ1059" s="85"/>
      <c r="BK1059" s="85"/>
      <c r="BL1059" s="85"/>
      <c r="BM1059" s="85"/>
      <c r="BN1059" s="85"/>
      <c r="BO1059" s="85"/>
      <c r="BP1059" s="85"/>
      <c r="BQ1059" s="85"/>
      <c r="BR1059" s="84"/>
      <c r="BS1059" s="85"/>
      <c r="BT1059" s="85"/>
      <c r="BU1059" s="198"/>
      <c r="BV1059" s="90"/>
      <c r="BW1059" s="198"/>
      <c r="BX1059" s="90"/>
      <c r="BY1059" s="198"/>
      <c r="BZ1059" s="90"/>
      <c r="CA1059" s="91"/>
    </row>
    <row r="1060" spans="1:1199" s="101" customFormat="1" ht="50.1" customHeight="1" outlineLevel="1" x14ac:dyDescent="0.3">
      <c r="A1060" s="132" t="s">
        <v>889</v>
      </c>
      <c r="B1060" s="133"/>
      <c r="C1060" s="134" t="s">
        <v>94</v>
      </c>
      <c r="D1060" s="81">
        <f t="shared" ref="D1060:AI1060" si="240">SUBTOTAL(9,D1025:D1059)</f>
        <v>452835.22643000004</v>
      </c>
      <c r="E1060" s="81">
        <f t="shared" si="240"/>
        <v>112196.25680000002</v>
      </c>
      <c r="F1060" s="81">
        <f t="shared" si="240"/>
        <v>340638.96963000001</v>
      </c>
      <c r="G1060" s="81">
        <f t="shared" si="240"/>
        <v>2778.7491300000002</v>
      </c>
      <c r="H1060" s="81">
        <f t="shared" si="240"/>
        <v>576.05334000000005</v>
      </c>
      <c r="I1060" s="81">
        <f t="shared" si="240"/>
        <v>133.02314000000001</v>
      </c>
      <c r="J1060" s="81">
        <f t="shared" si="240"/>
        <v>4562.5949100000007</v>
      </c>
      <c r="K1060" s="81">
        <f t="shared" si="240"/>
        <v>1010.1625799999999</v>
      </c>
      <c r="L1060" s="81">
        <f t="shared" si="240"/>
        <v>21887.81338</v>
      </c>
      <c r="M1060" s="81">
        <f t="shared" si="240"/>
        <v>0</v>
      </c>
      <c r="N1060" s="81">
        <f t="shared" si="240"/>
        <v>50541.808440000001</v>
      </c>
      <c r="O1060" s="81">
        <f t="shared" si="240"/>
        <v>0</v>
      </c>
      <c r="P1060" s="81">
        <f t="shared" si="240"/>
        <v>0</v>
      </c>
      <c r="Q1060" s="81">
        <f t="shared" si="240"/>
        <v>8186.0514000000003</v>
      </c>
      <c r="R1060" s="81">
        <f t="shared" si="240"/>
        <v>0</v>
      </c>
      <c r="S1060" s="81">
        <f t="shared" si="240"/>
        <v>24393.261999999999</v>
      </c>
      <c r="T1060" s="81">
        <f t="shared" si="240"/>
        <v>26092.997989999996</v>
      </c>
      <c r="U1060" s="81">
        <f t="shared" si="240"/>
        <v>15653.47176</v>
      </c>
      <c r="V1060" s="81">
        <f t="shared" si="240"/>
        <v>2535.5104499999993</v>
      </c>
      <c r="W1060" s="81">
        <f t="shared" si="240"/>
        <v>4813.4367000000002</v>
      </c>
      <c r="X1060" s="81">
        <f t="shared" si="240"/>
        <v>0</v>
      </c>
      <c r="Y1060" s="81">
        <f t="shared" si="240"/>
        <v>16737.864000000001</v>
      </c>
      <c r="Z1060" s="81">
        <f t="shared" si="240"/>
        <v>0</v>
      </c>
      <c r="AA1060" s="81">
        <f t="shared" si="240"/>
        <v>0</v>
      </c>
      <c r="AB1060" s="81">
        <f t="shared" si="240"/>
        <v>0</v>
      </c>
      <c r="AC1060" s="81">
        <f t="shared" si="240"/>
        <v>0</v>
      </c>
      <c r="AD1060" s="81">
        <f t="shared" si="240"/>
        <v>22961.77248</v>
      </c>
      <c r="AE1060" s="81">
        <f t="shared" si="240"/>
        <v>10578.296899999999</v>
      </c>
      <c r="AF1060" s="192">
        <f t="shared" si="240"/>
        <v>12383.475579999998</v>
      </c>
      <c r="AG1060" s="81">
        <f t="shared" si="240"/>
        <v>0</v>
      </c>
      <c r="AH1060" s="81">
        <f t="shared" si="240"/>
        <v>0</v>
      </c>
      <c r="AI1060" s="81">
        <f t="shared" si="240"/>
        <v>0</v>
      </c>
      <c r="AJ1060" s="81">
        <f t="shared" ref="AJ1060:BO1060" si="241">SUBTOTAL(9,AJ1025:AJ1059)</f>
        <v>12912.2</v>
      </c>
      <c r="AK1060" s="81">
        <f t="shared" si="241"/>
        <v>4971.3999999999996</v>
      </c>
      <c r="AL1060" s="81">
        <f t="shared" si="241"/>
        <v>0</v>
      </c>
      <c r="AM1060" s="81">
        <f t="shared" si="241"/>
        <v>0</v>
      </c>
      <c r="AN1060" s="81">
        <f t="shared" si="241"/>
        <v>0</v>
      </c>
      <c r="AO1060" s="81">
        <f t="shared" si="241"/>
        <v>8552.9600000000009</v>
      </c>
      <c r="AP1060" s="81">
        <f t="shared" si="241"/>
        <v>24296.27477</v>
      </c>
      <c r="AQ1060" s="81">
        <f t="shared" si="241"/>
        <v>62680.358869999996</v>
      </c>
      <c r="AR1060" s="81">
        <f t="shared" si="241"/>
        <v>0</v>
      </c>
      <c r="AS1060" s="81">
        <f t="shared" si="241"/>
        <v>0</v>
      </c>
      <c r="AT1060" s="81">
        <f t="shared" si="241"/>
        <v>0</v>
      </c>
      <c r="AU1060" s="81">
        <f t="shared" si="241"/>
        <v>15680</v>
      </c>
      <c r="AV1060" s="81">
        <f t="shared" si="241"/>
        <v>11226.7642</v>
      </c>
      <c r="AW1060" s="81">
        <f t="shared" si="241"/>
        <v>0</v>
      </c>
      <c r="AX1060" s="81">
        <f t="shared" si="241"/>
        <v>0</v>
      </c>
      <c r="AY1060" s="81">
        <f t="shared" si="241"/>
        <v>0</v>
      </c>
      <c r="AZ1060" s="81">
        <f t="shared" si="241"/>
        <v>39776.025720000005</v>
      </c>
      <c r="BA1060" s="81">
        <f t="shared" si="241"/>
        <v>36020.349750000008</v>
      </c>
      <c r="BB1060" s="81">
        <f t="shared" si="241"/>
        <v>47.520809999999997</v>
      </c>
      <c r="BC1060" s="81">
        <f t="shared" si="241"/>
        <v>0</v>
      </c>
      <c r="BD1060" s="81">
        <f t="shared" si="241"/>
        <v>0</v>
      </c>
      <c r="BE1060" s="81">
        <f t="shared" si="241"/>
        <v>0</v>
      </c>
      <c r="BF1060" s="81">
        <f t="shared" si="241"/>
        <v>0</v>
      </c>
      <c r="BG1060" s="81">
        <f t="shared" si="241"/>
        <v>14156.06098</v>
      </c>
      <c r="BH1060" s="81">
        <f t="shared" si="241"/>
        <v>1500</v>
      </c>
      <c r="BI1060" s="81">
        <f t="shared" si="241"/>
        <v>40</v>
      </c>
      <c r="BJ1060" s="81">
        <f t="shared" si="241"/>
        <v>0</v>
      </c>
      <c r="BK1060" s="81">
        <f t="shared" si="241"/>
        <v>3057.6958</v>
      </c>
      <c r="BL1060" s="81">
        <f t="shared" si="241"/>
        <v>137.94547</v>
      </c>
      <c r="BM1060" s="81">
        <f t="shared" si="241"/>
        <v>12.133330000000001</v>
      </c>
      <c r="BN1060" s="81">
        <f t="shared" si="241"/>
        <v>0</v>
      </c>
      <c r="BO1060" s="81">
        <f t="shared" si="241"/>
        <v>0</v>
      </c>
      <c r="BP1060" s="81">
        <f t="shared" ref="BP1060:CU1060" si="242">SUBTOTAL(9,BP1025:BP1059)</f>
        <v>0</v>
      </c>
      <c r="BQ1060" s="81">
        <f t="shared" si="242"/>
        <v>0</v>
      </c>
      <c r="BR1060" s="81">
        <f t="shared" si="242"/>
        <v>941.63981999999999</v>
      </c>
      <c r="BS1060" s="81">
        <f t="shared" si="242"/>
        <v>2465.3000000000002</v>
      </c>
      <c r="BT1060" s="81">
        <f t="shared" si="242"/>
        <v>2645.5646199999996</v>
      </c>
      <c r="BU1060" s="81">
        <f t="shared" si="242"/>
        <v>8850.4605900000006</v>
      </c>
      <c r="BV1060" s="81">
        <f t="shared" si="242"/>
        <v>0</v>
      </c>
      <c r="BW1060" s="81">
        <f t="shared" si="242"/>
        <v>0</v>
      </c>
      <c r="BX1060" s="81">
        <f t="shared" si="242"/>
        <v>0</v>
      </c>
      <c r="BY1060" s="81">
        <f t="shared" si="242"/>
        <v>0</v>
      </c>
      <c r="BZ1060" s="81">
        <f t="shared" si="242"/>
        <v>0</v>
      </c>
      <c r="CA1060" s="81">
        <f t="shared" si="242"/>
        <v>0</v>
      </c>
      <c r="CB1060" s="176"/>
      <c r="CC1060" s="176"/>
      <c r="CD1060" s="176"/>
      <c r="CE1060" s="176"/>
      <c r="CF1060" s="176"/>
      <c r="CG1060" s="176"/>
      <c r="CH1060" s="176"/>
      <c r="CI1060" s="176"/>
      <c r="CJ1060" s="176"/>
      <c r="CK1060" s="176"/>
      <c r="CL1060" s="176"/>
      <c r="CM1060" s="176"/>
      <c r="CN1060" s="176"/>
      <c r="CO1060" s="176"/>
      <c r="CP1060" s="176"/>
      <c r="CQ1060" s="176"/>
      <c r="CR1060" s="176"/>
      <c r="CS1060" s="176"/>
      <c r="CT1060" s="176"/>
      <c r="CU1060" s="176"/>
      <c r="CV1060" s="176"/>
      <c r="CW1060" s="176"/>
      <c r="CX1060" s="176"/>
      <c r="CY1060" s="176"/>
      <c r="CZ1060" s="176"/>
      <c r="DA1060" s="176"/>
      <c r="DB1060" s="176"/>
      <c r="DC1060" s="176"/>
      <c r="DD1060" s="176"/>
      <c r="DE1060" s="176"/>
      <c r="DF1060" s="176"/>
      <c r="DG1060" s="176"/>
      <c r="DH1060" s="176"/>
      <c r="DI1060" s="176"/>
      <c r="DJ1060" s="176"/>
      <c r="DK1060" s="176"/>
      <c r="DL1060" s="176"/>
      <c r="DM1060" s="176"/>
      <c r="DN1060" s="176"/>
      <c r="DO1060" s="176"/>
      <c r="DP1060" s="176"/>
      <c r="DQ1060" s="176"/>
      <c r="DR1060" s="176"/>
      <c r="DS1060" s="176"/>
      <c r="DT1060" s="176"/>
      <c r="DU1060" s="176"/>
      <c r="DV1060" s="176"/>
      <c r="DW1060" s="176"/>
      <c r="DX1060" s="176"/>
      <c r="DY1060" s="176"/>
      <c r="DZ1060" s="176"/>
      <c r="EA1060" s="176"/>
      <c r="EB1060" s="176"/>
      <c r="EC1060" s="176"/>
      <c r="ED1060" s="176"/>
      <c r="EE1060" s="176"/>
      <c r="EF1060" s="176"/>
      <c r="EG1060" s="176"/>
      <c r="EH1060" s="176"/>
      <c r="EI1060" s="176"/>
      <c r="EJ1060" s="176"/>
      <c r="EK1060" s="176"/>
      <c r="EL1060" s="176"/>
      <c r="EM1060" s="176"/>
      <c r="EN1060" s="176"/>
      <c r="EO1060" s="176"/>
      <c r="EP1060" s="176"/>
      <c r="EQ1060" s="176"/>
      <c r="ER1060" s="176"/>
      <c r="ES1060" s="176"/>
      <c r="ET1060" s="176"/>
      <c r="EU1060" s="176"/>
      <c r="EV1060" s="176"/>
      <c r="EW1060" s="176"/>
      <c r="EX1060" s="176"/>
      <c r="EY1060" s="176"/>
      <c r="EZ1060" s="176"/>
      <c r="FA1060" s="176"/>
      <c r="FB1060" s="176"/>
      <c r="FC1060" s="176"/>
      <c r="FD1060" s="176"/>
      <c r="FE1060" s="176"/>
      <c r="FF1060" s="176"/>
      <c r="FG1060" s="176"/>
      <c r="FH1060" s="176"/>
      <c r="FI1060" s="176"/>
      <c r="FJ1060" s="176"/>
      <c r="FK1060" s="176"/>
      <c r="FL1060" s="176"/>
      <c r="FM1060" s="176"/>
      <c r="FN1060" s="176"/>
      <c r="FO1060" s="176"/>
      <c r="FP1060" s="176"/>
      <c r="FQ1060" s="176"/>
      <c r="FR1060" s="176"/>
      <c r="FS1060" s="176"/>
      <c r="FT1060" s="176"/>
      <c r="FU1060" s="176"/>
      <c r="FV1060" s="176"/>
      <c r="FW1060" s="176"/>
      <c r="FX1060" s="176"/>
      <c r="FY1060" s="176"/>
      <c r="FZ1060" s="176"/>
      <c r="GA1060" s="176"/>
      <c r="GB1060" s="176"/>
      <c r="GC1060" s="176"/>
      <c r="GD1060" s="176"/>
      <c r="GE1060" s="176"/>
      <c r="GF1060" s="176"/>
      <c r="GG1060" s="176"/>
      <c r="GH1060" s="176"/>
      <c r="GI1060" s="176"/>
      <c r="GJ1060" s="176"/>
      <c r="GK1060" s="176"/>
      <c r="GL1060" s="176"/>
      <c r="GM1060" s="176"/>
      <c r="GN1060" s="176"/>
      <c r="GO1060" s="176"/>
      <c r="GP1060" s="176"/>
      <c r="GQ1060" s="176"/>
      <c r="GR1060" s="176"/>
      <c r="GS1060" s="176"/>
      <c r="GT1060" s="176"/>
      <c r="GU1060" s="176"/>
      <c r="GV1060" s="176"/>
      <c r="GW1060" s="176"/>
      <c r="GX1060" s="176"/>
      <c r="GY1060" s="176"/>
      <c r="GZ1060" s="176"/>
      <c r="HA1060" s="176"/>
      <c r="HB1060" s="176"/>
      <c r="HC1060" s="176"/>
      <c r="HD1060" s="176"/>
      <c r="HE1060" s="176"/>
      <c r="HF1060" s="176"/>
      <c r="HG1060" s="176"/>
      <c r="HH1060" s="176"/>
      <c r="HI1060" s="176"/>
      <c r="HJ1060" s="176"/>
      <c r="HK1060" s="176"/>
      <c r="HL1060" s="176"/>
      <c r="HM1060" s="176"/>
      <c r="HN1060" s="176"/>
      <c r="HO1060" s="176"/>
      <c r="HP1060" s="176"/>
      <c r="HQ1060" s="176"/>
      <c r="HR1060" s="176"/>
      <c r="HS1060" s="176"/>
      <c r="HT1060" s="176"/>
      <c r="HU1060" s="176"/>
      <c r="HV1060" s="176"/>
      <c r="HW1060" s="176"/>
      <c r="HX1060" s="176"/>
      <c r="HY1060" s="176"/>
      <c r="HZ1060" s="176"/>
      <c r="IA1060" s="176"/>
      <c r="IB1060" s="176"/>
      <c r="IC1060" s="176"/>
      <c r="ID1060" s="176"/>
      <c r="IE1060" s="176"/>
      <c r="IF1060" s="176"/>
      <c r="IG1060" s="176"/>
      <c r="IH1060" s="176"/>
      <c r="II1060" s="176"/>
      <c r="IJ1060" s="176"/>
      <c r="IK1060" s="176"/>
      <c r="IL1060" s="176"/>
      <c r="IM1060" s="176"/>
      <c r="IN1060" s="176"/>
      <c r="IO1060" s="176"/>
      <c r="IP1060" s="176"/>
      <c r="IQ1060" s="176"/>
      <c r="IR1060" s="176"/>
      <c r="IS1060" s="176"/>
      <c r="IT1060" s="176"/>
      <c r="IU1060" s="176"/>
      <c r="IV1060" s="176"/>
      <c r="IW1060" s="176"/>
      <c r="IX1060" s="176"/>
      <c r="IY1060" s="176"/>
      <c r="IZ1060" s="176"/>
      <c r="JA1060" s="176"/>
      <c r="JB1060" s="176"/>
      <c r="JC1060" s="176"/>
      <c r="JD1060" s="176"/>
      <c r="JE1060" s="176"/>
      <c r="JF1060" s="176"/>
      <c r="JG1060" s="176"/>
      <c r="JH1060" s="176"/>
      <c r="JI1060" s="176"/>
      <c r="JJ1060" s="176"/>
      <c r="JK1060" s="176"/>
      <c r="JL1060" s="176"/>
      <c r="JM1060" s="176"/>
      <c r="JN1060" s="176"/>
      <c r="JO1060" s="176"/>
      <c r="JP1060" s="176"/>
      <c r="JQ1060" s="176"/>
      <c r="JR1060" s="176"/>
      <c r="JS1060" s="176"/>
      <c r="JT1060" s="176"/>
      <c r="JU1060" s="176"/>
      <c r="JV1060" s="176"/>
      <c r="JW1060" s="131"/>
      <c r="JX1060" s="131"/>
      <c r="JY1060" s="131"/>
      <c r="JZ1060" s="131"/>
      <c r="KA1060" s="131"/>
      <c r="KB1060" s="131"/>
      <c r="KC1060" s="131"/>
      <c r="KD1060" s="131"/>
      <c r="KE1060" s="131"/>
      <c r="KF1060" s="131"/>
      <c r="KG1060" s="131"/>
      <c r="KH1060" s="131"/>
      <c r="KI1060" s="131"/>
      <c r="KJ1060" s="131"/>
      <c r="KK1060" s="131"/>
      <c r="KL1060" s="131"/>
      <c r="KM1060" s="131"/>
      <c r="KN1060" s="131"/>
      <c r="KO1060" s="131"/>
      <c r="KP1060" s="131"/>
      <c r="KQ1060" s="131"/>
      <c r="KR1060" s="131"/>
      <c r="KS1060" s="131"/>
      <c r="KT1060" s="131"/>
      <c r="KU1060" s="131"/>
      <c r="KV1060" s="131"/>
      <c r="KW1060" s="131"/>
      <c r="KX1060" s="131"/>
      <c r="KY1060" s="131"/>
      <c r="KZ1060" s="131"/>
      <c r="LA1060" s="131"/>
      <c r="LB1060" s="131"/>
      <c r="LC1060" s="131"/>
      <c r="LD1060" s="131"/>
      <c r="LE1060" s="131"/>
      <c r="LF1060" s="131"/>
      <c r="LG1060" s="131"/>
      <c r="LH1060" s="131"/>
      <c r="LI1060" s="131"/>
      <c r="LJ1060" s="131"/>
      <c r="LK1060" s="131"/>
      <c r="LL1060" s="131"/>
      <c r="LM1060" s="131"/>
      <c r="LN1060" s="131"/>
      <c r="LO1060" s="131"/>
      <c r="LP1060" s="131"/>
      <c r="LQ1060" s="131"/>
      <c r="LR1060" s="131"/>
      <c r="LS1060" s="131"/>
      <c r="LT1060" s="131"/>
      <c r="LU1060" s="131"/>
      <c r="LV1060" s="131"/>
      <c r="LW1060" s="131"/>
      <c r="LX1060" s="131"/>
      <c r="LY1060" s="131"/>
      <c r="LZ1060" s="131"/>
      <c r="MA1060" s="131"/>
      <c r="MB1060" s="131"/>
      <c r="MC1060" s="131"/>
      <c r="MD1060" s="131"/>
      <c r="ME1060" s="131"/>
      <c r="MF1060" s="131"/>
      <c r="MG1060" s="131"/>
      <c r="MH1060" s="131"/>
      <c r="MI1060" s="131"/>
      <c r="MJ1060" s="131"/>
      <c r="MK1060" s="131"/>
      <c r="ML1060" s="131"/>
      <c r="MM1060" s="131"/>
      <c r="MN1060" s="131"/>
      <c r="MO1060" s="131"/>
      <c r="MP1060" s="131"/>
      <c r="MQ1060" s="131"/>
      <c r="MR1060" s="131"/>
      <c r="MS1060" s="131"/>
      <c r="MT1060" s="131"/>
      <c r="MU1060" s="131"/>
      <c r="MV1060" s="131"/>
      <c r="MW1060" s="131"/>
      <c r="MX1060" s="131"/>
      <c r="MY1060" s="131"/>
      <c r="MZ1060" s="131"/>
      <c r="NA1060" s="131"/>
      <c r="NB1060" s="131"/>
      <c r="NC1060" s="131"/>
      <c r="ND1060" s="131"/>
      <c r="NE1060" s="131"/>
      <c r="NF1060" s="131"/>
      <c r="NG1060" s="131"/>
      <c r="NH1060" s="131"/>
      <c r="NI1060" s="131"/>
      <c r="NJ1060" s="131"/>
      <c r="NK1060" s="131"/>
      <c r="NL1060" s="131"/>
      <c r="NM1060" s="131"/>
      <c r="NN1060" s="131"/>
      <c r="NO1060" s="131"/>
      <c r="NP1060" s="131"/>
      <c r="NQ1060" s="131"/>
      <c r="NR1060" s="131"/>
      <c r="NS1060" s="131"/>
      <c r="NT1060" s="131"/>
      <c r="NU1060" s="131"/>
      <c r="NV1060" s="131"/>
      <c r="NW1060" s="131"/>
      <c r="NX1060" s="131"/>
      <c r="NY1060" s="131"/>
      <c r="NZ1060" s="131"/>
      <c r="OA1060" s="131"/>
      <c r="OB1060" s="131"/>
      <c r="OC1060" s="131"/>
      <c r="OD1060" s="131"/>
      <c r="OE1060" s="131"/>
      <c r="OF1060" s="131"/>
      <c r="OG1060" s="131"/>
      <c r="OH1060" s="131"/>
      <c r="OI1060" s="131"/>
      <c r="OJ1060" s="131"/>
      <c r="OK1060" s="131"/>
      <c r="OL1060" s="131"/>
      <c r="OM1060" s="131"/>
      <c r="ON1060" s="131"/>
      <c r="OO1060" s="131"/>
      <c r="OP1060" s="131"/>
      <c r="OQ1060" s="131"/>
      <c r="OR1060" s="131"/>
      <c r="OS1060" s="131"/>
      <c r="OT1060" s="131"/>
      <c r="OU1060" s="131"/>
      <c r="OV1060" s="131"/>
      <c r="OW1060" s="131"/>
      <c r="OX1060" s="131"/>
      <c r="OY1060" s="131"/>
      <c r="OZ1060" s="131"/>
      <c r="PA1060" s="131"/>
      <c r="PB1060" s="131"/>
      <c r="PC1060" s="131"/>
      <c r="PD1060" s="131"/>
      <c r="PE1060" s="131"/>
      <c r="PF1060" s="131"/>
      <c r="PG1060" s="131"/>
      <c r="PH1060" s="131"/>
      <c r="PI1060" s="131"/>
      <c r="PJ1060" s="131"/>
      <c r="PK1060" s="131"/>
      <c r="PL1060" s="131"/>
      <c r="PM1060" s="131"/>
      <c r="PN1060" s="131"/>
      <c r="PO1060" s="131"/>
      <c r="PP1060" s="131"/>
      <c r="PQ1060" s="131"/>
      <c r="PR1060" s="131"/>
      <c r="PS1060" s="131"/>
      <c r="PT1060" s="131"/>
      <c r="PU1060" s="131"/>
      <c r="PV1060" s="131"/>
      <c r="PW1060" s="131"/>
      <c r="PX1060" s="131"/>
      <c r="PY1060" s="131"/>
      <c r="PZ1060" s="131"/>
      <c r="QA1060" s="131"/>
      <c r="QB1060" s="131"/>
      <c r="QC1060" s="131"/>
      <c r="QD1060" s="131"/>
      <c r="QE1060" s="131"/>
      <c r="QF1060" s="131"/>
      <c r="QG1060" s="131"/>
      <c r="QH1060" s="131"/>
      <c r="QI1060" s="131"/>
      <c r="QJ1060" s="131"/>
      <c r="QK1060" s="131"/>
      <c r="QL1060" s="131"/>
      <c r="QM1060" s="131"/>
      <c r="QN1060" s="131"/>
      <c r="QO1060" s="131"/>
      <c r="QP1060" s="131"/>
      <c r="QQ1060" s="131"/>
      <c r="QR1060" s="131"/>
      <c r="QS1060" s="131"/>
      <c r="QT1060" s="131"/>
      <c r="QU1060" s="131"/>
      <c r="QV1060" s="131"/>
      <c r="QW1060" s="131"/>
      <c r="QX1060" s="131"/>
      <c r="QY1060" s="131"/>
      <c r="QZ1060" s="131"/>
      <c r="RA1060" s="131"/>
      <c r="RB1060" s="131"/>
      <c r="RC1060" s="131"/>
      <c r="RD1060" s="131"/>
      <c r="RE1060" s="131"/>
      <c r="RF1060" s="131"/>
      <c r="RG1060" s="131"/>
      <c r="RH1060" s="131"/>
      <c r="RI1060" s="131"/>
      <c r="RJ1060" s="131"/>
      <c r="RK1060" s="131"/>
      <c r="RL1060" s="131"/>
      <c r="RM1060" s="131"/>
      <c r="RN1060" s="131"/>
      <c r="RO1060" s="131"/>
      <c r="RP1060" s="131"/>
      <c r="RQ1060" s="131"/>
      <c r="RR1060" s="131"/>
      <c r="RS1060" s="131"/>
      <c r="RT1060" s="131"/>
      <c r="RU1060" s="131"/>
      <c r="RV1060" s="131"/>
      <c r="RW1060" s="131"/>
      <c r="RX1060" s="131"/>
      <c r="RY1060" s="131"/>
      <c r="RZ1060" s="131"/>
      <c r="SA1060" s="131"/>
      <c r="SB1060" s="131"/>
      <c r="SC1060" s="131"/>
      <c r="SD1060" s="131"/>
      <c r="SE1060" s="131"/>
      <c r="SF1060" s="131"/>
      <c r="SG1060" s="131"/>
      <c r="SH1060" s="131"/>
      <c r="SI1060" s="131"/>
      <c r="SJ1060" s="131"/>
      <c r="SK1060" s="131"/>
      <c r="SL1060" s="131"/>
      <c r="SM1060" s="131"/>
      <c r="SN1060" s="131"/>
      <c r="SO1060" s="131"/>
      <c r="SP1060" s="131"/>
      <c r="SQ1060" s="131"/>
      <c r="SR1060" s="131"/>
      <c r="SS1060" s="131"/>
      <c r="ST1060" s="131"/>
      <c r="SU1060" s="131"/>
      <c r="SV1060" s="131"/>
      <c r="SW1060" s="131"/>
      <c r="SX1060" s="131"/>
      <c r="SY1060" s="131"/>
      <c r="SZ1060" s="131"/>
      <c r="TA1060" s="131"/>
      <c r="TB1060" s="131"/>
      <c r="TC1060" s="131"/>
      <c r="TD1060" s="131"/>
      <c r="TE1060" s="131"/>
      <c r="TF1060" s="131"/>
      <c r="TG1060" s="131"/>
      <c r="TH1060" s="131"/>
      <c r="TI1060" s="131"/>
      <c r="TJ1060" s="131"/>
      <c r="TK1060" s="131"/>
      <c r="TL1060" s="131"/>
      <c r="TM1060" s="131"/>
      <c r="TN1060" s="131"/>
      <c r="TO1060" s="131"/>
      <c r="TP1060" s="131"/>
      <c r="TQ1060" s="131"/>
      <c r="TR1060" s="131"/>
      <c r="TS1060" s="131"/>
      <c r="TT1060" s="131"/>
      <c r="TU1060" s="131"/>
      <c r="TV1060" s="131"/>
      <c r="TW1060" s="131"/>
      <c r="TX1060" s="131"/>
      <c r="TY1060" s="131"/>
      <c r="TZ1060" s="131"/>
      <c r="UA1060" s="131"/>
      <c r="UB1060" s="131"/>
      <c r="UC1060" s="131"/>
      <c r="UD1060" s="131"/>
      <c r="UE1060" s="131"/>
      <c r="UF1060" s="131"/>
      <c r="UG1060" s="131"/>
      <c r="UH1060" s="131"/>
      <c r="UI1060" s="131"/>
      <c r="UJ1060" s="131"/>
      <c r="UK1060" s="131"/>
      <c r="UL1060" s="131"/>
      <c r="UM1060" s="131"/>
      <c r="UN1060" s="131"/>
      <c r="UO1060" s="131"/>
      <c r="UP1060" s="131"/>
      <c r="UQ1060" s="131"/>
      <c r="UR1060" s="131"/>
      <c r="US1060" s="131"/>
      <c r="UT1060" s="131"/>
      <c r="UU1060" s="131"/>
      <c r="UV1060" s="131"/>
      <c r="UW1060" s="131"/>
      <c r="UX1060" s="131"/>
      <c r="UY1060" s="131"/>
      <c r="UZ1060" s="131"/>
      <c r="VA1060" s="131"/>
      <c r="VB1060" s="131"/>
      <c r="VC1060" s="131"/>
      <c r="VD1060" s="131"/>
      <c r="VE1060" s="131"/>
      <c r="VF1060" s="131"/>
      <c r="VG1060" s="131"/>
      <c r="VH1060" s="131"/>
      <c r="VI1060" s="131"/>
      <c r="VJ1060" s="131"/>
      <c r="VK1060" s="131"/>
      <c r="VL1060" s="131"/>
      <c r="VM1060" s="131"/>
      <c r="VN1060" s="131"/>
      <c r="VO1060" s="131"/>
      <c r="VP1060" s="131"/>
      <c r="VQ1060" s="131"/>
      <c r="VR1060" s="131"/>
      <c r="VS1060" s="131"/>
      <c r="VT1060" s="131"/>
      <c r="VU1060" s="131"/>
      <c r="VV1060" s="131"/>
      <c r="VW1060" s="131"/>
      <c r="VX1060" s="131"/>
      <c r="VY1060" s="131"/>
      <c r="VZ1060" s="131"/>
      <c r="WA1060" s="131"/>
      <c r="WB1060" s="131"/>
      <c r="WC1060" s="131"/>
      <c r="WD1060" s="131"/>
      <c r="WE1060" s="131"/>
      <c r="WF1060" s="131"/>
      <c r="WG1060" s="131"/>
      <c r="WH1060" s="131"/>
      <c r="WI1060" s="131"/>
      <c r="WJ1060" s="131"/>
      <c r="WK1060" s="131"/>
      <c r="WL1060" s="131"/>
      <c r="WM1060" s="131"/>
      <c r="WN1060" s="131"/>
      <c r="WO1060" s="131"/>
      <c r="WP1060" s="131"/>
      <c r="WQ1060" s="131"/>
      <c r="WR1060" s="131"/>
      <c r="WS1060" s="131"/>
      <c r="WT1060" s="131"/>
      <c r="WU1060" s="131"/>
      <c r="WV1060" s="131"/>
      <c r="WW1060" s="131"/>
      <c r="WX1060" s="131"/>
      <c r="WY1060" s="131"/>
      <c r="WZ1060" s="131"/>
      <c r="XA1060" s="131"/>
      <c r="XB1060" s="131"/>
      <c r="XC1060" s="131"/>
      <c r="XD1060" s="131"/>
      <c r="XE1060" s="131"/>
      <c r="XF1060" s="131"/>
      <c r="XG1060" s="131"/>
      <c r="XH1060" s="131"/>
      <c r="XI1060" s="131"/>
      <c r="XJ1060" s="131"/>
      <c r="XK1060" s="131"/>
      <c r="XL1060" s="131"/>
      <c r="XM1060" s="131"/>
      <c r="XN1060" s="131"/>
      <c r="XO1060" s="131"/>
      <c r="XP1060" s="131"/>
      <c r="XQ1060" s="131"/>
      <c r="XR1060" s="131"/>
      <c r="XS1060" s="131"/>
      <c r="XT1060" s="131"/>
      <c r="XU1060" s="131"/>
      <c r="XV1060" s="131"/>
      <c r="XW1060" s="131"/>
      <c r="XX1060" s="131"/>
      <c r="XY1060" s="131"/>
      <c r="XZ1060" s="131"/>
      <c r="YA1060" s="131"/>
      <c r="YB1060" s="131"/>
      <c r="YC1060" s="131"/>
      <c r="YD1060" s="131"/>
      <c r="YE1060" s="131"/>
      <c r="YF1060" s="131"/>
      <c r="YG1060" s="131"/>
      <c r="YH1060" s="131"/>
      <c r="YI1060" s="131"/>
      <c r="YJ1060" s="131"/>
      <c r="YK1060" s="131"/>
      <c r="YL1060" s="131"/>
      <c r="YM1060" s="131"/>
      <c r="YN1060" s="131"/>
      <c r="YO1060" s="131"/>
      <c r="YP1060" s="131"/>
      <c r="YQ1060" s="131"/>
      <c r="YR1060" s="131"/>
      <c r="YS1060" s="131"/>
      <c r="YT1060" s="131"/>
      <c r="YU1060" s="131"/>
      <c r="YV1060" s="131"/>
      <c r="YW1060" s="131"/>
      <c r="YX1060" s="131"/>
      <c r="YY1060" s="131"/>
      <c r="YZ1060" s="131"/>
      <c r="ZA1060" s="131"/>
      <c r="ZB1060" s="131"/>
      <c r="ZC1060" s="131"/>
      <c r="ZD1060" s="131"/>
      <c r="ZE1060" s="131"/>
      <c r="ZF1060" s="131"/>
      <c r="ZG1060" s="131"/>
      <c r="ZH1060" s="131"/>
      <c r="ZI1060" s="131"/>
      <c r="ZJ1060" s="131"/>
      <c r="ZK1060" s="131"/>
      <c r="ZL1060" s="131"/>
      <c r="ZM1060" s="131"/>
      <c r="ZN1060" s="131"/>
      <c r="ZO1060" s="131"/>
      <c r="ZP1060" s="131"/>
      <c r="ZQ1060" s="131"/>
      <c r="ZR1060" s="131"/>
      <c r="ZS1060" s="131"/>
      <c r="ZT1060" s="131"/>
      <c r="ZU1060" s="131"/>
      <c r="ZV1060" s="131"/>
      <c r="ZW1060" s="131"/>
      <c r="ZX1060" s="131"/>
      <c r="ZY1060" s="131"/>
      <c r="ZZ1060" s="131"/>
      <c r="AAA1060" s="131"/>
      <c r="AAB1060" s="131"/>
      <c r="AAC1060" s="131"/>
      <c r="AAD1060" s="131"/>
      <c r="AAE1060" s="131"/>
      <c r="AAF1060" s="131"/>
      <c r="AAG1060" s="131"/>
      <c r="AAH1060" s="131"/>
      <c r="AAI1060" s="131"/>
      <c r="AAJ1060" s="131"/>
      <c r="AAK1060" s="131"/>
      <c r="AAL1060" s="131"/>
      <c r="AAM1060" s="131"/>
      <c r="AAN1060" s="131"/>
      <c r="AAO1060" s="131"/>
      <c r="AAP1060" s="131"/>
      <c r="AAQ1060" s="131"/>
      <c r="AAR1060" s="131"/>
      <c r="AAS1060" s="131"/>
      <c r="AAT1060" s="131"/>
      <c r="AAU1060" s="131"/>
      <c r="AAV1060" s="131"/>
      <c r="AAW1060" s="131"/>
      <c r="AAX1060" s="131"/>
      <c r="AAY1060" s="131"/>
      <c r="AAZ1060" s="131"/>
      <c r="ABA1060" s="131"/>
      <c r="ABB1060" s="131"/>
      <c r="ABC1060" s="131"/>
      <c r="ABD1060" s="131"/>
      <c r="ABE1060" s="131"/>
      <c r="ABF1060" s="131"/>
      <c r="ABG1060" s="131"/>
      <c r="ABH1060" s="131"/>
      <c r="ABI1060" s="131"/>
      <c r="ABJ1060" s="131"/>
      <c r="ABK1060" s="131"/>
      <c r="ABL1060" s="131"/>
      <c r="ABM1060" s="131"/>
      <c r="ABN1060" s="131"/>
      <c r="ABO1060" s="131"/>
      <c r="ABP1060" s="131"/>
      <c r="ABQ1060" s="131"/>
      <c r="ABR1060" s="131"/>
      <c r="ABS1060" s="131"/>
      <c r="ABT1060" s="131"/>
      <c r="ABU1060" s="131"/>
      <c r="ABV1060" s="131"/>
      <c r="ABW1060" s="131"/>
      <c r="ABX1060" s="131"/>
      <c r="ABY1060" s="131"/>
      <c r="ABZ1060" s="131"/>
      <c r="ACA1060" s="131"/>
      <c r="ACB1060" s="131"/>
      <c r="ACC1060" s="131"/>
      <c r="ACD1060" s="131"/>
      <c r="ACE1060" s="131"/>
      <c r="ACF1060" s="131"/>
      <c r="ACG1060" s="131"/>
      <c r="ACH1060" s="131"/>
      <c r="ACI1060" s="131"/>
      <c r="ACJ1060" s="131"/>
      <c r="ACK1060" s="131"/>
      <c r="ACL1060" s="131"/>
      <c r="ACM1060" s="131"/>
      <c r="ACN1060" s="131"/>
      <c r="ACO1060" s="131"/>
      <c r="ACP1060" s="131"/>
      <c r="ACQ1060" s="131"/>
      <c r="ACR1060" s="131"/>
      <c r="ACS1060" s="131"/>
      <c r="ACT1060" s="131"/>
      <c r="ACU1060" s="131"/>
      <c r="ACV1060" s="131"/>
      <c r="ACW1060" s="131"/>
      <c r="ACX1060" s="131"/>
      <c r="ACY1060" s="131"/>
      <c r="ACZ1060" s="131"/>
      <c r="ADA1060" s="131"/>
      <c r="ADB1060" s="131"/>
      <c r="ADC1060" s="131"/>
      <c r="ADD1060" s="131"/>
      <c r="ADE1060" s="131"/>
      <c r="ADF1060" s="131"/>
      <c r="ADG1060" s="131"/>
      <c r="ADH1060" s="131"/>
      <c r="ADI1060" s="131"/>
      <c r="ADJ1060" s="131"/>
      <c r="ADK1060" s="131"/>
      <c r="ADL1060" s="131"/>
      <c r="ADM1060" s="131"/>
      <c r="ADN1060" s="131"/>
      <c r="ADO1060" s="131"/>
      <c r="ADP1060" s="131"/>
      <c r="ADQ1060" s="131"/>
      <c r="ADR1060" s="131"/>
      <c r="ADS1060" s="131"/>
      <c r="ADT1060" s="131"/>
      <c r="ADU1060" s="131"/>
      <c r="ADV1060" s="131"/>
      <c r="ADW1060" s="131"/>
      <c r="ADX1060" s="131"/>
      <c r="ADY1060" s="131"/>
      <c r="ADZ1060" s="131"/>
      <c r="AEA1060" s="131"/>
      <c r="AEB1060" s="131"/>
      <c r="AEC1060" s="131"/>
      <c r="AED1060" s="131"/>
      <c r="AEE1060" s="131"/>
      <c r="AEF1060" s="131"/>
      <c r="AEG1060" s="131"/>
      <c r="AEH1060" s="131"/>
      <c r="AEI1060" s="131"/>
      <c r="AEJ1060" s="131"/>
      <c r="AEK1060" s="131"/>
      <c r="AEL1060" s="131"/>
      <c r="AEM1060" s="131"/>
      <c r="AEN1060" s="131"/>
      <c r="AEO1060" s="131"/>
      <c r="AEP1060" s="131"/>
      <c r="AEQ1060" s="131"/>
      <c r="AER1060" s="131"/>
      <c r="AES1060" s="131"/>
      <c r="AET1060" s="131"/>
      <c r="AEU1060" s="131"/>
      <c r="AEV1060" s="131"/>
      <c r="AEW1060" s="131"/>
      <c r="AEX1060" s="131"/>
      <c r="AEY1060" s="131"/>
      <c r="AEZ1060" s="131"/>
      <c r="AFA1060" s="131"/>
      <c r="AFB1060" s="131"/>
      <c r="AFC1060" s="131"/>
      <c r="AFD1060" s="131"/>
      <c r="AFE1060" s="131"/>
      <c r="AFF1060" s="131"/>
      <c r="AFG1060" s="131"/>
      <c r="AFH1060" s="131"/>
      <c r="AFI1060" s="131"/>
      <c r="AFJ1060" s="131"/>
      <c r="AFK1060" s="131"/>
      <c r="AFL1060" s="131"/>
      <c r="AFM1060" s="131"/>
      <c r="AFN1060" s="131"/>
      <c r="AFO1060" s="131"/>
      <c r="AFP1060" s="131"/>
      <c r="AFQ1060" s="131"/>
      <c r="AFR1060" s="131"/>
      <c r="AFS1060" s="131"/>
      <c r="AFT1060" s="131"/>
      <c r="AFU1060" s="131"/>
      <c r="AFV1060" s="131"/>
      <c r="AFW1060" s="131"/>
      <c r="AFX1060" s="131"/>
      <c r="AFY1060" s="131"/>
      <c r="AFZ1060" s="131"/>
      <c r="AGA1060" s="131"/>
      <c r="AGB1060" s="131"/>
      <c r="AGC1060" s="131"/>
      <c r="AGD1060" s="131"/>
      <c r="AGE1060" s="131"/>
      <c r="AGF1060" s="131"/>
      <c r="AGG1060" s="131"/>
      <c r="AGH1060" s="131"/>
      <c r="AGI1060" s="131"/>
      <c r="AGJ1060" s="131"/>
      <c r="AGK1060" s="131"/>
      <c r="AGL1060" s="131"/>
      <c r="AGM1060" s="131"/>
      <c r="AGN1060" s="131"/>
      <c r="AGO1060" s="131"/>
      <c r="AGP1060" s="131"/>
      <c r="AGQ1060" s="131"/>
      <c r="AGR1060" s="131"/>
      <c r="AGS1060" s="131"/>
      <c r="AGT1060" s="131"/>
      <c r="AGU1060" s="131"/>
      <c r="AGV1060" s="131"/>
      <c r="AGW1060" s="131"/>
      <c r="AGX1060" s="131"/>
      <c r="AGY1060" s="131"/>
      <c r="AGZ1060" s="131"/>
      <c r="AHA1060" s="131"/>
      <c r="AHB1060" s="131"/>
      <c r="AHC1060" s="131"/>
      <c r="AHD1060" s="131"/>
      <c r="AHE1060" s="131"/>
      <c r="AHF1060" s="131"/>
      <c r="AHG1060" s="131"/>
      <c r="AHH1060" s="131"/>
      <c r="AHI1060" s="131"/>
      <c r="AHJ1060" s="131"/>
      <c r="AHK1060" s="131"/>
      <c r="AHL1060" s="131"/>
      <c r="AHM1060" s="131"/>
      <c r="AHN1060" s="131"/>
      <c r="AHO1060" s="131"/>
      <c r="AHP1060" s="131"/>
      <c r="AHQ1060" s="131"/>
      <c r="AHR1060" s="131"/>
      <c r="AHS1060" s="131"/>
      <c r="AHT1060" s="131"/>
      <c r="AHU1060" s="131"/>
      <c r="AHV1060" s="131"/>
      <c r="AHW1060" s="131"/>
      <c r="AHX1060" s="131"/>
      <c r="AHY1060" s="131"/>
      <c r="AHZ1060" s="131"/>
      <c r="AIA1060" s="131"/>
      <c r="AIB1060" s="131"/>
      <c r="AIC1060" s="131"/>
      <c r="AID1060" s="131"/>
      <c r="AIE1060" s="131"/>
      <c r="AIF1060" s="131"/>
      <c r="AIG1060" s="131"/>
      <c r="AIH1060" s="131"/>
      <c r="AII1060" s="131"/>
      <c r="AIJ1060" s="131"/>
      <c r="AIK1060" s="131"/>
      <c r="AIL1060" s="131"/>
      <c r="AIM1060" s="131"/>
      <c r="AIN1060" s="131"/>
      <c r="AIO1060" s="131"/>
      <c r="AIP1060" s="131"/>
      <c r="AIQ1060" s="131"/>
      <c r="AIR1060" s="131"/>
      <c r="AIS1060" s="131"/>
      <c r="AIT1060" s="131"/>
      <c r="AIU1060" s="131"/>
      <c r="AIV1060" s="131"/>
      <c r="AIW1060" s="131"/>
      <c r="AIX1060" s="131"/>
      <c r="AIY1060" s="131"/>
      <c r="AIZ1060" s="131"/>
      <c r="AJA1060" s="131"/>
      <c r="AJB1060" s="131"/>
      <c r="AJC1060" s="131"/>
      <c r="AJD1060" s="131"/>
      <c r="AJE1060" s="131"/>
      <c r="AJF1060" s="131"/>
      <c r="AJG1060" s="131"/>
      <c r="AJH1060" s="131"/>
      <c r="AJI1060" s="131"/>
      <c r="AJJ1060" s="131"/>
      <c r="AJK1060" s="131"/>
      <c r="AJL1060" s="131"/>
      <c r="AJM1060" s="131"/>
      <c r="AJN1060" s="131"/>
      <c r="AJO1060" s="131"/>
      <c r="AJP1060" s="131"/>
      <c r="AJQ1060" s="131"/>
      <c r="AJR1060" s="131"/>
      <c r="AJS1060" s="131"/>
      <c r="AJT1060" s="131"/>
      <c r="AJU1060" s="131"/>
      <c r="AJV1060" s="131"/>
      <c r="AJW1060" s="131"/>
      <c r="AJX1060" s="131"/>
      <c r="AJY1060" s="131"/>
      <c r="AJZ1060" s="131"/>
      <c r="AKA1060" s="131"/>
      <c r="AKB1060" s="131"/>
      <c r="AKC1060" s="131"/>
      <c r="AKD1060" s="131"/>
      <c r="AKE1060" s="131"/>
      <c r="AKF1060" s="131"/>
      <c r="AKG1060" s="131"/>
      <c r="AKH1060" s="131"/>
      <c r="AKI1060" s="131"/>
      <c r="AKJ1060" s="131"/>
      <c r="AKK1060" s="131"/>
      <c r="AKL1060" s="131"/>
      <c r="AKM1060" s="131"/>
      <c r="AKN1060" s="131"/>
      <c r="AKO1060" s="131"/>
      <c r="AKP1060" s="131"/>
      <c r="AKQ1060" s="131"/>
      <c r="AKR1060" s="131"/>
      <c r="AKS1060" s="131"/>
      <c r="AKT1060" s="131"/>
      <c r="AKU1060" s="131"/>
      <c r="AKV1060" s="131"/>
      <c r="AKW1060" s="131"/>
      <c r="AKX1060" s="131"/>
      <c r="AKY1060" s="131"/>
      <c r="AKZ1060" s="131"/>
      <c r="ALA1060" s="131"/>
      <c r="ALB1060" s="131"/>
      <c r="ALC1060" s="131"/>
      <c r="ALD1060" s="131"/>
      <c r="ALE1060" s="131"/>
      <c r="ALF1060" s="131"/>
      <c r="ALG1060" s="131"/>
      <c r="ALH1060" s="131"/>
      <c r="ALI1060" s="131"/>
      <c r="ALJ1060" s="131"/>
      <c r="ALK1060" s="131"/>
      <c r="ALL1060" s="131"/>
      <c r="ALM1060" s="131"/>
      <c r="ALN1060" s="131"/>
      <c r="ALO1060" s="131"/>
      <c r="ALP1060" s="131"/>
      <c r="ALQ1060" s="131"/>
      <c r="ALR1060" s="131"/>
      <c r="ALS1060" s="131"/>
      <c r="ALT1060" s="131"/>
      <c r="ALU1060" s="131"/>
      <c r="ALV1060" s="131"/>
      <c r="ALW1060" s="131"/>
      <c r="ALX1060" s="131"/>
      <c r="ALY1060" s="131"/>
      <c r="ALZ1060" s="131"/>
      <c r="AMA1060" s="131"/>
      <c r="AMB1060" s="131"/>
      <c r="AMC1060" s="131"/>
      <c r="AMD1060" s="131"/>
      <c r="AME1060" s="131"/>
      <c r="AMF1060" s="131"/>
      <c r="AMG1060" s="131"/>
      <c r="AMH1060" s="131"/>
      <c r="AMI1060" s="131"/>
      <c r="AMJ1060" s="131"/>
      <c r="AMK1060" s="131"/>
      <c r="AML1060" s="131"/>
      <c r="AMM1060" s="131"/>
      <c r="AMN1060" s="131"/>
      <c r="AMO1060" s="131"/>
      <c r="AMP1060" s="131"/>
      <c r="AMQ1060" s="131"/>
      <c r="AMR1060" s="131"/>
      <c r="AMS1060" s="131"/>
      <c r="AMT1060" s="131"/>
      <c r="AMU1060" s="131"/>
      <c r="AMV1060" s="131"/>
      <c r="AMW1060" s="131"/>
      <c r="AMX1060" s="131"/>
      <c r="AMY1060" s="131"/>
      <c r="AMZ1060" s="131"/>
      <c r="ANA1060" s="131"/>
      <c r="ANB1060" s="131"/>
      <c r="ANC1060" s="131"/>
      <c r="AND1060" s="131"/>
      <c r="ANE1060" s="131"/>
      <c r="ANF1060" s="131"/>
      <c r="ANG1060" s="131"/>
      <c r="ANH1060" s="131"/>
      <c r="ANI1060" s="131"/>
      <c r="ANJ1060" s="131"/>
      <c r="ANK1060" s="131"/>
      <c r="ANL1060" s="131"/>
      <c r="ANM1060" s="131"/>
      <c r="ANN1060" s="131"/>
      <c r="ANO1060" s="131"/>
      <c r="ANP1060" s="131"/>
      <c r="ANQ1060" s="131"/>
      <c r="ANR1060" s="131"/>
      <c r="ANS1060" s="131"/>
      <c r="ANT1060" s="131"/>
      <c r="ANU1060" s="131"/>
      <c r="ANV1060" s="131"/>
      <c r="ANW1060" s="131"/>
      <c r="ANX1060" s="131"/>
      <c r="ANY1060" s="131"/>
      <c r="ANZ1060" s="131"/>
      <c r="AOA1060" s="131"/>
      <c r="AOB1060" s="131"/>
      <c r="AOC1060" s="131"/>
      <c r="AOD1060" s="131"/>
      <c r="AOE1060" s="131"/>
      <c r="AOF1060" s="131"/>
      <c r="AOG1060" s="131"/>
      <c r="AOH1060" s="131"/>
      <c r="AOI1060" s="131"/>
      <c r="AOJ1060" s="131"/>
      <c r="AOK1060" s="131"/>
      <c r="AOL1060" s="131"/>
      <c r="AOM1060" s="131"/>
      <c r="AON1060" s="131"/>
      <c r="AOO1060" s="131"/>
      <c r="AOP1060" s="131"/>
      <c r="AOQ1060" s="131"/>
      <c r="AOR1060" s="131"/>
      <c r="AOS1060" s="131"/>
      <c r="AOT1060" s="131"/>
      <c r="AOU1060" s="131"/>
      <c r="AOV1060" s="131"/>
      <c r="AOW1060" s="131"/>
      <c r="AOX1060" s="131"/>
      <c r="AOY1060" s="131"/>
      <c r="AOZ1060" s="131"/>
      <c r="APA1060" s="131"/>
      <c r="APB1060" s="131"/>
      <c r="APC1060" s="131"/>
      <c r="APD1060" s="131"/>
      <c r="APE1060" s="131"/>
      <c r="APF1060" s="131"/>
      <c r="APG1060" s="131"/>
      <c r="APH1060" s="131"/>
      <c r="API1060" s="131"/>
      <c r="APJ1060" s="131"/>
      <c r="APK1060" s="131"/>
      <c r="APL1060" s="131"/>
      <c r="APM1060" s="131"/>
      <c r="APN1060" s="131"/>
      <c r="APO1060" s="131"/>
      <c r="APP1060" s="131"/>
      <c r="APQ1060" s="131"/>
      <c r="APR1060" s="131"/>
      <c r="APS1060" s="131"/>
      <c r="APT1060" s="131"/>
      <c r="APU1060" s="131"/>
      <c r="APV1060" s="131"/>
      <c r="APW1060" s="131"/>
      <c r="APX1060" s="131"/>
      <c r="APY1060" s="131"/>
      <c r="APZ1060" s="131"/>
      <c r="AQA1060" s="131"/>
      <c r="AQB1060" s="131"/>
      <c r="AQC1060" s="131"/>
      <c r="AQD1060" s="131"/>
      <c r="AQE1060" s="131"/>
      <c r="AQF1060" s="131"/>
      <c r="AQG1060" s="131"/>
      <c r="AQH1060" s="131"/>
      <c r="AQI1060" s="131"/>
      <c r="AQJ1060" s="131"/>
      <c r="AQK1060" s="131"/>
      <c r="AQL1060" s="131"/>
      <c r="AQM1060" s="131"/>
      <c r="AQN1060" s="131"/>
      <c r="AQO1060" s="131"/>
      <c r="AQP1060" s="131"/>
      <c r="AQQ1060" s="131"/>
      <c r="AQR1060" s="131"/>
      <c r="AQS1060" s="131"/>
      <c r="AQT1060" s="131"/>
      <c r="AQU1060" s="131"/>
      <c r="AQV1060" s="131"/>
      <c r="AQW1060" s="131"/>
      <c r="AQX1060" s="131"/>
      <c r="AQY1060" s="131"/>
      <c r="AQZ1060" s="131"/>
      <c r="ARA1060" s="131"/>
      <c r="ARB1060" s="131"/>
      <c r="ARC1060" s="131"/>
      <c r="ARD1060" s="131"/>
      <c r="ARE1060" s="131"/>
      <c r="ARF1060" s="131"/>
      <c r="ARG1060" s="131"/>
      <c r="ARH1060" s="131"/>
      <c r="ARI1060" s="131"/>
      <c r="ARJ1060" s="131"/>
      <c r="ARK1060" s="131"/>
      <c r="ARL1060" s="131"/>
      <c r="ARM1060" s="131"/>
      <c r="ARN1060" s="131"/>
      <c r="ARO1060" s="131"/>
      <c r="ARP1060" s="131"/>
      <c r="ARQ1060" s="131"/>
      <c r="ARR1060" s="131"/>
      <c r="ARS1060" s="131"/>
      <c r="ART1060" s="131"/>
      <c r="ARU1060" s="131"/>
      <c r="ARV1060" s="131"/>
      <c r="ARW1060" s="131"/>
      <c r="ARX1060" s="131"/>
      <c r="ARY1060" s="131"/>
      <c r="ARZ1060" s="131"/>
      <c r="ASA1060" s="131"/>
      <c r="ASB1060" s="131"/>
      <c r="ASC1060" s="131"/>
      <c r="ASD1060" s="131"/>
      <c r="ASE1060" s="131"/>
      <c r="ASF1060" s="131"/>
      <c r="ASG1060" s="131"/>
      <c r="ASH1060" s="131"/>
      <c r="ASI1060" s="131"/>
      <c r="ASJ1060" s="131"/>
      <c r="ASK1060" s="131"/>
      <c r="ASL1060" s="131"/>
      <c r="ASM1060" s="131"/>
      <c r="ASN1060" s="131"/>
      <c r="ASO1060" s="131"/>
      <c r="ASP1060" s="131"/>
      <c r="ASQ1060" s="131"/>
      <c r="ASR1060" s="131"/>
      <c r="ASS1060" s="131"/>
      <c r="AST1060" s="131"/>
      <c r="ASU1060" s="131"/>
      <c r="ASV1060" s="131"/>
      <c r="ASW1060" s="131"/>
      <c r="ASX1060" s="131"/>
      <c r="ASY1060" s="131"/>
      <c r="ASZ1060" s="131"/>
      <c r="ATA1060" s="131"/>
      <c r="ATB1060" s="131"/>
      <c r="ATC1060" s="131"/>
    </row>
    <row r="1061" spans="1:1199" ht="50.1" customHeight="1" outlineLevel="2" x14ac:dyDescent="0.3">
      <c r="A1061" s="103" t="s">
        <v>890</v>
      </c>
      <c r="B1061" s="102" t="s">
        <v>891</v>
      </c>
      <c r="C1061" s="79" t="s">
        <v>37</v>
      </c>
      <c r="D1061" s="81">
        <f t="shared" ref="D1061" si="243">E1061+F1061</f>
        <v>8384.7070100000001</v>
      </c>
      <c r="E1061" s="82">
        <f t="shared" si="238"/>
        <v>2432.3193099999999</v>
      </c>
      <c r="F1061" s="83">
        <f t="shared" si="239"/>
        <v>5952.3877000000002</v>
      </c>
      <c r="G1061" s="84">
        <v>286.99633999999998</v>
      </c>
      <c r="H1061" s="85">
        <v>352.53133000000003</v>
      </c>
      <c r="I1061" s="85"/>
      <c r="J1061" s="84"/>
      <c r="K1061" s="85"/>
      <c r="L1061" s="85"/>
      <c r="M1061" s="85"/>
      <c r="N1061" s="85"/>
      <c r="O1061" s="82"/>
      <c r="P1061" s="83"/>
      <c r="Q1061" s="83"/>
      <c r="R1061" s="83"/>
      <c r="S1061" s="82"/>
      <c r="T1061" s="83"/>
      <c r="U1061" s="83">
        <v>394.03733999999997</v>
      </c>
      <c r="V1061" s="84">
        <v>72.461500000000001</v>
      </c>
      <c r="W1061" s="85">
        <v>126.45</v>
      </c>
      <c r="X1061" s="87"/>
      <c r="Y1061" s="83">
        <v>430.56</v>
      </c>
      <c r="Z1061" s="84"/>
      <c r="AA1061" s="85"/>
      <c r="AB1061" s="84"/>
      <c r="AC1061" s="85"/>
      <c r="AD1061" s="89">
        <f t="shared" si="237"/>
        <v>334.25957</v>
      </c>
      <c r="AE1061" s="89">
        <f>52.569+112.9968</f>
        <v>165.5658</v>
      </c>
      <c r="AF1061" s="186">
        <f>16.34417+124.52415+27.82545</f>
        <v>168.69377</v>
      </c>
      <c r="AG1061" s="85"/>
      <c r="AH1061" s="85"/>
      <c r="AI1061" s="85"/>
      <c r="AJ1061" s="84"/>
      <c r="AK1061" s="85"/>
      <c r="AL1061" s="84"/>
      <c r="AM1061" s="88"/>
      <c r="AN1061" s="84"/>
      <c r="AO1061" s="85"/>
      <c r="AP1061" s="84">
        <v>848.86027999999999</v>
      </c>
      <c r="AQ1061" s="83">
        <v>1963.6641199999999</v>
      </c>
      <c r="AR1061" s="83"/>
      <c r="AS1061" s="83"/>
      <c r="AT1061" s="85"/>
      <c r="AU1061" s="85"/>
      <c r="AV1061" s="85">
        <v>50.047199999999997</v>
      </c>
      <c r="AW1061" s="88"/>
      <c r="AX1061" s="84"/>
      <c r="AY1061" s="85"/>
      <c r="AZ1061" s="84">
        <v>1224.00119</v>
      </c>
      <c r="BA1061" s="85">
        <v>1108.4314400000001</v>
      </c>
      <c r="BB1061" s="88">
        <v>36.817169999999997</v>
      </c>
      <c r="BC1061" s="85"/>
      <c r="BD1061" s="84"/>
      <c r="BE1061" s="88"/>
      <c r="BF1061" s="85"/>
      <c r="BG1061" s="85">
        <v>1113.08953</v>
      </c>
      <c r="BH1061" s="85"/>
      <c r="BI1061" s="85"/>
      <c r="BJ1061" s="85"/>
      <c r="BK1061" s="85"/>
      <c r="BL1061" s="85"/>
      <c r="BM1061" s="85"/>
      <c r="BN1061" s="85"/>
      <c r="BO1061" s="85"/>
      <c r="BP1061" s="85"/>
      <c r="BQ1061" s="85"/>
      <c r="BR1061" s="84"/>
      <c r="BS1061" s="85"/>
      <c r="BT1061" s="85">
        <v>42.5</v>
      </c>
      <c r="BU1061" s="198"/>
      <c r="BV1061" s="90"/>
      <c r="BW1061" s="198"/>
      <c r="BX1061" s="90"/>
      <c r="BY1061" s="198"/>
      <c r="BZ1061" s="90"/>
      <c r="CA1061" s="91"/>
    </row>
    <row r="1062" spans="1:1199" ht="50.1" customHeight="1" outlineLevel="2" x14ac:dyDescent="0.3">
      <c r="A1062" s="106" t="s">
        <v>890</v>
      </c>
      <c r="B1062" s="102" t="s">
        <v>892</v>
      </c>
      <c r="C1062" s="79" t="s">
        <v>37</v>
      </c>
      <c r="D1062" s="81">
        <f t="shared" ref="D1062:D1093" si="244">E1062+F1062</f>
        <v>82.455770000000001</v>
      </c>
      <c r="E1062" s="82">
        <f t="shared" si="238"/>
        <v>31.51051</v>
      </c>
      <c r="F1062" s="83">
        <f t="shared" si="239"/>
        <v>50.945260000000005</v>
      </c>
      <c r="G1062" s="84"/>
      <c r="H1062" s="85"/>
      <c r="I1062" s="85"/>
      <c r="J1062" s="84"/>
      <c r="K1062" s="85"/>
      <c r="L1062" s="85"/>
      <c r="M1062" s="85"/>
      <c r="N1062" s="85"/>
      <c r="O1062" s="82"/>
      <c r="P1062" s="83"/>
      <c r="Q1062" s="83"/>
      <c r="R1062" s="83"/>
      <c r="S1062" s="82"/>
      <c r="T1062" s="83"/>
      <c r="U1062" s="83"/>
      <c r="V1062" s="84"/>
      <c r="W1062" s="85"/>
      <c r="X1062" s="87"/>
      <c r="Y1062" s="83">
        <v>15.6</v>
      </c>
      <c r="Z1062" s="84"/>
      <c r="AA1062" s="85"/>
      <c r="AB1062" s="84"/>
      <c r="AC1062" s="85"/>
      <c r="AD1062" s="89">
        <f t="shared" si="237"/>
        <v>6.80992</v>
      </c>
      <c r="AE1062" s="89"/>
      <c r="AF1062" s="186">
        <v>6.80992</v>
      </c>
      <c r="AG1062" s="85"/>
      <c r="AH1062" s="85"/>
      <c r="AI1062" s="85"/>
      <c r="AJ1062" s="84"/>
      <c r="AK1062" s="85"/>
      <c r="AL1062" s="84"/>
      <c r="AM1062" s="88"/>
      <c r="AN1062" s="84"/>
      <c r="AO1062" s="85"/>
      <c r="AP1062" s="84"/>
      <c r="AQ1062" s="83"/>
      <c r="AR1062" s="83"/>
      <c r="AS1062" s="83"/>
      <c r="AT1062" s="85"/>
      <c r="AU1062" s="85"/>
      <c r="AV1062" s="85"/>
      <c r="AW1062" s="88"/>
      <c r="AX1062" s="84"/>
      <c r="AY1062" s="85"/>
      <c r="AZ1062" s="84">
        <v>31.51051</v>
      </c>
      <c r="BA1062" s="85">
        <v>28.535340000000001</v>
      </c>
      <c r="BB1062" s="88"/>
      <c r="BC1062" s="85"/>
      <c r="BD1062" s="84"/>
      <c r="BE1062" s="88"/>
      <c r="BF1062" s="85"/>
      <c r="BG1062" s="85"/>
      <c r="BH1062" s="85"/>
      <c r="BI1062" s="85"/>
      <c r="BJ1062" s="85"/>
      <c r="BK1062" s="85"/>
      <c r="BL1062" s="85"/>
      <c r="BM1062" s="85"/>
      <c r="BN1062" s="85"/>
      <c r="BO1062" s="85"/>
      <c r="BP1062" s="85"/>
      <c r="BQ1062" s="85"/>
      <c r="BR1062" s="84"/>
      <c r="BS1062" s="85"/>
      <c r="BT1062" s="85"/>
      <c r="BU1062" s="198"/>
      <c r="BV1062" s="90"/>
      <c r="BW1062" s="198"/>
      <c r="BX1062" s="90"/>
      <c r="BY1062" s="198"/>
      <c r="BZ1062" s="90"/>
      <c r="CA1062" s="91"/>
    </row>
    <row r="1063" spans="1:1199" ht="50.1" customHeight="1" outlineLevel="2" x14ac:dyDescent="0.3">
      <c r="A1063" s="106" t="s">
        <v>890</v>
      </c>
      <c r="B1063" s="96" t="s">
        <v>893</v>
      </c>
      <c r="C1063" s="79" t="s">
        <v>37</v>
      </c>
      <c r="D1063" s="81">
        <f t="shared" si="244"/>
        <v>316.99684999999999</v>
      </c>
      <c r="E1063" s="82">
        <f t="shared" si="238"/>
        <v>126.92689999999999</v>
      </c>
      <c r="F1063" s="83">
        <f t="shared" si="239"/>
        <v>190.06995000000001</v>
      </c>
      <c r="G1063" s="84">
        <v>12.6602</v>
      </c>
      <c r="H1063" s="85">
        <v>4.3147200000000003</v>
      </c>
      <c r="I1063" s="85"/>
      <c r="J1063" s="84"/>
      <c r="K1063" s="85"/>
      <c r="L1063" s="85"/>
      <c r="M1063" s="85"/>
      <c r="N1063" s="85"/>
      <c r="O1063" s="82"/>
      <c r="P1063" s="83"/>
      <c r="Q1063" s="83"/>
      <c r="R1063" s="83"/>
      <c r="S1063" s="82"/>
      <c r="T1063" s="83"/>
      <c r="U1063" s="83"/>
      <c r="V1063" s="84">
        <v>9.2780000000000005</v>
      </c>
      <c r="W1063" s="85">
        <v>16.2</v>
      </c>
      <c r="X1063" s="87"/>
      <c r="Y1063" s="83">
        <v>52.103999999999999</v>
      </c>
      <c r="Z1063" s="84"/>
      <c r="AA1063" s="85"/>
      <c r="AB1063" s="84"/>
      <c r="AC1063" s="85"/>
      <c r="AD1063" s="89">
        <f t="shared" si="237"/>
        <v>22.375440000000001</v>
      </c>
      <c r="AE1063" s="89"/>
      <c r="AF1063" s="188">
        <v>22.375440000000001</v>
      </c>
      <c r="AG1063" s="85"/>
      <c r="AH1063" s="85"/>
      <c r="AI1063" s="85"/>
      <c r="AJ1063" s="84"/>
      <c r="AK1063" s="85"/>
      <c r="AL1063" s="84"/>
      <c r="AM1063" s="88"/>
      <c r="AN1063" s="84"/>
      <c r="AO1063" s="85"/>
      <c r="AP1063" s="84"/>
      <c r="AQ1063" s="83"/>
      <c r="AR1063" s="83"/>
      <c r="AS1063" s="83"/>
      <c r="AT1063" s="85"/>
      <c r="AU1063" s="85"/>
      <c r="AV1063" s="85"/>
      <c r="AW1063" s="88"/>
      <c r="AX1063" s="84"/>
      <c r="AY1063" s="85"/>
      <c r="AZ1063" s="84">
        <v>104.98869999999999</v>
      </c>
      <c r="BA1063" s="85">
        <v>95.075789999999998</v>
      </c>
      <c r="BB1063" s="88"/>
      <c r="BC1063" s="85"/>
      <c r="BD1063" s="84"/>
      <c r="BE1063" s="88"/>
      <c r="BF1063" s="85"/>
      <c r="BG1063" s="85"/>
      <c r="BH1063" s="85"/>
      <c r="BI1063" s="85"/>
      <c r="BJ1063" s="85"/>
      <c r="BK1063" s="85"/>
      <c r="BL1063" s="85"/>
      <c r="BM1063" s="85"/>
      <c r="BN1063" s="85"/>
      <c r="BO1063" s="85"/>
      <c r="BP1063" s="85"/>
      <c r="BQ1063" s="85"/>
      <c r="BR1063" s="84"/>
      <c r="BS1063" s="85"/>
      <c r="BT1063" s="85"/>
      <c r="BU1063" s="198"/>
      <c r="BV1063" s="90"/>
      <c r="BW1063" s="198"/>
      <c r="BX1063" s="90"/>
      <c r="BY1063" s="198"/>
      <c r="BZ1063" s="90"/>
      <c r="CA1063" s="91"/>
    </row>
    <row r="1064" spans="1:1199" ht="50.1" customHeight="1" outlineLevel="2" x14ac:dyDescent="0.3">
      <c r="A1064" s="106" t="s">
        <v>890</v>
      </c>
      <c r="B1064" s="96" t="s">
        <v>894</v>
      </c>
      <c r="C1064" s="79" t="s">
        <v>37</v>
      </c>
      <c r="D1064" s="81">
        <f t="shared" si="244"/>
        <v>500.78514999999999</v>
      </c>
      <c r="E1064" s="82">
        <f t="shared" si="238"/>
        <v>153.80491000000001</v>
      </c>
      <c r="F1064" s="83">
        <f t="shared" si="239"/>
        <v>346.98023999999998</v>
      </c>
      <c r="G1064" s="84"/>
      <c r="H1064" s="85"/>
      <c r="I1064" s="85"/>
      <c r="J1064" s="84"/>
      <c r="K1064" s="85"/>
      <c r="L1064" s="85"/>
      <c r="M1064" s="85"/>
      <c r="N1064" s="85"/>
      <c r="O1064" s="82"/>
      <c r="P1064" s="83"/>
      <c r="Q1064" s="83"/>
      <c r="R1064" s="83"/>
      <c r="S1064" s="82"/>
      <c r="T1064" s="83"/>
      <c r="U1064" s="83"/>
      <c r="V1064" s="84">
        <v>29.912400000000002</v>
      </c>
      <c r="W1064" s="85">
        <v>52.2</v>
      </c>
      <c r="X1064" s="87"/>
      <c r="Y1064" s="83">
        <v>62.4</v>
      </c>
      <c r="Z1064" s="84"/>
      <c r="AA1064" s="85"/>
      <c r="AB1064" s="84"/>
      <c r="AC1064" s="85"/>
      <c r="AD1064" s="89">
        <f t="shared" si="237"/>
        <v>120.18562</v>
      </c>
      <c r="AE1064" s="89">
        <f>26.2845+42.3738</f>
        <v>68.658299999999997</v>
      </c>
      <c r="AF1064" s="188">
        <f>3.26883+20.42974+27.82875</f>
        <v>51.527320000000003</v>
      </c>
      <c r="AG1064" s="85"/>
      <c r="AH1064" s="85"/>
      <c r="AI1064" s="85"/>
      <c r="AJ1064" s="84"/>
      <c r="AK1064" s="85"/>
      <c r="AL1064" s="84"/>
      <c r="AM1064" s="88"/>
      <c r="AN1064" s="84"/>
      <c r="AO1064" s="85"/>
      <c r="AP1064" s="84"/>
      <c r="AQ1064" s="83"/>
      <c r="AR1064" s="83"/>
      <c r="AS1064" s="83"/>
      <c r="AT1064" s="85"/>
      <c r="AU1064" s="85"/>
      <c r="AV1064" s="85"/>
      <c r="AW1064" s="88"/>
      <c r="AX1064" s="84"/>
      <c r="AY1064" s="85"/>
      <c r="AZ1064" s="84">
        <v>123.89251</v>
      </c>
      <c r="BA1064" s="85">
        <v>112.19462</v>
      </c>
      <c r="BB1064" s="88"/>
      <c r="BC1064" s="85"/>
      <c r="BD1064" s="84"/>
      <c r="BE1064" s="88"/>
      <c r="BF1064" s="85"/>
      <c r="BG1064" s="85"/>
      <c r="BH1064" s="85"/>
      <c r="BI1064" s="85"/>
      <c r="BJ1064" s="85"/>
      <c r="BK1064" s="85"/>
      <c r="BL1064" s="85"/>
      <c r="BM1064" s="85"/>
      <c r="BN1064" s="85"/>
      <c r="BO1064" s="85"/>
      <c r="BP1064" s="85"/>
      <c r="BQ1064" s="85"/>
      <c r="BR1064" s="84"/>
      <c r="BS1064" s="85"/>
      <c r="BT1064" s="85"/>
      <c r="BU1064" s="198"/>
      <c r="BV1064" s="90"/>
      <c r="BW1064" s="198"/>
      <c r="BX1064" s="90"/>
      <c r="BY1064" s="198"/>
      <c r="BZ1064" s="90"/>
      <c r="CA1064" s="91"/>
    </row>
    <row r="1065" spans="1:1199" ht="50.1" customHeight="1" outlineLevel="2" x14ac:dyDescent="0.3">
      <c r="A1065" s="103" t="s">
        <v>890</v>
      </c>
      <c r="B1065" s="102" t="s">
        <v>895</v>
      </c>
      <c r="C1065" s="79" t="s">
        <v>37</v>
      </c>
      <c r="D1065" s="81">
        <f t="shared" si="244"/>
        <v>386.55612000000002</v>
      </c>
      <c r="E1065" s="82">
        <f t="shared" si="238"/>
        <v>139.80414999999999</v>
      </c>
      <c r="F1065" s="83">
        <f t="shared" si="239"/>
        <v>246.75197000000003</v>
      </c>
      <c r="G1065" s="84"/>
      <c r="H1065" s="85"/>
      <c r="I1065" s="85"/>
      <c r="J1065" s="84">
        <v>44.35286</v>
      </c>
      <c r="K1065" s="85">
        <v>15.14226</v>
      </c>
      <c r="L1065" s="85">
        <v>35.695059999999998</v>
      </c>
      <c r="M1065" s="85"/>
      <c r="N1065" s="85"/>
      <c r="O1065" s="82"/>
      <c r="P1065" s="83"/>
      <c r="Q1065" s="83"/>
      <c r="R1065" s="83"/>
      <c r="S1065" s="82"/>
      <c r="T1065" s="83"/>
      <c r="U1065" s="83">
        <v>53.883290000000002</v>
      </c>
      <c r="V1065" s="84"/>
      <c r="W1065" s="85"/>
      <c r="X1065" s="87"/>
      <c r="Y1065" s="83">
        <v>45.863999999999997</v>
      </c>
      <c r="Z1065" s="84"/>
      <c r="AA1065" s="85"/>
      <c r="AB1065" s="84"/>
      <c r="AC1065" s="85"/>
      <c r="AD1065" s="89">
        <f t="shared" si="237"/>
        <v>9.7284500000000005</v>
      </c>
      <c r="AE1065" s="89"/>
      <c r="AF1065" s="186">
        <v>9.7284500000000005</v>
      </c>
      <c r="AG1065" s="85"/>
      <c r="AH1065" s="85"/>
      <c r="AI1065" s="85"/>
      <c r="AJ1065" s="84"/>
      <c r="AK1065" s="85"/>
      <c r="AL1065" s="84"/>
      <c r="AM1065" s="88"/>
      <c r="AN1065" s="84"/>
      <c r="AO1065" s="85"/>
      <c r="AP1065" s="84"/>
      <c r="AQ1065" s="83"/>
      <c r="AR1065" s="83"/>
      <c r="AS1065" s="83"/>
      <c r="AT1065" s="85"/>
      <c r="AU1065" s="85"/>
      <c r="AV1065" s="85"/>
      <c r="AW1065" s="88"/>
      <c r="AX1065" s="84"/>
      <c r="AY1065" s="85"/>
      <c r="AZ1065" s="84">
        <v>95.45129</v>
      </c>
      <c r="BA1065" s="85">
        <v>86.438910000000007</v>
      </c>
      <c r="BB1065" s="88"/>
      <c r="BC1065" s="85"/>
      <c r="BD1065" s="84"/>
      <c r="BE1065" s="88"/>
      <c r="BF1065" s="85"/>
      <c r="BG1065" s="85"/>
      <c r="BH1065" s="85"/>
      <c r="BI1065" s="85"/>
      <c r="BJ1065" s="85"/>
      <c r="BK1065" s="85"/>
      <c r="BL1065" s="85"/>
      <c r="BM1065" s="85"/>
      <c r="BN1065" s="85"/>
      <c r="BO1065" s="85"/>
      <c r="BP1065" s="85"/>
      <c r="BQ1065" s="85"/>
      <c r="BR1065" s="84"/>
      <c r="BS1065" s="85"/>
      <c r="BT1065" s="85"/>
      <c r="BU1065" s="198"/>
      <c r="BV1065" s="90"/>
      <c r="BW1065" s="198"/>
      <c r="BX1065" s="90"/>
      <c r="BY1065" s="198"/>
      <c r="BZ1065" s="90"/>
      <c r="CA1065" s="91"/>
    </row>
    <row r="1066" spans="1:1199" ht="50.1" customHeight="1" outlineLevel="2" x14ac:dyDescent="0.3">
      <c r="A1066" s="106" t="s">
        <v>890</v>
      </c>
      <c r="B1066" s="96" t="s">
        <v>896</v>
      </c>
      <c r="C1066" s="79" t="s">
        <v>37</v>
      </c>
      <c r="D1066" s="81">
        <f t="shared" si="244"/>
        <v>3082.0318499999998</v>
      </c>
      <c r="E1066" s="82">
        <f t="shared" si="238"/>
        <v>1446.3757900000001</v>
      </c>
      <c r="F1066" s="83">
        <f t="shared" si="239"/>
        <v>1635.6560599999998</v>
      </c>
      <c r="G1066" s="84"/>
      <c r="H1066" s="85"/>
      <c r="I1066" s="85"/>
      <c r="J1066" s="84">
        <f>94.54491+158.64616+14.62507+300.27699</f>
        <v>568.09312999999997</v>
      </c>
      <c r="K1066" s="85">
        <f>27.1443+54.66358+1.81313+52.10621</f>
        <v>135.72722000000002</v>
      </c>
      <c r="L1066" s="85">
        <v>283.47779000000003</v>
      </c>
      <c r="M1066" s="85"/>
      <c r="N1066" s="85"/>
      <c r="O1066" s="82"/>
      <c r="P1066" s="83"/>
      <c r="Q1066" s="83"/>
      <c r="R1066" s="83"/>
      <c r="S1066" s="82"/>
      <c r="T1066" s="83"/>
      <c r="U1066" s="83"/>
      <c r="V1066" s="84">
        <v>74.781000000000006</v>
      </c>
      <c r="W1066" s="85">
        <v>130.5</v>
      </c>
      <c r="X1066" s="87"/>
      <c r="Y1066" s="83">
        <v>174.096</v>
      </c>
      <c r="Z1066" s="84"/>
      <c r="AA1066" s="85"/>
      <c r="AB1066" s="84"/>
      <c r="AC1066" s="85"/>
      <c r="AD1066" s="89">
        <f t="shared" si="237"/>
        <v>261.47514000000001</v>
      </c>
      <c r="AE1066" s="89">
        <f>52.569+91.8099</f>
        <v>144.37889999999999</v>
      </c>
      <c r="AF1066" s="186">
        <f>19.613+41.83234+55.6509</f>
        <v>117.09623999999999</v>
      </c>
      <c r="AG1066" s="85"/>
      <c r="AH1066" s="85"/>
      <c r="AI1066" s="85"/>
      <c r="AJ1066" s="84"/>
      <c r="AK1066" s="85"/>
      <c r="AL1066" s="84"/>
      <c r="AM1066" s="88"/>
      <c r="AN1066" s="84"/>
      <c r="AO1066" s="85"/>
      <c r="AP1066" s="84"/>
      <c r="AQ1066" s="83"/>
      <c r="AR1066" s="83"/>
      <c r="AS1066" s="83"/>
      <c r="AT1066" s="85"/>
      <c r="AU1066" s="85"/>
      <c r="AV1066" s="85"/>
      <c r="AW1066" s="88"/>
      <c r="AX1066" s="84"/>
      <c r="AY1066" s="85"/>
      <c r="AZ1066" s="84">
        <v>385.25810999999999</v>
      </c>
      <c r="BA1066" s="85">
        <v>348.88227000000001</v>
      </c>
      <c r="BB1066" s="88">
        <v>4.7051699999999999</v>
      </c>
      <c r="BC1066" s="85"/>
      <c r="BD1066" s="84"/>
      <c r="BE1066" s="88"/>
      <c r="BF1066" s="85"/>
      <c r="BG1066" s="85"/>
      <c r="BH1066" s="85"/>
      <c r="BI1066" s="85"/>
      <c r="BJ1066" s="85"/>
      <c r="BK1066" s="85">
        <v>296.79246999999998</v>
      </c>
      <c r="BL1066" s="85"/>
      <c r="BM1066" s="85"/>
      <c r="BN1066" s="85"/>
      <c r="BO1066" s="85"/>
      <c r="BP1066" s="85"/>
      <c r="BQ1066" s="85"/>
      <c r="BR1066" s="84">
        <v>418.24355000000003</v>
      </c>
      <c r="BS1066" s="85"/>
      <c r="BT1066" s="85"/>
      <c r="BU1066" s="198"/>
      <c r="BV1066" s="90"/>
      <c r="BW1066" s="198"/>
      <c r="BX1066" s="90"/>
      <c r="BY1066" s="198"/>
      <c r="BZ1066" s="90"/>
      <c r="CA1066" s="91"/>
    </row>
    <row r="1067" spans="1:1199" ht="50.1" customHeight="1" outlineLevel="2" x14ac:dyDescent="0.3">
      <c r="A1067" s="106" t="s">
        <v>890</v>
      </c>
      <c r="B1067" s="96" t="s">
        <v>897</v>
      </c>
      <c r="C1067" s="79" t="s">
        <v>37</v>
      </c>
      <c r="D1067" s="81">
        <f t="shared" si="244"/>
        <v>32.753210000000003</v>
      </c>
      <c r="E1067" s="82">
        <f t="shared" si="238"/>
        <v>10.14766</v>
      </c>
      <c r="F1067" s="83">
        <f t="shared" si="239"/>
        <v>22.605550000000001</v>
      </c>
      <c r="G1067" s="84"/>
      <c r="H1067" s="85"/>
      <c r="I1067" s="85"/>
      <c r="J1067" s="84"/>
      <c r="K1067" s="85"/>
      <c r="L1067" s="85"/>
      <c r="M1067" s="85"/>
      <c r="N1067" s="85"/>
      <c r="O1067" s="82"/>
      <c r="P1067" s="83"/>
      <c r="Q1067" s="83"/>
      <c r="R1067" s="83"/>
      <c r="S1067" s="82"/>
      <c r="T1067" s="83"/>
      <c r="U1067" s="83"/>
      <c r="V1067" s="84"/>
      <c r="W1067" s="85"/>
      <c r="X1067" s="87"/>
      <c r="Y1067" s="83">
        <v>13.416</v>
      </c>
      <c r="Z1067" s="84"/>
      <c r="AA1067" s="85"/>
      <c r="AB1067" s="84"/>
      <c r="AC1067" s="85"/>
      <c r="AD1067" s="89">
        <f t="shared" si="237"/>
        <v>0</v>
      </c>
      <c r="AE1067" s="89"/>
      <c r="AF1067" s="186"/>
      <c r="AG1067" s="85"/>
      <c r="AH1067" s="85"/>
      <c r="AI1067" s="85"/>
      <c r="AJ1067" s="84"/>
      <c r="AK1067" s="85"/>
      <c r="AL1067" s="84"/>
      <c r="AM1067" s="88"/>
      <c r="AN1067" s="84"/>
      <c r="AO1067" s="85"/>
      <c r="AP1067" s="84"/>
      <c r="AQ1067" s="83"/>
      <c r="AR1067" s="83"/>
      <c r="AS1067" s="83"/>
      <c r="AT1067" s="85"/>
      <c r="AU1067" s="85"/>
      <c r="AV1067" s="85"/>
      <c r="AW1067" s="88"/>
      <c r="AX1067" s="84"/>
      <c r="AY1067" s="85"/>
      <c r="AZ1067" s="84">
        <v>10.14766</v>
      </c>
      <c r="BA1067" s="85">
        <v>9.1895500000000006</v>
      </c>
      <c r="BB1067" s="88"/>
      <c r="BC1067" s="85"/>
      <c r="BD1067" s="84"/>
      <c r="BE1067" s="88"/>
      <c r="BF1067" s="85"/>
      <c r="BG1067" s="85"/>
      <c r="BH1067" s="85"/>
      <c r="BI1067" s="85"/>
      <c r="BJ1067" s="85"/>
      <c r="BK1067" s="85"/>
      <c r="BL1067" s="85"/>
      <c r="BM1067" s="85"/>
      <c r="BN1067" s="85"/>
      <c r="BO1067" s="85"/>
      <c r="BP1067" s="85"/>
      <c r="BQ1067" s="85"/>
      <c r="BR1067" s="84"/>
      <c r="BS1067" s="85"/>
      <c r="BT1067" s="85"/>
      <c r="BU1067" s="198"/>
      <c r="BV1067" s="90"/>
      <c r="BW1067" s="198"/>
      <c r="BX1067" s="90"/>
      <c r="BY1067" s="198"/>
      <c r="BZ1067" s="90"/>
      <c r="CA1067" s="91"/>
    </row>
    <row r="1068" spans="1:1199" ht="50.1" customHeight="1" outlineLevel="2" x14ac:dyDescent="0.3">
      <c r="A1068" s="106" t="s">
        <v>890</v>
      </c>
      <c r="B1068" s="96" t="s">
        <v>898</v>
      </c>
      <c r="C1068" s="79" t="s">
        <v>37</v>
      </c>
      <c r="D1068" s="81">
        <f t="shared" si="244"/>
        <v>3338.3206100000002</v>
      </c>
      <c r="E1068" s="82">
        <f t="shared" si="238"/>
        <v>633.63596000000007</v>
      </c>
      <c r="F1068" s="83">
        <f t="shared" si="239"/>
        <v>2704.6846500000001</v>
      </c>
      <c r="G1068" s="84"/>
      <c r="H1068" s="85"/>
      <c r="I1068" s="85"/>
      <c r="J1068" s="84">
        <f>122.24817+9.88898+22.91383</f>
        <v>155.05097999999998</v>
      </c>
      <c r="K1068" s="85">
        <f>40.87504+1.22598+2.93745</f>
        <v>45.038469999999997</v>
      </c>
      <c r="L1068" s="85">
        <v>350.29084</v>
      </c>
      <c r="M1068" s="85"/>
      <c r="N1068" s="85"/>
      <c r="O1068" s="82"/>
      <c r="P1068" s="83"/>
      <c r="Q1068" s="83"/>
      <c r="R1068" s="83"/>
      <c r="S1068" s="82"/>
      <c r="T1068" s="83"/>
      <c r="U1068" s="83"/>
      <c r="V1068" s="84">
        <v>43.525120000000001</v>
      </c>
      <c r="W1068" s="85">
        <v>75.959999999999994</v>
      </c>
      <c r="X1068" s="87"/>
      <c r="Y1068" s="83">
        <v>195</v>
      </c>
      <c r="Z1068" s="84"/>
      <c r="AA1068" s="85"/>
      <c r="AB1068" s="84"/>
      <c r="AC1068" s="85"/>
      <c r="AD1068" s="89">
        <f t="shared" si="237"/>
        <v>257.26936000000001</v>
      </c>
      <c r="AE1068" s="89">
        <f>26.2845+127.1214</f>
        <v>153.4059</v>
      </c>
      <c r="AF1068" s="186">
        <f>19.613+56.42501+27.82545</f>
        <v>103.86346</v>
      </c>
      <c r="AG1068" s="85"/>
      <c r="AH1068" s="85"/>
      <c r="AI1068" s="85"/>
      <c r="AJ1068" s="84"/>
      <c r="AK1068" s="85"/>
      <c r="AL1068" s="84"/>
      <c r="AM1068" s="88"/>
      <c r="AN1068" s="84"/>
      <c r="AO1068" s="85"/>
      <c r="AP1068" s="84"/>
      <c r="AQ1068" s="83"/>
      <c r="AR1068" s="83"/>
      <c r="AS1068" s="83"/>
      <c r="AT1068" s="85"/>
      <c r="AU1068" s="85"/>
      <c r="AV1068" s="85">
        <v>1026.9525000000001</v>
      </c>
      <c r="AW1068" s="88"/>
      <c r="AX1068" s="84"/>
      <c r="AY1068" s="85"/>
      <c r="AZ1068" s="84">
        <v>435.05986000000001</v>
      </c>
      <c r="BA1068" s="85">
        <v>393.98153000000002</v>
      </c>
      <c r="BB1068" s="88"/>
      <c r="BC1068" s="85"/>
      <c r="BD1068" s="84"/>
      <c r="BE1068" s="88"/>
      <c r="BF1068" s="85"/>
      <c r="BG1068" s="85"/>
      <c r="BH1068" s="85"/>
      <c r="BI1068" s="85"/>
      <c r="BJ1068" s="85"/>
      <c r="BK1068" s="85">
        <v>317.69195000000002</v>
      </c>
      <c r="BL1068" s="85"/>
      <c r="BM1068" s="85"/>
      <c r="BN1068" s="85"/>
      <c r="BO1068" s="85"/>
      <c r="BP1068" s="85"/>
      <c r="BQ1068" s="85"/>
      <c r="BR1068" s="84"/>
      <c r="BS1068" s="85"/>
      <c r="BT1068" s="85">
        <v>42.5</v>
      </c>
      <c r="BU1068" s="198"/>
      <c r="BV1068" s="90"/>
      <c r="BW1068" s="198"/>
      <c r="BX1068" s="90"/>
      <c r="BY1068" s="198"/>
      <c r="BZ1068" s="90"/>
      <c r="CA1068" s="91"/>
    </row>
    <row r="1069" spans="1:1199" ht="50.1" customHeight="1" outlineLevel="2" x14ac:dyDescent="0.3">
      <c r="A1069" s="106" t="s">
        <v>890</v>
      </c>
      <c r="B1069" s="96" t="s">
        <v>899</v>
      </c>
      <c r="C1069" s="79" t="s">
        <v>37</v>
      </c>
      <c r="D1069" s="81">
        <f t="shared" si="244"/>
        <v>5495.9760200000001</v>
      </c>
      <c r="E1069" s="82">
        <f t="shared" si="238"/>
        <v>1283.1717699999999</v>
      </c>
      <c r="F1069" s="83">
        <f t="shared" si="239"/>
        <v>4212.8042500000001</v>
      </c>
      <c r="G1069" s="84"/>
      <c r="H1069" s="85"/>
      <c r="I1069" s="85"/>
      <c r="J1069" s="84">
        <f>183.25552+380.98069+302.54249</f>
        <v>866.77870000000007</v>
      </c>
      <c r="K1069" s="85">
        <f>62.71143+131.05013+52.62747</f>
        <v>246.38902999999999</v>
      </c>
      <c r="L1069" s="85">
        <v>93.264219999999995</v>
      </c>
      <c r="M1069" s="85"/>
      <c r="N1069" s="85"/>
      <c r="O1069" s="82"/>
      <c r="P1069" s="83"/>
      <c r="Q1069" s="83"/>
      <c r="R1069" s="83"/>
      <c r="S1069" s="82"/>
      <c r="T1069" s="83"/>
      <c r="U1069" s="83"/>
      <c r="V1069" s="84">
        <v>46.39</v>
      </c>
      <c r="W1069" s="85">
        <v>81</v>
      </c>
      <c r="X1069" s="87"/>
      <c r="Y1069" s="83">
        <v>217.464</v>
      </c>
      <c r="Z1069" s="84"/>
      <c r="AA1069" s="85"/>
      <c r="AB1069" s="84"/>
      <c r="AC1069" s="85"/>
      <c r="AD1069" s="89">
        <f t="shared" si="237"/>
        <v>252.90747999999999</v>
      </c>
      <c r="AE1069" s="89">
        <v>162.43289999999999</v>
      </c>
      <c r="AF1069" s="186">
        <v>90.474580000000003</v>
      </c>
      <c r="AG1069" s="85"/>
      <c r="AH1069" s="85"/>
      <c r="AI1069" s="85"/>
      <c r="AJ1069" s="84"/>
      <c r="AK1069" s="85"/>
      <c r="AL1069" s="84"/>
      <c r="AM1069" s="88"/>
      <c r="AN1069" s="84"/>
      <c r="AO1069" s="85"/>
      <c r="AP1069" s="84"/>
      <c r="AQ1069" s="83"/>
      <c r="AR1069" s="83"/>
      <c r="AS1069" s="83"/>
      <c r="AT1069" s="85"/>
      <c r="AU1069" s="85"/>
      <c r="AV1069" s="85">
        <v>2835.0369999999998</v>
      </c>
      <c r="AW1069" s="88"/>
      <c r="AX1069" s="84"/>
      <c r="AY1069" s="85"/>
      <c r="AZ1069" s="84">
        <v>370.00306999999998</v>
      </c>
      <c r="BA1069" s="85">
        <v>335.06752</v>
      </c>
      <c r="BB1069" s="88"/>
      <c r="BC1069" s="85"/>
      <c r="BD1069" s="84"/>
      <c r="BE1069" s="88"/>
      <c r="BF1069" s="85"/>
      <c r="BG1069" s="85"/>
      <c r="BH1069" s="85"/>
      <c r="BI1069" s="85"/>
      <c r="BJ1069" s="85"/>
      <c r="BK1069" s="85"/>
      <c r="BL1069" s="85"/>
      <c r="BM1069" s="85"/>
      <c r="BN1069" s="85"/>
      <c r="BO1069" s="85"/>
      <c r="BP1069" s="85"/>
      <c r="BQ1069" s="85"/>
      <c r="BR1069" s="84"/>
      <c r="BS1069" s="85"/>
      <c r="BT1069" s="85">
        <v>151.67500000000001</v>
      </c>
      <c r="BU1069" s="198"/>
      <c r="BV1069" s="90"/>
      <c r="BW1069" s="198"/>
      <c r="BX1069" s="90"/>
      <c r="BY1069" s="198"/>
      <c r="BZ1069" s="90"/>
      <c r="CA1069" s="91"/>
    </row>
    <row r="1070" spans="1:1199" ht="50.1" customHeight="1" outlineLevel="2" x14ac:dyDescent="0.3">
      <c r="A1070" s="103" t="s">
        <v>890</v>
      </c>
      <c r="B1070" s="102" t="s">
        <v>900</v>
      </c>
      <c r="C1070" s="79" t="s">
        <v>37</v>
      </c>
      <c r="D1070" s="81">
        <f t="shared" si="244"/>
        <v>527.32305999999994</v>
      </c>
      <c r="E1070" s="82">
        <f t="shared" si="238"/>
        <v>169.81754000000001</v>
      </c>
      <c r="F1070" s="83">
        <f t="shared" si="239"/>
        <v>357.50551999999999</v>
      </c>
      <c r="G1070" s="84"/>
      <c r="H1070" s="85"/>
      <c r="I1070" s="85"/>
      <c r="J1070" s="84">
        <v>0.66188000000000002</v>
      </c>
      <c r="K1070" s="85">
        <v>0.16547000000000001</v>
      </c>
      <c r="L1070" s="85"/>
      <c r="M1070" s="85"/>
      <c r="N1070" s="85"/>
      <c r="O1070" s="82"/>
      <c r="P1070" s="83"/>
      <c r="Q1070" s="83"/>
      <c r="R1070" s="83"/>
      <c r="S1070" s="82"/>
      <c r="T1070" s="83"/>
      <c r="U1070" s="83"/>
      <c r="V1070" s="84"/>
      <c r="W1070" s="85"/>
      <c r="X1070" s="87"/>
      <c r="Y1070" s="83">
        <v>122.616</v>
      </c>
      <c r="Z1070" s="84"/>
      <c r="AA1070" s="85"/>
      <c r="AB1070" s="84"/>
      <c r="AC1070" s="85"/>
      <c r="AD1070" s="89">
        <f t="shared" si="237"/>
        <v>81.53998</v>
      </c>
      <c r="AE1070" s="89">
        <v>49.436100000000003</v>
      </c>
      <c r="AF1070" s="186">
        <v>32.103879999999997</v>
      </c>
      <c r="AG1070" s="85"/>
      <c r="AH1070" s="85"/>
      <c r="AI1070" s="85"/>
      <c r="AJ1070" s="84"/>
      <c r="AK1070" s="85"/>
      <c r="AL1070" s="84"/>
      <c r="AM1070" s="88"/>
      <c r="AN1070" s="84"/>
      <c r="AO1070" s="85"/>
      <c r="AP1070" s="84"/>
      <c r="AQ1070" s="83"/>
      <c r="AR1070" s="83"/>
      <c r="AS1070" s="83"/>
      <c r="AT1070" s="85"/>
      <c r="AU1070" s="85"/>
      <c r="AV1070" s="85"/>
      <c r="AW1070" s="88"/>
      <c r="AX1070" s="84"/>
      <c r="AY1070" s="85"/>
      <c r="AZ1070" s="84">
        <v>169.15566000000001</v>
      </c>
      <c r="BA1070" s="85">
        <v>153.18406999999999</v>
      </c>
      <c r="BB1070" s="88"/>
      <c r="BC1070" s="85"/>
      <c r="BD1070" s="84"/>
      <c r="BE1070" s="88"/>
      <c r="BF1070" s="85"/>
      <c r="BG1070" s="85"/>
      <c r="BH1070" s="85"/>
      <c r="BI1070" s="85"/>
      <c r="BJ1070" s="85"/>
      <c r="BK1070" s="85"/>
      <c r="BL1070" s="85"/>
      <c r="BM1070" s="85"/>
      <c r="BN1070" s="85"/>
      <c r="BO1070" s="85"/>
      <c r="BP1070" s="85"/>
      <c r="BQ1070" s="85"/>
      <c r="BR1070" s="84"/>
      <c r="BS1070" s="85"/>
      <c r="BT1070" s="85"/>
      <c r="BU1070" s="198"/>
      <c r="BV1070" s="90"/>
      <c r="BW1070" s="198"/>
      <c r="BX1070" s="90"/>
      <c r="BY1070" s="198"/>
      <c r="BZ1070" s="90"/>
      <c r="CA1070" s="91"/>
    </row>
    <row r="1071" spans="1:1199" ht="50.1" customHeight="1" outlineLevel="2" x14ac:dyDescent="0.3">
      <c r="A1071" s="106" t="s">
        <v>890</v>
      </c>
      <c r="B1071" s="96" t="s">
        <v>901</v>
      </c>
      <c r="C1071" s="79" t="s">
        <v>37</v>
      </c>
      <c r="D1071" s="81">
        <f t="shared" si="244"/>
        <v>10527.81163</v>
      </c>
      <c r="E1071" s="82">
        <f t="shared" si="238"/>
        <v>1146.4812099999999</v>
      </c>
      <c r="F1071" s="83">
        <f t="shared" si="239"/>
        <v>9381.3304200000002</v>
      </c>
      <c r="G1071" s="84"/>
      <c r="H1071" s="85"/>
      <c r="I1071" s="85"/>
      <c r="J1071" s="84">
        <v>339.98311999999999</v>
      </c>
      <c r="K1071" s="85">
        <v>121.11212999999999</v>
      </c>
      <c r="L1071" s="85"/>
      <c r="M1071" s="85"/>
      <c r="N1071" s="85"/>
      <c r="O1071" s="82"/>
      <c r="P1071" s="83"/>
      <c r="Q1071" s="83"/>
      <c r="R1071" s="83"/>
      <c r="S1071" s="82"/>
      <c r="T1071" s="83"/>
      <c r="U1071" s="83"/>
      <c r="V1071" s="84">
        <v>69.584999999999994</v>
      </c>
      <c r="W1071" s="85">
        <v>121.5</v>
      </c>
      <c r="X1071" s="87"/>
      <c r="Y1071" s="83">
        <v>296.08800000000002</v>
      </c>
      <c r="Z1071" s="84"/>
      <c r="AA1071" s="85"/>
      <c r="AB1071" s="84"/>
      <c r="AC1071" s="85"/>
      <c r="AD1071" s="89">
        <f t="shared" si="237"/>
        <v>219.13072999999997</v>
      </c>
      <c r="AE1071" s="89">
        <v>77.367599999999996</v>
      </c>
      <c r="AF1071" s="186">
        <f>6.53767+135.22546</f>
        <v>141.76312999999999</v>
      </c>
      <c r="AG1071" s="85"/>
      <c r="AH1071" s="85"/>
      <c r="AI1071" s="85"/>
      <c r="AJ1071" s="84"/>
      <c r="AK1071" s="85"/>
      <c r="AL1071" s="84"/>
      <c r="AM1071" s="88"/>
      <c r="AN1071" s="84"/>
      <c r="AO1071" s="85"/>
      <c r="AP1071" s="84"/>
      <c r="AQ1071" s="83"/>
      <c r="AR1071" s="83"/>
      <c r="AS1071" s="83">
        <v>6039.55908</v>
      </c>
      <c r="AT1071" s="85"/>
      <c r="AU1071" s="85"/>
      <c r="AV1071" s="85">
        <v>1916.6065000000001</v>
      </c>
      <c r="AW1071" s="88"/>
      <c r="AX1071" s="84"/>
      <c r="AY1071" s="85"/>
      <c r="AZ1071" s="84">
        <v>736.91309000000001</v>
      </c>
      <c r="BA1071" s="85">
        <v>667.33398</v>
      </c>
      <c r="BB1071" s="88"/>
      <c r="BC1071" s="85"/>
      <c r="BD1071" s="84"/>
      <c r="BE1071" s="88"/>
      <c r="BF1071" s="85"/>
      <c r="BG1071" s="85"/>
      <c r="BH1071" s="85"/>
      <c r="BI1071" s="85"/>
      <c r="BJ1071" s="85"/>
      <c r="BK1071" s="85"/>
      <c r="BL1071" s="85"/>
      <c r="BM1071" s="85"/>
      <c r="BN1071" s="85"/>
      <c r="BO1071" s="85"/>
      <c r="BP1071" s="85"/>
      <c r="BQ1071" s="85"/>
      <c r="BR1071" s="84"/>
      <c r="BS1071" s="85"/>
      <c r="BT1071" s="85"/>
      <c r="BU1071" s="198"/>
      <c r="BV1071" s="90"/>
      <c r="BW1071" s="198"/>
      <c r="BX1071" s="90"/>
      <c r="BY1071" s="198"/>
      <c r="BZ1071" s="90"/>
      <c r="CA1071" s="91"/>
    </row>
    <row r="1072" spans="1:1199" ht="50.1" customHeight="1" outlineLevel="2" x14ac:dyDescent="0.3">
      <c r="A1072" s="106" t="s">
        <v>890</v>
      </c>
      <c r="B1072" s="96" t="s">
        <v>902</v>
      </c>
      <c r="C1072" s="79" t="s">
        <v>37</v>
      </c>
      <c r="D1072" s="81">
        <f t="shared" si="244"/>
        <v>470.45591000000002</v>
      </c>
      <c r="E1072" s="82">
        <f t="shared" si="238"/>
        <v>191.02877999999998</v>
      </c>
      <c r="F1072" s="83">
        <f t="shared" si="239"/>
        <v>279.42713000000003</v>
      </c>
      <c r="G1072" s="84"/>
      <c r="H1072" s="85"/>
      <c r="I1072" s="85"/>
      <c r="J1072" s="84">
        <v>0.66188000000000002</v>
      </c>
      <c r="K1072" s="85">
        <v>0.16547000000000001</v>
      </c>
      <c r="L1072" s="85"/>
      <c r="M1072" s="85"/>
      <c r="N1072" s="85"/>
      <c r="O1072" s="82"/>
      <c r="P1072" s="83"/>
      <c r="Q1072" s="83"/>
      <c r="R1072" s="83"/>
      <c r="S1072" s="82"/>
      <c r="T1072" s="83"/>
      <c r="U1072" s="83"/>
      <c r="V1072" s="84">
        <v>23.195</v>
      </c>
      <c r="W1072" s="85">
        <v>40.5</v>
      </c>
      <c r="X1072" s="87"/>
      <c r="Y1072" s="83">
        <v>52.103999999999999</v>
      </c>
      <c r="Z1072" s="84"/>
      <c r="AA1072" s="85"/>
      <c r="AB1072" s="84"/>
      <c r="AC1072" s="85"/>
      <c r="AD1072" s="89">
        <f t="shared" si="237"/>
        <v>35.270040000000002</v>
      </c>
      <c r="AE1072" s="89">
        <v>12.894600000000001</v>
      </c>
      <c r="AF1072" s="186">
        <v>22.375440000000001</v>
      </c>
      <c r="AG1072" s="85"/>
      <c r="AH1072" s="85"/>
      <c r="AI1072" s="85"/>
      <c r="AJ1072" s="84"/>
      <c r="AK1072" s="85"/>
      <c r="AL1072" s="84"/>
      <c r="AM1072" s="88"/>
      <c r="AN1072" s="84"/>
      <c r="AO1072" s="85"/>
      <c r="AP1072" s="84"/>
      <c r="AQ1072" s="83"/>
      <c r="AR1072" s="83"/>
      <c r="AS1072" s="83"/>
      <c r="AT1072" s="85"/>
      <c r="AU1072" s="85"/>
      <c r="AV1072" s="85"/>
      <c r="AW1072" s="88"/>
      <c r="AX1072" s="84"/>
      <c r="AY1072" s="85"/>
      <c r="AZ1072" s="84">
        <v>167.17189999999999</v>
      </c>
      <c r="BA1072" s="85">
        <v>151.38762</v>
      </c>
      <c r="BB1072" s="88"/>
      <c r="BC1072" s="85"/>
      <c r="BD1072" s="84"/>
      <c r="BE1072" s="88"/>
      <c r="BF1072" s="85"/>
      <c r="BG1072" s="85"/>
      <c r="BH1072" s="85"/>
      <c r="BI1072" s="85"/>
      <c r="BJ1072" s="85"/>
      <c r="BK1072" s="85"/>
      <c r="BL1072" s="85"/>
      <c r="BM1072" s="85"/>
      <c r="BN1072" s="85"/>
      <c r="BO1072" s="85"/>
      <c r="BP1072" s="85"/>
      <c r="BQ1072" s="85"/>
      <c r="BR1072" s="84"/>
      <c r="BS1072" s="85"/>
      <c r="BT1072" s="85"/>
      <c r="BU1072" s="198"/>
      <c r="BV1072" s="90"/>
      <c r="BW1072" s="198"/>
      <c r="BX1072" s="90"/>
      <c r="BY1072" s="198"/>
      <c r="BZ1072" s="90"/>
      <c r="CA1072" s="91"/>
    </row>
    <row r="1073" spans="1:79" ht="50.1" customHeight="1" outlineLevel="2" x14ac:dyDescent="0.3">
      <c r="A1073" s="106" t="s">
        <v>890</v>
      </c>
      <c r="B1073" s="96" t="s">
        <v>903</v>
      </c>
      <c r="C1073" s="79" t="s">
        <v>37</v>
      </c>
      <c r="D1073" s="81">
        <f t="shared" si="244"/>
        <v>332.03562999999997</v>
      </c>
      <c r="E1073" s="82">
        <f t="shared" si="238"/>
        <v>144.77804</v>
      </c>
      <c r="F1073" s="83">
        <f t="shared" si="239"/>
        <v>187.25758999999999</v>
      </c>
      <c r="G1073" s="84">
        <v>37.323790000000002</v>
      </c>
      <c r="H1073" s="85">
        <v>15.469580000000001</v>
      </c>
      <c r="I1073" s="85"/>
      <c r="J1073" s="84"/>
      <c r="K1073" s="85"/>
      <c r="L1073" s="85"/>
      <c r="M1073" s="85"/>
      <c r="N1073" s="85"/>
      <c r="O1073" s="82"/>
      <c r="P1073" s="83"/>
      <c r="Q1073" s="83"/>
      <c r="R1073" s="83"/>
      <c r="S1073" s="82"/>
      <c r="T1073" s="83"/>
      <c r="U1073" s="83"/>
      <c r="V1073" s="84"/>
      <c r="W1073" s="85"/>
      <c r="X1073" s="87"/>
      <c r="Y1073" s="83">
        <v>52.103999999999999</v>
      </c>
      <c r="Z1073" s="84"/>
      <c r="AA1073" s="85"/>
      <c r="AB1073" s="84"/>
      <c r="AC1073" s="85"/>
      <c r="AD1073" s="89">
        <f t="shared" si="237"/>
        <v>22.375440000000001</v>
      </c>
      <c r="AE1073" s="89"/>
      <c r="AF1073" s="188">
        <v>22.375440000000001</v>
      </c>
      <c r="AG1073" s="85"/>
      <c r="AH1073" s="85"/>
      <c r="AI1073" s="85"/>
      <c r="AJ1073" s="84"/>
      <c r="AK1073" s="85"/>
      <c r="AL1073" s="84"/>
      <c r="AM1073" s="88"/>
      <c r="AN1073" s="84"/>
      <c r="AO1073" s="85"/>
      <c r="AP1073" s="84"/>
      <c r="AQ1073" s="83"/>
      <c r="AR1073" s="83"/>
      <c r="AS1073" s="83"/>
      <c r="AT1073" s="85"/>
      <c r="AU1073" s="85"/>
      <c r="AV1073" s="85"/>
      <c r="AW1073" s="88"/>
      <c r="AX1073" s="84"/>
      <c r="AY1073" s="85"/>
      <c r="AZ1073" s="84">
        <v>107.45425</v>
      </c>
      <c r="BA1073" s="85">
        <v>97.308570000000003</v>
      </c>
      <c r="BB1073" s="88"/>
      <c r="BC1073" s="85"/>
      <c r="BD1073" s="84"/>
      <c r="BE1073" s="88"/>
      <c r="BF1073" s="85"/>
      <c r="BG1073" s="85"/>
      <c r="BH1073" s="85"/>
      <c r="BI1073" s="85"/>
      <c r="BJ1073" s="85"/>
      <c r="BK1073" s="85"/>
      <c r="BL1073" s="85"/>
      <c r="BM1073" s="85"/>
      <c r="BN1073" s="85"/>
      <c r="BO1073" s="85"/>
      <c r="BP1073" s="85"/>
      <c r="BQ1073" s="85"/>
      <c r="BR1073" s="84"/>
      <c r="BS1073" s="85"/>
      <c r="BT1073" s="85"/>
      <c r="BU1073" s="198"/>
      <c r="BV1073" s="90"/>
      <c r="BW1073" s="198"/>
      <c r="BX1073" s="90"/>
      <c r="BY1073" s="198"/>
      <c r="BZ1073" s="90"/>
      <c r="CA1073" s="91"/>
    </row>
    <row r="1074" spans="1:79" ht="50.1" customHeight="1" outlineLevel="2" x14ac:dyDescent="0.3">
      <c r="A1074" s="106" t="s">
        <v>890</v>
      </c>
      <c r="B1074" s="96" t="s">
        <v>904</v>
      </c>
      <c r="C1074" s="79" t="s">
        <v>37</v>
      </c>
      <c r="D1074" s="81">
        <f t="shared" si="244"/>
        <v>1125.7504400000003</v>
      </c>
      <c r="E1074" s="82">
        <f t="shared" si="238"/>
        <v>336.73486000000003</v>
      </c>
      <c r="F1074" s="83">
        <f t="shared" si="239"/>
        <v>789.01558000000011</v>
      </c>
      <c r="G1074" s="84"/>
      <c r="H1074" s="85"/>
      <c r="I1074" s="85"/>
      <c r="J1074" s="84"/>
      <c r="K1074" s="85"/>
      <c r="L1074" s="85"/>
      <c r="M1074" s="85"/>
      <c r="N1074" s="85"/>
      <c r="O1074" s="82"/>
      <c r="P1074" s="83"/>
      <c r="Q1074" s="83"/>
      <c r="R1074" s="83"/>
      <c r="S1074" s="82"/>
      <c r="T1074" s="83"/>
      <c r="U1074" s="83"/>
      <c r="V1074" s="84">
        <v>34.792499999999997</v>
      </c>
      <c r="W1074" s="85">
        <v>60.75</v>
      </c>
      <c r="X1074" s="87"/>
      <c r="Y1074" s="83">
        <v>74.88</v>
      </c>
      <c r="Z1074" s="84"/>
      <c r="AA1074" s="85"/>
      <c r="AB1074" s="84"/>
      <c r="AC1074" s="85"/>
      <c r="AD1074" s="89">
        <f t="shared" si="237"/>
        <v>110.50964</v>
      </c>
      <c r="AE1074" s="89">
        <v>70.623000000000005</v>
      </c>
      <c r="AF1074" s="186">
        <v>39.88664</v>
      </c>
      <c r="AG1074" s="85"/>
      <c r="AH1074" s="85"/>
      <c r="AI1074" s="85"/>
      <c r="AJ1074" s="84"/>
      <c r="AK1074" s="85"/>
      <c r="AL1074" s="84"/>
      <c r="AM1074" s="88"/>
      <c r="AN1074" s="84"/>
      <c r="AO1074" s="85"/>
      <c r="AP1074" s="84"/>
      <c r="AQ1074" s="83"/>
      <c r="AR1074" s="83"/>
      <c r="AS1074" s="83"/>
      <c r="AT1074" s="85"/>
      <c r="AU1074" s="85"/>
      <c r="AV1074" s="88">
        <v>239.18037000000001</v>
      </c>
      <c r="AW1074" s="88"/>
      <c r="AX1074" s="84"/>
      <c r="AY1074" s="85"/>
      <c r="AZ1074" s="84">
        <v>301.94236000000001</v>
      </c>
      <c r="BA1074" s="85">
        <v>273.4332</v>
      </c>
      <c r="BB1074" s="88"/>
      <c r="BC1074" s="85"/>
      <c r="BD1074" s="84"/>
      <c r="BE1074" s="88"/>
      <c r="BF1074" s="85"/>
      <c r="BG1074" s="85">
        <v>30.262370000000001</v>
      </c>
      <c r="BH1074" s="85"/>
      <c r="BI1074" s="85"/>
      <c r="BJ1074" s="85"/>
      <c r="BK1074" s="85"/>
      <c r="BL1074" s="85"/>
      <c r="BM1074" s="85"/>
      <c r="BN1074" s="85"/>
      <c r="BO1074" s="85"/>
      <c r="BP1074" s="85"/>
      <c r="BQ1074" s="85"/>
      <c r="BR1074" s="84"/>
      <c r="BS1074" s="85"/>
      <c r="BT1074" s="85"/>
      <c r="BU1074" s="198"/>
      <c r="BV1074" s="90"/>
      <c r="BW1074" s="198"/>
      <c r="BX1074" s="90"/>
      <c r="BY1074" s="198"/>
      <c r="BZ1074" s="90"/>
      <c r="CA1074" s="91"/>
    </row>
    <row r="1075" spans="1:79" ht="50.1" customHeight="1" outlineLevel="2" x14ac:dyDescent="0.3">
      <c r="A1075" s="106" t="s">
        <v>890</v>
      </c>
      <c r="B1075" s="96" t="s">
        <v>978</v>
      </c>
      <c r="C1075" s="140" t="s">
        <v>55</v>
      </c>
      <c r="D1075" s="81">
        <f t="shared" si="244"/>
        <v>148.53549999999998</v>
      </c>
      <c r="E1075" s="82">
        <f t="shared" si="238"/>
        <v>11.5975</v>
      </c>
      <c r="F1075" s="83">
        <f t="shared" si="239"/>
        <v>136.93799999999999</v>
      </c>
      <c r="G1075" s="84"/>
      <c r="H1075" s="85"/>
      <c r="I1075" s="85"/>
      <c r="J1075" s="84"/>
      <c r="K1075" s="85"/>
      <c r="L1075" s="85"/>
      <c r="M1075" s="85"/>
      <c r="N1075" s="85"/>
      <c r="O1075" s="82"/>
      <c r="P1075" s="83"/>
      <c r="Q1075" s="83"/>
      <c r="R1075" s="83"/>
      <c r="S1075" s="82"/>
      <c r="T1075" s="83"/>
      <c r="U1075" s="83"/>
      <c r="V1075" s="84">
        <v>11.5975</v>
      </c>
      <c r="W1075" s="85">
        <v>20.25</v>
      </c>
      <c r="X1075" s="87"/>
      <c r="Y1075" s="83">
        <v>116.688</v>
      </c>
      <c r="Z1075" s="84"/>
      <c r="AA1075" s="85"/>
      <c r="AB1075" s="84"/>
      <c r="AC1075" s="85"/>
      <c r="AD1075" s="89">
        <f t="shared" si="237"/>
        <v>0</v>
      </c>
      <c r="AE1075" s="89"/>
      <c r="AF1075" s="186"/>
      <c r="AG1075" s="85"/>
      <c r="AH1075" s="85"/>
      <c r="AI1075" s="85"/>
      <c r="AJ1075" s="84"/>
      <c r="AK1075" s="85"/>
      <c r="AL1075" s="84"/>
      <c r="AM1075" s="88"/>
      <c r="AN1075" s="84"/>
      <c r="AO1075" s="85"/>
      <c r="AP1075" s="84"/>
      <c r="AQ1075" s="83"/>
      <c r="AR1075" s="83"/>
      <c r="AS1075" s="83"/>
      <c r="AT1075" s="85"/>
      <c r="AU1075" s="85"/>
      <c r="AV1075" s="85"/>
      <c r="AW1075" s="88"/>
      <c r="AX1075" s="84"/>
      <c r="AY1075" s="85"/>
      <c r="AZ1075" s="84"/>
      <c r="BA1075" s="85"/>
      <c r="BB1075" s="88"/>
      <c r="BC1075" s="85"/>
      <c r="BD1075" s="84"/>
      <c r="BE1075" s="88"/>
      <c r="BF1075" s="85"/>
      <c r="BG1075" s="85"/>
      <c r="BH1075" s="85"/>
      <c r="BI1075" s="85"/>
      <c r="BJ1075" s="85"/>
      <c r="BK1075" s="85"/>
      <c r="BL1075" s="85"/>
      <c r="BM1075" s="85"/>
      <c r="BN1075" s="85"/>
      <c r="BO1075" s="85"/>
      <c r="BP1075" s="85"/>
      <c r="BQ1075" s="85"/>
      <c r="BR1075" s="84"/>
      <c r="BS1075" s="85"/>
      <c r="BT1075" s="85"/>
      <c r="BU1075" s="198"/>
      <c r="BV1075" s="90"/>
      <c r="BW1075" s="198"/>
      <c r="BX1075" s="90"/>
      <c r="BY1075" s="198"/>
      <c r="BZ1075" s="90"/>
      <c r="CA1075" s="91"/>
    </row>
    <row r="1076" spans="1:79" ht="50.1" customHeight="1" outlineLevel="2" x14ac:dyDescent="0.3">
      <c r="A1076" s="106" t="s">
        <v>890</v>
      </c>
      <c r="B1076" s="96" t="s">
        <v>905</v>
      </c>
      <c r="C1076" s="140" t="s">
        <v>55</v>
      </c>
      <c r="D1076" s="81">
        <f t="shared" si="244"/>
        <v>289.88766999999996</v>
      </c>
      <c r="E1076" s="82">
        <f t="shared" si="238"/>
        <v>108.05494999999999</v>
      </c>
      <c r="F1076" s="83">
        <f t="shared" si="239"/>
        <v>181.83271999999999</v>
      </c>
      <c r="G1076" s="84"/>
      <c r="H1076" s="85"/>
      <c r="I1076" s="85"/>
      <c r="J1076" s="84"/>
      <c r="K1076" s="85"/>
      <c r="L1076" s="85"/>
      <c r="M1076" s="85"/>
      <c r="N1076" s="85"/>
      <c r="O1076" s="82"/>
      <c r="P1076" s="83"/>
      <c r="Q1076" s="83"/>
      <c r="R1076" s="83"/>
      <c r="S1076" s="82"/>
      <c r="T1076" s="83"/>
      <c r="U1076" s="83"/>
      <c r="V1076" s="84">
        <v>57.987499999999997</v>
      </c>
      <c r="W1076" s="85">
        <v>101.25</v>
      </c>
      <c r="X1076" s="87"/>
      <c r="Y1076" s="83">
        <v>21.216000000000001</v>
      </c>
      <c r="Z1076" s="84"/>
      <c r="AA1076" s="85"/>
      <c r="AB1076" s="84"/>
      <c r="AC1076" s="85"/>
      <c r="AD1076" s="89">
        <f t="shared" si="237"/>
        <v>14.02665</v>
      </c>
      <c r="AE1076" s="89">
        <v>4.2981999999999996</v>
      </c>
      <c r="AF1076" s="186">
        <v>9.7284500000000005</v>
      </c>
      <c r="AG1076" s="85"/>
      <c r="AH1076" s="85"/>
      <c r="AI1076" s="85"/>
      <c r="AJ1076" s="84"/>
      <c r="AK1076" s="85"/>
      <c r="AL1076" s="84"/>
      <c r="AM1076" s="88"/>
      <c r="AN1076" s="84"/>
      <c r="AO1076" s="85"/>
      <c r="AP1076" s="84"/>
      <c r="AQ1076" s="83"/>
      <c r="AR1076" s="83"/>
      <c r="AS1076" s="83"/>
      <c r="AT1076" s="85"/>
      <c r="AU1076" s="85"/>
      <c r="AV1076" s="85"/>
      <c r="AW1076" s="88"/>
      <c r="AX1076" s="84"/>
      <c r="AY1076" s="85"/>
      <c r="AZ1076" s="84">
        <v>50.067450000000001</v>
      </c>
      <c r="BA1076" s="85">
        <v>45.340069999999997</v>
      </c>
      <c r="BB1076" s="88"/>
      <c r="BC1076" s="85"/>
      <c r="BD1076" s="84"/>
      <c r="BE1076" s="88"/>
      <c r="BF1076" s="85"/>
      <c r="BG1076" s="85"/>
      <c r="BH1076" s="85"/>
      <c r="BI1076" s="85"/>
      <c r="BJ1076" s="85"/>
      <c r="BK1076" s="85"/>
      <c r="BL1076" s="85"/>
      <c r="BM1076" s="85"/>
      <c r="BN1076" s="85"/>
      <c r="BO1076" s="85"/>
      <c r="BP1076" s="85"/>
      <c r="BQ1076" s="85"/>
      <c r="BR1076" s="84"/>
      <c r="BS1076" s="85"/>
      <c r="BT1076" s="85"/>
      <c r="BU1076" s="198"/>
      <c r="BV1076" s="90"/>
      <c r="BW1076" s="198"/>
      <c r="BX1076" s="90"/>
      <c r="BY1076" s="198"/>
      <c r="BZ1076" s="90"/>
      <c r="CA1076" s="91"/>
    </row>
    <row r="1077" spans="1:79" ht="50.1" customHeight="1" outlineLevel="2" x14ac:dyDescent="0.3">
      <c r="A1077" s="96" t="s">
        <v>890</v>
      </c>
      <c r="B1077" s="80" t="s">
        <v>906</v>
      </c>
      <c r="C1077" s="79" t="s">
        <v>55</v>
      </c>
      <c r="D1077" s="81">
        <f t="shared" si="244"/>
        <v>38.253540000000001</v>
      </c>
      <c r="E1077" s="82">
        <f t="shared" si="238"/>
        <v>17.52186</v>
      </c>
      <c r="F1077" s="83">
        <f t="shared" si="239"/>
        <v>20.731680000000001</v>
      </c>
      <c r="G1077" s="84"/>
      <c r="H1077" s="85"/>
      <c r="I1077" s="85"/>
      <c r="J1077" s="84"/>
      <c r="K1077" s="85"/>
      <c r="L1077" s="85"/>
      <c r="M1077" s="85"/>
      <c r="N1077" s="85"/>
      <c r="O1077" s="82"/>
      <c r="P1077" s="83"/>
      <c r="Q1077" s="83"/>
      <c r="R1077" s="83"/>
      <c r="S1077" s="82"/>
      <c r="T1077" s="83"/>
      <c r="U1077" s="83"/>
      <c r="V1077" s="84"/>
      <c r="W1077" s="85"/>
      <c r="X1077" s="87"/>
      <c r="Y1077" s="83"/>
      <c r="Z1077" s="84"/>
      <c r="AA1077" s="85"/>
      <c r="AB1077" s="84"/>
      <c r="AC1077" s="85"/>
      <c r="AD1077" s="89">
        <f t="shared" si="237"/>
        <v>4.8642200000000004</v>
      </c>
      <c r="AE1077" s="89"/>
      <c r="AF1077" s="186">
        <v>4.8642200000000004</v>
      </c>
      <c r="AG1077" s="85"/>
      <c r="AH1077" s="85"/>
      <c r="AI1077" s="85"/>
      <c r="AJ1077" s="84"/>
      <c r="AK1077" s="85"/>
      <c r="AL1077" s="84"/>
      <c r="AM1077" s="88"/>
      <c r="AN1077" s="84"/>
      <c r="AO1077" s="85"/>
      <c r="AP1077" s="84"/>
      <c r="AQ1077" s="83"/>
      <c r="AR1077" s="83"/>
      <c r="AS1077" s="83"/>
      <c r="AT1077" s="85"/>
      <c r="AU1077" s="85"/>
      <c r="AV1077" s="85"/>
      <c r="AW1077" s="88"/>
      <c r="AX1077" s="84"/>
      <c r="AY1077" s="85"/>
      <c r="AZ1077" s="84">
        <v>17.52186</v>
      </c>
      <c r="BA1077" s="85">
        <v>15.867459999999999</v>
      </c>
      <c r="BB1077" s="88"/>
      <c r="BC1077" s="85"/>
      <c r="BD1077" s="84"/>
      <c r="BE1077" s="88"/>
      <c r="BF1077" s="85"/>
      <c r="BG1077" s="85"/>
      <c r="BH1077" s="85"/>
      <c r="BI1077" s="85"/>
      <c r="BJ1077" s="85"/>
      <c r="BK1077" s="85"/>
      <c r="BL1077" s="85"/>
      <c r="BM1077" s="85"/>
      <c r="BN1077" s="85"/>
      <c r="BO1077" s="85"/>
      <c r="BP1077" s="85"/>
      <c r="BQ1077" s="85"/>
      <c r="BR1077" s="84"/>
      <c r="BS1077" s="85"/>
      <c r="BT1077" s="85"/>
      <c r="BU1077" s="198"/>
      <c r="BV1077" s="90"/>
      <c r="BW1077" s="198"/>
      <c r="BX1077" s="90"/>
      <c r="BY1077" s="198"/>
      <c r="BZ1077" s="90"/>
      <c r="CA1077" s="91"/>
    </row>
    <row r="1078" spans="1:79" ht="50.1" customHeight="1" outlineLevel="2" x14ac:dyDescent="0.3">
      <c r="A1078" s="103" t="s">
        <v>890</v>
      </c>
      <c r="B1078" s="102" t="s">
        <v>907</v>
      </c>
      <c r="C1078" s="79" t="s">
        <v>55</v>
      </c>
      <c r="D1078" s="81">
        <f t="shared" si="244"/>
        <v>706.06169</v>
      </c>
      <c r="E1078" s="82">
        <f t="shared" si="238"/>
        <v>337.07091000000003</v>
      </c>
      <c r="F1078" s="83">
        <f t="shared" si="239"/>
        <v>368.99077999999997</v>
      </c>
      <c r="G1078" s="84"/>
      <c r="H1078" s="85"/>
      <c r="I1078" s="85"/>
      <c r="J1078" s="84">
        <f>47.27282+100.4413</f>
        <v>147.71412000000001</v>
      </c>
      <c r="K1078" s="85">
        <f>15.44567+32.2157</f>
        <v>47.661369999999998</v>
      </c>
      <c r="L1078" s="85"/>
      <c r="M1078" s="85"/>
      <c r="N1078" s="85"/>
      <c r="O1078" s="82"/>
      <c r="P1078" s="83"/>
      <c r="Q1078" s="83"/>
      <c r="R1078" s="83"/>
      <c r="S1078" s="82"/>
      <c r="T1078" s="83"/>
      <c r="U1078" s="83"/>
      <c r="V1078" s="84">
        <v>11.5975</v>
      </c>
      <c r="W1078" s="85">
        <v>20.25</v>
      </c>
      <c r="X1078" s="87"/>
      <c r="Y1078" s="83">
        <v>78</v>
      </c>
      <c r="Z1078" s="84"/>
      <c r="AA1078" s="85"/>
      <c r="AB1078" s="84"/>
      <c r="AC1078" s="85"/>
      <c r="AD1078" s="89">
        <f t="shared" si="237"/>
        <v>51.242379999999997</v>
      </c>
      <c r="AE1078" s="89">
        <v>17.192799999999998</v>
      </c>
      <c r="AF1078" s="188">
        <v>34.049579999999999</v>
      </c>
      <c r="AG1078" s="85"/>
      <c r="AH1078" s="85"/>
      <c r="AI1078" s="85"/>
      <c r="AJ1078" s="84"/>
      <c r="AK1078" s="85"/>
      <c r="AL1078" s="84"/>
      <c r="AM1078" s="88"/>
      <c r="AN1078" s="84"/>
      <c r="AO1078" s="85"/>
      <c r="AP1078" s="84"/>
      <c r="AQ1078" s="83"/>
      <c r="AR1078" s="83"/>
      <c r="AS1078" s="83"/>
      <c r="AT1078" s="85"/>
      <c r="AU1078" s="85"/>
      <c r="AV1078" s="85"/>
      <c r="AW1078" s="88"/>
      <c r="AX1078" s="84"/>
      <c r="AY1078" s="85"/>
      <c r="AZ1078" s="84">
        <v>177.75928999999999</v>
      </c>
      <c r="BA1078" s="85">
        <v>160.97537</v>
      </c>
      <c r="BB1078" s="88">
        <v>10.861660000000001</v>
      </c>
      <c r="BC1078" s="85"/>
      <c r="BD1078" s="84"/>
      <c r="BE1078" s="88"/>
      <c r="BF1078" s="85"/>
      <c r="BG1078" s="85"/>
      <c r="BH1078" s="85"/>
      <c r="BI1078" s="85"/>
      <c r="BJ1078" s="85"/>
      <c r="BK1078" s="85"/>
      <c r="BL1078" s="85"/>
      <c r="BM1078" s="85"/>
      <c r="BN1078" s="85"/>
      <c r="BO1078" s="85"/>
      <c r="BP1078" s="85"/>
      <c r="BQ1078" s="85"/>
      <c r="BR1078" s="84"/>
      <c r="BS1078" s="85"/>
      <c r="BT1078" s="85"/>
      <c r="BU1078" s="198"/>
      <c r="BV1078" s="90"/>
      <c r="BW1078" s="198"/>
      <c r="BX1078" s="90"/>
      <c r="BY1078" s="198"/>
      <c r="BZ1078" s="90"/>
      <c r="CA1078" s="91"/>
    </row>
    <row r="1079" spans="1:79" ht="50.1" customHeight="1" outlineLevel="2" x14ac:dyDescent="0.3">
      <c r="A1079" s="103" t="s">
        <v>890</v>
      </c>
      <c r="B1079" s="102" t="s">
        <v>908</v>
      </c>
      <c r="C1079" s="79" t="s">
        <v>55</v>
      </c>
      <c r="D1079" s="81">
        <f t="shared" si="244"/>
        <v>125.68044</v>
      </c>
      <c r="E1079" s="82">
        <f t="shared" si="238"/>
        <v>49.15475</v>
      </c>
      <c r="F1079" s="83">
        <f t="shared" si="239"/>
        <v>76.525689999999997</v>
      </c>
      <c r="G1079" s="84"/>
      <c r="H1079" s="85"/>
      <c r="I1079" s="85"/>
      <c r="J1079" s="84"/>
      <c r="K1079" s="85"/>
      <c r="L1079" s="85"/>
      <c r="M1079" s="85"/>
      <c r="N1079" s="85"/>
      <c r="O1079" s="82"/>
      <c r="P1079" s="83"/>
      <c r="Q1079" s="83"/>
      <c r="R1079" s="83"/>
      <c r="S1079" s="82"/>
      <c r="T1079" s="83"/>
      <c r="U1079" s="83"/>
      <c r="V1079" s="84"/>
      <c r="W1079" s="85"/>
      <c r="X1079" s="87"/>
      <c r="Y1079" s="83">
        <v>20.904</v>
      </c>
      <c r="Z1079" s="84"/>
      <c r="AA1079" s="85"/>
      <c r="AB1079" s="84"/>
      <c r="AC1079" s="85"/>
      <c r="AD1079" s="89">
        <f t="shared" si="237"/>
        <v>11.10812</v>
      </c>
      <c r="AE1079" s="89">
        <v>4.2981999999999996</v>
      </c>
      <c r="AF1079" s="186">
        <v>6.80992</v>
      </c>
      <c r="AG1079" s="85"/>
      <c r="AH1079" s="85"/>
      <c r="AI1079" s="85"/>
      <c r="AJ1079" s="84"/>
      <c r="AK1079" s="85"/>
      <c r="AL1079" s="84"/>
      <c r="AM1079" s="88"/>
      <c r="AN1079" s="84"/>
      <c r="AO1079" s="85"/>
      <c r="AP1079" s="84"/>
      <c r="AQ1079" s="83"/>
      <c r="AR1079" s="83"/>
      <c r="AS1079" s="83"/>
      <c r="AT1079" s="85"/>
      <c r="AU1079" s="85"/>
      <c r="AV1079" s="85"/>
      <c r="AW1079" s="88"/>
      <c r="AX1079" s="84"/>
      <c r="AY1079" s="85"/>
      <c r="AZ1079" s="84">
        <v>49.15475</v>
      </c>
      <c r="BA1079" s="85">
        <v>44.513570000000001</v>
      </c>
      <c r="BB1079" s="88"/>
      <c r="BC1079" s="85"/>
      <c r="BD1079" s="84"/>
      <c r="BE1079" s="88"/>
      <c r="BF1079" s="85"/>
      <c r="BG1079" s="85"/>
      <c r="BH1079" s="85"/>
      <c r="BI1079" s="85"/>
      <c r="BJ1079" s="85"/>
      <c r="BK1079" s="85"/>
      <c r="BL1079" s="85"/>
      <c r="BM1079" s="85"/>
      <c r="BN1079" s="85"/>
      <c r="BO1079" s="85"/>
      <c r="BP1079" s="85"/>
      <c r="BQ1079" s="85"/>
      <c r="BR1079" s="84"/>
      <c r="BS1079" s="85"/>
      <c r="BT1079" s="85"/>
      <c r="BU1079" s="198"/>
      <c r="BV1079" s="90"/>
      <c r="BW1079" s="198"/>
      <c r="BX1079" s="90"/>
      <c r="BY1079" s="198"/>
      <c r="BZ1079" s="90"/>
      <c r="CA1079" s="91"/>
    </row>
    <row r="1080" spans="1:79" ht="50.1" customHeight="1" outlineLevel="2" x14ac:dyDescent="0.3">
      <c r="A1080" s="96" t="s">
        <v>890</v>
      </c>
      <c r="B1080" s="80" t="s">
        <v>909</v>
      </c>
      <c r="C1080" s="79" t="s">
        <v>53</v>
      </c>
      <c r="D1080" s="81">
        <f t="shared" si="244"/>
        <v>2236.30654</v>
      </c>
      <c r="E1080" s="82">
        <f t="shared" si="238"/>
        <v>209.75415000000001</v>
      </c>
      <c r="F1080" s="83">
        <f t="shared" si="239"/>
        <v>2026.5523899999998</v>
      </c>
      <c r="G1080" s="84"/>
      <c r="H1080" s="85"/>
      <c r="I1080" s="85"/>
      <c r="J1080" s="84"/>
      <c r="K1080" s="85"/>
      <c r="L1080" s="85"/>
      <c r="M1080" s="85"/>
      <c r="N1080" s="85"/>
      <c r="O1080" s="82"/>
      <c r="P1080" s="83"/>
      <c r="Q1080" s="83"/>
      <c r="R1080" s="83"/>
      <c r="S1080" s="82"/>
      <c r="T1080" s="83"/>
      <c r="U1080" s="83"/>
      <c r="V1080" s="84">
        <v>11.5975</v>
      </c>
      <c r="W1080" s="85">
        <v>20.25</v>
      </c>
      <c r="X1080" s="87"/>
      <c r="Y1080" s="83">
        <v>85.176000000000002</v>
      </c>
      <c r="Z1080" s="84"/>
      <c r="AA1080" s="85"/>
      <c r="AB1080" s="84"/>
      <c r="AC1080" s="85"/>
      <c r="AD1080" s="89">
        <f t="shared" si="237"/>
        <v>36.968110000000003</v>
      </c>
      <c r="AE1080" s="89"/>
      <c r="AF1080" s="187">
        <v>36.968110000000003</v>
      </c>
      <c r="AG1080" s="85"/>
      <c r="AH1080" s="85"/>
      <c r="AI1080" s="85"/>
      <c r="AJ1080" s="84"/>
      <c r="AK1080" s="85"/>
      <c r="AL1080" s="84"/>
      <c r="AM1080" s="88"/>
      <c r="AN1080" s="84"/>
      <c r="AO1080" s="85"/>
      <c r="AP1080" s="84"/>
      <c r="AQ1080" s="83"/>
      <c r="AR1080" s="83"/>
      <c r="AS1080" s="83"/>
      <c r="AT1080" s="85"/>
      <c r="AU1080" s="85"/>
      <c r="AV1080" s="85">
        <v>1704.7114999999999</v>
      </c>
      <c r="AW1080" s="88"/>
      <c r="AX1080" s="84"/>
      <c r="AY1080" s="85"/>
      <c r="AZ1080" s="84">
        <v>198.15665000000001</v>
      </c>
      <c r="BA1080" s="85">
        <v>179.44677999999999</v>
      </c>
      <c r="BB1080" s="88"/>
      <c r="BC1080" s="85"/>
      <c r="BD1080" s="84"/>
      <c r="BE1080" s="88"/>
      <c r="BF1080" s="85"/>
      <c r="BG1080" s="85"/>
      <c r="BH1080" s="85"/>
      <c r="BI1080" s="85"/>
      <c r="BJ1080" s="85"/>
      <c r="BK1080" s="85"/>
      <c r="BL1080" s="85"/>
      <c r="BM1080" s="85"/>
      <c r="BN1080" s="85"/>
      <c r="BO1080" s="85"/>
      <c r="BP1080" s="85"/>
      <c r="BQ1080" s="85"/>
      <c r="BR1080" s="84"/>
      <c r="BS1080" s="85"/>
      <c r="BT1080" s="85"/>
      <c r="BU1080" s="198"/>
      <c r="BV1080" s="90"/>
      <c r="BW1080" s="198"/>
      <c r="BX1080" s="90"/>
      <c r="BY1080" s="198"/>
      <c r="BZ1080" s="90"/>
      <c r="CA1080" s="91"/>
    </row>
    <row r="1081" spans="1:79" ht="50.1" customHeight="1" outlineLevel="2" x14ac:dyDescent="0.3">
      <c r="A1081" s="96" t="s">
        <v>890</v>
      </c>
      <c r="B1081" s="80" t="s">
        <v>910</v>
      </c>
      <c r="C1081" s="112" t="s">
        <v>55</v>
      </c>
      <c r="D1081" s="81">
        <f t="shared" si="244"/>
        <v>161.84697</v>
      </c>
      <c r="E1081" s="82">
        <f t="shared" si="238"/>
        <v>44.854779999999998</v>
      </c>
      <c r="F1081" s="83">
        <f t="shared" si="239"/>
        <v>116.99218999999999</v>
      </c>
      <c r="G1081" s="84"/>
      <c r="H1081" s="85"/>
      <c r="I1081" s="85"/>
      <c r="J1081" s="84"/>
      <c r="K1081" s="85"/>
      <c r="L1081" s="85"/>
      <c r="M1081" s="85"/>
      <c r="N1081" s="85"/>
      <c r="O1081" s="82"/>
      <c r="P1081" s="83"/>
      <c r="Q1081" s="83"/>
      <c r="R1081" s="83"/>
      <c r="S1081" s="82"/>
      <c r="T1081" s="83"/>
      <c r="U1081" s="83"/>
      <c r="V1081" s="84"/>
      <c r="W1081" s="85"/>
      <c r="X1081" s="87"/>
      <c r="Y1081" s="83"/>
      <c r="Z1081" s="84"/>
      <c r="AA1081" s="85"/>
      <c r="AB1081" s="84"/>
      <c r="AC1081" s="85"/>
      <c r="AD1081" s="89">
        <f t="shared" si="237"/>
        <v>0</v>
      </c>
      <c r="AE1081" s="89"/>
      <c r="AF1081" s="186"/>
      <c r="AG1081" s="85"/>
      <c r="AH1081" s="85"/>
      <c r="AI1081" s="85"/>
      <c r="AJ1081" s="84"/>
      <c r="AK1081" s="85"/>
      <c r="AL1081" s="84"/>
      <c r="AM1081" s="88"/>
      <c r="AN1081" s="84"/>
      <c r="AO1081" s="85"/>
      <c r="AP1081" s="84">
        <v>44.854779999999998</v>
      </c>
      <c r="AQ1081" s="83">
        <v>116.99218999999999</v>
      </c>
      <c r="AR1081" s="83"/>
      <c r="AS1081" s="83"/>
      <c r="AT1081" s="85"/>
      <c r="AU1081" s="85"/>
      <c r="AV1081" s="85"/>
      <c r="AW1081" s="88"/>
      <c r="AX1081" s="84"/>
      <c r="AY1081" s="85"/>
      <c r="AZ1081" s="84"/>
      <c r="BA1081" s="85"/>
      <c r="BB1081" s="88"/>
      <c r="BC1081" s="85"/>
      <c r="BD1081" s="84"/>
      <c r="BE1081" s="88"/>
      <c r="BF1081" s="85"/>
      <c r="BG1081" s="85"/>
      <c r="BH1081" s="85"/>
      <c r="BI1081" s="85"/>
      <c r="BJ1081" s="85"/>
      <c r="BK1081" s="85"/>
      <c r="BL1081" s="85"/>
      <c r="BM1081" s="85"/>
      <c r="BN1081" s="85"/>
      <c r="BO1081" s="85"/>
      <c r="BP1081" s="85"/>
      <c r="BQ1081" s="85"/>
      <c r="BR1081" s="84"/>
      <c r="BS1081" s="85"/>
      <c r="BT1081" s="85"/>
      <c r="BU1081" s="198"/>
      <c r="BV1081" s="90"/>
      <c r="BW1081" s="198"/>
      <c r="BX1081" s="90"/>
      <c r="BY1081" s="198"/>
      <c r="BZ1081" s="90"/>
      <c r="CA1081" s="91"/>
    </row>
    <row r="1082" spans="1:79" ht="50.1" customHeight="1" outlineLevel="2" x14ac:dyDescent="0.3">
      <c r="A1082" s="96" t="s">
        <v>1262</v>
      </c>
      <c r="B1082" s="80" t="s">
        <v>974</v>
      </c>
      <c r="C1082" s="140" t="s">
        <v>55</v>
      </c>
      <c r="D1082" s="81">
        <f t="shared" si="244"/>
        <v>254.79703000000001</v>
      </c>
      <c r="E1082" s="82">
        <f t="shared" si="238"/>
        <v>71.023259999999993</v>
      </c>
      <c r="F1082" s="83">
        <f t="shared" si="239"/>
        <v>183.77377000000001</v>
      </c>
      <c r="G1082" s="84"/>
      <c r="H1082" s="85"/>
      <c r="I1082" s="85"/>
      <c r="J1082" s="84"/>
      <c r="K1082" s="85"/>
      <c r="L1082" s="85"/>
      <c r="M1082" s="85"/>
      <c r="N1082" s="85"/>
      <c r="O1082" s="82"/>
      <c r="P1082" s="83"/>
      <c r="Q1082" s="83"/>
      <c r="R1082" s="83"/>
      <c r="S1082" s="82"/>
      <c r="T1082" s="83"/>
      <c r="U1082" s="83"/>
      <c r="V1082" s="84"/>
      <c r="W1082" s="85"/>
      <c r="X1082" s="87"/>
      <c r="Y1082" s="83"/>
      <c r="Z1082" s="84"/>
      <c r="AA1082" s="85"/>
      <c r="AB1082" s="84"/>
      <c r="AC1082" s="85"/>
      <c r="AD1082" s="89">
        <f t="shared" si="237"/>
        <v>0</v>
      </c>
      <c r="AE1082" s="89"/>
      <c r="AF1082" s="186"/>
      <c r="AG1082" s="85"/>
      <c r="AH1082" s="85"/>
      <c r="AI1082" s="85"/>
      <c r="AJ1082" s="84"/>
      <c r="AK1082" s="85"/>
      <c r="AL1082" s="84"/>
      <c r="AM1082" s="88"/>
      <c r="AN1082" s="84"/>
      <c r="AO1082" s="85"/>
      <c r="AP1082" s="84">
        <v>71.023259999999993</v>
      </c>
      <c r="AQ1082" s="83">
        <v>183.77377000000001</v>
      </c>
      <c r="AR1082" s="83"/>
      <c r="AS1082" s="83"/>
      <c r="AT1082" s="85"/>
      <c r="AU1082" s="85"/>
      <c r="AV1082" s="85"/>
      <c r="AW1082" s="88"/>
      <c r="AX1082" s="84"/>
      <c r="AY1082" s="85"/>
      <c r="AZ1082" s="84"/>
      <c r="BA1082" s="85"/>
      <c r="BB1082" s="88"/>
      <c r="BC1082" s="85"/>
      <c r="BD1082" s="84"/>
      <c r="BE1082" s="88"/>
      <c r="BF1082" s="85"/>
      <c r="BG1082" s="85"/>
      <c r="BH1082" s="85"/>
      <c r="BI1082" s="85"/>
      <c r="BJ1082" s="85"/>
      <c r="BK1082" s="85"/>
      <c r="BL1082" s="85"/>
      <c r="BM1082" s="85"/>
      <c r="BN1082" s="85"/>
      <c r="BO1082" s="85"/>
      <c r="BP1082" s="85"/>
      <c r="BQ1082" s="85"/>
      <c r="BR1082" s="84"/>
      <c r="BS1082" s="85"/>
      <c r="BT1082" s="85"/>
      <c r="BU1082" s="198"/>
      <c r="BV1082" s="90"/>
      <c r="BW1082" s="198"/>
      <c r="BX1082" s="90"/>
      <c r="BY1082" s="198"/>
      <c r="BZ1082" s="90"/>
      <c r="CA1082" s="91"/>
    </row>
    <row r="1083" spans="1:79" ht="50.1" customHeight="1" outlineLevel="2" x14ac:dyDescent="0.3">
      <c r="A1083" s="96" t="s">
        <v>890</v>
      </c>
      <c r="B1083" s="80" t="s">
        <v>911</v>
      </c>
      <c r="C1083" s="112" t="s">
        <v>55</v>
      </c>
      <c r="D1083" s="81">
        <f t="shared" si="244"/>
        <v>703.34452999999996</v>
      </c>
      <c r="E1083" s="82">
        <f t="shared" si="238"/>
        <v>281.86993999999999</v>
      </c>
      <c r="F1083" s="83">
        <f t="shared" si="239"/>
        <v>421.47458999999998</v>
      </c>
      <c r="G1083" s="84"/>
      <c r="H1083" s="85"/>
      <c r="I1083" s="85"/>
      <c r="J1083" s="84"/>
      <c r="K1083" s="85"/>
      <c r="L1083" s="85"/>
      <c r="M1083" s="85"/>
      <c r="N1083" s="85"/>
      <c r="O1083" s="82"/>
      <c r="P1083" s="83"/>
      <c r="Q1083" s="83"/>
      <c r="R1083" s="83"/>
      <c r="S1083" s="82"/>
      <c r="T1083" s="83"/>
      <c r="U1083" s="83"/>
      <c r="V1083" s="84">
        <v>46.39</v>
      </c>
      <c r="W1083" s="85">
        <v>81</v>
      </c>
      <c r="X1083" s="87"/>
      <c r="Y1083" s="83">
        <v>106.392</v>
      </c>
      <c r="Z1083" s="84"/>
      <c r="AA1083" s="85"/>
      <c r="AB1083" s="84"/>
      <c r="AC1083" s="85"/>
      <c r="AD1083" s="89">
        <f t="shared" si="237"/>
        <v>20.836559999999999</v>
      </c>
      <c r="AE1083" s="89">
        <v>4.2981999999999996</v>
      </c>
      <c r="AF1083" s="186">
        <v>16.538360000000001</v>
      </c>
      <c r="AG1083" s="85"/>
      <c r="AH1083" s="85"/>
      <c r="AI1083" s="85"/>
      <c r="AJ1083" s="84"/>
      <c r="AK1083" s="85"/>
      <c r="AL1083" s="84"/>
      <c r="AM1083" s="88"/>
      <c r="AN1083" s="84"/>
      <c r="AO1083" s="85"/>
      <c r="AP1083" s="84"/>
      <c r="AQ1083" s="83"/>
      <c r="AR1083" s="83"/>
      <c r="AS1083" s="83"/>
      <c r="AT1083" s="85"/>
      <c r="AU1083" s="85"/>
      <c r="AV1083" s="85"/>
      <c r="AW1083" s="88"/>
      <c r="AX1083" s="84"/>
      <c r="AY1083" s="85"/>
      <c r="AZ1083" s="84">
        <v>235.47994</v>
      </c>
      <c r="BA1083" s="85">
        <v>213.24602999999999</v>
      </c>
      <c r="BB1083" s="88"/>
      <c r="BC1083" s="85"/>
      <c r="BD1083" s="84"/>
      <c r="BE1083" s="88"/>
      <c r="BF1083" s="85"/>
      <c r="BG1083" s="85"/>
      <c r="BH1083" s="85"/>
      <c r="BI1083" s="85"/>
      <c r="BJ1083" s="85"/>
      <c r="BK1083" s="85"/>
      <c r="BL1083" s="85"/>
      <c r="BM1083" s="85"/>
      <c r="BN1083" s="85"/>
      <c r="BO1083" s="85"/>
      <c r="BP1083" s="85"/>
      <c r="BQ1083" s="85"/>
      <c r="BR1083" s="84"/>
      <c r="BS1083" s="85"/>
      <c r="BT1083" s="85"/>
      <c r="BU1083" s="198"/>
      <c r="BV1083" s="90"/>
      <c r="BW1083" s="198"/>
      <c r="BX1083" s="90"/>
      <c r="BY1083" s="198"/>
      <c r="BZ1083" s="90"/>
      <c r="CA1083" s="91"/>
    </row>
    <row r="1084" spans="1:79" ht="50.1" customHeight="1" outlineLevel="2" x14ac:dyDescent="0.3">
      <c r="A1084" s="96" t="s">
        <v>890</v>
      </c>
      <c r="B1084" s="80" t="s">
        <v>912</v>
      </c>
      <c r="C1084" s="112" t="s">
        <v>55</v>
      </c>
      <c r="D1084" s="81">
        <f t="shared" si="244"/>
        <v>1590.0459500000002</v>
      </c>
      <c r="E1084" s="82">
        <f t="shared" si="238"/>
        <v>664.10269000000005</v>
      </c>
      <c r="F1084" s="83">
        <f t="shared" si="239"/>
        <v>925.94326000000001</v>
      </c>
      <c r="G1084" s="84"/>
      <c r="H1084" s="85"/>
      <c r="I1084" s="85"/>
      <c r="J1084" s="84"/>
      <c r="K1084" s="85"/>
      <c r="L1084" s="85"/>
      <c r="M1084" s="85"/>
      <c r="N1084" s="85"/>
      <c r="O1084" s="82"/>
      <c r="P1084" s="83"/>
      <c r="Q1084" s="83"/>
      <c r="R1084" s="83"/>
      <c r="S1084" s="82"/>
      <c r="T1084" s="83"/>
      <c r="U1084" s="83"/>
      <c r="V1084" s="84">
        <v>57.987499999999997</v>
      </c>
      <c r="W1084" s="85">
        <v>101.25</v>
      </c>
      <c r="X1084" s="87"/>
      <c r="Y1084" s="83">
        <v>283.29599999999999</v>
      </c>
      <c r="Z1084" s="84"/>
      <c r="AA1084" s="85"/>
      <c r="AB1084" s="84"/>
      <c r="AC1084" s="85"/>
      <c r="AD1084" s="89">
        <f t="shared" si="237"/>
        <v>189.85156000000001</v>
      </c>
      <c r="AE1084" s="89">
        <v>112.99679999999999</v>
      </c>
      <c r="AF1084" s="186">
        <v>76.854759999999999</v>
      </c>
      <c r="AG1084" s="85"/>
      <c r="AH1084" s="85"/>
      <c r="AI1084" s="85"/>
      <c r="AJ1084" s="84"/>
      <c r="AK1084" s="85"/>
      <c r="AL1084" s="84"/>
      <c r="AM1084" s="88"/>
      <c r="AN1084" s="84"/>
      <c r="AO1084" s="85"/>
      <c r="AP1084" s="84"/>
      <c r="AQ1084" s="83"/>
      <c r="AR1084" s="83"/>
      <c r="AS1084" s="83"/>
      <c r="AT1084" s="85"/>
      <c r="AU1084" s="85"/>
      <c r="AV1084" s="85"/>
      <c r="AW1084" s="88"/>
      <c r="AX1084" s="84"/>
      <c r="AY1084" s="85"/>
      <c r="AZ1084" s="84">
        <v>388.19949000000003</v>
      </c>
      <c r="BA1084" s="85">
        <v>351.54570000000001</v>
      </c>
      <c r="BB1084" s="88"/>
      <c r="BC1084" s="85"/>
      <c r="BD1084" s="84"/>
      <c r="BE1084" s="88"/>
      <c r="BF1084" s="85"/>
      <c r="BG1084" s="85"/>
      <c r="BH1084" s="85"/>
      <c r="BI1084" s="85"/>
      <c r="BJ1084" s="85"/>
      <c r="BK1084" s="85"/>
      <c r="BL1084" s="85"/>
      <c r="BM1084" s="85"/>
      <c r="BN1084" s="85"/>
      <c r="BO1084" s="85"/>
      <c r="BP1084" s="85"/>
      <c r="BQ1084" s="85"/>
      <c r="BR1084" s="84">
        <v>217.91569999999999</v>
      </c>
      <c r="BS1084" s="85"/>
      <c r="BT1084" s="85"/>
      <c r="BU1084" s="198"/>
      <c r="BV1084" s="90"/>
      <c r="BW1084" s="198"/>
      <c r="BX1084" s="90"/>
      <c r="BY1084" s="198"/>
      <c r="BZ1084" s="90"/>
      <c r="CA1084" s="91"/>
    </row>
    <row r="1085" spans="1:79" ht="50.1" customHeight="1" outlineLevel="2" x14ac:dyDescent="0.3">
      <c r="A1085" s="96" t="s">
        <v>890</v>
      </c>
      <c r="B1085" s="80" t="s">
        <v>913</v>
      </c>
      <c r="C1085" s="112" t="s">
        <v>55</v>
      </c>
      <c r="D1085" s="81">
        <f t="shared" si="244"/>
        <v>16.160160000000001</v>
      </c>
      <c r="E1085" s="82">
        <f t="shared" si="238"/>
        <v>8.4804300000000001</v>
      </c>
      <c r="F1085" s="83">
        <f t="shared" si="239"/>
        <v>7.6797300000000002</v>
      </c>
      <c r="G1085" s="84"/>
      <c r="H1085" s="85"/>
      <c r="I1085" s="85"/>
      <c r="J1085" s="84"/>
      <c r="K1085" s="85"/>
      <c r="L1085" s="85"/>
      <c r="M1085" s="85"/>
      <c r="N1085" s="85"/>
      <c r="O1085" s="82"/>
      <c r="P1085" s="83"/>
      <c r="Q1085" s="83"/>
      <c r="R1085" s="83"/>
      <c r="S1085" s="82"/>
      <c r="T1085" s="83"/>
      <c r="U1085" s="83"/>
      <c r="V1085" s="84"/>
      <c r="W1085" s="85"/>
      <c r="X1085" s="87"/>
      <c r="Y1085" s="83"/>
      <c r="Z1085" s="84"/>
      <c r="AA1085" s="85"/>
      <c r="AB1085" s="84"/>
      <c r="AC1085" s="85"/>
      <c r="AD1085" s="89">
        <f t="shared" si="237"/>
        <v>0</v>
      </c>
      <c r="AE1085" s="89"/>
      <c r="AF1085" s="186"/>
      <c r="AG1085" s="85"/>
      <c r="AH1085" s="85"/>
      <c r="AI1085" s="85"/>
      <c r="AJ1085" s="84"/>
      <c r="AK1085" s="85"/>
      <c r="AL1085" s="84"/>
      <c r="AM1085" s="88"/>
      <c r="AN1085" s="84"/>
      <c r="AO1085" s="85"/>
      <c r="AP1085" s="84"/>
      <c r="AQ1085" s="83"/>
      <c r="AR1085" s="83"/>
      <c r="AS1085" s="83"/>
      <c r="AT1085" s="85"/>
      <c r="AU1085" s="85"/>
      <c r="AV1085" s="85"/>
      <c r="AW1085" s="88"/>
      <c r="AX1085" s="84"/>
      <c r="AY1085" s="85"/>
      <c r="AZ1085" s="84">
        <v>8.4804300000000001</v>
      </c>
      <c r="BA1085" s="85">
        <v>7.6797300000000002</v>
      </c>
      <c r="BB1085" s="88"/>
      <c r="BC1085" s="85"/>
      <c r="BD1085" s="84"/>
      <c r="BE1085" s="88"/>
      <c r="BF1085" s="85"/>
      <c r="BG1085" s="85"/>
      <c r="BH1085" s="85"/>
      <c r="BI1085" s="85"/>
      <c r="BJ1085" s="85"/>
      <c r="BK1085" s="85"/>
      <c r="BL1085" s="85"/>
      <c r="BM1085" s="85"/>
      <c r="BN1085" s="85"/>
      <c r="BO1085" s="85"/>
      <c r="BP1085" s="85"/>
      <c r="BQ1085" s="85"/>
      <c r="BR1085" s="84"/>
      <c r="BS1085" s="85"/>
      <c r="BT1085" s="85"/>
      <c r="BU1085" s="198"/>
      <c r="BV1085" s="90"/>
      <c r="BW1085" s="198"/>
      <c r="BX1085" s="90"/>
      <c r="BY1085" s="198"/>
      <c r="BZ1085" s="90"/>
      <c r="CA1085" s="91"/>
    </row>
    <row r="1086" spans="1:79" ht="50.1" customHeight="1" outlineLevel="2" x14ac:dyDescent="0.3">
      <c r="A1086" s="96" t="s">
        <v>890</v>
      </c>
      <c r="B1086" s="80" t="s">
        <v>914</v>
      </c>
      <c r="C1086" s="112" t="s">
        <v>55</v>
      </c>
      <c r="D1086" s="81">
        <f t="shared" si="244"/>
        <v>877.18737999999996</v>
      </c>
      <c r="E1086" s="82">
        <f t="shared" si="238"/>
        <v>246.77094</v>
      </c>
      <c r="F1086" s="83">
        <f t="shared" si="239"/>
        <v>630.41643999999997</v>
      </c>
      <c r="G1086" s="84"/>
      <c r="H1086" s="85"/>
      <c r="I1086" s="85"/>
      <c r="J1086" s="84"/>
      <c r="K1086" s="85"/>
      <c r="L1086" s="85"/>
      <c r="M1086" s="85"/>
      <c r="N1086" s="85"/>
      <c r="O1086" s="82"/>
      <c r="P1086" s="83"/>
      <c r="Q1086" s="83"/>
      <c r="R1086" s="83"/>
      <c r="S1086" s="82"/>
      <c r="T1086" s="83"/>
      <c r="U1086" s="83"/>
      <c r="V1086" s="84">
        <v>57.987499999999997</v>
      </c>
      <c r="W1086" s="85">
        <v>101.25</v>
      </c>
      <c r="X1086" s="87"/>
      <c r="Y1086" s="83">
        <v>124.8</v>
      </c>
      <c r="Z1086" s="84"/>
      <c r="AA1086" s="85"/>
      <c r="AB1086" s="84"/>
      <c r="AC1086" s="85"/>
      <c r="AD1086" s="89">
        <f t="shared" si="237"/>
        <v>7.9861699999999995</v>
      </c>
      <c r="AE1086" s="89">
        <v>2.1490999999999998</v>
      </c>
      <c r="AF1086" s="186">
        <v>5.8370699999999998</v>
      </c>
      <c r="AG1086" s="85"/>
      <c r="AH1086" s="85"/>
      <c r="AI1086" s="85"/>
      <c r="AJ1086" s="84"/>
      <c r="AK1086" s="85"/>
      <c r="AL1086" s="84"/>
      <c r="AM1086" s="88"/>
      <c r="AN1086" s="84"/>
      <c r="AO1086" s="85"/>
      <c r="AP1086" s="84"/>
      <c r="AQ1086" s="83"/>
      <c r="AR1086" s="83"/>
      <c r="AS1086" s="83"/>
      <c r="AT1086" s="85"/>
      <c r="AU1086" s="85"/>
      <c r="AV1086" s="85">
        <v>210.40600000000001</v>
      </c>
      <c r="AW1086" s="88"/>
      <c r="AX1086" s="84"/>
      <c r="AY1086" s="85"/>
      <c r="AZ1086" s="84">
        <v>188.78344000000001</v>
      </c>
      <c r="BA1086" s="85">
        <v>170.95849000000001</v>
      </c>
      <c r="BB1086" s="88">
        <v>15.015779999999999</v>
      </c>
      <c r="BC1086" s="85"/>
      <c r="BD1086" s="84"/>
      <c r="BE1086" s="88"/>
      <c r="BF1086" s="85"/>
      <c r="BG1086" s="85"/>
      <c r="BH1086" s="85"/>
      <c r="BI1086" s="85"/>
      <c r="BJ1086" s="85"/>
      <c r="BK1086" s="85"/>
      <c r="BL1086" s="85"/>
      <c r="BM1086" s="85"/>
      <c r="BN1086" s="85"/>
      <c r="BO1086" s="85"/>
      <c r="BP1086" s="85"/>
      <c r="BQ1086" s="85"/>
      <c r="BR1086" s="84"/>
      <c r="BS1086" s="85"/>
      <c r="BT1086" s="85"/>
      <c r="BU1086" s="198"/>
      <c r="BV1086" s="90"/>
      <c r="BW1086" s="198"/>
      <c r="BX1086" s="90"/>
      <c r="BY1086" s="198"/>
      <c r="BZ1086" s="90"/>
      <c r="CA1086" s="91"/>
    </row>
    <row r="1087" spans="1:79" ht="50.1" customHeight="1" outlineLevel="2" x14ac:dyDescent="0.3">
      <c r="A1087" s="96" t="s">
        <v>890</v>
      </c>
      <c r="B1087" s="80" t="s">
        <v>915</v>
      </c>
      <c r="C1087" s="112" t="s">
        <v>55</v>
      </c>
      <c r="D1087" s="81">
        <f t="shared" si="244"/>
        <v>180.29879999999997</v>
      </c>
      <c r="E1087" s="82">
        <f t="shared" si="238"/>
        <v>13.67712</v>
      </c>
      <c r="F1087" s="83">
        <f t="shared" si="239"/>
        <v>166.62167999999997</v>
      </c>
      <c r="G1087" s="84"/>
      <c r="H1087" s="85"/>
      <c r="I1087" s="85"/>
      <c r="J1087" s="84"/>
      <c r="K1087" s="85"/>
      <c r="L1087" s="85"/>
      <c r="M1087" s="85"/>
      <c r="N1087" s="85"/>
      <c r="O1087" s="82"/>
      <c r="P1087" s="83"/>
      <c r="Q1087" s="83"/>
      <c r="R1087" s="83"/>
      <c r="S1087" s="82"/>
      <c r="T1087" s="83"/>
      <c r="U1087" s="83"/>
      <c r="V1087" s="84"/>
      <c r="W1087" s="85"/>
      <c r="X1087" s="87"/>
      <c r="Y1087" s="83">
        <v>72.695999999999998</v>
      </c>
      <c r="Z1087" s="84"/>
      <c r="AA1087" s="85"/>
      <c r="AB1087" s="84"/>
      <c r="AC1087" s="85"/>
      <c r="AD1087" s="89">
        <f t="shared" si="237"/>
        <v>81.53998</v>
      </c>
      <c r="AE1087" s="89">
        <v>49.436100000000003</v>
      </c>
      <c r="AF1087" s="186">
        <v>32.103879999999997</v>
      </c>
      <c r="AG1087" s="85"/>
      <c r="AH1087" s="85"/>
      <c r="AI1087" s="85"/>
      <c r="AJ1087" s="84"/>
      <c r="AK1087" s="85"/>
      <c r="AL1087" s="84"/>
      <c r="AM1087" s="88"/>
      <c r="AN1087" s="84"/>
      <c r="AO1087" s="85"/>
      <c r="AP1087" s="84"/>
      <c r="AQ1087" s="83"/>
      <c r="AR1087" s="83"/>
      <c r="AS1087" s="83"/>
      <c r="AT1087" s="85"/>
      <c r="AU1087" s="85"/>
      <c r="AV1087" s="85"/>
      <c r="AW1087" s="88"/>
      <c r="AX1087" s="84"/>
      <c r="AY1087" s="85"/>
      <c r="AZ1087" s="84">
        <v>13.67712</v>
      </c>
      <c r="BA1087" s="85">
        <v>12.3857</v>
      </c>
      <c r="BB1087" s="88"/>
      <c r="BC1087" s="85"/>
      <c r="BD1087" s="84"/>
      <c r="BE1087" s="88"/>
      <c r="BF1087" s="85"/>
      <c r="BG1087" s="85"/>
      <c r="BH1087" s="85"/>
      <c r="BI1087" s="85"/>
      <c r="BJ1087" s="85"/>
      <c r="BK1087" s="85"/>
      <c r="BL1087" s="85"/>
      <c r="BM1087" s="85"/>
      <c r="BN1087" s="85"/>
      <c r="BO1087" s="85"/>
      <c r="BP1087" s="85"/>
      <c r="BQ1087" s="85"/>
      <c r="BR1087" s="84"/>
      <c r="BS1087" s="85"/>
      <c r="BT1087" s="85"/>
      <c r="BU1087" s="198"/>
      <c r="BV1087" s="90"/>
      <c r="BW1087" s="198"/>
      <c r="BX1087" s="90"/>
      <c r="BY1087" s="198"/>
      <c r="BZ1087" s="90"/>
      <c r="CA1087" s="91"/>
    </row>
    <row r="1088" spans="1:79" ht="50.1" customHeight="1" outlineLevel="2" x14ac:dyDescent="0.3">
      <c r="A1088" s="96" t="s">
        <v>890</v>
      </c>
      <c r="B1088" s="80" t="s">
        <v>986</v>
      </c>
      <c r="C1088" s="140" t="s">
        <v>55</v>
      </c>
      <c r="D1088" s="81">
        <f t="shared" si="244"/>
        <v>854.67606000000001</v>
      </c>
      <c r="E1088" s="82">
        <f t="shared" si="238"/>
        <v>7.7897100000000004</v>
      </c>
      <c r="F1088" s="83">
        <f t="shared" si="239"/>
        <v>846.88634999999999</v>
      </c>
      <c r="G1088" s="84"/>
      <c r="H1088" s="85"/>
      <c r="I1088" s="85"/>
      <c r="J1088" s="84"/>
      <c r="K1088" s="85"/>
      <c r="L1088" s="85"/>
      <c r="M1088" s="85"/>
      <c r="N1088" s="85"/>
      <c r="O1088" s="82"/>
      <c r="P1088" s="83"/>
      <c r="Q1088" s="83"/>
      <c r="R1088" s="83"/>
      <c r="S1088" s="82"/>
      <c r="T1088" s="83"/>
      <c r="U1088" s="83"/>
      <c r="V1088" s="84"/>
      <c r="W1088" s="85"/>
      <c r="X1088" s="87"/>
      <c r="Y1088" s="83"/>
      <c r="Z1088" s="84"/>
      <c r="AA1088" s="85"/>
      <c r="AB1088" s="84"/>
      <c r="AC1088" s="85"/>
      <c r="AD1088" s="89">
        <f t="shared" si="237"/>
        <v>0</v>
      </c>
      <c r="AE1088" s="89"/>
      <c r="AF1088" s="186"/>
      <c r="AG1088" s="85"/>
      <c r="AH1088" s="85"/>
      <c r="AI1088" s="85"/>
      <c r="AJ1088" s="84"/>
      <c r="AK1088" s="85"/>
      <c r="AL1088" s="84"/>
      <c r="AM1088" s="88"/>
      <c r="AN1088" s="84"/>
      <c r="AO1088" s="85"/>
      <c r="AP1088" s="84"/>
      <c r="AQ1088" s="83"/>
      <c r="AR1088" s="83"/>
      <c r="AS1088" s="83">
        <v>839.83214999999996</v>
      </c>
      <c r="AT1088" s="85"/>
      <c r="AU1088" s="85"/>
      <c r="AV1088" s="85"/>
      <c r="AW1088" s="88"/>
      <c r="AX1088" s="84"/>
      <c r="AY1088" s="85"/>
      <c r="AZ1088" s="84">
        <v>7.7897100000000004</v>
      </c>
      <c r="BA1088" s="85">
        <v>7.0541999999999998</v>
      </c>
      <c r="BB1088" s="88"/>
      <c r="BC1088" s="85"/>
      <c r="BD1088" s="84"/>
      <c r="BE1088" s="88"/>
      <c r="BF1088" s="85"/>
      <c r="BG1088" s="85"/>
      <c r="BH1088" s="85"/>
      <c r="BI1088" s="85"/>
      <c r="BJ1088" s="85"/>
      <c r="BK1088" s="85"/>
      <c r="BL1088" s="85"/>
      <c r="BM1088" s="85"/>
      <c r="BN1088" s="85"/>
      <c r="BO1088" s="85"/>
      <c r="BP1088" s="85"/>
      <c r="BQ1088" s="85"/>
      <c r="BR1088" s="84"/>
      <c r="BS1088" s="85"/>
      <c r="BT1088" s="85"/>
      <c r="BU1088" s="198"/>
      <c r="BV1088" s="90"/>
      <c r="BW1088" s="198"/>
      <c r="BX1088" s="90"/>
      <c r="BY1088" s="198"/>
      <c r="BZ1088" s="90"/>
      <c r="CA1088" s="91"/>
    </row>
    <row r="1089" spans="1:1199" ht="50.1" customHeight="1" outlineLevel="2" x14ac:dyDescent="0.3">
      <c r="A1089" s="96" t="s">
        <v>890</v>
      </c>
      <c r="B1089" s="80" t="s">
        <v>916</v>
      </c>
      <c r="C1089" s="112" t="s">
        <v>55</v>
      </c>
      <c r="D1089" s="81">
        <f t="shared" si="244"/>
        <v>54.705560000000006</v>
      </c>
      <c r="E1089" s="82">
        <f t="shared" si="238"/>
        <v>18.478480000000001</v>
      </c>
      <c r="F1089" s="83">
        <f t="shared" si="239"/>
        <v>36.227080000000001</v>
      </c>
      <c r="G1089" s="84"/>
      <c r="H1089" s="85"/>
      <c r="I1089" s="85"/>
      <c r="J1089" s="84"/>
      <c r="K1089" s="85"/>
      <c r="L1089" s="85"/>
      <c r="M1089" s="85"/>
      <c r="N1089" s="85"/>
      <c r="O1089" s="82"/>
      <c r="P1089" s="83"/>
      <c r="Q1089" s="83"/>
      <c r="R1089" s="83"/>
      <c r="S1089" s="82"/>
      <c r="T1089" s="83"/>
      <c r="U1089" s="83"/>
      <c r="V1089" s="84"/>
      <c r="W1089" s="85"/>
      <c r="X1089" s="87"/>
      <c r="Y1089" s="83">
        <v>12.48</v>
      </c>
      <c r="Z1089" s="84"/>
      <c r="AA1089" s="85"/>
      <c r="AB1089" s="84"/>
      <c r="AC1089" s="85"/>
      <c r="AD1089" s="89">
        <f t="shared" ref="AD1089:AD1131" si="245">AE1089+AF1089</f>
        <v>7.0133200000000002</v>
      </c>
      <c r="AE1089" s="89">
        <v>2.1490999999999998</v>
      </c>
      <c r="AF1089" s="186">
        <v>4.8642200000000004</v>
      </c>
      <c r="AG1089" s="85"/>
      <c r="AH1089" s="85"/>
      <c r="AI1089" s="85"/>
      <c r="AJ1089" s="84"/>
      <c r="AK1089" s="85"/>
      <c r="AL1089" s="84"/>
      <c r="AM1089" s="88"/>
      <c r="AN1089" s="84"/>
      <c r="AO1089" s="85"/>
      <c r="AP1089" s="84"/>
      <c r="AQ1089" s="83"/>
      <c r="AR1089" s="83"/>
      <c r="AS1089" s="83"/>
      <c r="AT1089" s="85"/>
      <c r="AU1089" s="85"/>
      <c r="AV1089" s="85"/>
      <c r="AW1089" s="88"/>
      <c r="AX1089" s="84"/>
      <c r="AY1089" s="85"/>
      <c r="AZ1089" s="84">
        <v>18.478480000000001</v>
      </c>
      <c r="BA1089" s="85">
        <v>16.73376</v>
      </c>
      <c r="BB1089" s="88"/>
      <c r="BC1089" s="85"/>
      <c r="BD1089" s="84"/>
      <c r="BE1089" s="88"/>
      <c r="BF1089" s="85"/>
      <c r="BG1089" s="85"/>
      <c r="BH1089" s="85"/>
      <c r="BI1089" s="85"/>
      <c r="BJ1089" s="85"/>
      <c r="BK1089" s="85"/>
      <c r="BL1089" s="85"/>
      <c r="BM1089" s="85"/>
      <c r="BN1089" s="85"/>
      <c r="BO1089" s="85"/>
      <c r="BP1089" s="85"/>
      <c r="BQ1089" s="85"/>
      <c r="BR1089" s="84"/>
      <c r="BS1089" s="85"/>
      <c r="BT1089" s="85"/>
      <c r="BU1089" s="198"/>
      <c r="BV1089" s="90"/>
      <c r="BW1089" s="198"/>
      <c r="BX1089" s="90"/>
      <c r="BY1089" s="198"/>
      <c r="BZ1089" s="90"/>
      <c r="CA1089" s="91"/>
    </row>
    <row r="1090" spans="1:1199" ht="50.1" customHeight="1" outlineLevel="2" x14ac:dyDescent="0.3">
      <c r="A1090" s="96" t="s">
        <v>890</v>
      </c>
      <c r="B1090" s="80" t="s">
        <v>1168</v>
      </c>
      <c r="C1090" s="112" t="s">
        <v>55</v>
      </c>
      <c r="D1090" s="81">
        <f t="shared" si="244"/>
        <v>57.408000000000001</v>
      </c>
      <c r="E1090" s="82">
        <f t="shared" si="238"/>
        <v>0</v>
      </c>
      <c r="F1090" s="83">
        <f t="shared" si="239"/>
        <v>57.408000000000001</v>
      </c>
      <c r="G1090" s="84"/>
      <c r="H1090" s="85"/>
      <c r="I1090" s="85"/>
      <c r="J1090" s="84"/>
      <c r="K1090" s="85"/>
      <c r="L1090" s="85"/>
      <c r="M1090" s="85"/>
      <c r="N1090" s="85"/>
      <c r="O1090" s="82"/>
      <c r="P1090" s="83"/>
      <c r="Q1090" s="83"/>
      <c r="R1090" s="83"/>
      <c r="S1090" s="82"/>
      <c r="T1090" s="83"/>
      <c r="U1090" s="83"/>
      <c r="V1090" s="84"/>
      <c r="W1090" s="85"/>
      <c r="X1090" s="87"/>
      <c r="Y1090" s="83">
        <v>57.408000000000001</v>
      </c>
      <c r="Z1090" s="84"/>
      <c r="AA1090" s="85"/>
      <c r="AB1090" s="84"/>
      <c r="AC1090" s="85"/>
      <c r="AD1090" s="89"/>
      <c r="AE1090" s="89"/>
      <c r="AF1090" s="186"/>
      <c r="AG1090" s="85"/>
      <c r="AH1090" s="85"/>
      <c r="AI1090" s="85"/>
      <c r="AJ1090" s="84"/>
      <c r="AK1090" s="85"/>
      <c r="AL1090" s="84"/>
      <c r="AM1090" s="88"/>
      <c r="AN1090" s="84"/>
      <c r="AO1090" s="85"/>
      <c r="AP1090" s="84"/>
      <c r="AQ1090" s="83"/>
      <c r="AR1090" s="83"/>
      <c r="AS1090" s="83"/>
      <c r="AT1090" s="85"/>
      <c r="AU1090" s="85"/>
      <c r="AV1090" s="85"/>
      <c r="AW1090" s="88"/>
      <c r="AX1090" s="84"/>
      <c r="AY1090" s="85"/>
      <c r="AZ1090" s="84"/>
      <c r="BA1090" s="85"/>
      <c r="BB1090" s="88"/>
      <c r="BC1090" s="85"/>
      <c r="BD1090" s="84"/>
      <c r="BE1090" s="88"/>
      <c r="BF1090" s="85"/>
      <c r="BG1090" s="85"/>
      <c r="BH1090" s="85"/>
      <c r="BI1090" s="85"/>
      <c r="BJ1090" s="85"/>
      <c r="BK1090" s="85"/>
      <c r="BL1090" s="85"/>
      <c r="BM1090" s="85"/>
      <c r="BN1090" s="85"/>
      <c r="BO1090" s="85"/>
      <c r="BP1090" s="85"/>
      <c r="BQ1090" s="85"/>
      <c r="BR1090" s="84"/>
      <c r="BS1090" s="85"/>
      <c r="BT1090" s="85"/>
      <c r="BU1090" s="198"/>
      <c r="BV1090" s="90"/>
      <c r="BW1090" s="198"/>
      <c r="BX1090" s="90"/>
      <c r="BY1090" s="198"/>
      <c r="BZ1090" s="90"/>
      <c r="CA1090" s="91"/>
    </row>
    <row r="1091" spans="1:1199" ht="50.1" customHeight="1" outlineLevel="2" x14ac:dyDescent="0.3">
      <c r="A1091" s="106" t="s">
        <v>890</v>
      </c>
      <c r="B1091" s="96" t="s">
        <v>917</v>
      </c>
      <c r="C1091" s="79" t="s">
        <v>89</v>
      </c>
      <c r="D1091" s="81">
        <f t="shared" si="244"/>
        <v>79.273250000000004</v>
      </c>
      <c r="E1091" s="82">
        <f t="shared" si="238"/>
        <v>0</v>
      </c>
      <c r="F1091" s="83">
        <f t="shared" si="239"/>
        <v>79.273250000000004</v>
      </c>
      <c r="G1091" s="84"/>
      <c r="H1091" s="85"/>
      <c r="I1091" s="85"/>
      <c r="J1091" s="84"/>
      <c r="K1091" s="85"/>
      <c r="L1091" s="85"/>
      <c r="M1091" s="85"/>
      <c r="N1091" s="85"/>
      <c r="O1091" s="82"/>
      <c r="P1091" s="83"/>
      <c r="Q1091" s="83"/>
      <c r="R1091" s="83"/>
      <c r="S1091" s="82"/>
      <c r="T1091" s="83"/>
      <c r="U1091" s="83"/>
      <c r="V1091" s="84"/>
      <c r="W1091" s="85"/>
      <c r="X1091" s="82"/>
      <c r="Y1091" s="83"/>
      <c r="Z1091" s="84"/>
      <c r="AA1091" s="85"/>
      <c r="AB1091" s="84"/>
      <c r="AC1091" s="85"/>
      <c r="AD1091" s="89">
        <f t="shared" si="245"/>
        <v>0</v>
      </c>
      <c r="AE1091" s="89"/>
      <c r="AF1091" s="186"/>
      <c r="AG1091" s="85"/>
      <c r="AH1091" s="85"/>
      <c r="AI1091" s="85"/>
      <c r="AJ1091" s="84"/>
      <c r="AK1091" s="85"/>
      <c r="AL1091" s="84"/>
      <c r="AM1091" s="88"/>
      <c r="AN1091" s="84"/>
      <c r="AO1091" s="85"/>
      <c r="AP1091" s="84"/>
      <c r="AQ1091" s="83"/>
      <c r="AR1091" s="83"/>
      <c r="AS1091" s="83"/>
      <c r="AT1091" s="85"/>
      <c r="AU1091" s="85"/>
      <c r="AV1091" s="85">
        <v>79.273250000000004</v>
      </c>
      <c r="AW1091" s="88"/>
      <c r="AX1091" s="84"/>
      <c r="AY1091" s="85"/>
      <c r="AZ1091" s="84"/>
      <c r="BA1091" s="85"/>
      <c r="BB1091" s="88"/>
      <c r="BC1091" s="85"/>
      <c r="BD1091" s="84"/>
      <c r="BE1091" s="88"/>
      <c r="BF1091" s="85"/>
      <c r="BG1091" s="85"/>
      <c r="BH1091" s="85"/>
      <c r="BI1091" s="85"/>
      <c r="BJ1091" s="85"/>
      <c r="BK1091" s="85"/>
      <c r="BL1091" s="85"/>
      <c r="BM1091" s="85"/>
      <c r="BN1091" s="85"/>
      <c r="BO1091" s="85"/>
      <c r="BP1091" s="85"/>
      <c r="BQ1091" s="85"/>
      <c r="BR1091" s="84"/>
      <c r="BS1091" s="85"/>
      <c r="BT1091" s="85"/>
      <c r="BU1091" s="198"/>
      <c r="BV1091" s="90"/>
      <c r="BW1091" s="198"/>
      <c r="BX1091" s="90"/>
      <c r="BY1091" s="198"/>
      <c r="BZ1091" s="90"/>
      <c r="CA1091" s="91"/>
    </row>
    <row r="1092" spans="1:1199" ht="64.5" customHeight="1" outlineLevel="2" x14ac:dyDescent="0.3">
      <c r="A1092" s="106" t="s">
        <v>890</v>
      </c>
      <c r="B1092" s="96" t="s">
        <v>918</v>
      </c>
      <c r="C1092" s="79" t="s">
        <v>1268</v>
      </c>
      <c r="D1092" s="81">
        <f t="shared" si="244"/>
        <v>26.107609999999998</v>
      </c>
      <c r="E1092" s="82">
        <f t="shared" si="238"/>
        <v>0</v>
      </c>
      <c r="F1092" s="83">
        <f t="shared" si="239"/>
        <v>26.107609999999998</v>
      </c>
      <c r="G1092" s="84"/>
      <c r="H1092" s="85"/>
      <c r="I1092" s="85"/>
      <c r="J1092" s="84"/>
      <c r="K1092" s="85"/>
      <c r="L1092" s="85"/>
      <c r="M1092" s="85"/>
      <c r="N1092" s="85"/>
      <c r="O1092" s="82"/>
      <c r="P1092" s="83"/>
      <c r="Q1092" s="83"/>
      <c r="R1092" s="83"/>
      <c r="S1092" s="82"/>
      <c r="T1092" s="83"/>
      <c r="U1092" s="83"/>
      <c r="V1092" s="84"/>
      <c r="W1092" s="85"/>
      <c r="X1092" s="82"/>
      <c r="Y1092" s="83"/>
      <c r="Z1092" s="84"/>
      <c r="AA1092" s="85"/>
      <c r="AB1092" s="84"/>
      <c r="AC1092" s="85"/>
      <c r="AD1092" s="89">
        <f t="shared" si="245"/>
        <v>26.107609999999998</v>
      </c>
      <c r="AE1092" s="89">
        <v>8.5963999999999992</v>
      </c>
      <c r="AF1092" s="186">
        <v>17.511209999999998</v>
      </c>
      <c r="AG1092" s="85"/>
      <c r="AH1092" s="85"/>
      <c r="AI1092" s="85"/>
      <c r="AJ1092" s="84"/>
      <c r="AK1092" s="85"/>
      <c r="AL1092" s="84"/>
      <c r="AM1092" s="88"/>
      <c r="AN1092" s="84"/>
      <c r="AO1092" s="85"/>
      <c r="AP1092" s="84"/>
      <c r="AQ1092" s="83"/>
      <c r="AR1092" s="83"/>
      <c r="AS1092" s="83"/>
      <c r="AT1092" s="85"/>
      <c r="AU1092" s="85"/>
      <c r="AV1092" s="85"/>
      <c r="AW1092" s="88"/>
      <c r="AX1092" s="84"/>
      <c r="AY1092" s="85"/>
      <c r="AZ1092" s="84"/>
      <c r="BA1092" s="85"/>
      <c r="BB1092" s="88"/>
      <c r="BC1092" s="85"/>
      <c r="BD1092" s="84"/>
      <c r="BE1092" s="88"/>
      <c r="BF1092" s="85"/>
      <c r="BG1092" s="85"/>
      <c r="BH1092" s="85"/>
      <c r="BI1092" s="85"/>
      <c r="BJ1092" s="85"/>
      <c r="BK1092" s="85"/>
      <c r="BL1092" s="85"/>
      <c r="BM1092" s="85"/>
      <c r="BN1092" s="85"/>
      <c r="BO1092" s="85"/>
      <c r="BP1092" s="85"/>
      <c r="BQ1092" s="85"/>
      <c r="BR1092" s="84"/>
      <c r="BS1092" s="85"/>
      <c r="BT1092" s="85"/>
      <c r="BU1092" s="198"/>
      <c r="BV1092" s="90"/>
      <c r="BW1092" s="198"/>
      <c r="BX1092" s="90"/>
      <c r="BY1092" s="198"/>
      <c r="BZ1092" s="90"/>
      <c r="CA1092" s="91"/>
    </row>
    <row r="1093" spans="1:1199" ht="58.5" customHeight="1" outlineLevel="2" x14ac:dyDescent="0.3">
      <c r="A1093" s="103" t="s">
        <v>890</v>
      </c>
      <c r="B1093" s="149" t="s">
        <v>919</v>
      </c>
      <c r="C1093" s="79" t="s">
        <v>655</v>
      </c>
      <c r="D1093" s="81">
        <f t="shared" si="244"/>
        <v>3324.3254999999999</v>
      </c>
      <c r="E1093" s="82">
        <f t="shared" si="238"/>
        <v>0</v>
      </c>
      <c r="F1093" s="83">
        <f t="shared" si="239"/>
        <v>3324.3254999999999</v>
      </c>
      <c r="G1093" s="84"/>
      <c r="H1093" s="85"/>
      <c r="I1093" s="85"/>
      <c r="J1093" s="84"/>
      <c r="K1093" s="85"/>
      <c r="L1093" s="85"/>
      <c r="M1093" s="85">
        <v>2618.7674999999999</v>
      </c>
      <c r="N1093" s="85"/>
      <c r="O1093" s="82"/>
      <c r="P1093" s="83"/>
      <c r="Q1093" s="83"/>
      <c r="R1093" s="83"/>
      <c r="S1093" s="82"/>
      <c r="T1093" s="83"/>
      <c r="U1093" s="83"/>
      <c r="V1093" s="84"/>
      <c r="W1093" s="85"/>
      <c r="X1093" s="87"/>
      <c r="Y1093" s="83"/>
      <c r="Z1093" s="84"/>
      <c r="AA1093" s="85"/>
      <c r="AB1093" s="84"/>
      <c r="AC1093" s="85"/>
      <c r="AD1093" s="89">
        <f t="shared" si="245"/>
        <v>0</v>
      </c>
      <c r="AE1093" s="89"/>
      <c r="AF1093" s="186"/>
      <c r="AG1093" s="85"/>
      <c r="AH1093" s="85"/>
      <c r="AI1093" s="85"/>
      <c r="AJ1093" s="84"/>
      <c r="AK1093" s="85"/>
      <c r="AL1093" s="84"/>
      <c r="AM1093" s="88"/>
      <c r="AN1093" s="84"/>
      <c r="AO1093" s="85"/>
      <c r="AP1093" s="84"/>
      <c r="AQ1093" s="83"/>
      <c r="AR1093" s="83"/>
      <c r="AS1093" s="83"/>
      <c r="AT1093" s="85"/>
      <c r="AU1093" s="85"/>
      <c r="AV1093" s="85"/>
      <c r="AW1093" s="88"/>
      <c r="AX1093" s="84"/>
      <c r="AY1093" s="85"/>
      <c r="AZ1093" s="84"/>
      <c r="BA1093" s="85"/>
      <c r="BB1093" s="88"/>
      <c r="BC1093" s="85"/>
      <c r="BD1093" s="84"/>
      <c r="BE1093" s="88"/>
      <c r="BF1093" s="85"/>
      <c r="BG1093" s="85">
        <v>705.55799999999999</v>
      </c>
      <c r="BH1093" s="85"/>
      <c r="BI1093" s="85"/>
      <c r="BJ1093" s="85"/>
      <c r="BK1093" s="85"/>
      <c r="BL1093" s="85"/>
      <c r="BM1093" s="85"/>
      <c r="BN1093" s="85"/>
      <c r="BO1093" s="85"/>
      <c r="BP1093" s="85"/>
      <c r="BQ1093" s="85"/>
      <c r="BR1093" s="84"/>
      <c r="BS1093" s="85"/>
      <c r="BT1093" s="85"/>
      <c r="BU1093" s="198"/>
      <c r="BV1093" s="90"/>
      <c r="BW1093" s="198"/>
      <c r="BX1093" s="90"/>
      <c r="BY1093" s="198"/>
      <c r="BZ1093" s="90"/>
      <c r="CA1093" s="91"/>
    </row>
    <row r="1094" spans="1:1199" s="101" customFormat="1" ht="50.1" customHeight="1" outlineLevel="1" x14ac:dyDescent="0.3">
      <c r="A1094" s="132" t="s">
        <v>920</v>
      </c>
      <c r="B1094" s="241"/>
      <c r="C1094" s="134" t="s">
        <v>94</v>
      </c>
      <c r="D1094" s="81">
        <f t="shared" ref="D1094:AI1094" si="246">SUBTOTAL(9,D1061:D1093)</f>
        <v>46328.861439999986</v>
      </c>
      <c r="E1094" s="81">
        <f t="shared" si="246"/>
        <v>10336.738859999999</v>
      </c>
      <c r="F1094" s="81">
        <f t="shared" si="246"/>
        <v>35992.122580000003</v>
      </c>
      <c r="G1094" s="81">
        <f t="shared" si="246"/>
        <v>336.98032999999998</v>
      </c>
      <c r="H1094" s="81">
        <f t="shared" si="246"/>
        <v>372.31563000000006</v>
      </c>
      <c r="I1094" s="81">
        <f t="shared" si="246"/>
        <v>0</v>
      </c>
      <c r="J1094" s="81">
        <f t="shared" si="246"/>
        <v>2123.2966700000002</v>
      </c>
      <c r="K1094" s="81">
        <f t="shared" si="246"/>
        <v>611.40142000000003</v>
      </c>
      <c r="L1094" s="81">
        <f t="shared" si="246"/>
        <v>762.72791000000007</v>
      </c>
      <c r="M1094" s="81">
        <f t="shared" si="246"/>
        <v>2618.7674999999999</v>
      </c>
      <c r="N1094" s="81">
        <f t="shared" si="246"/>
        <v>0</v>
      </c>
      <c r="O1094" s="81">
        <f t="shared" si="246"/>
        <v>0</v>
      </c>
      <c r="P1094" s="81">
        <f t="shared" si="246"/>
        <v>0</v>
      </c>
      <c r="Q1094" s="81">
        <f t="shared" si="246"/>
        <v>0</v>
      </c>
      <c r="R1094" s="81">
        <f t="shared" si="246"/>
        <v>0</v>
      </c>
      <c r="S1094" s="81">
        <f t="shared" si="246"/>
        <v>0</v>
      </c>
      <c r="T1094" s="81">
        <f t="shared" si="246"/>
        <v>0</v>
      </c>
      <c r="U1094" s="81">
        <f t="shared" si="246"/>
        <v>447.92062999999996</v>
      </c>
      <c r="V1094" s="81">
        <f t="shared" si="246"/>
        <v>659.06551999999999</v>
      </c>
      <c r="W1094" s="81">
        <f t="shared" si="246"/>
        <v>1150.56</v>
      </c>
      <c r="X1094" s="81">
        <f t="shared" si="246"/>
        <v>0</v>
      </c>
      <c r="Y1094" s="81">
        <f t="shared" si="246"/>
        <v>2783.3519999999999</v>
      </c>
      <c r="Z1094" s="81">
        <f t="shared" si="246"/>
        <v>0</v>
      </c>
      <c r="AA1094" s="81">
        <f t="shared" si="246"/>
        <v>0</v>
      </c>
      <c r="AB1094" s="81">
        <f t="shared" si="246"/>
        <v>0</v>
      </c>
      <c r="AC1094" s="81">
        <f t="shared" si="246"/>
        <v>0</v>
      </c>
      <c r="AD1094" s="81">
        <f t="shared" si="246"/>
        <v>2185.3814900000002</v>
      </c>
      <c r="AE1094" s="81">
        <f t="shared" si="246"/>
        <v>1110.1779999999999</v>
      </c>
      <c r="AF1094" s="192">
        <f t="shared" si="246"/>
        <v>1075.2034899999996</v>
      </c>
      <c r="AG1094" s="81">
        <f t="shared" si="246"/>
        <v>0</v>
      </c>
      <c r="AH1094" s="81">
        <f t="shared" si="246"/>
        <v>0</v>
      </c>
      <c r="AI1094" s="81">
        <f t="shared" si="246"/>
        <v>0</v>
      </c>
      <c r="AJ1094" s="81">
        <f t="shared" ref="AJ1094:BO1094" si="247">SUBTOTAL(9,AJ1061:AJ1093)</f>
        <v>0</v>
      </c>
      <c r="AK1094" s="81">
        <f t="shared" si="247"/>
        <v>0</v>
      </c>
      <c r="AL1094" s="81">
        <f t="shared" si="247"/>
        <v>0</v>
      </c>
      <c r="AM1094" s="81">
        <f t="shared" si="247"/>
        <v>0</v>
      </c>
      <c r="AN1094" s="81">
        <f t="shared" si="247"/>
        <v>0</v>
      </c>
      <c r="AO1094" s="81">
        <f t="shared" si="247"/>
        <v>0</v>
      </c>
      <c r="AP1094" s="81">
        <f t="shared" si="247"/>
        <v>964.73831999999993</v>
      </c>
      <c r="AQ1094" s="81">
        <f t="shared" si="247"/>
        <v>2264.4300800000001</v>
      </c>
      <c r="AR1094" s="81">
        <f t="shared" si="247"/>
        <v>0</v>
      </c>
      <c r="AS1094" s="81">
        <f t="shared" si="247"/>
        <v>6879.3912300000002</v>
      </c>
      <c r="AT1094" s="81">
        <f t="shared" si="247"/>
        <v>0</v>
      </c>
      <c r="AU1094" s="81">
        <f t="shared" si="247"/>
        <v>0</v>
      </c>
      <c r="AV1094" s="81">
        <f t="shared" si="247"/>
        <v>8062.21432</v>
      </c>
      <c r="AW1094" s="81">
        <f t="shared" si="247"/>
        <v>0</v>
      </c>
      <c r="AX1094" s="81">
        <f t="shared" si="247"/>
        <v>0</v>
      </c>
      <c r="AY1094" s="81">
        <f t="shared" si="247"/>
        <v>0</v>
      </c>
      <c r="AZ1094" s="81">
        <f t="shared" si="247"/>
        <v>5616.4987699999983</v>
      </c>
      <c r="BA1094" s="81">
        <f t="shared" si="247"/>
        <v>5086.1912699999993</v>
      </c>
      <c r="BB1094" s="81">
        <f t="shared" si="247"/>
        <v>67.399779999999993</v>
      </c>
      <c r="BC1094" s="81">
        <f t="shared" si="247"/>
        <v>0</v>
      </c>
      <c r="BD1094" s="81">
        <f t="shared" si="247"/>
        <v>0</v>
      </c>
      <c r="BE1094" s="81">
        <f t="shared" si="247"/>
        <v>0</v>
      </c>
      <c r="BF1094" s="81">
        <f t="shared" si="247"/>
        <v>0</v>
      </c>
      <c r="BG1094" s="81">
        <f t="shared" si="247"/>
        <v>1848.9098999999999</v>
      </c>
      <c r="BH1094" s="81">
        <f t="shared" si="247"/>
        <v>0</v>
      </c>
      <c r="BI1094" s="81">
        <f t="shared" si="247"/>
        <v>0</v>
      </c>
      <c r="BJ1094" s="81">
        <f t="shared" si="247"/>
        <v>0</v>
      </c>
      <c r="BK1094" s="81">
        <f t="shared" si="247"/>
        <v>614.48442</v>
      </c>
      <c r="BL1094" s="81">
        <f t="shared" si="247"/>
        <v>0</v>
      </c>
      <c r="BM1094" s="81">
        <f t="shared" si="247"/>
        <v>0</v>
      </c>
      <c r="BN1094" s="81">
        <f t="shared" si="247"/>
        <v>0</v>
      </c>
      <c r="BO1094" s="81">
        <f t="shared" si="247"/>
        <v>0</v>
      </c>
      <c r="BP1094" s="81">
        <f t="shared" ref="BP1094:CU1094" si="248">SUBTOTAL(9,BP1061:BP1093)</f>
        <v>0</v>
      </c>
      <c r="BQ1094" s="81">
        <f t="shared" si="248"/>
        <v>0</v>
      </c>
      <c r="BR1094" s="81">
        <f t="shared" si="248"/>
        <v>636.15925000000004</v>
      </c>
      <c r="BS1094" s="81">
        <f t="shared" si="248"/>
        <v>0</v>
      </c>
      <c r="BT1094" s="81">
        <f t="shared" si="248"/>
        <v>236.67500000000001</v>
      </c>
      <c r="BU1094" s="81">
        <f t="shared" si="248"/>
        <v>0</v>
      </c>
      <c r="BV1094" s="81">
        <f t="shared" si="248"/>
        <v>0</v>
      </c>
      <c r="BW1094" s="81">
        <f t="shared" si="248"/>
        <v>0</v>
      </c>
      <c r="BX1094" s="81">
        <f t="shared" si="248"/>
        <v>0</v>
      </c>
      <c r="BY1094" s="81">
        <f t="shared" si="248"/>
        <v>0</v>
      </c>
      <c r="BZ1094" s="81">
        <f t="shared" si="248"/>
        <v>0</v>
      </c>
      <c r="CA1094" s="81">
        <f t="shared" si="248"/>
        <v>0</v>
      </c>
      <c r="CB1094" s="176"/>
      <c r="CC1094" s="176"/>
      <c r="CD1094" s="176"/>
      <c r="CE1094" s="176"/>
      <c r="CF1094" s="176"/>
      <c r="CG1094" s="176"/>
      <c r="CH1094" s="176"/>
      <c r="CI1094" s="176"/>
      <c r="CJ1094" s="176"/>
      <c r="CK1094" s="176"/>
      <c r="CL1094" s="176"/>
      <c r="CM1094" s="176"/>
      <c r="CN1094" s="176"/>
      <c r="CO1094" s="176"/>
      <c r="CP1094" s="176"/>
      <c r="CQ1094" s="176"/>
      <c r="CR1094" s="176"/>
      <c r="CS1094" s="176"/>
      <c r="CT1094" s="176"/>
      <c r="CU1094" s="176"/>
      <c r="CV1094" s="176"/>
      <c r="CW1094" s="176"/>
      <c r="CX1094" s="176"/>
      <c r="CY1094" s="176"/>
      <c r="CZ1094" s="176"/>
      <c r="DA1094" s="176"/>
      <c r="DB1094" s="176"/>
      <c r="DC1094" s="176"/>
      <c r="DD1094" s="176"/>
      <c r="DE1094" s="176"/>
      <c r="DF1094" s="176"/>
      <c r="DG1094" s="176"/>
      <c r="DH1094" s="176"/>
      <c r="DI1094" s="176"/>
      <c r="DJ1094" s="176"/>
      <c r="DK1094" s="176"/>
      <c r="DL1094" s="176"/>
      <c r="DM1094" s="176"/>
      <c r="DN1094" s="176"/>
      <c r="DO1094" s="176"/>
      <c r="DP1094" s="176"/>
      <c r="DQ1094" s="176"/>
      <c r="DR1094" s="176"/>
      <c r="DS1094" s="176"/>
      <c r="DT1094" s="176"/>
      <c r="DU1094" s="176"/>
      <c r="DV1094" s="176"/>
      <c r="DW1094" s="176"/>
      <c r="DX1094" s="176"/>
      <c r="DY1094" s="176"/>
      <c r="DZ1094" s="176"/>
      <c r="EA1094" s="176"/>
      <c r="EB1094" s="176"/>
      <c r="EC1094" s="176"/>
      <c r="ED1094" s="176"/>
      <c r="EE1094" s="176"/>
      <c r="EF1094" s="176"/>
      <c r="EG1094" s="176"/>
      <c r="EH1094" s="176"/>
      <c r="EI1094" s="176"/>
      <c r="EJ1094" s="176"/>
      <c r="EK1094" s="176"/>
      <c r="EL1094" s="176"/>
      <c r="EM1094" s="176"/>
      <c r="EN1094" s="176"/>
      <c r="EO1094" s="176"/>
      <c r="EP1094" s="176"/>
      <c r="EQ1094" s="176"/>
      <c r="ER1094" s="176"/>
      <c r="ES1094" s="176"/>
      <c r="ET1094" s="176"/>
      <c r="EU1094" s="176"/>
      <c r="EV1094" s="176"/>
      <c r="EW1094" s="176"/>
      <c r="EX1094" s="176"/>
      <c r="EY1094" s="176"/>
      <c r="EZ1094" s="176"/>
      <c r="FA1094" s="176"/>
      <c r="FB1094" s="176"/>
      <c r="FC1094" s="176"/>
      <c r="FD1094" s="176"/>
      <c r="FE1094" s="176"/>
      <c r="FF1094" s="176"/>
      <c r="FG1094" s="176"/>
      <c r="FH1094" s="176"/>
      <c r="FI1094" s="176"/>
      <c r="FJ1094" s="176"/>
      <c r="FK1094" s="176"/>
      <c r="FL1094" s="176"/>
      <c r="FM1094" s="176"/>
      <c r="FN1094" s="176"/>
      <c r="FO1094" s="176"/>
      <c r="FP1094" s="176"/>
      <c r="FQ1094" s="176"/>
      <c r="FR1094" s="176"/>
      <c r="FS1094" s="176"/>
      <c r="FT1094" s="176"/>
      <c r="FU1094" s="176"/>
      <c r="FV1094" s="176"/>
      <c r="FW1094" s="176"/>
      <c r="FX1094" s="176"/>
      <c r="FY1094" s="176"/>
      <c r="FZ1094" s="176"/>
      <c r="GA1094" s="176"/>
      <c r="GB1094" s="176"/>
      <c r="GC1094" s="176"/>
      <c r="GD1094" s="176"/>
      <c r="GE1094" s="176"/>
      <c r="GF1094" s="176"/>
      <c r="GG1094" s="176"/>
      <c r="GH1094" s="176"/>
      <c r="GI1094" s="176"/>
      <c r="GJ1094" s="176"/>
      <c r="GK1094" s="176"/>
      <c r="GL1094" s="176"/>
      <c r="GM1094" s="176"/>
      <c r="GN1094" s="176"/>
      <c r="GO1094" s="176"/>
      <c r="GP1094" s="176"/>
      <c r="GQ1094" s="176"/>
      <c r="GR1094" s="176"/>
      <c r="GS1094" s="176"/>
      <c r="GT1094" s="176"/>
      <c r="GU1094" s="176"/>
      <c r="GV1094" s="176"/>
      <c r="GW1094" s="176"/>
      <c r="GX1094" s="176"/>
      <c r="GY1094" s="176"/>
      <c r="GZ1094" s="176"/>
      <c r="HA1094" s="176"/>
      <c r="HB1094" s="176"/>
      <c r="HC1094" s="176"/>
      <c r="HD1094" s="176"/>
      <c r="HE1094" s="176"/>
      <c r="HF1094" s="176"/>
      <c r="HG1094" s="176"/>
      <c r="HH1094" s="176"/>
      <c r="HI1094" s="176"/>
      <c r="HJ1094" s="176"/>
      <c r="HK1094" s="176"/>
      <c r="HL1094" s="176"/>
      <c r="HM1094" s="176"/>
      <c r="HN1094" s="176"/>
      <c r="HO1094" s="176"/>
      <c r="HP1094" s="176"/>
      <c r="HQ1094" s="176"/>
      <c r="HR1094" s="176"/>
      <c r="HS1094" s="176"/>
      <c r="HT1094" s="176"/>
      <c r="HU1094" s="176"/>
      <c r="HV1094" s="176"/>
      <c r="HW1094" s="176"/>
      <c r="HX1094" s="176"/>
      <c r="HY1094" s="176"/>
      <c r="HZ1094" s="176"/>
      <c r="IA1094" s="176"/>
      <c r="IB1094" s="176"/>
      <c r="IC1094" s="176"/>
      <c r="ID1094" s="176"/>
      <c r="IE1094" s="176"/>
      <c r="IF1094" s="176"/>
      <c r="IG1094" s="176"/>
      <c r="IH1094" s="176"/>
      <c r="II1094" s="176"/>
      <c r="IJ1094" s="176"/>
      <c r="IK1094" s="176"/>
      <c r="IL1094" s="176"/>
      <c r="IM1094" s="176"/>
      <c r="IN1094" s="176"/>
      <c r="IO1094" s="176"/>
      <c r="IP1094" s="176"/>
      <c r="IQ1094" s="176"/>
      <c r="IR1094" s="176"/>
      <c r="IS1094" s="176"/>
      <c r="IT1094" s="176"/>
      <c r="IU1094" s="176"/>
      <c r="IV1094" s="176"/>
      <c r="IW1094" s="176"/>
      <c r="IX1094" s="176"/>
      <c r="IY1094" s="176"/>
      <c r="IZ1094" s="176"/>
      <c r="JA1094" s="176"/>
      <c r="JB1094" s="176"/>
      <c r="JC1094" s="176"/>
      <c r="JD1094" s="176"/>
      <c r="JE1094" s="176"/>
      <c r="JF1094" s="176"/>
      <c r="JG1094" s="176"/>
      <c r="JH1094" s="176"/>
      <c r="JI1094" s="176"/>
      <c r="JJ1094" s="176"/>
      <c r="JK1094" s="176"/>
      <c r="JL1094" s="176"/>
      <c r="JM1094" s="176"/>
      <c r="JN1094" s="176"/>
      <c r="JO1094" s="176"/>
      <c r="JP1094" s="176"/>
      <c r="JQ1094" s="176"/>
      <c r="JR1094" s="176"/>
      <c r="JS1094" s="176"/>
      <c r="JT1094" s="176"/>
      <c r="JU1094" s="176"/>
      <c r="JV1094" s="176"/>
      <c r="JW1094" s="131"/>
      <c r="JX1094" s="131"/>
      <c r="JY1094" s="131"/>
      <c r="JZ1094" s="131"/>
      <c r="KA1094" s="131"/>
      <c r="KB1094" s="131"/>
      <c r="KC1094" s="131"/>
      <c r="KD1094" s="131"/>
      <c r="KE1094" s="131"/>
      <c r="KF1094" s="131"/>
      <c r="KG1094" s="131"/>
      <c r="KH1094" s="131"/>
      <c r="KI1094" s="131"/>
      <c r="KJ1094" s="131"/>
      <c r="KK1094" s="131"/>
      <c r="KL1094" s="131"/>
      <c r="KM1094" s="131"/>
      <c r="KN1094" s="131"/>
      <c r="KO1094" s="131"/>
      <c r="KP1094" s="131"/>
      <c r="KQ1094" s="131"/>
      <c r="KR1094" s="131"/>
      <c r="KS1094" s="131"/>
      <c r="KT1094" s="131"/>
      <c r="KU1094" s="131"/>
      <c r="KV1094" s="131"/>
      <c r="KW1094" s="131"/>
      <c r="KX1094" s="131"/>
      <c r="KY1094" s="131"/>
      <c r="KZ1094" s="131"/>
      <c r="LA1094" s="131"/>
      <c r="LB1094" s="131"/>
      <c r="LC1094" s="131"/>
      <c r="LD1094" s="131"/>
      <c r="LE1094" s="131"/>
      <c r="LF1094" s="131"/>
      <c r="LG1094" s="131"/>
      <c r="LH1094" s="131"/>
      <c r="LI1094" s="131"/>
      <c r="LJ1094" s="131"/>
      <c r="LK1094" s="131"/>
      <c r="LL1094" s="131"/>
      <c r="LM1094" s="131"/>
      <c r="LN1094" s="131"/>
      <c r="LO1094" s="131"/>
      <c r="LP1094" s="131"/>
      <c r="LQ1094" s="131"/>
      <c r="LR1094" s="131"/>
      <c r="LS1094" s="131"/>
      <c r="LT1094" s="131"/>
      <c r="LU1094" s="131"/>
      <c r="LV1094" s="131"/>
      <c r="LW1094" s="131"/>
      <c r="LX1094" s="131"/>
      <c r="LY1094" s="131"/>
      <c r="LZ1094" s="131"/>
      <c r="MA1094" s="131"/>
      <c r="MB1094" s="131"/>
      <c r="MC1094" s="131"/>
      <c r="MD1094" s="131"/>
      <c r="ME1094" s="131"/>
      <c r="MF1094" s="131"/>
      <c r="MG1094" s="131"/>
      <c r="MH1094" s="131"/>
      <c r="MI1094" s="131"/>
      <c r="MJ1094" s="131"/>
      <c r="MK1094" s="131"/>
      <c r="ML1094" s="131"/>
      <c r="MM1094" s="131"/>
      <c r="MN1094" s="131"/>
      <c r="MO1094" s="131"/>
      <c r="MP1094" s="131"/>
      <c r="MQ1094" s="131"/>
      <c r="MR1094" s="131"/>
      <c r="MS1094" s="131"/>
      <c r="MT1094" s="131"/>
      <c r="MU1094" s="131"/>
      <c r="MV1094" s="131"/>
      <c r="MW1094" s="131"/>
      <c r="MX1094" s="131"/>
      <c r="MY1094" s="131"/>
      <c r="MZ1094" s="131"/>
      <c r="NA1094" s="131"/>
      <c r="NB1094" s="131"/>
      <c r="NC1094" s="131"/>
      <c r="ND1094" s="131"/>
      <c r="NE1094" s="131"/>
      <c r="NF1094" s="131"/>
      <c r="NG1094" s="131"/>
      <c r="NH1094" s="131"/>
      <c r="NI1094" s="131"/>
      <c r="NJ1094" s="131"/>
      <c r="NK1094" s="131"/>
      <c r="NL1094" s="131"/>
      <c r="NM1094" s="131"/>
      <c r="NN1094" s="131"/>
      <c r="NO1094" s="131"/>
      <c r="NP1094" s="131"/>
      <c r="NQ1094" s="131"/>
      <c r="NR1094" s="131"/>
      <c r="NS1094" s="131"/>
      <c r="NT1094" s="131"/>
      <c r="NU1094" s="131"/>
      <c r="NV1094" s="131"/>
      <c r="NW1094" s="131"/>
      <c r="NX1094" s="131"/>
      <c r="NY1094" s="131"/>
      <c r="NZ1094" s="131"/>
      <c r="OA1094" s="131"/>
      <c r="OB1094" s="131"/>
      <c r="OC1094" s="131"/>
      <c r="OD1094" s="131"/>
      <c r="OE1094" s="131"/>
      <c r="OF1094" s="131"/>
      <c r="OG1094" s="131"/>
      <c r="OH1094" s="131"/>
      <c r="OI1094" s="131"/>
      <c r="OJ1094" s="131"/>
      <c r="OK1094" s="131"/>
      <c r="OL1094" s="131"/>
      <c r="OM1094" s="131"/>
      <c r="ON1094" s="131"/>
      <c r="OO1094" s="131"/>
      <c r="OP1094" s="131"/>
      <c r="OQ1094" s="131"/>
      <c r="OR1094" s="131"/>
      <c r="OS1094" s="131"/>
      <c r="OT1094" s="131"/>
      <c r="OU1094" s="131"/>
      <c r="OV1094" s="131"/>
      <c r="OW1094" s="131"/>
      <c r="OX1094" s="131"/>
      <c r="OY1094" s="131"/>
      <c r="OZ1094" s="131"/>
      <c r="PA1094" s="131"/>
      <c r="PB1094" s="131"/>
      <c r="PC1094" s="131"/>
      <c r="PD1094" s="131"/>
      <c r="PE1094" s="131"/>
      <c r="PF1094" s="131"/>
      <c r="PG1094" s="131"/>
      <c r="PH1094" s="131"/>
      <c r="PI1094" s="131"/>
      <c r="PJ1094" s="131"/>
      <c r="PK1094" s="131"/>
      <c r="PL1094" s="131"/>
      <c r="PM1094" s="131"/>
      <c r="PN1094" s="131"/>
      <c r="PO1094" s="131"/>
      <c r="PP1094" s="131"/>
      <c r="PQ1094" s="131"/>
      <c r="PR1094" s="131"/>
      <c r="PS1094" s="131"/>
      <c r="PT1094" s="131"/>
      <c r="PU1094" s="131"/>
      <c r="PV1094" s="131"/>
      <c r="PW1094" s="131"/>
      <c r="PX1094" s="131"/>
      <c r="PY1094" s="131"/>
      <c r="PZ1094" s="131"/>
      <c r="QA1094" s="131"/>
      <c r="QB1094" s="131"/>
      <c r="QC1094" s="131"/>
      <c r="QD1094" s="131"/>
      <c r="QE1094" s="131"/>
      <c r="QF1094" s="131"/>
      <c r="QG1094" s="131"/>
      <c r="QH1094" s="131"/>
      <c r="QI1094" s="131"/>
      <c r="QJ1094" s="131"/>
      <c r="QK1094" s="131"/>
      <c r="QL1094" s="131"/>
      <c r="QM1094" s="131"/>
      <c r="QN1094" s="131"/>
      <c r="QO1094" s="131"/>
      <c r="QP1094" s="131"/>
      <c r="QQ1094" s="131"/>
      <c r="QR1094" s="131"/>
      <c r="QS1094" s="131"/>
      <c r="QT1094" s="131"/>
      <c r="QU1094" s="131"/>
      <c r="QV1094" s="131"/>
      <c r="QW1094" s="131"/>
      <c r="QX1094" s="131"/>
      <c r="QY1094" s="131"/>
      <c r="QZ1094" s="131"/>
      <c r="RA1094" s="131"/>
      <c r="RB1094" s="131"/>
      <c r="RC1094" s="131"/>
      <c r="RD1094" s="131"/>
      <c r="RE1094" s="131"/>
      <c r="RF1094" s="131"/>
      <c r="RG1094" s="131"/>
      <c r="RH1094" s="131"/>
      <c r="RI1094" s="131"/>
      <c r="RJ1094" s="131"/>
      <c r="RK1094" s="131"/>
      <c r="RL1094" s="131"/>
      <c r="RM1094" s="131"/>
      <c r="RN1094" s="131"/>
      <c r="RO1094" s="131"/>
      <c r="RP1094" s="131"/>
      <c r="RQ1094" s="131"/>
      <c r="RR1094" s="131"/>
      <c r="RS1094" s="131"/>
      <c r="RT1094" s="131"/>
      <c r="RU1094" s="131"/>
      <c r="RV1094" s="131"/>
      <c r="RW1094" s="131"/>
      <c r="RX1094" s="131"/>
      <c r="RY1094" s="131"/>
      <c r="RZ1094" s="131"/>
      <c r="SA1094" s="131"/>
      <c r="SB1094" s="131"/>
      <c r="SC1094" s="131"/>
      <c r="SD1094" s="131"/>
      <c r="SE1094" s="131"/>
      <c r="SF1094" s="131"/>
      <c r="SG1094" s="131"/>
      <c r="SH1094" s="131"/>
      <c r="SI1094" s="131"/>
      <c r="SJ1094" s="131"/>
      <c r="SK1094" s="131"/>
      <c r="SL1094" s="131"/>
      <c r="SM1094" s="131"/>
      <c r="SN1094" s="131"/>
      <c r="SO1094" s="131"/>
      <c r="SP1094" s="131"/>
      <c r="SQ1094" s="131"/>
      <c r="SR1094" s="131"/>
      <c r="SS1094" s="131"/>
      <c r="ST1094" s="131"/>
      <c r="SU1094" s="131"/>
      <c r="SV1094" s="131"/>
      <c r="SW1094" s="131"/>
      <c r="SX1094" s="131"/>
      <c r="SY1094" s="131"/>
      <c r="SZ1094" s="131"/>
      <c r="TA1094" s="131"/>
      <c r="TB1094" s="131"/>
      <c r="TC1094" s="131"/>
      <c r="TD1094" s="131"/>
      <c r="TE1094" s="131"/>
      <c r="TF1094" s="131"/>
      <c r="TG1094" s="131"/>
      <c r="TH1094" s="131"/>
      <c r="TI1094" s="131"/>
      <c r="TJ1094" s="131"/>
      <c r="TK1094" s="131"/>
      <c r="TL1094" s="131"/>
      <c r="TM1094" s="131"/>
      <c r="TN1094" s="131"/>
      <c r="TO1094" s="131"/>
      <c r="TP1094" s="131"/>
      <c r="TQ1094" s="131"/>
      <c r="TR1094" s="131"/>
      <c r="TS1094" s="131"/>
      <c r="TT1094" s="131"/>
      <c r="TU1094" s="131"/>
      <c r="TV1094" s="131"/>
      <c r="TW1094" s="131"/>
      <c r="TX1094" s="131"/>
      <c r="TY1094" s="131"/>
      <c r="TZ1094" s="131"/>
      <c r="UA1094" s="131"/>
      <c r="UB1094" s="131"/>
      <c r="UC1094" s="131"/>
      <c r="UD1094" s="131"/>
      <c r="UE1094" s="131"/>
      <c r="UF1094" s="131"/>
      <c r="UG1094" s="131"/>
      <c r="UH1094" s="131"/>
      <c r="UI1094" s="131"/>
      <c r="UJ1094" s="131"/>
      <c r="UK1094" s="131"/>
      <c r="UL1094" s="131"/>
      <c r="UM1094" s="131"/>
      <c r="UN1094" s="131"/>
      <c r="UO1094" s="131"/>
      <c r="UP1094" s="131"/>
      <c r="UQ1094" s="131"/>
      <c r="UR1094" s="131"/>
      <c r="US1094" s="131"/>
      <c r="UT1094" s="131"/>
      <c r="UU1094" s="131"/>
      <c r="UV1094" s="131"/>
      <c r="UW1094" s="131"/>
      <c r="UX1094" s="131"/>
      <c r="UY1094" s="131"/>
      <c r="UZ1094" s="131"/>
      <c r="VA1094" s="131"/>
      <c r="VB1094" s="131"/>
      <c r="VC1094" s="131"/>
      <c r="VD1094" s="131"/>
      <c r="VE1094" s="131"/>
      <c r="VF1094" s="131"/>
      <c r="VG1094" s="131"/>
      <c r="VH1094" s="131"/>
      <c r="VI1094" s="131"/>
      <c r="VJ1094" s="131"/>
      <c r="VK1094" s="131"/>
      <c r="VL1094" s="131"/>
      <c r="VM1094" s="131"/>
      <c r="VN1094" s="131"/>
      <c r="VO1094" s="131"/>
      <c r="VP1094" s="131"/>
      <c r="VQ1094" s="131"/>
      <c r="VR1094" s="131"/>
      <c r="VS1094" s="131"/>
      <c r="VT1094" s="131"/>
      <c r="VU1094" s="131"/>
      <c r="VV1094" s="131"/>
      <c r="VW1094" s="131"/>
      <c r="VX1094" s="131"/>
      <c r="VY1094" s="131"/>
      <c r="VZ1094" s="131"/>
      <c r="WA1094" s="131"/>
      <c r="WB1094" s="131"/>
      <c r="WC1094" s="131"/>
      <c r="WD1094" s="131"/>
      <c r="WE1094" s="131"/>
      <c r="WF1094" s="131"/>
      <c r="WG1094" s="131"/>
      <c r="WH1094" s="131"/>
      <c r="WI1094" s="131"/>
      <c r="WJ1094" s="131"/>
      <c r="WK1094" s="131"/>
      <c r="WL1094" s="131"/>
      <c r="WM1094" s="131"/>
      <c r="WN1094" s="131"/>
      <c r="WO1094" s="131"/>
      <c r="WP1094" s="131"/>
      <c r="WQ1094" s="131"/>
      <c r="WR1094" s="131"/>
      <c r="WS1094" s="131"/>
      <c r="WT1094" s="131"/>
      <c r="WU1094" s="131"/>
      <c r="WV1094" s="131"/>
      <c r="WW1094" s="131"/>
      <c r="WX1094" s="131"/>
      <c r="WY1094" s="131"/>
      <c r="WZ1094" s="131"/>
      <c r="XA1094" s="131"/>
      <c r="XB1094" s="131"/>
      <c r="XC1094" s="131"/>
      <c r="XD1094" s="131"/>
      <c r="XE1094" s="131"/>
      <c r="XF1094" s="131"/>
      <c r="XG1094" s="131"/>
      <c r="XH1094" s="131"/>
      <c r="XI1094" s="131"/>
      <c r="XJ1094" s="131"/>
      <c r="XK1094" s="131"/>
      <c r="XL1094" s="131"/>
      <c r="XM1094" s="131"/>
      <c r="XN1094" s="131"/>
      <c r="XO1094" s="131"/>
      <c r="XP1094" s="131"/>
      <c r="XQ1094" s="131"/>
      <c r="XR1094" s="131"/>
      <c r="XS1094" s="131"/>
      <c r="XT1094" s="131"/>
      <c r="XU1094" s="131"/>
      <c r="XV1094" s="131"/>
      <c r="XW1094" s="131"/>
      <c r="XX1094" s="131"/>
      <c r="XY1094" s="131"/>
      <c r="XZ1094" s="131"/>
      <c r="YA1094" s="131"/>
      <c r="YB1094" s="131"/>
      <c r="YC1094" s="131"/>
      <c r="YD1094" s="131"/>
      <c r="YE1094" s="131"/>
      <c r="YF1094" s="131"/>
      <c r="YG1094" s="131"/>
      <c r="YH1094" s="131"/>
      <c r="YI1094" s="131"/>
      <c r="YJ1094" s="131"/>
      <c r="YK1094" s="131"/>
      <c r="YL1094" s="131"/>
      <c r="YM1094" s="131"/>
      <c r="YN1094" s="131"/>
      <c r="YO1094" s="131"/>
      <c r="YP1094" s="131"/>
      <c r="YQ1094" s="131"/>
      <c r="YR1094" s="131"/>
      <c r="YS1094" s="131"/>
      <c r="YT1094" s="131"/>
      <c r="YU1094" s="131"/>
      <c r="YV1094" s="131"/>
      <c r="YW1094" s="131"/>
      <c r="YX1094" s="131"/>
      <c r="YY1094" s="131"/>
      <c r="YZ1094" s="131"/>
      <c r="ZA1094" s="131"/>
      <c r="ZB1094" s="131"/>
      <c r="ZC1094" s="131"/>
      <c r="ZD1094" s="131"/>
      <c r="ZE1094" s="131"/>
      <c r="ZF1094" s="131"/>
      <c r="ZG1094" s="131"/>
      <c r="ZH1094" s="131"/>
      <c r="ZI1094" s="131"/>
      <c r="ZJ1094" s="131"/>
      <c r="ZK1094" s="131"/>
      <c r="ZL1094" s="131"/>
      <c r="ZM1094" s="131"/>
      <c r="ZN1094" s="131"/>
      <c r="ZO1094" s="131"/>
      <c r="ZP1094" s="131"/>
      <c r="ZQ1094" s="131"/>
      <c r="ZR1094" s="131"/>
      <c r="ZS1094" s="131"/>
      <c r="ZT1094" s="131"/>
      <c r="ZU1094" s="131"/>
      <c r="ZV1094" s="131"/>
      <c r="ZW1094" s="131"/>
      <c r="ZX1094" s="131"/>
      <c r="ZY1094" s="131"/>
      <c r="ZZ1094" s="131"/>
      <c r="AAA1094" s="131"/>
      <c r="AAB1094" s="131"/>
      <c r="AAC1094" s="131"/>
      <c r="AAD1094" s="131"/>
      <c r="AAE1094" s="131"/>
      <c r="AAF1094" s="131"/>
      <c r="AAG1094" s="131"/>
      <c r="AAH1094" s="131"/>
      <c r="AAI1094" s="131"/>
      <c r="AAJ1094" s="131"/>
      <c r="AAK1094" s="131"/>
      <c r="AAL1094" s="131"/>
      <c r="AAM1094" s="131"/>
      <c r="AAN1094" s="131"/>
      <c r="AAO1094" s="131"/>
      <c r="AAP1094" s="131"/>
      <c r="AAQ1094" s="131"/>
      <c r="AAR1094" s="131"/>
      <c r="AAS1094" s="131"/>
      <c r="AAT1094" s="131"/>
      <c r="AAU1094" s="131"/>
      <c r="AAV1094" s="131"/>
      <c r="AAW1094" s="131"/>
      <c r="AAX1094" s="131"/>
      <c r="AAY1094" s="131"/>
      <c r="AAZ1094" s="131"/>
      <c r="ABA1094" s="131"/>
      <c r="ABB1094" s="131"/>
      <c r="ABC1094" s="131"/>
      <c r="ABD1094" s="131"/>
      <c r="ABE1094" s="131"/>
      <c r="ABF1094" s="131"/>
      <c r="ABG1094" s="131"/>
      <c r="ABH1094" s="131"/>
      <c r="ABI1094" s="131"/>
      <c r="ABJ1094" s="131"/>
      <c r="ABK1094" s="131"/>
      <c r="ABL1094" s="131"/>
      <c r="ABM1094" s="131"/>
      <c r="ABN1094" s="131"/>
      <c r="ABO1094" s="131"/>
      <c r="ABP1094" s="131"/>
      <c r="ABQ1094" s="131"/>
      <c r="ABR1094" s="131"/>
      <c r="ABS1094" s="131"/>
      <c r="ABT1094" s="131"/>
      <c r="ABU1094" s="131"/>
      <c r="ABV1094" s="131"/>
      <c r="ABW1094" s="131"/>
      <c r="ABX1094" s="131"/>
      <c r="ABY1094" s="131"/>
      <c r="ABZ1094" s="131"/>
      <c r="ACA1094" s="131"/>
      <c r="ACB1094" s="131"/>
      <c r="ACC1094" s="131"/>
      <c r="ACD1094" s="131"/>
      <c r="ACE1094" s="131"/>
      <c r="ACF1094" s="131"/>
      <c r="ACG1094" s="131"/>
      <c r="ACH1094" s="131"/>
      <c r="ACI1094" s="131"/>
      <c r="ACJ1094" s="131"/>
      <c r="ACK1094" s="131"/>
      <c r="ACL1094" s="131"/>
      <c r="ACM1094" s="131"/>
      <c r="ACN1094" s="131"/>
      <c r="ACO1094" s="131"/>
      <c r="ACP1094" s="131"/>
      <c r="ACQ1094" s="131"/>
      <c r="ACR1094" s="131"/>
      <c r="ACS1094" s="131"/>
      <c r="ACT1094" s="131"/>
      <c r="ACU1094" s="131"/>
      <c r="ACV1094" s="131"/>
      <c r="ACW1094" s="131"/>
      <c r="ACX1094" s="131"/>
      <c r="ACY1094" s="131"/>
      <c r="ACZ1094" s="131"/>
      <c r="ADA1094" s="131"/>
      <c r="ADB1094" s="131"/>
      <c r="ADC1094" s="131"/>
      <c r="ADD1094" s="131"/>
      <c r="ADE1094" s="131"/>
      <c r="ADF1094" s="131"/>
      <c r="ADG1094" s="131"/>
      <c r="ADH1094" s="131"/>
      <c r="ADI1094" s="131"/>
      <c r="ADJ1094" s="131"/>
      <c r="ADK1094" s="131"/>
      <c r="ADL1094" s="131"/>
      <c r="ADM1094" s="131"/>
      <c r="ADN1094" s="131"/>
      <c r="ADO1094" s="131"/>
      <c r="ADP1094" s="131"/>
      <c r="ADQ1094" s="131"/>
      <c r="ADR1094" s="131"/>
      <c r="ADS1094" s="131"/>
      <c r="ADT1094" s="131"/>
      <c r="ADU1094" s="131"/>
      <c r="ADV1094" s="131"/>
      <c r="ADW1094" s="131"/>
      <c r="ADX1094" s="131"/>
      <c r="ADY1094" s="131"/>
      <c r="ADZ1094" s="131"/>
      <c r="AEA1094" s="131"/>
      <c r="AEB1094" s="131"/>
      <c r="AEC1094" s="131"/>
      <c r="AED1094" s="131"/>
      <c r="AEE1094" s="131"/>
      <c r="AEF1094" s="131"/>
      <c r="AEG1094" s="131"/>
      <c r="AEH1094" s="131"/>
      <c r="AEI1094" s="131"/>
      <c r="AEJ1094" s="131"/>
      <c r="AEK1094" s="131"/>
      <c r="AEL1094" s="131"/>
      <c r="AEM1094" s="131"/>
      <c r="AEN1094" s="131"/>
      <c r="AEO1094" s="131"/>
      <c r="AEP1094" s="131"/>
      <c r="AEQ1094" s="131"/>
      <c r="AER1094" s="131"/>
      <c r="AES1094" s="131"/>
      <c r="AET1094" s="131"/>
      <c r="AEU1094" s="131"/>
      <c r="AEV1094" s="131"/>
      <c r="AEW1094" s="131"/>
      <c r="AEX1094" s="131"/>
      <c r="AEY1094" s="131"/>
      <c r="AEZ1094" s="131"/>
      <c r="AFA1094" s="131"/>
      <c r="AFB1094" s="131"/>
      <c r="AFC1094" s="131"/>
      <c r="AFD1094" s="131"/>
      <c r="AFE1094" s="131"/>
      <c r="AFF1094" s="131"/>
      <c r="AFG1094" s="131"/>
      <c r="AFH1094" s="131"/>
      <c r="AFI1094" s="131"/>
      <c r="AFJ1094" s="131"/>
      <c r="AFK1094" s="131"/>
      <c r="AFL1094" s="131"/>
      <c r="AFM1094" s="131"/>
      <c r="AFN1094" s="131"/>
      <c r="AFO1094" s="131"/>
      <c r="AFP1094" s="131"/>
      <c r="AFQ1094" s="131"/>
      <c r="AFR1094" s="131"/>
      <c r="AFS1094" s="131"/>
      <c r="AFT1094" s="131"/>
      <c r="AFU1094" s="131"/>
      <c r="AFV1094" s="131"/>
      <c r="AFW1094" s="131"/>
      <c r="AFX1094" s="131"/>
      <c r="AFY1094" s="131"/>
      <c r="AFZ1094" s="131"/>
      <c r="AGA1094" s="131"/>
      <c r="AGB1094" s="131"/>
      <c r="AGC1094" s="131"/>
      <c r="AGD1094" s="131"/>
      <c r="AGE1094" s="131"/>
      <c r="AGF1094" s="131"/>
      <c r="AGG1094" s="131"/>
      <c r="AGH1094" s="131"/>
      <c r="AGI1094" s="131"/>
      <c r="AGJ1094" s="131"/>
      <c r="AGK1094" s="131"/>
      <c r="AGL1094" s="131"/>
      <c r="AGM1094" s="131"/>
      <c r="AGN1094" s="131"/>
      <c r="AGO1094" s="131"/>
      <c r="AGP1094" s="131"/>
      <c r="AGQ1094" s="131"/>
      <c r="AGR1094" s="131"/>
      <c r="AGS1094" s="131"/>
      <c r="AGT1094" s="131"/>
      <c r="AGU1094" s="131"/>
      <c r="AGV1094" s="131"/>
      <c r="AGW1094" s="131"/>
      <c r="AGX1094" s="131"/>
      <c r="AGY1094" s="131"/>
      <c r="AGZ1094" s="131"/>
      <c r="AHA1094" s="131"/>
      <c r="AHB1094" s="131"/>
      <c r="AHC1094" s="131"/>
      <c r="AHD1094" s="131"/>
      <c r="AHE1094" s="131"/>
      <c r="AHF1094" s="131"/>
      <c r="AHG1094" s="131"/>
      <c r="AHH1094" s="131"/>
      <c r="AHI1094" s="131"/>
      <c r="AHJ1094" s="131"/>
      <c r="AHK1094" s="131"/>
      <c r="AHL1094" s="131"/>
      <c r="AHM1094" s="131"/>
      <c r="AHN1094" s="131"/>
      <c r="AHO1094" s="131"/>
      <c r="AHP1094" s="131"/>
      <c r="AHQ1094" s="131"/>
      <c r="AHR1094" s="131"/>
      <c r="AHS1094" s="131"/>
      <c r="AHT1094" s="131"/>
      <c r="AHU1094" s="131"/>
      <c r="AHV1094" s="131"/>
      <c r="AHW1094" s="131"/>
      <c r="AHX1094" s="131"/>
      <c r="AHY1094" s="131"/>
      <c r="AHZ1094" s="131"/>
      <c r="AIA1094" s="131"/>
      <c r="AIB1094" s="131"/>
      <c r="AIC1094" s="131"/>
      <c r="AID1094" s="131"/>
      <c r="AIE1094" s="131"/>
      <c r="AIF1094" s="131"/>
      <c r="AIG1094" s="131"/>
      <c r="AIH1094" s="131"/>
      <c r="AII1094" s="131"/>
      <c r="AIJ1094" s="131"/>
      <c r="AIK1094" s="131"/>
      <c r="AIL1094" s="131"/>
      <c r="AIM1094" s="131"/>
      <c r="AIN1094" s="131"/>
      <c r="AIO1094" s="131"/>
      <c r="AIP1094" s="131"/>
      <c r="AIQ1094" s="131"/>
      <c r="AIR1094" s="131"/>
      <c r="AIS1094" s="131"/>
      <c r="AIT1094" s="131"/>
      <c r="AIU1094" s="131"/>
      <c r="AIV1094" s="131"/>
      <c r="AIW1094" s="131"/>
      <c r="AIX1094" s="131"/>
      <c r="AIY1094" s="131"/>
      <c r="AIZ1094" s="131"/>
      <c r="AJA1094" s="131"/>
      <c r="AJB1094" s="131"/>
      <c r="AJC1094" s="131"/>
      <c r="AJD1094" s="131"/>
      <c r="AJE1094" s="131"/>
      <c r="AJF1094" s="131"/>
      <c r="AJG1094" s="131"/>
      <c r="AJH1094" s="131"/>
      <c r="AJI1094" s="131"/>
      <c r="AJJ1094" s="131"/>
      <c r="AJK1094" s="131"/>
      <c r="AJL1094" s="131"/>
      <c r="AJM1094" s="131"/>
      <c r="AJN1094" s="131"/>
      <c r="AJO1094" s="131"/>
      <c r="AJP1094" s="131"/>
      <c r="AJQ1094" s="131"/>
      <c r="AJR1094" s="131"/>
      <c r="AJS1094" s="131"/>
      <c r="AJT1094" s="131"/>
      <c r="AJU1094" s="131"/>
      <c r="AJV1094" s="131"/>
      <c r="AJW1094" s="131"/>
      <c r="AJX1094" s="131"/>
      <c r="AJY1094" s="131"/>
      <c r="AJZ1094" s="131"/>
      <c r="AKA1094" s="131"/>
      <c r="AKB1094" s="131"/>
      <c r="AKC1094" s="131"/>
      <c r="AKD1094" s="131"/>
      <c r="AKE1094" s="131"/>
      <c r="AKF1094" s="131"/>
      <c r="AKG1094" s="131"/>
      <c r="AKH1094" s="131"/>
      <c r="AKI1094" s="131"/>
      <c r="AKJ1094" s="131"/>
      <c r="AKK1094" s="131"/>
      <c r="AKL1094" s="131"/>
      <c r="AKM1094" s="131"/>
      <c r="AKN1094" s="131"/>
      <c r="AKO1094" s="131"/>
      <c r="AKP1094" s="131"/>
      <c r="AKQ1094" s="131"/>
      <c r="AKR1094" s="131"/>
      <c r="AKS1094" s="131"/>
      <c r="AKT1094" s="131"/>
      <c r="AKU1094" s="131"/>
      <c r="AKV1094" s="131"/>
      <c r="AKW1094" s="131"/>
      <c r="AKX1094" s="131"/>
      <c r="AKY1094" s="131"/>
      <c r="AKZ1094" s="131"/>
      <c r="ALA1094" s="131"/>
      <c r="ALB1094" s="131"/>
      <c r="ALC1094" s="131"/>
      <c r="ALD1094" s="131"/>
      <c r="ALE1094" s="131"/>
      <c r="ALF1094" s="131"/>
      <c r="ALG1094" s="131"/>
      <c r="ALH1094" s="131"/>
      <c r="ALI1094" s="131"/>
      <c r="ALJ1094" s="131"/>
      <c r="ALK1094" s="131"/>
      <c r="ALL1094" s="131"/>
      <c r="ALM1094" s="131"/>
      <c r="ALN1094" s="131"/>
      <c r="ALO1094" s="131"/>
      <c r="ALP1094" s="131"/>
      <c r="ALQ1094" s="131"/>
      <c r="ALR1094" s="131"/>
      <c r="ALS1094" s="131"/>
      <c r="ALT1094" s="131"/>
      <c r="ALU1094" s="131"/>
      <c r="ALV1094" s="131"/>
      <c r="ALW1094" s="131"/>
      <c r="ALX1094" s="131"/>
      <c r="ALY1094" s="131"/>
      <c r="ALZ1094" s="131"/>
      <c r="AMA1094" s="131"/>
      <c r="AMB1094" s="131"/>
      <c r="AMC1094" s="131"/>
      <c r="AMD1094" s="131"/>
      <c r="AME1094" s="131"/>
      <c r="AMF1094" s="131"/>
      <c r="AMG1094" s="131"/>
      <c r="AMH1094" s="131"/>
      <c r="AMI1094" s="131"/>
      <c r="AMJ1094" s="131"/>
      <c r="AMK1094" s="131"/>
      <c r="AML1094" s="131"/>
      <c r="AMM1094" s="131"/>
      <c r="AMN1094" s="131"/>
      <c r="AMO1094" s="131"/>
      <c r="AMP1094" s="131"/>
      <c r="AMQ1094" s="131"/>
      <c r="AMR1094" s="131"/>
      <c r="AMS1094" s="131"/>
      <c r="AMT1094" s="131"/>
      <c r="AMU1094" s="131"/>
      <c r="AMV1094" s="131"/>
      <c r="AMW1094" s="131"/>
      <c r="AMX1094" s="131"/>
      <c r="AMY1094" s="131"/>
      <c r="AMZ1094" s="131"/>
      <c r="ANA1094" s="131"/>
      <c r="ANB1094" s="131"/>
      <c r="ANC1094" s="131"/>
      <c r="AND1094" s="131"/>
      <c r="ANE1094" s="131"/>
      <c r="ANF1094" s="131"/>
      <c r="ANG1094" s="131"/>
      <c r="ANH1094" s="131"/>
      <c r="ANI1094" s="131"/>
      <c r="ANJ1094" s="131"/>
      <c r="ANK1094" s="131"/>
      <c r="ANL1094" s="131"/>
      <c r="ANM1094" s="131"/>
      <c r="ANN1094" s="131"/>
      <c r="ANO1094" s="131"/>
      <c r="ANP1094" s="131"/>
      <c r="ANQ1094" s="131"/>
      <c r="ANR1094" s="131"/>
      <c r="ANS1094" s="131"/>
      <c r="ANT1094" s="131"/>
      <c r="ANU1094" s="131"/>
      <c r="ANV1094" s="131"/>
      <c r="ANW1094" s="131"/>
      <c r="ANX1094" s="131"/>
      <c r="ANY1094" s="131"/>
      <c r="ANZ1094" s="131"/>
      <c r="AOA1094" s="131"/>
      <c r="AOB1094" s="131"/>
      <c r="AOC1094" s="131"/>
      <c r="AOD1094" s="131"/>
      <c r="AOE1094" s="131"/>
      <c r="AOF1094" s="131"/>
      <c r="AOG1094" s="131"/>
      <c r="AOH1094" s="131"/>
      <c r="AOI1094" s="131"/>
      <c r="AOJ1094" s="131"/>
      <c r="AOK1094" s="131"/>
      <c r="AOL1094" s="131"/>
      <c r="AOM1094" s="131"/>
      <c r="AON1094" s="131"/>
      <c r="AOO1094" s="131"/>
      <c r="AOP1094" s="131"/>
      <c r="AOQ1094" s="131"/>
      <c r="AOR1094" s="131"/>
      <c r="AOS1094" s="131"/>
      <c r="AOT1094" s="131"/>
      <c r="AOU1094" s="131"/>
      <c r="AOV1094" s="131"/>
      <c r="AOW1094" s="131"/>
      <c r="AOX1094" s="131"/>
      <c r="AOY1094" s="131"/>
      <c r="AOZ1094" s="131"/>
      <c r="APA1094" s="131"/>
      <c r="APB1094" s="131"/>
      <c r="APC1094" s="131"/>
      <c r="APD1094" s="131"/>
      <c r="APE1094" s="131"/>
      <c r="APF1094" s="131"/>
      <c r="APG1094" s="131"/>
      <c r="APH1094" s="131"/>
      <c r="API1094" s="131"/>
      <c r="APJ1094" s="131"/>
      <c r="APK1094" s="131"/>
      <c r="APL1094" s="131"/>
      <c r="APM1094" s="131"/>
      <c r="APN1094" s="131"/>
      <c r="APO1094" s="131"/>
      <c r="APP1094" s="131"/>
      <c r="APQ1094" s="131"/>
      <c r="APR1094" s="131"/>
      <c r="APS1094" s="131"/>
      <c r="APT1094" s="131"/>
      <c r="APU1094" s="131"/>
      <c r="APV1094" s="131"/>
      <c r="APW1094" s="131"/>
      <c r="APX1094" s="131"/>
      <c r="APY1094" s="131"/>
      <c r="APZ1094" s="131"/>
      <c r="AQA1094" s="131"/>
      <c r="AQB1094" s="131"/>
      <c r="AQC1094" s="131"/>
      <c r="AQD1094" s="131"/>
      <c r="AQE1094" s="131"/>
      <c r="AQF1094" s="131"/>
      <c r="AQG1094" s="131"/>
      <c r="AQH1094" s="131"/>
      <c r="AQI1094" s="131"/>
      <c r="AQJ1094" s="131"/>
      <c r="AQK1094" s="131"/>
      <c r="AQL1094" s="131"/>
      <c r="AQM1094" s="131"/>
      <c r="AQN1094" s="131"/>
      <c r="AQO1094" s="131"/>
      <c r="AQP1094" s="131"/>
      <c r="AQQ1094" s="131"/>
      <c r="AQR1094" s="131"/>
      <c r="AQS1094" s="131"/>
      <c r="AQT1094" s="131"/>
      <c r="AQU1094" s="131"/>
      <c r="AQV1094" s="131"/>
      <c r="AQW1094" s="131"/>
      <c r="AQX1094" s="131"/>
      <c r="AQY1094" s="131"/>
      <c r="AQZ1094" s="131"/>
      <c r="ARA1094" s="131"/>
      <c r="ARB1094" s="131"/>
      <c r="ARC1094" s="131"/>
      <c r="ARD1094" s="131"/>
      <c r="ARE1094" s="131"/>
      <c r="ARF1094" s="131"/>
      <c r="ARG1094" s="131"/>
      <c r="ARH1094" s="131"/>
      <c r="ARI1094" s="131"/>
      <c r="ARJ1094" s="131"/>
      <c r="ARK1094" s="131"/>
      <c r="ARL1094" s="131"/>
      <c r="ARM1094" s="131"/>
      <c r="ARN1094" s="131"/>
      <c r="ARO1094" s="131"/>
      <c r="ARP1094" s="131"/>
      <c r="ARQ1094" s="131"/>
      <c r="ARR1094" s="131"/>
      <c r="ARS1094" s="131"/>
      <c r="ART1094" s="131"/>
      <c r="ARU1094" s="131"/>
      <c r="ARV1094" s="131"/>
      <c r="ARW1094" s="131"/>
      <c r="ARX1094" s="131"/>
      <c r="ARY1094" s="131"/>
      <c r="ARZ1094" s="131"/>
      <c r="ASA1094" s="131"/>
      <c r="ASB1094" s="131"/>
      <c r="ASC1094" s="131"/>
      <c r="ASD1094" s="131"/>
      <c r="ASE1094" s="131"/>
      <c r="ASF1094" s="131"/>
      <c r="ASG1094" s="131"/>
      <c r="ASH1094" s="131"/>
      <c r="ASI1094" s="131"/>
      <c r="ASJ1094" s="131"/>
      <c r="ASK1094" s="131"/>
      <c r="ASL1094" s="131"/>
      <c r="ASM1094" s="131"/>
      <c r="ASN1094" s="131"/>
      <c r="ASO1094" s="131"/>
      <c r="ASP1094" s="131"/>
      <c r="ASQ1094" s="131"/>
      <c r="ASR1094" s="131"/>
      <c r="ASS1094" s="131"/>
      <c r="AST1094" s="131"/>
      <c r="ASU1094" s="131"/>
      <c r="ASV1094" s="131"/>
      <c r="ASW1094" s="131"/>
      <c r="ASX1094" s="131"/>
      <c r="ASY1094" s="131"/>
      <c r="ASZ1094" s="131"/>
      <c r="ATA1094" s="131"/>
      <c r="ATB1094" s="131"/>
      <c r="ATC1094" s="131"/>
    </row>
    <row r="1095" spans="1:1199" ht="50.1" customHeight="1" outlineLevel="2" x14ac:dyDescent="0.3">
      <c r="A1095" s="103" t="s">
        <v>921</v>
      </c>
      <c r="B1095" s="102" t="s">
        <v>922</v>
      </c>
      <c r="C1095" s="79" t="s">
        <v>37</v>
      </c>
      <c r="D1095" s="81">
        <f t="shared" ref="D1095" si="249">E1095+F1095</f>
        <v>42138.491369999996</v>
      </c>
      <c r="E1095" s="82">
        <f t="shared" si="238"/>
        <v>6666.2433299999993</v>
      </c>
      <c r="F1095" s="83">
        <f t="shared" si="239"/>
        <v>35472.248039999999</v>
      </c>
      <c r="G1095" s="84"/>
      <c r="H1095" s="85"/>
      <c r="I1095" s="85"/>
      <c r="J1095" s="84"/>
      <c r="K1095" s="85"/>
      <c r="L1095" s="85"/>
      <c r="M1095" s="85"/>
      <c r="N1095" s="85"/>
      <c r="O1095" s="82"/>
      <c r="P1095" s="83"/>
      <c r="Q1095" s="83"/>
      <c r="R1095" s="83"/>
      <c r="S1095" s="82"/>
      <c r="T1095" s="83"/>
      <c r="U1095" s="83"/>
      <c r="V1095" s="85"/>
      <c r="W1095" s="85"/>
      <c r="X1095" s="137"/>
      <c r="Y1095" s="83">
        <v>1928.472</v>
      </c>
      <c r="Z1095" s="85"/>
      <c r="AA1095" s="85"/>
      <c r="AB1095" s="84"/>
      <c r="AC1095" s="85"/>
      <c r="AD1095" s="89">
        <f t="shared" si="245"/>
        <v>2166.5718100000004</v>
      </c>
      <c r="AE1095" s="83">
        <f>341.6985+875.7252+51.5784</f>
        <v>1269.0021000000002</v>
      </c>
      <c r="AF1095" s="123">
        <f>591.48976+306.07995</f>
        <v>897.56970999999999</v>
      </c>
      <c r="AG1095" s="85"/>
      <c r="AH1095" s="85"/>
      <c r="AI1095" s="85"/>
      <c r="AJ1095" s="84"/>
      <c r="AK1095" s="85"/>
      <c r="AL1095" s="85"/>
      <c r="AM1095" s="85"/>
      <c r="AN1095" s="84"/>
      <c r="AO1095" s="85"/>
      <c r="AP1095" s="85">
        <v>1802.0616500000001</v>
      </c>
      <c r="AQ1095" s="83">
        <v>2318.9601699999998</v>
      </c>
      <c r="AR1095" s="83"/>
      <c r="AS1095" s="83"/>
      <c r="AT1095" s="85"/>
      <c r="AU1095" s="85"/>
      <c r="AV1095" s="85">
        <f>14762.14602+9891.19096</f>
        <v>24653.33698</v>
      </c>
      <c r="AW1095" s="85"/>
      <c r="AX1095" s="84"/>
      <c r="AY1095" s="85"/>
      <c r="AZ1095" s="85">
        <v>4864.1816799999997</v>
      </c>
      <c r="BA1095" s="85">
        <v>4404.90708</v>
      </c>
      <c r="BB1095" s="85"/>
      <c r="BC1095" s="85"/>
      <c r="BD1095" s="85"/>
      <c r="BE1095" s="85"/>
      <c r="BF1095" s="85"/>
      <c r="BG1095" s="85"/>
      <c r="BH1095" s="85"/>
      <c r="BI1095" s="85"/>
      <c r="BJ1095" s="85"/>
      <c r="BK1095" s="85"/>
      <c r="BL1095" s="85"/>
      <c r="BM1095" s="85"/>
      <c r="BN1095" s="85"/>
      <c r="BO1095" s="85"/>
      <c r="BP1095" s="85"/>
      <c r="BQ1095" s="85"/>
      <c r="BR1095" s="84"/>
      <c r="BS1095" s="85"/>
      <c r="BT1095" s="85"/>
      <c r="BU1095" s="198"/>
      <c r="BV1095" s="198"/>
      <c r="BW1095" s="198"/>
      <c r="BX1095" s="198"/>
      <c r="BY1095" s="198"/>
      <c r="BZ1095" s="198"/>
      <c r="CA1095" s="91"/>
    </row>
    <row r="1096" spans="1:1199" ht="50.1" customHeight="1" outlineLevel="2" x14ac:dyDescent="0.3">
      <c r="A1096" s="103" t="s">
        <v>921</v>
      </c>
      <c r="B1096" s="102" t="s">
        <v>923</v>
      </c>
      <c r="C1096" s="140" t="s">
        <v>37</v>
      </c>
      <c r="D1096" s="81">
        <f t="shared" ref="D1096:D1113" si="250">E1096+F1096</f>
        <v>56489.970359999999</v>
      </c>
      <c r="E1096" s="82">
        <f t="shared" si="238"/>
        <v>33470.222699999998</v>
      </c>
      <c r="F1096" s="83">
        <f t="shared" si="239"/>
        <v>23019.747660000001</v>
      </c>
      <c r="G1096" s="84"/>
      <c r="H1096" s="85"/>
      <c r="I1096" s="85"/>
      <c r="J1096" s="84">
        <f>827.02654+475.3914+896.65325</f>
        <v>2199.0711899999997</v>
      </c>
      <c r="K1096" s="85">
        <f>103.42779+23.57316+147.03245</f>
        <v>274.03340000000003</v>
      </c>
      <c r="L1096" s="85">
        <v>1378.5632900000001</v>
      </c>
      <c r="M1096" s="85"/>
      <c r="N1096" s="85"/>
      <c r="O1096" s="82"/>
      <c r="P1096" s="83"/>
      <c r="Q1096" s="83">
        <v>2961.3576400000002</v>
      </c>
      <c r="R1096" s="83"/>
      <c r="S1096" s="82"/>
      <c r="T1096" s="83"/>
      <c r="U1096" s="83"/>
      <c r="V1096" s="85"/>
      <c r="W1096" s="85"/>
      <c r="X1096" s="137"/>
      <c r="Y1096" s="91">
        <v>1791.5039999999999</v>
      </c>
      <c r="Z1096" s="85"/>
      <c r="AA1096" s="85"/>
      <c r="AB1096" s="84"/>
      <c r="AC1096" s="85"/>
      <c r="AD1096" s="89">
        <f t="shared" si="245"/>
        <v>1682.6576399999999</v>
      </c>
      <c r="AE1096" s="83">
        <f>1009.9089+77.3676</f>
        <v>1087.2764999999999</v>
      </c>
      <c r="AF1096" s="123">
        <v>595.38113999999996</v>
      </c>
      <c r="AG1096" s="85"/>
      <c r="AH1096" s="85"/>
      <c r="AI1096" s="85"/>
      <c r="AJ1096" s="84"/>
      <c r="AK1096" s="85"/>
      <c r="AL1096" s="85"/>
      <c r="AM1096" s="85"/>
      <c r="AN1096" s="84"/>
      <c r="AO1096" s="85"/>
      <c r="AP1096" s="85">
        <v>1590.24173</v>
      </c>
      <c r="AQ1096" s="83">
        <v>1893.48677</v>
      </c>
      <c r="AR1096" s="83"/>
      <c r="AS1096" s="83"/>
      <c r="AT1096" s="85"/>
      <c r="AU1096" s="85"/>
      <c r="AV1096" s="85">
        <f>2186.32795+7093.91702</f>
        <v>9280.2449699999997</v>
      </c>
      <c r="AW1096" s="85"/>
      <c r="AX1096" s="84"/>
      <c r="AY1096" s="85"/>
      <c r="AZ1096" s="85">
        <v>4149.71551</v>
      </c>
      <c r="BA1096" s="85">
        <v>3757.89995</v>
      </c>
      <c r="BB1096" s="85"/>
      <c r="BC1096" s="85"/>
      <c r="BD1096" s="85"/>
      <c r="BE1096" s="85"/>
      <c r="BF1096" s="85"/>
      <c r="BG1096" s="85"/>
      <c r="BH1096" s="85"/>
      <c r="BI1096" s="85"/>
      <c r="BJ1096" s="85"/>
      <c r="BK1096" s="85"/>
      <c r="BL1096" s="85"/>
      <c r="BM1096" s="85"/>
      <c r="BN1096" s="85"/>
      <c r="BO1096" s="85"/>
      <c r="BP1096" s="85"/>
      <c r="BQ1096" s="85"/>
      <c r="BR1096" s="84">
        <v>25531.19427</v>
      </c>
      <c r="BS1096" s="85"/>
      <c r="BT1096" s="85"/>
      <c r="BU1096" s="198"/>
      <c r="BV1096" s="198"/>
      <c r="BW1096" s="198"/>
      <c r="BX1096" s="198"/>
      <c r="BY1096" s="198"/>
      <c r="BZ1096" s="198"/>
      <c r="CA1096" s="91"/>
    </row>
    <row r="1097" spans="1:1199" ht="50.1" customHeight="1" outlineLevel="2" x14ac:dyDescent="0.3">
      <c r="A1097" s="106" t="s">
        <v>921</v>
      </c>
      <c r="B1097" s="102" t="s">
        <v>924</v>
      </c>
      <c r="C1097" s="79" t="s">
        <v>37</v>
      </c>
      <c r="D1097" s="81">
        <f t="shared" si="250"/>
        <v>30937.112950000002</v>
      </c>
      <c r="E1097" s="82">
        <f t="shared" si="238"/>
        <v>5622.3963000000003</v>
      </c>
      <c r="F1097" s="83">
        <f t="shared" si="239"/>
        <v>25314.716650000002</v>
      </c>
      <c r="G1097" s="84">
        <v>69.927570000000003</v>
      </c>
      <c r="H1097" s="85">
        <v>17.481919999999999</v>
      </c>
      <c r="I1097" s="85"/>
      <c r="J1097" s="84">
        <f>51.60809+291.68076</f>
        <v>343.28885000000002</v>
      </c>
      <c r="K1097" s="85">
        <f>12.90201+72.92017</f>
        <v>85.822180000000003</v>
      </c>
      <c r="L1097" s="85">
        <v>1518.87221</v>
      </c>
      <c r="M1097" s="85"/>
      <c r="N1097" s="85"/>
      <c r="O1097" s="82"/>
      <c r="P1097" s="83"/>
      <c r="Q1097" s="83">
        <v>249.62581</v>
      </c>
      <c r="R1097" s="83"/>
      <c r="S1097" s="82">
        <v>411.25008000000003</v>
      </c>
      <c r="T1097" s="83">
        <v>376.09548000000001</v>
      </c>
      <c r="U1097" s="83">
        <v>870.27403000000004</v>
      </c>
      <c r="V1097" s="84"/>
      <c r="W1097" s="85"/>
      <c r="X1097" s="87"/>
      <c r="Y1097" s="83"/>
      <c r="Z1097" s="84"/>
      <c r="AA1097" s="85"/>
      <c r="AB1097" s="84"/>
      <c r="AC1097" s="85"/>
      <c r="AD1097" s="89">
        <f t="shared" si="245"/>
        <v>695.39589999999998</v>
      </c>
      <c r="AE1097" s="89">
        <v>423.738</v>
      </c>
      <c r="AF1097" s="186">
        <f>29.4195+242.2384</f>
        <v>271.65790000000004</v>
      </c>
      <c r="AG1097" s="85"/>
      <c r="AH1097" s="85"/>
      <c r="AI1097" s="85"/>
      <c r="AJ1097" s="84"/>
      <c r="AK1097" s="85"/>
      <c r="AL1097" s="84"/>
      <c r="AM1097" s="88"/>
      <c r="AN1097" s="84"/>
      <c r="AO1097" s="85"/>
      <c r="AP1097" s="84"/>
      <c r="AQ1097" s="83"/>
      <c r="AR1097" s="83"/>
      <c r="AS1097" s="83"/>
      <c r="AT1097" s="85"/>
      <c r="AU1097" s="85"/>
      <c r="AV1097" s="85">
        <f>8351.52785+9979.45943</f>
        <v>18330.987280000001</v>
      </c>
      <c r="AW1097" s="88"/>
      <c r="AX1097" s="84"/>
      <c r="AY1097" s="85"/>
      <c r="AZ1097" s="84">
        <v>1507.6348</v>
      </c>
      <c r="BA1097" s="85">
        <v>1365.2828400000001</v>
      </c>
      <c r="BB1097" s="88"/>
      <c r="BC1097" s="85"/>
      <c r="BD1097" s="84"/>
      <c r="BE1097" s="88"/>
      <c r="BF1097" s="85"/>
      <c r="BG1097" s="85"/>
      <c r="BH1097" s="85"/>
      <c r="BI1097" s="85"/>
      <c r="BJ1097" s="85"/>
      <c r="BK1097" s="85"/>
      <c r="BL1097" s="85"/>
      <c r="BM1097" s="85"/>
      <c r="BN1097" s="85"/>
      <c r="BO1097" s="85"/>
      <c r="BP1097" s="85"/>
      <c r="BQ1097" s="85"/>
      <c r="BR1097" s="84">
        <v>3290.2950000000001</v>
      </c>
      <c r="BS1097" s="85"/>
      <c r="BT1097" s="85">
        <v>197.5</v>
      </c>
      <c r="BU1097" s="97">
        <f>537.66+1069.719</f>
        <v>1607.3789999999999</v>
      </c>
      <c r="BV1097" s="90"/>
      <c r="BW1097" s="198"/>
      <c r="BX1097" s="90"/>
      <c r="BY1097" s="198"/>
      <c r="BZ1097" s="90"/>
      <c r="CA1097" s="91"/>
    </row>
    <row r="1098" spans="1:1199" ht="50.1" customHeight="1" outlineLevel="2" x14ac:dyDescent="0.3">
      <c r="A1098" s="106" t="s">
        <v>921</v>
      </c>
      <c r="B1098" s="102" t="s">
        <v>925</v>
      </c>
      <c r="C1098" s="79" t="s">
        <v>37</v>
      </c>
      <c r="D1098" s="81">
        <f t="shared" si="250"/>
        <v>51172.634050000001</v>
      </c>
      <c r="E1098" s="82">
        <f t="shared" si="238"/>
        <v>39976.1057</v>
      </c>
      <c r="F1098" s="83">
        <f t="shared" si="239"/>
        <v>11196.528350000001</v>
      </c>
      <c r="G1098" s="84"/>
      <c r="H1098" s="85"/>
      <c r="I1098" s="85"/>
      <c r="J1098" s="84">
        <v>1303.8715199999999</v>
      </c>
      <c r="K1098" s="85">
        <v>325.96785999999997</v>
      </c>
      <c r="L1098" s="85"/>
      <c r="M1098" s="85"/>
      <c r="N1098" s="85"/>
      <c r="O1098" s="82"/>
      <c r="P1098" s="83"/>
      <c r="Q1098" s="83"/>
      <c r="R1098" s="83"/>
      <c r="S1098" s="82"/>
      <c r="T1098" s="83"/>
      <c r="U1098" s="83"/>
      <c r="V1098" s="84"/>
      <c r="W1098" s="85"/>
      <c r="X1098" s="87"/>
      <c r="Y1098" s="83">
        <v>1807.4159999999999</v>
      </c>
      <c r="Z1098" s="84"/>
      <c r="AA1098" s="85"/>
      <c r="AB1098" s="84"/>
      <c r="AC1098" s="85"/>
      <c r="AD1098" s="89">
        <f t="shared" si="245"/>
        <v>0</v>
      </c>
      <c r="AE1098" s="89"/>
      <c r="AF1098" s="186"/>
      <c r="AG1098" s="85"/>
      <c r="AH1098" s="85"/>
      <c r="AI1098" s="85"/>
      <c r="AJ1098" s="84"/>
      <c r="AK1098" s="85"/>
      <c r="AL1098" s="84"/>
      <c r="AM1098" s="88"/>
      <c r="AN1098" s="84"/>
      <c r="AO1098" s="85"/>
      <c r="AP1098" s="84"/>
      <c r="AQ1098" s="83"/>
      <c r="AR1098" s="83"/>
      <c r="AS1098" s="83"/>
      <c r="AT1098" s="85"/>
      <c r="AU1098" s="85"/>
      <c r="AV1098" s="85">
        <f>2417.51611+2694.61822</f>
        <v>5112.1343299999999</v>
      </c>
      <c r="AW1098" s="88"/>
      <c r="AX1098" s="84"/>
      <c r="AY1098" s="85"/>
      <c r="AZ1098" s="84">
        <v>4362.9604399999998</v>
      </c>
      <c r="BA1098" s="85">
        <v>3951.0101599999998</v>
      </c>
      <c r="BB1098" s="88"/>
      <c r="BC1098" s="85"/>
      <c r="BD1098" s="84"/>
      <c r="BE1098" s="88"/>
      <c r="BF1098" s="85"/>
      <c r="BG1098" s="85"/>
      <c r="BH1098" s="85"/>
      <c r="BI1098" s="85"/>
      <c r="BJ1098" s="85"/>
      <c r="BK1098" s="85"/>
      <c r="BL1098" s="85"/>
      <c r="BM1098" s="85"/>
      <c r="BN1098" s="85"/>
      <c r="BO1098" s="85"/>
      <c r="BP1098" s="85"/>
      <c r="BQ1098" s="85"/>
      <c r="BR1098" s="84">
        <v>34309.273739999997</v>
      </c>
      <c r="BS1098" s="85"/>
      <c r="BT1098" s="85"/>
      <c r="BU1098" s="198"/>
      <c r="BV1098" s="90"/>
      <c r="BW1098" s="198"/>
      <c r="BX1098" s="90"/>
      <c r="BY1098" s="198"/>
      <c r="BZ1098" s="90"/>
      <c r="CA1098" s="91"/>
    </row>
    <row r="1099" spans="1:1199" ht="50.1" customHeight="1" outlineLevel="2" x14ac:dyDescent="0.3">
      <c r="A1099" s="106" t="s">
        <v>921</v>
      </c>
      <c r="B1099" s="102" t="s">
        <v>926</v>
      </c>
      <c r="C1099" s="116" t="s">
        <v>37</v>
      </c>
      <c r="D1099" s="81">
        <f t="shared" si="250"/>
        <v>18893.993309999998</v>
      </c>
      <c r="E1099" s="82">
        <f t="shared" si="238"/>
        <v>4846.7270699999999</v>
      </c>
      <c r="F1099" s="83">
        <f t="shared" si="239"/>
        <v>14047.266239999999</v>
      </c>
      <c r="G1099" s="84"/>
      <c r="H1099" s="85"/>
      <c r="I1099" s="85"/>
      <c r="J1099" s="84"/>
      <c r="K1099" s="85"/>
      <c r="L1099" s="85"/>
      <c r="M1099" s="85"/>
      <c r="N1099" s="85"/>
      <c r="O1099" s="82"/>
      <c r="P1099" s="83"/>
      <c r="Q1099" s="83"/>
      <c r="R1099" s="83"/>
      <c r="S1099" s="82"/>
      <c r="T1099" s="83"/>
      <c r="U1099" s="83"/>
      <c r="V1099" s="85"/>
      <c r="W1099" s="85"/>
      <c r="X1099" s="137"/>
      <c r="Y1099" s="83">
        <v>624</v>
      </c>
      <c r="Z1099" s="85"/>
      <c r="AA1099" s="85"/>
      <c r="AB1099" s="84"/>
      <c r="AC1099" s="85"/>
      <c r="AD1099" s="89">
        <f t="shared" si="245"/>
        <v>0</v>
      </c>
      <c r="AE1099" s="83"/>
      <c r="AF1099" s="123"/>
      <c r="AG1099" s="85"/>
      <c r="AH1099" s="85"/>
      <c r="AI1099" s="85"/>
      <c r="AJ1099" s="84"/>
      <c r="AK1099" s="85"/>
      <c r="AL1099" s="85"/>
      <c r="AM1099" s="85"/>
      <c r="AN1099" s="84"/>
      <c r="AO1099" s="85"/>
      <c r="AP1099" s="85"/>
      <c r="AQ1099" s="83"/>
      <c r="AR1099" s="83"/>
      <c r="AS1099" s="83"/>
      <c r="AT1099" s="85"/>
      <c r="AU1099" s="85"/>
      <c r="AV1099" s="85">
        <f>11082.77664+395.33917</f>
        <v>11478.115809999999</v>
      </c>
      <c r="AW1099" s="85"/>
      <c r="AX1099" s="84"/>
      <c r="AY1099" s="85"/>
      <c r="AZ1099" s="85">
        <v>1830.1636599999999</v>
      </c>
      <c r="BA1099" s="85">
        <v>1657.3595700000001</v>
      </c>
      <c r="BB1099" s="85"/>
      <c r="BC1099" s="85"/>
      <c r="BD1099" s="85"/>
      <c r="BE1099" s="85"/>
      <c r="BF1099" s="85"/>
      <c r="BG1099" s="85"/>
      <c r="BH1099" s="85"/>
      <c r="BI1099" s="85"/>
      <c r="BJ1099" s="85"/>
      <c r="BK1099" s="85">
        <v>287.79086000000001</v>
      </c>
      <c r="BL1099" s="85"/>
      <c r="BM1099" s="85"/>
      <c r="BN1099" s="85"/>
      <c r="BO1099" s="85"/>
      <c r="BP1099" s="85"/>
      <c r="BQ1099" s="85"/>
      <c r="BR1099" s="84">
        <v>3016.5634100000002</v>
      </c>
      <c r="BS1099" s="85"/>
      <c r="BT1099" s="85"/>
      <c r="BU1099" s="198"/>
      <c r="BV1099" s="198"/>
      <c r="BW1099" s="198"/>
      <c r="BX1099" s="198"/>
      <c r="BY1099" s="198"/>
      <c r="BZ1099" s="198"/>
      <c r="CA1099" s="91"/>
    </row>
    <row r="1100" spans="1:1199" ht="50.1" customHeight="1" outlineLevel="2" x14ac:dyDescent="0.3">
      <c r="A1100" s="106" t="s">
        <v>921</v>
      </c>
      <c r="B1100" s="96" t="s">
        <v>927</v>
      </c>
      <c r="C1100" s="79" t="s">
        <v>37</v>
      </c>
      <c r="D1100" s="81">
        <f t="shared" si="250"/>
        <v>6140.7800999999999</v>
      </c>
      <c r="E1100" s="82">
        <f t="shared" si="238"/>
        <v>4323.29162</v>
      </c>
      <c r="F1100" s="83">
        <f t="shared" si="239"/>
        <v>1817.4884800000002</v>
      </c>
      <c r="G1100" s="84"/>
      <c r="H1100" s="85"/>
      <c r="I1100" s="85"/>
      <c r="J1100" s="84">
        <v>139.14632</v>
      </c>
      <c r="K1100" s="85">
        <v>50.598649999999999</v>
      </c>
      <c r="L1100" s="85">
        <v>114.56261000000001</v>
      </c>
      <c r="M1100" s="85"/>
      <c r="N1100" s="85"/>
      <c r="O1100" s="82"/>
      <c r="P1100" s="83"/>
      <c r="Q1100" s="83"/>
      <c r="R1100" s="83"/>
      <c r="S1100" s="82"/>
      <c r="T1100" s="83"/>
      <c r="U1100" s="83"/>
      <c r="V1100" s="84"/>
      <c r="W1100" s="85"/>
      <c r="X1100" s="87"/>
      <c r="Y1100" s="83">
        <v>218.4</v>
      </c>
      <c r="Z1100" s="84"/>
      <c r="AA1100" s="85"/>
      <c r="AB1100" s="84"/>
      <c r="AC1100" s="85"/>
      <c r="AD1100" s="89">
        <f t="shared" si="245"/>
        <v>231.72058000000001</v>
      </c>
      <c r="AE1100" s="89">
        <v>141.24600000000001</v>
      </c>
      <c r="AF1100" s="186">
        <v>90.474580000000003</v>
      </c>
      <c r="AG1100" s="85"/>
      <c r="AH1100" s="85"/>
      <c r="AI1100" s="85"/>
      <c r="AJ1100" s="84"/>
      <c r="AK1100" s="85"/>
      <c r="AL1100" s="84"/>
      <c r="AM1100" s="88"/>
      <c r="AN1100" s="84"/>
      <c r="AO1100" s="85"/>
      <c r="AP1100" s="84"/>
      <c r="AQ1100" s="83"/>
      <c r="AR1100" s="83"/>
      <c r="AS1100" s="83"/>
      <c r="AT1100" s="85"/>
      <c r="AU1100" s="85"/>
      <c r="AV1100" s="85">
        <f>429.23576+224.4872</f>
        <v>653.72296000000006</v>
      </c>
      <c r="AW1100" s="88"/>
      <c r="AX1100" s="84"/>
      <c r="AY1100" s="85"/>
      <c r="AZ1100" s="84">
        <v>605.67011000000002</v>
      </c>
      <c r="BA1100" s="85">
        <v>548.48368000000005</v>
      </c>
      <c r="BB1100" s="88"/>
      <c r="BC1100" s="85"/>
      <c r="BD1100" s="84"/>
      <c r="BE1100" s="88"/>
      <c r="BF1100" s="85"/>
      <c r="BG1100" s="85"/>
      <c r="BH1100" s="85"/>
      <c r="BI1100" s="85"/>
      <c r="BJ1100" s="85"/>
      <c r="BK1100" s="85"/>
      <c r="BL1100" s="85"/>
      <c r="BM1100" s="85"/>
      <c r="BN1100" s="85"/>
      <c r="BO1100" s="85"/>
      <c r="BP1100" s="85"/>
      <c r="BQ1100" s="85"/>
      <c r="BR1100" s="84">
        <v>3578.4751900000001</v>
      </c>
      <c r="BS1100" s="85"/>
      <c r="BT1100" s="85"/>
      <c r="BU1100" s="198"/>
      <c r="BV1100" s="90"/>
      <c r="BW1100" s="198"/>
      <c r="BX1100" s="90"/>
      <c r="BY1100" s="198"/>
      <c r="BZ1100" s="90"/>
      <c r="CA1100" s="91"/>
    </row>
    <row r="1101" spans="1:1199" ht="50.1" customHeight="1" outlineLevel="2" x14ac:dyDescent="0.3">
      <c r="A1101" s="103" t="s">
        <v>921</v>
      </c>
      <c r="B1101" s="102" t="s">
        <v>928</v>
      </c>
      <c r="C1101" s="79" t="s">
        <v>55</v>
      </c>
      <c r="D1101" s="81">
        <f t="shared" si="250"/>
        <v>108.16</v>
      </c>
      <c r="E1101" s="82">
        <f t="shared" si="238"/>
        <v>0</v>
      </c>
      <c r="F1101" s="83">
        <f t="shared" si="239"/>
        <v>108.16</v>
      </c>
      <c r="G1101" s="84"/>
      <c r="H1101" s="85"/>
      <c r="I1101" s="85"/>
      <c r="J1101" s="84"/>
      <c r="K1101" s="85"/>
      <c r="L1101" s="85"/>
      <c r="M1101" s="85"/>
      <c r="N1101" s="85"/>
      <c r="O1101" s="82"/>
      <c r="P1101" s="83"/>
      <c r="Q1101" s="83"/>
      <c r="R1101" s="83"/>
      <c r="S1101" s="82"/>
      <c r="T1101" s="83"/>
      <c r="U1101" s="83"/>
      <c r="V1101" s="84"/>
      <c r="W1101" s="85"/>
      <c r="X1101" s="87"/>
      <c r="Y1101" s="83"/>
      <c r="Z1101" s="84"/>
      <c r="AA1101" s="85"/>
      <c r="AB1101" s="84"/>
      <c r="AC1101" s="85"/>
      <c r="AD1101" s="89">
        <f t="shared" si="245"/>
        <v>0</v>
      </c>
      <c r="AE1101" s="89"/>
      <c r="AF1101" s="186"/>
      <c r="AG1101" s="85"/>
      <c r="AH1101" s="85"/>
      <c r="AI1101" s="85"/>
      <c r="AJ1101" s="84"/>
      <c r="AK1101" s="85"/>
      <c r="AL1101" s="84"/>
      <c r="AM1101" s="88"/>
      <c r="AN1101" s="84"/>
      <c r="AO1101" s="85">
        <v>108.16</v>
      </c>
      <c r="AP1101" s="84"/>
      <c r="AQ1101" s="83"/>
      <c r="AR1101" s="83"/>
      <c r="AS1101" s="83"/>
      <c r="AT1101" s="85"/>
      <c r="AU1101" s="85"/>
      <c r="AV1101" s="85"/>
      <c r="AW1101" s="88"/>
      <c r="AX1101" s="84"/>
      <c r="AY1101" s="85"/>
      <c r="AZ1101" s="84"/>
      <c r="BA1101" s="85"/>
      <c r="BB1101" s="88"/>
      <c r="BC1101" s="85"/>
      <c r="BD1101" s="84"/>
      <c r="BE1101" s="88"/>
      <c r="BF1101" s="85"/>
      <c r="BG1101" s="85"/>
      <c r="BH1101" s="85"/>
      <c r="BI1101" s="85"/>
      <c r="BJ1101" s="85"/>
      <c r="BK1101" s="85"/>
      <c r="BL1101" s="85"/>
      <c r="BM1101" s="85"/>
      <c r="BN1101" s="85"/>
      <c r="BO1101" s="85"/>
      <c r="BP1101" s="85"/>
      <c r="BQ1101" s="85"/>
      <c r="BR1101" s="84"/>
      <c r="BS1101" s="85"/>
      <c r="BT1101" s="85"/>
      <c r="BU1101" s="198"/>
      <c r="BV1101" s="90"/>
      <c r="BW1101" s="198"/>
      <c r="BX1101" s="90"/>
      <c r="BY1101" s="198"/>
      <c r="BZ1101" s="90"/>
      <c r="CA1101" s="91"/>
    </row>
    <row r="1102" spans="1:1199" ht="50.1" customHeight="1" outlineLevel="2" x14ac:dyDescent="0.3">
      <c r="A1102" s="106" t="s">
        <v>921</v>
      </c>
      <c r="B1102" s="102" t="s">
        <v>929</v>
      </c>
      <c r="C1102" s="79" t="s">
        <v>55</v>
      </c>
      <c r="D1102" s="81">
        <f t="shared" si="250"/>
        <v>441.87858</v>
      </c>
      <c r="E1102" s="82">
        <f t="shared" si="238"/>
        <v>0</v>
      </c>
      <c r="F1102" s="83">
        <f t="shared" si="239"/>
        <v>441.87858</v>
      </c>
      <c r="G1102" s="84"/>
      <c r="H1102" s="85"/>
      <c r="I1102" s="85"/>
      <c r="J1102" s="84"/>
      <c r="K1102" s="85"/>
      <c r="L1102" s="85"/>
      <c r="M1102" s="85"/>
      <c r="N1102" s="85"/>
      <c r="O1102" s="82"/>
      <c r="P1102" s="83"/>
      <c r="Q1102" s="83"/>
      <c r="R1102" s="83"/>
      <c r="S1102" s="82"/>
      <c r="T1102" s="83"/>
      <c r="U1102" s="83"/>
      <c r="V1102" s="85"/>
      <c r="W1102" s="85"/>
      <c r="X1102" s="83"/>
      <c r="Y1102" s="83"/>
      <c r="Z1102" s="85"/>
      <c r="AA1102" s="85"/>
      <c r="AB1102" s="84"/>
      <c r="AC1102" s="85"/>
      <c r="AD1102" s="89">
        <f t="shared" si="245"/>
        <v>0</v>
      </c>
      <c r="AE1102" s="83"/>
      <c r="AF1102" s="123"/>
      <c r="AG1102" s="85"/>
      <c r="AH1102" s="85"/>
      <c r="AI1102" s="85"/>
      <c r="AJ1102" s="84"/>
      <c r="AK1102" s="85"/>
      <c r="AL1102" s="85"/>
      <c r="AM1102" s="85"/>
      <c r="AN1102" s="84"/>
      <c r="AO1102" s="85"/>
      <c r="AP1102" s="85"/>
      <c r="AQ1102" s="83"/>
      <c r="AR1102" s="83"/>
      <c r="AS1102" s="83"/>
      <c r="AT1102" s="85"/>
      <c r="AU1102" s="85"/>
      <c r="AV1102" s="85">
        <f>213.06725+228.81133</f>
        <v>441.87858</v>
      </c>
      <c r="AW1102" s="85"/>
      <c r="AX1102" s="84"/>
      <c r="AY1102" s="85"/>
      <c r="AZ1102" s="85"/>
      <c r="BA1102" s="85"/>
      <c r="BB1102" s="85"/>
      <c r="BC1102" s="85"/>
      <c r="BD1102" s="85"/>
      <c r="BE1102" s="85"/>
      <c r="BF1102" s="85"/>
      <c r="BG1102" s="85"/>
      <c r="BH1102" s="85"/>
      <c r="BI1102" s="85"/>
      <c r="BJ1102" s="85"/>
      <c r="BK1102" s="85"/>
      <c r="BL1102" s="85"/>
      <c r="BM1102" s="85"/>
      <c r="BN1102" s="85"/>
      <c r="BO1102" s="85"/>
      <c r="BP1102" s="85"/>
      <c r="BQ1102" s="85"/>
      <c r="BR1102" s="84"/>
      <c r="BS1102" s="85"/>
      <c r="BT1102" s="85"/>
      <c r="BU1102" s="198"/>
      <c r="BV1102" s="198"/>
      <c r="BW1102" s="198"/>
      <c r="BX1102" s="198"/>
      <c r="BY1102" s="198"/>
      <c r="BZ1102" s="198"/>
      <c r="CA1102" s="91"/>
    </row>
    <row r="1103" spans="1:1199" ht="50.1" customHeight="1" outlineLevel="2" x14ac:dyDescent="0.3">
      <c r="A1103" s="106" t="s">
        <v>921</v>
      </c>
      <c r="B1103" s="102" t="s">
        <v>930</v>
      </c>
      <c r="C1103" s="79" t="s">
        <v>55</v>
      </c>
      <c r="D1103" s="81">
        <f t="shared" si="250"/>
        <v>28.32057</v>
      </c>
      <c r="E1103" s="82">
        <f t="shared" si="238"/>
        <v>26.90455</v>
      </c>
      <c r="F1103" s="83">
        <f t="shared" si="239"/>
        <v>1.4160200000000001</v>
      </c>
      <c r="G1103" s="84"/>
      <c r="H1103" s="85"/>
      <c r="I1103" s="85"/>
      <c r="J1103" s="84"/>
      <c r="K1103" s="85"/>
      <c r="L1103" s="85"/>
      <c r="M1103" s="85"/>
      <c r="N1103" s="85"/>
      <c r="O1103" s="82">
        <f>22.77236+4.13219</f>
        <v>26.90455</v>
      </c>
      <c r="P1103" s="83">
        <f>1.19854+0.21748</f>
        <v>1.4160200000000001</v>
      </c>
      <c r="Q1103" s="83"/>
      <c r="R1103" s="83"/>
      <c r="S1103" s="82"/>
      <c r="T1103" s="83"/>
      <c r="U1103" s="83"/>
      <c r="V1103" s="84"/>
      <c r="W1103" s="85"/>
      <c r="X1103" s="82"/>
      <c r="Y1103" s="83"/>
      <c r="Z1103" s="84"/>
      <c r="AA1103" s="85"/>
      <c r="AB1103" s="84"/>
      <c r="AC1103" s="85"/>
      <c r="AD1103" s="89">
        <f t="shared" si="245"/>
        <v>0</v>
      </c>
      <c r="AE1103" s="89"/>
      <c r="AF1103" s="186"/>
      <c r="AG1103" s="85"/>
      <c r="AH1103" s="85"/>
      <c r="AI1103" s="85"/>
      <c r="AJ1103" s="84"/>
      <c r="AK1103" s="85"/>
      <c r="AL1103" s="84"/>
      <c r="AM1103" s="88"/>
      <c r="AN1103" s="84"/>
      <c r="AO1103" s="85"/>
      <c r="AP1103" s="84"/>
      <c r="AQ1103" s="83"/>
      <c r="AR1103" s="83"/>
      <c r="AS1103" s="83"/>
      <c r="AT1103" s="85"/>
      <c r="AU1103" s="85"/>
      <c r="AV1103" s="85"/>
      <c r="AW1103" s="88"/>
      <c r="AX1103" s="84"/>
      <c r="AY1103" s="85"/>
      <c r="AZ1103" s="84"/>
      <c r="BA1103" s="85"/>
      <c r="BB1103" s="88"/>
      <c r="BC1103" s="85"/>
      <c r="BD1103" s="84"/>
      <c r="BE1103" s="88"/>
      <c r="BF1103" s="85"/>
      <c r="BG1103" s="85"/>
      <c r="BH1103" s="85"/>
      <c r="BI1103" s="85"/>
      <c r="BJ1103" s="85"/>
      <c r="BK1103" s="85"/>
      <c r="BL1103" s="85"/>
      <c r="BM1103" s="85"/>
      <c r="BN1103" s="85"/>
      <c r="BO1103" s="85"/>
      <c r="BP1103" s="85"/>
      <c r="BQ1103" s="85"/>
      <c r="BR1103" s="84"/>
      <c r="BS1103" s="85"/>
      <c r="BT1103" s="85"/>
      <c r="BU1103" s="198"/>
      <c r="BV1103" s="90"/>
      <c r="BW1103" s="198"/>
      <c r="BX1103" s="90"/>
      <c r="BY1103" s="198"/>
      <c r="BZ1103" s="90"/>
      <c r="CA1103" s="91"/>
    </row>
    <row r="1104" spans="1:1199" ht="50.1" customHeight="1" outlineLevel="2" x14ac:dyDescent="0.3">
      <c r="A1104" s="106" t="s">
        <v>921</v>
      </c>
      <c r="B1104" s="102" t="s">
        <v>1186</v>
      </c>
      <c r="C1104" s="79" t="s">
        <v>55</v>
      </c>
      <c r="D1104" s="81">
        <f t="shared" si="250"/>
        <v>3000</v>
      </c>
      <c r="E1104" s="82">
        <f t="shared" si="238"/>
        <v>2850</v>
      </c>
      <c r="F1104" s="83">
        <f t="shared" si="239"/>
        <v>150</v>
      </c>
      <c r="G1104" s="84"/>
      <c r="H1104" s="85"/>
      <c r="I1104" s="85"/>
      <c r="J1104" s="84"/>
      <c r="K1104" s="85"/>
      <c r="L1104" s="85"/>
      <c r="M1104" s="85"/>
      <c r="N1104" s="85"/>
      <c r="O1104" s="82"/>
      <c r="P1104" s="83"/>
      <c r="Q1104" s="83"/>
      <c r="R1104" s="83"/>
      <c r="S1104" s="82"/>
      <c r="T1104" s="83"/>
      <c r="U1104" s="83"/>
      <c r="V1104" s="84"/>
      <c r="W1104" s="85"/>
      <c r="X1104" s="82"/>
      <c r="Y1104" s="83"/>
      <c r="Z1104" s="84"/>
      <c r="AA1104" s="85"/>
      <c r="AB1104" s="84"/>
      <c r="AC1104" s="85"/>
      <c r="AD1104" s="89"/>
      <c r="AE1104" s="89"/>
      <c r="AF1104" s="186"/>
      <c r="AG1104" s="85"/>
      <c r="AH1104" s="85"/>
      <c r="AI1104" s="85"/>
      <c r="AJ1104" s="84"/>
      <c r="AK1104" s="85"/>
      <c r="AL1104" s="84"/>
      <c r="AM1104" s="88"/>
      <c r="AN1104" s="84"/>
      <c r="AO1104" s="85"/>
      <c r="AP1104" s="84"/>
      <c r="AQ1104" s="83"/>
      <c r="AR1104" s="83"/>
      <c r="AS1104" s="83"/>
      <c r="AT1104" s="85"/>
      <c r="AU1104" s="85"/>
      <c r="AV1104" s="85"/>
      <c r="AW1104" s="88"/>
      <c r="AX1104" s="84"/>
      <c r="AY1104" s="85"/>
      <c r="AZ1104" s="84"/>
      <c r="BA1104" s="85"/>
      <c r="BB1104" s="88"/>
      <c r="BC1104" s="85"/>
      <c r="BD1104" s="84"/>
      <c r="BE1104" s="88"/>
      <c r="BF1104" s="85"/>
      <c r="BG1104" s="85"/>
      <c r="BH1104" s="85"/>
      <c r="BI1104" s="85"/>
      <c r="BJ1104" s="85"/>
      <c r="BK1104" s="85"/>
      <c r="BL1104" s="85"/>
      <c r="BM1104" s="85"/>
      <c r="BN1104" s="85"/>
      <c r="BO1104" s="85"/>
      <c r="BP1104" s="85"/>
      <c r="BQ1104" s="85"/>
      <c r="BR1104" s="84"/>
      <c r="BS1104" s="85"/>
      <c r="BT1104" s="85"/>
      <c r="BU1104" s="198"/>
      <c r="BV1104" s="90">
        <v>2850</v>
      </c>
      <c r="BW1104" s="198">
        <v>150</v>
      </c>
      <c r="BX1104" s="90"/>
      <c r="BY1104" s="198"/>
      <c r="BZ1104" s="90"/>
      <c r="CA1104" s="91"/>
    </row>
    <row r="1105" spans="1:1199" ht="50.1" customHeight="1" outlineLevel="2" x14ac:dyDescent="0.3">
      <c r="A1105" s="106" t="s">
        <v>921</v>
      </c>
      <c r="B1105" s="102" t="s">
        <v>931</v>
      </c>
      <c r="C1105" s="79" t="s">
        <v>53</v>
      </c>
      <c r="D1105" s="81">
        <f t="shared" si="250"/>
        <v>175.05069</v>
      </c>
      <c r="E1105" s="82">
        <f t="shared" ref="E1105:E1140" si="251">G1105+J1105+O1105+S1105+V1105+X1105+Z1105+AB1105+AJ1105+AL1105+AN1105+AP1105+AX1105+AZ1105+BD1105+BV1105+BX1105+BZ1105+BR1105</f>
        <v>59.69847</v>
      </c>
      <c r="F1105" s="83">
        <f t="shared" si="239"/>
        <v>115.35222</v>
      </c>
      <c r="G1105" s="84"/>
      <c r="H1105" s="85"/>
      <c r="I1105" s="85"/>
      <c r="J1105" s="84"/>
      <c r="K1105" s="85"/>
      <c r="L1105" s="85"/>
      <c r="M1105" s="85"/>
      <c r="N1105" s="85"/>
      <c r="O1105" s="82"/>
      <c r="P1105" s="83"/>
      <c r="Q1105" s="83"/>
      <c r="R1105" s="83"/>
      <c r="S1105" s="82"/>
      <c r="T1105" s="83"/>
      <c r="U1105" s="83"/>
      <c r="V1105" s="84"/>
      <c r="W1105" s="85"/>
      <c r="X1105" s="82"/>
      <c r="Y1105" s="83"/>
      <c r="Z1105" s="84"/>
      <c r="AA1105" s="85"/>
      <c r="AB1105" s="84"/>
      <c r="AC1105" s="85"/>
      <c r="AD1105" s="89">
        <f t="shared" si="245"/>
        <v>0</v>
      </c>
      <c r="AE1105" s="89"/>
      <c r="AF1105" s="186"/>
      <c r="AG1105" s="85"/>
      <c r="AH1105" s="85"/>
      <c r="AI1105" s="85"/>
      <c r="AJ1105" s="84"/>
      <c r="AK1105" s="85"/>
      <c r="AL1105" s="84"/>
      <c r="AM1105" s="88"/>
      <c r="AN1105" s="84"/>
      <c r="AO1105" s="85"/>
      <c r="AP1105" s="84">
        <v>46.860999999999997</v>
      </c>
      <c r="AQ1105" s="83">
        <v>103.72685</v>
      </c>
      <c r="AR1105" s="83"/>
      <c r="AS1105" s="83"/>
      <c r="AT1105" s="85"/>
      <c r="AU1105" s="85"/>
      <c r="AV1105" s="85"/>
      <c r="AW1105" s="88"/>
      <c r="AX1105" s="84"/>
      <c r="AY1105" s="85"/>
      <c r="AZ1105" s="84">
        <v>12.83747</v>
      </c>
      <c r="BA1105" s="85">
        <v>11.62537</v>
      </c>
      <c r="BB1105" s="88"/>
      <c r="BC1105" s="85"/>
      <c r="BD1105" s="84"/>
      <c r="BE1105" s="88"/>
      <c r="BF1105" s="85"/>
      <c r="BG1105" s="85"/>
      <c r="BH1105" s="85"/>
      <c r="BI1105" s="85"/>
      <c r="BJ1105" s="85"/>
      <c r="BK1105" s="85"/>
      <c r="BL1105" s="85"/>
      <c r="BM1105" s="85"/>
      <c r="BN1105" s="85"/>
      <c r="BO1105" s="85"/>
      <c r="BP1105" s="85"/>
      <c r="BQ1105" s="85"/>
      <c r="BR1105" s="84"/>
      <c r="BS1105" s="85"/>
      <c r="BT1105" s="85"/>
      <c r="BU1105" s="198"/>
      <c r="BV1105" s="90"/>
      <c r="BW1105" s="198"/>
      <c r="BX1105" s="90"/>
      <c r="BY1105" s="198"/>
      <c r="BZ1105" s="90"/>
      <c r="CA1105" s="91"/>
    </row>
    <row r="1106" spans="1:1199" ht="50.1" customHeight="1" outlineLevel="2" x14ac:dyDescent="0.3">
      <c r="A1106" s="106" t="s">
        <v>921</v>
      </c>
      <c r="B1106" s="102" t="s">
        <v>932</v>
      </c>
      <c r="C1106" s="79" t="s">
        <v>53</v>
      </c>
      <c r="D1106" s="81">
        <f t="shared" si="250"/>
        <v>8804.8548699999992</v>
      </c>
      <c r="E1106" s="82">
        <f t="shared" si="251"/>
        <v>5141.7434800000001</v>
      </c>
      <c r="F1106" s="83">
        <f t="shared" si="239"/>
        <v>3663.11139</v>
      </c>
      <c r="G1106" s="84"/>
      <c r="H1106" s="85"/>
      <c r="I1106" s="85"/>
      <c r="J1106" s="84">
        <f>78.34515+3.51199</f>
        <v>81.857140000000001</v>
      </c>
      <c r="K1106" s="85">
        <f>39.52017+0.87801</f>
        <v>40.398180000000004</v>
      </c>
      <c r="L1106" s="85">
        <v>323.45861000000002</v>
      </c>
      <c r="M1106" s="85"/>
      <c r="N1106" s="85"/>
      <c r="O1106" s="82"/>
      <c r="P1106" s="83"/>
      <c r="Q1106" s="83"/>
      <c r="R1106" s="83"/>
      <c r="S1106" s="82"/>
      <c r="T1106" s="83"/>
      <c r="U1106" s="83">
        <v>56.5274</v>
      </c>
      <c r="V1106" s="84">
        <v>75.8202</v>
      </c>
      <c r="W1106" s="85">
        <v>132.30000000000001</v>
      </c>
      <c r="X1106" s="87"/>
      <c r="Y1106" s="83">
        <v>199.68</v>
      </c>
      <c r="Z1106" s="84"/>
      <c r="AA1106" s="85"/>
      <c r="AB1106" s="84"/>
      <c r="AC1106" s="85"/>
      <c r="AD1106" s="89">
        <f t="shared" si="245"/>
        <v>449.72390000000001</v>
      </c>
      <c r="AE1106" s="89">
        <v>247.18049999999999</v>
      </c>
      <c r="AF1106" s="186">
        <f>133.27976+69.26364</f>
        <v>202.54340000000002</v>
      </c>
      <c r="AG1106" s="85"/>
      <c r="AH1106" s="85"/>
      <c r="AI1106" s="85"/>
      <c r="AJ1106" s="84"/>
      <c r="AK1106" s="85"/>
      <c r="AL1106" s="84"/>
      <c r="AM1106" s="88"/>
      <c r="AN1106" s="84"/>
      <c r="AO1106" s="85"/>
      <c r="AP1106" s="84"/>
      <c r="AQ1106" s="83"/>
      <c r="AR1106" s="83"/>
      <c r="AS1106" s="83"/>
      <c r="AT1106" s="85"/>
      <c r="AU1106" s="85"/>
      <c r="AV1106" s="85">
        <v>906.21648000000005</v>
      </c>
      <c r="AW1106" s="88"/>
      <c r="AX1106" s="84"/>
      <c r="AY1106" s="85"/>
      <c r="AZ1106" s="84">
        <v>859.32402000000002</v>
      </c>
      <c r="BA1106" s="85">
        <v>778.18632000000002</v>
      </c>
      <c r="BB1106" s="88"/>
      <c r="BC1106" s="85"/>
      <c r="BD1106" s="84"/>
      <c r="BE1106" s="88"/>
      <c r="BF1106" s="85"/>
      <c r="BG1106" s="85">
        <v>742.12049999999999</v>
      </c>
      <c r="BH1106" s="85"/>
      <c r="BI1106" s="85"/>
      <c r="BJ1106" s="85"/>
      <c r="BK1106" s="85"/>
      <c r="BL1106" s="85"/>
      <c r="BM1106" s="85"/>
      <c r="BN1106" s="85"/>
      <c r="BO1106" s="85"/>
      <c r="BP1106" s="85"/>
      <c r="BQ1106" s="85"/>
      <c r="BR1106" s="84">
        <v>4124.7421199999999</v>
      </c>
      <c r="BS1106" s="85"/>
      <c r="BT1106" s="85">
        <v>34.5</v>
      </c>
      <c r="BU1106" s="198"/>
      <c r="BV1106" s="90"/>
      <c r="BW1106" s="198"/>
      <c r="BX1106" s="90"/>
      <c r="BY1106" s="198"/>
      <c r="BZ1106" s="90"/>
      <c r="CA1106" s="91"/>
    </row>
    <row r="1107" spans="1:1199" ht="50.1" customHeight="1" outlineLevel="2" x14ac:dyDescent="0.3">
      <c r="A1107" s="106" t="s">
        <v>921</v>
      </c>
      <c r="B1107" s="102" t="s">
        <v>933</v>
      </c>
      <c r="C1107" s="79" t="s">
        <v>53</v>
      </c>
      <c r="D1107" s="81">
        <f t="shared" si="250"/>
        <v>1736.3332500000001</v>
      </c>
      <c r="E1107" s="82">
        <f t="shared" si="251"/>
        <v>599.35989000000006</v>
      </c>
      <c r="F1107" s="83">
        <f t="shared" si="239"/>
        <v>1136.97336</v>
      </c>
      <c r="G1107" s="84"/>
      <c r="H1107" s="85"/>
      <c r="I1107" s="85"/>
      <c r="J1107" s="84"/>
      <c r="K1107" s="85"/>
      <c r="L1107" s="85"/>
      <c r="M1107" s="85"/>
      <c r="N1107" s="85"/>
      <c r="O1107" s="82"/>
      <c r="P1107" s="83"/>
      <c r="Q1107" s="83"/>
      <c r="R1107" s="83"/>
      <c r="S1107" s="82"/>
      <c r="T1107" s="83"/>
      <c r="U1107" s="83"/>
      <c r="V1107" s="84">
        <v>30.153500000000001</v>
      </c>
      <c r="W1107" s="85">
        <v>52.65</v>
      </c>
      <c r="X1107" s="87"/>
      <c r="Y1107" s="83">
        <v>218.4</v>
      </c>
      <c r="Z1107" s="84"/>
      <c r="AA1107" s="85"/>
      <c r="AB1107" s="84"/>
      <c r="AC1107" s="85"/>
      <c r="AD1107" s="89">
        <f t="shared" si="245"/>
        <v>48.642249999999997</v>
      </c>
      <c r="AE1107" s="89"/>
      <c r="AF1107" s="186">
        <v>48.642249999999997</v>
      </c>
      <c r="AG1107" s="85"/>
      <c r="AH1107" s="85"/>
      <c r="AI1107" s="85"/>
      <c r="AJ1107" s="84"/>
      <c r="AK1107" s="85"/>
      <c r="AL1107" s="84"/>
      <c r="AM1107" s="88"/>
      <c r="AN1107" s="84"/>
      <c r="AO1107" s="85"/>
      <c r="AP1107" s="84"/>
      <c r="AQ1107" s="83"/>
      <c r="AR1107" s="83"/>
      <c r="AS1107" s="83"/>
      <c r="AT1107" s="85"/>
      <c r="AU1107" s="85"/>
      <c r="AV1107" s="85"/>
      <c r="AW1107" s="88"/>
      <c r="AX1107" s="84"/>
      <c r="AY1107" s="85"/>
      <c r="AZ1107" s="84">
        <v>569.20639000000006</v>
      </c>
      <c r="BA1107" s="85">
        <v>515.46208000000001</v>
      </c>
      <c r="BB1107" s="88"/>
      <c r="BC1107" s="85"/>
      <c r="BD1107" s="84"/>
      <c r="BE1107" s="88"/>
      <c r="BF1107" s="85"/>
      <c r="BG1107" s="85">
        <v>301.81903</v>
      </c>
      <c r="BH1107" s="85"/>
      <c r="BI1107" s="85"/>
      <c r="BJ1107" s="85"/>
      <c r="BK1107" s="85"/>
      <c r="BL1107" s="85"/>
      <c r="BM1107" s="85"/>
      <c r="BN1107" s="85"/>
      <c r="BO1107" s="85"/>
      <c r="BP1107" s="85"/>
      <c r="BQ1107" s="85"/>
      <c r="BR1107" s="84"/>
      <c r="BS1107" s="85"/>
      <c r="BT1107" s="85"/>
      <c r="BU1107" s="198"/>
      <c r="BV1107" s="90"/>
      <c r="BW1107" s="198"/>
      <c r="BX1107" s="90"/>
      <c r="BY1107" s="198"/>
      <c r="BZ1107" s="90"/>
      <c r="CA1107" s="91"/>
    </row>
    <row r="1108" spans="1:1199" ht="50.1" customHeight="1" outlineLevel="2" x14ac:dyDescent="0.3">
      <c r="A1108" s="106" t="s">
        <v>921</v>
      </c>
      <c r="B1108" s="102" t="s">
        <v>1220</v>
      </c>
      <c r="C1108" s="79" t="s">
        <v>55</v>
      </c>
      <c r="D1108" s="81">
        <f t="shared" si="250"/>
        <v>934.98105999999996</v>
      </c>
      <c r="E1108" s="82">
        <f t="shared" si="251"/>
        <v>0</v>
      </c>
      <c r="F1108" s="83">
        <f t="shared" ref="F1108:F1141" si="252">H1108+I1108+K1108+L1108+M1108+N1108+P1108+Q1108+R1108+T1108+U1108+W1108+Y1108+AA1108+AC1108+AD1108+AG1108+AH1108+AI1108+AK1108+AM1108+AO1108+AQ1108+AR1108+AS1108+AT1108+AU1108+AV1108+AW1108+AY1108+BA1108+BB1108+BC1108+BE1108+BF1108+BG1108+BH1108+BI1108+BJ1108+BK1108+BL1108+BO1108+BP1108+BQ1108+BS1108+BT1108+BU1108+BW1108+BY1108+CA1108+BM1108+BN1108</f>
        <v>934.98105999999996</v>
      </c>
      <c r="G1108" s="84"/>
      <c r="H1108" s="85"/>
      <c r="I1108" s="85"/>
      <c r="J1108" s="86"/>
      <c r="K1108" s="85"/>
      <c r="L1108" s="85"/>
      <c r="M1108" s="85"/>
      <c r="N1108" s="85"/>
      <c r="O1108" s="82"/>
      <c r="P1108" s="83"/>
      <c r="Q1108" s="83"/>
      <c r="R1108" s="83"/>
      <c r="S1108" s="82"/>
      <c r="T1108" s="83"/>
      <c r="U1108" s="83"/>
      <c r="V1108" s="85"/>
      <c r="W1108" s="85"/>
      <c r="X1108" s="83"/>
      <c r="Y1108" s="83"/>
      <c r="Z1108" s="85"/>
      <c r="AA1108" s="85"/>
      <c r="AB1108" s="84"/>
      <c r="AC1108" s="85"/>
      <c r="AD1108" s="89"/>
      <c r="AE1108" s="83"/>
      <c r="AF1108" s="123"/>
      <c r="AG1108" s="85"/>
      <c r="AH1108" s="85"/>
      <c r="AI1108" s="85"/>
      <c r="AJ1108" s="84"/>
      <c r="AK1108" s="85"/>
      <c r="AL1108" s="85"/>
      <c r="AM1108" s="85"/>
      <c r="AN1108" s="84"/>
      <c r="AO1108" s="85"/>
      <c r="AP1108" s="85"/>
      <c r="AQ1108" s="83"/>
      <c r="AR1108" s="83"/>
      <c r="AS1108" s="83"/>
      <c r="AT1108" s="85"/>
      <c r="AU1108" s="85"/>
      <c r="AV1108" s="85">
        <v>934.98105999999996</v>
      </c>
      <c r="AW1108" s="85"/>
      <c r="AX1108" s="84"/>
      <c r="AY1108" s="85"/>
      <c r="AZ1108" s="85"/>
      <c r="BA1108" s="85"/>
      <c r="BB1108" s="85"/>
      <c r="BC1108" s="85"/>
      <c r="BD1108" s="85"/>
      <c r="BE1108" s="85"/>
      <c r="BF1108" s="85"/>
      <c r="BG1108" s="85"/>
      <c r="BH1108" s="85"/>
      <c r="BI1108" s="85"/>
      <c r="BJ1108" s="85"/>
      <c r="BK1108" s="85"/>
      <c r="BL1108" s="85"/>
      <c r="BM1108" s="85"/>
      <c r="BN1108" s="85"/>
      <c r="BO1108" s="85"/>
      <c r="BP1108" s="85"/>
      <c r="BQ1108" s="85"/>
      <c r="BR1108" s="84"/>
      <c r="BS1108" s="85"/>
      <c r="BT1108" s="85"/>
      <c r="BU1108" s="198"/>
      <c r="BV1108" s="198"/>
      <c r="BW1108" s="198"/>
      <c r="BX1108" s="198"/>
      <c r="BY1108" s="198"/>
      <c r="BZ1108" s="198"/>
      <c r="CA1108" s="91"/>
    </row>
    <row r="1109" spans="1:1199" ht="50.1" customHeight="1" outlineLevel="2" x14ac:dyDescent="0.3">
      <c r="A1109" s="106" t="s">
        <v>921</v>
      </c>
      <c r="B1109" s="102" t="s">
        <v>934</v>
      </c>
      <c r="C1109" s="79" t="s">
        <v>53</v>
      </c>
      <c r="D1109" s="81">
        <f t="shared" si="250"/>
        <v>83.494540000000001</v>
      </c>
      <c r="E1109" s="82">
        <f t="shared" si="251"/>
        <v>43.815809999999999</v>
      </c>
      <c r="F1109" s="83">
        <f t="shared" si="252"/>
        <v>39.678730000000002</v>
      </c>
      <c r="G1109" s="84"/>
      <c r="H1109" s="85"/>
      <c r="I1109" s="85"/>
      <c r="J1109" s="86"/>
      <c r="K1109" s="85"/>
      <c r="L1109" s="85"/>
      <c r="M1109" s="85"/>
      <c r="N1109" s="85"/>
      <c r="O1109" s="82"/>
      <c r="P1109" s="83"/>
      <c r="Q1109" s="83"/>
      <c r="R1109" s="83"/>
      <c r="S1109" s="82"/>
      <c r="T1109" s="83"/>
      <c r="U1109" s="83"/>
      <c r="V1109" s="84"/>
      <c r="W1109" s="85"/>
      <c r="X1109" s="82"/>
      <c r="Y1109" s="83"/>
      <c r="Z1109" s="84"/>
      <c r="AA1109" s="85"/>
      <c r="AB1109" s="84"/>
      <c r="AC1109" s="85"/>
      <c r="AD1109" s="89">
        <f t="shared" si="245"/>
        <v>0</v>
      </c>
      <c r="AE1109" s="89"/>
      <c r="AF1109" s="186"/>
      <c r="AG1109" s="85"/>
      <c r="AH1109" s="85"/>
      <c r="AI1109" s="85"/>
      <c r="AJ1109" s="84"/>
      <c r="AK1109" s="85"/>
      <c r="AL1109" s="84"/>
      <c r="AM1109" s="88"/>
      <c r="AN1109" s="84"/>
      <c r="AO1109" s="85"/>
      <c r="AP1109" s="84"/>
      <c r="AQ1109" s="83"/>
      <c r="AR1109" s="83"/>
      <c r="AS1109" s="83"/>
      <c r="AT1109" s="85"/>
      <c r="AU1109" s="85"/>
      <c r="AV1109" s="85"/>
      <c r="AW1109" s="88"/>
      <c r="AX1109" s="84"/>
      <c r="AY1109" s="85"/>
      <c r="AZ1109" s="84">
        <v>43.815809999999999</v>
      </c>
      <c r="BA1109" s="85">
        <v>39.678730000000002</v>
      </c>
      <c r="BB1109" s="88"/>
      <c r="BC1109" s="85"/>
      <c r="BD1109" s="84"/>
      <c r="BE1109" s="88"/>
      <c r="BF1109" s="85"/>
      <c r="BG1109" s="85"/>
      <c r="BH1109" s="85"/>
      <c r="BI1109" s="85"/>
      <c r="BJ1109" s="85"/>
      <c r="BK1109" s="85"/>
      <c r="BL1109" s="85"/>
      <c r="BM1109" s="85"/>
      <c r="BN1109" s="85"/>
      <c r="BO1109" s="85"/>
      <c r="BP1109" s="85"/>
      <c r="BQ1109" s="85"/>
      <c r="BR1109" s="84"/>
      <c r="BS1109" s="85"/>
      <c r="BT1109" s="85"/>
      <c r="BU1109" s="198"/>
      <c r="BV1109" s="90"/>
      <c r="BW1109" s="198"/>
      <c r="BX1109" s="90"/>
      <c r="BY1109" s="198"/>
      <c r="BZ1109" s="90"/>
      <c r="CA1109" s="91"/>
    </row>
    <row r="1110" spans="1:1199" ht="50.1" customHeight="1" outlineLevel="2" x14ac:dyDescent="0.3">
      <c r="A1110" s="106" t="s">
        <v>921</v>
      </c>
      <c r="B1110" s="96" t="s">
        <v>935</v>
      </c>
      <c r="C1110" s="79" t="s">
        <v>89</v>
      </c>
      <c r="D1110" s="81">
        <f t="shared" si="250"/>
        <v>244.81673000000001</v>
      </c>
      <c r="E1110" s="82">
        <f t="shared" si="251"/>
        <v>0</v>
      </c>
      <c r="F1110" s="83">
        <f t="shared" si="252"/>
        <v>244.81673000000001</v>
      </c>
      <c r="G1110" s="84"/>
      <c r="H1110" s="85"/>
      <c r="I1110" s="85"/>
      <c r="J1110" s="84"/>
      <c r="K1110" s="85"/>
      <c r="L1110" s="85"/>
      <c r="M1110" s="85"/>
      <c r="N1110" s="85"/>
      <c r="O1110" s="82"/>
      <c r="P1110" s="83"/>
      <c r="Q1110" s="83"/>
      <c r="R1110" s="83"/>
      <c r="S1110" s="82"/>
      <c r="T1110" s="83"/>
      <c r="U1110" s="83"/>
      <c r="V1110" s="85"/>
      <c r="W1110" s="85"/>
      <c r="X1110" s="83"/>
      <c r="Y1110" s="83"/>
      <c r="Z1110" s="85"/>
      <c r="AA1110" s="85"/>
      <c r="AB1110" s="84"/>
      <c r="AC1110" s="85"/>
      <c r="AD1110" s="89">
        <f t="shared" si="245"/>
        <v>0</v>
      </c>
      <c r="AE1110" s="83"/>
      <c r="AF1110" s="123"/>
      <c r="AG1110" s="85"/>
      <c r="AH1110" s="85"/>
      <c r="AI1110" s="85"/>
      <c r="AJ1110" s="84"/>
      <c r="AK1110" s="85"/>
      <c r="AL1110" s="85"/>
      <c r="AM1110" s="85"/>
      <c r="AN1110" s="84"/>
      <c r="AO1110" s="85"/>
      <c r="AP1110" s="85"/>
      <c r="AQ1110" s="83"/>
      <c r="AR1110" s="83"/>
      <c r="AS1110" s="83"/>
      <c r="AT1110" s="85"/>
      <c r="AU1110" s="85"/>
      <c r="AV1110" s="85"/>
      <c r="AW1110" s="85"/>
      <c r="AX1110" s="84"/>
      <c r="AY1110" s="85"/>
      <c r="AZ1110" s="85"/>
      <c r="BA1110" s="85"/>
      <c r="BB1110" s="85"/>
      <c r="BC1110" s="85"/>
      <c r="BD1110" s="85"/>
      <c r="BE1110" s="85"/>
      <c r="BF1110" s="85"/>
      <c r="BG1110" s="85"/>
      <c r="BH1110" s="85"/>
      <c r="BI1110" s="85"/>
      <c r="BJ1110" s="85"/>
      <c r="BK1110" s="85"/>
      <c r="BL1110" s="85"/>
      <c r="BM1110" s="85"/>
      <c r="BN1110" s="85"/>
      <c r="BO1110" s="85"/>
      <c r="BP1110" s="85">
        <v>244.81673000000001</v>
      </c>
      <c r="BQ1110" s="85"/>
      <c r="BR1110" s="84"/>
      <c r="BS1110" s="85"/>
      <c r="BT1110" s="85"/>
      <c r="BU1110" s="198"/>
      <c r="BV1110" s="198"/>
      <c r="BW1110" s="198"/>
      <c r="BX1110" s="198"/>
      <c r="BY1110" s="198"/>
      <c r="BZ1110" s="198"/>
      <c r="CA1110" s="91"/>
    </row>
    <row r="1111" spans="1:1199" ht="50.1" customHeight="1" outlineLevel="2" x14ac:dyDescent="0.3">
      <c r="A1111" s="106" t="s">
        <v>921</v>
      </c>
      <c r="B1111" s="96" t="s">
        <v>936</v>
      </c>
      <c r="C1111" s="79" t="s">
        <v>89</v>
      </c>
      <c r="D1111" s="81">
        <f t="shared" si="250"/>
        <v>1149.8202000000001</v>
      </c>
      <c r="E1111" s="82">
        <f t="shared" si="251"/>
        <v>0</v>
      </c>
      <c r="F1111" s="83">
        <f t="shared" si="252"/>
        <v>1149.8202000000001</v>
      </c>
      <c r="G1111" s="84"/>
      <c r="H1111" s="85"/>
      <c r="I1111" s="85"/>
      <c r="J1111" s="84"/>
      <c r="K1111" s="85"/>
      <c r="L1111" s="85"/>
      <c r="M1111" s="85"/>
      <c r="N1111" s="85"/>
      <c r="O1111" s="82"/>
      <c r="P1111" s="83"/>
      <c r="Q1111" s="83"/>
      <c r="R1111" s="83"/>
      <c r="S1111" s="82"/>
      <c r="T1111" s="83"/>
      <c r="U1111" s="83"/>
      <c r="V1111" s="84"/>
      <c r="W1111" s="85"/>
      <c r="X1111" s="82"/>
      <c r="Y1111" s="83"/>
      <c r="Z1111" s="84"/>
      <c r="AA1111" s="85"/>
      <c r="AB1111" s="84"/>
      <c r="AC1111" s="85"/>
      <c r="AD1111" s="89">
        <f t="shared" si="245"/>
        <v>0</v>
      </c>
      <c r="AE1111" s="89"/>
      <c r="AF1111" s="186"/>
      <c r="AG1111" s="85"/>
      <c r="AH1111" s="85"/>
      <c r="AI1111" s="85"/>
      <c r="AJ1111" s="84"/>
      <c r="AK1111" s="85"/>
      <c r="AL1111" s="84"/>
      <c r="AM1111" s="88"/>
      <c r="AN1111" s="84"/>
      <c r="AO1111" s="85"/>
      <c r="AP1111" s="84"/>
      <c r="AQ1111" s="83"/>
      <c r="AR1111" s="83"/>
      <c r="AS1111" s="83"/>
      <c r="AT1111" s="85"/>
      <c r="AU1111" s="85"/>
      <c r="AV1111" s="85"/>
      <c r="AW1111" s="88"/>
      <c r="AX1111" s="84"/>
      <c r="AY1111" s="85"/>
      <c r="AZ1111" s="84"/>
      <c r="BA1111" s="85"/>
      <c r="BB1111" s="88"/>
      <c r="BC1111" s="85"/>
      <c r="BD1111" s="84"/>
      <c r="BE1111" s="88"/>
      <c r="BF1111" s="85"/>
      <c r="BG1111" s="85"/>
      <c r="BH1111" s="85"/>
      <c r="BI1111" s="85"/>
      <c r="BJ1111" s="85"/>
      <c r="BK1111" s="85"/>
      <c r="BL1111" s="85"/>
      <c r="BM1111" s="85"/>
      <c r="BN1111" s="85"/>
      <c r="BO1111" s="85"/>
      <c r="BP1111" s="85">
        <v>1149.8202000000001</v>
      </c>
      <c r="BQ1111" s="85"/>
      <c r="BR1111" s="84"/>
      <c r="BS1111" s="85"/>
      <c r="BT1111" s="85"/>
      <c r="BU1111" s="198"/>
      <c r="BV1111" s="90"/>
      <c r="BW1111" s="198"/>
      <c r="BX1111" s="90"/>
      <c r="BY1111" s="198"/>
      <c r="BZ1111" s="90"/>
      <c r="CA1111" s="91"/>
    </row>
    <row r="1112" spans="1:1199" ht="50.1" customHeight="1" outlineLevel="2" x14ac:dyDescent="0.3">
      <c r="A1112" s="106" t="s">
        <v>921</v>
      </c>
      <c r="B1112" s="96" t="s">
        <v>937</v>
      </c>
      <c r="C1112" s="79" t="s">
        <v>89</v>
      </c>
      <c r="D1112" s="81">
        <f t="shared" si="250"/>
        <v>1523.0170000000001</v>
      </c>
      <c r="E1112" s="82">
        <f t="shared" si="251"/>
        <v>0</v>
      </c>
      <c r="F1112" s="83">
        <f t="shared" si="252"/>
        <v>1523.0170000000001</v>
      </c>
      <c r="G1112" s="84"/>
      <c r="H1112" s="85"/>
      <c r="I1112" s="85"/>
      <c r="J1112" s="84"/>
      <c r="K1112" s="85"/>
      <c r="L1112" s="85"/>
      <c r="M1112" s="85"/>
      <c r="N1112" s="85"/>
      <c r="O1112" s="82"/>
      <c r="P1112" s="83"/>
      <c r="Q1112" s="83"/>
      <c r="R1112" s="83"/>
      <c r="S1112" s="82"/>
      <c r="T1112" s="83"/>
      <c r="U1112" s="83"/>
      <c r="V1112" s="84"/>
      <c r="W1112" s="85"/>
      <c r="X1112" s="82"/>
      <c r="Y1112" s="83"/>
      <c r="Z1112" s="84"/>
      <c r="AA1112" s="85"/>
      <c r="AB1112" s="84"/>
      <c r="AC1112" s="85"/>
      <c r="AD1112" s="89">
        <f t="shared" si="245"/>
        <v>0</v>
      </c>
      <c r="AE1112" s="89"/>
      <c r="AF1112" s="186"/>
      <c r="AG1112" s="85"/>
      <c r="AH1112" s="85"/>
      <c r="AI1112" s="85"/>
      <c r="AJ1112" s="84"/>
      <c r="AK1112" s="85"/>
      <c r="AL1112" s="84"/>
      <c r="AM1112" s="88"/>
      <c r="AN1112" s="84"/>
      <c r="AO1112" s="85"/>
      <c r="AP1112" s="84"/>
      <c r="AQ1112" s="83"/>
      <c r="AR1112" s="83"/>
      <c r="AS1112" s="83"/>
      <c r="AT1112" s="85"/>
      <c r="AU1112" s="85"/>
      <c r="AV1112" s="85"/>
      <c r="AW1112" s="88"/>
      <c r="AX1112" s="84"/>
      <c r="AY1112" s="85"/>
      <c r="AZ1112" s="84"/>
      <c r="BA1112" s="85"/>
      <c r="BB1112" s="88"/>
      <c r="BC1112" s="85"/>
      <c r="BD1112" s="84"/>
      <c r="BE1112" s="88"/>
      <c r="BF1112" s="85"/>
      <c r="BG1112" s="85"/>
      <c r="BH1112" s="85"/>
      <c r="BI1112" s="85"/>
      <c r="BJ1112" s="85"/>
      <c r="BK1112" s="85"/>
      <c r="BL1112" s="85"/>
      <c r="BM1112" s="85"/>
      <c r="BN1112" s="85"/>
      <c r="BO1112" s="85"/>
      <c r="BP1112" s="85">
        <v>1523.0170000000001</v>
      </c>
      <c r="BQ1112" s="85"/>
      <c r="BR1112" s="84"/>
      <c r="BS1112" s="85"/>
      <c r="BT1112" s="85"/>
      <c r="BU1112" s="198"/>
      <c r="BV1112" s="90"/>
      <c r="BW1112" s="198"/>
      <c r="BX1112" s="90"/>
      <c r="BY1112" s="198"/>
      <c r="BZ1112" s="90"/>
      <c r="CA1112" s="91"/>
    </row>
    <row r="1113" spans="1:1199" ht="50.1" customHeight="1" outlineLevel="2" x14ac:dyDescent="0.3">
      <c r="A1113" s="103" t="s">
        <v>921</v>
      </c>
      <c r="B1113" s="102" t="s">
        <v>938</v>
      </c>
      <c r="C1113" s="79" t="s">
        <v>89</v>
      </c>
      <c r="D1113" s="81">
        <f t="shared" si="250"/>
        <v>2393.0557400000002</v>
      </c>
      <c r="E1113" s="82">
        <f t="shared" si="251"/>
        <v>0</v>
      </c>
      <c r="F1113" s="83">
        <f t="shared" si="252"/>
        <v>2393.0557400000002</v>
      </c>
      <c r="G1113" s="84"/>
      <c r="H1113" s="85"/>
      <c r="I1113" s="85"/>
      <c r="J1113" s="84"/>
      <c r="K1113" s="85"/>
      <c r="L1113" s="85">
        <v>869.15502000000004</v>
      </c>
      <c r="M1113" s="85"/>
      <c r="N1113" s="85"/>
      <c r="O1113" s="82"/>
      <c r="P1113" s="83"/>
      <c r="Q1113" s="83"/>
      <c r="R1113" s="83"/>
      <c r="S1113" s="82"/>
      <c r="T1113" s="83"/>
      <c r="U1113" s="83"/>
      <c r="V1113" s="85"/>
      <c r="W1113" s="85"/>
      <c r="X1113" s="83"/>
      <c r="Y1113" s="83"/>
      <c r="Z1113" s="85"/>
      <c r="AA1113" s="85"/>
      <c r="AB1113" s="84"/>
      <c r="AC1113" s="85"/>
      <c r="AD1113" s="89">
        <f t="shared" si="245"/>
        <v>0</v>
      </c>
      <c r="AE1113" s="83"/>
      <c r="AF1113" s="123"/>
      <c r="AG1113" s="85"/>
      <c r="AH1113" s="85"/>
      <c r="AI1113" s="85"/>
      <c r="AJ1113" s="84"/>
      <c r="AK1113" s="85"/>
      <c r="AL1113" s="85"/>
      <c r="AM1113" s="85"/>
      <c r="AN1113" s="84"/>
      <c r="AO1113" s="85"/>
      <c r="AP1113" s="85"/>
      <c r="AQ1113" s="83"/>
      <c r="AR1113" s="83"/>
      <c r="AS1113" s="83"/>
      <c r="AT1113" s="85"/>
      <c r="AU1113" s="85"/>
      <c r="AV1113" s="85">
        <v>1523.9007200000001</v>
      </c>
      <c r="AW1113" s="85"/>
      <c r="AX1113" s="84"/>
      <c r="AY1113" s="85"/>
      <c r="AZ1113" s="85"/>
      <c r="BA1113" s="85"/>
      <c r="BB1113" s="85"/>
      <c r="BC1113" s="85"/>
      <c r="BD1113" s="85"/>
      <c r="BE1113" s="85"/>
      <c r="BF1113" s="85"/>
      <c r="BG1113" s="85"/>
      <c r="BH1113" s="85"/>
      <c r="BI1113" s="85"/>
      <c r="BJ1113" s="85"/>
      <c r="BK1113" s="85"/>
      <c r="BL1113" s="85"/>
      <c r="BM1113" s="85"/>
      <c r="BN1113" s="85"/>
      <c r="BO1113" s="85"/>
      <c r="BP1113" s="85"/>
      <c r="BQ1113" s="85"/>
      <c r="BR1113" s="84"/>
      <c r="BS1113" s="85"/>
      <c r="BT1113" s="85"/>
      <c r="BU1113" s="198"/>
      <c r="BV1113" s="198"/>
      <c r="BW1113" s="198"/>
      <c r="BX1113" s="198"/>
      <c r="BY1113" s="198"/>
      <c r="BZ1113" s="198"/>
      <c r="CA1113" s="91"/>
    </row>
    <row r="1114" spans="1:1199" s="101" customFormat="1" ht="50.1" customHeight="1" outlineLevel="1" x14ac:dyDescent="0.3">
      <c r="A1114" s="228" t="s">
        <v>939</v>
      </c>
      <c r="B1114" s="229"/>
      <c r="C1114" s="134" t="s">
        <v>94</v>
      </c>
      <c r="D1114" s="81">
        <f t="shared" ref="D1114:AI1114" si="253">SUBTOTAL(9,D1095:D1113)</f>
        <v>226396.76536999998</v>
      </c>
      <c r="E1114" s="81">
        <f t="shared" si="253"/>
        <v>103626.50892000001</v>
      </c>
      <c r="F1114" s="81">
        <f t="shared" si="253"/>
        <v>122770.25645000003</v>
      </c>
      <c r="G1114" s="81">
        <f t="shared" si="253"/>
        <v>69.927570000000003</v>
      </c>
      <c r="H1114" s="81">
        <f t="shared" si="253"/>
        <v>17.481919999999999</v>
      </c>
      <c r="I1114" s="81">
        <f t="shared" si="253"/>
        <v>0</v>
      </c>
      <c r="J1114" s="81">
        <f t="shared" si="253"/>
        <v>4067.2350199999992</v>
      </c>
      <c r="K1114" s="81">
        <f t="shared" si="253"/>
        <v>776.82027000000005</v>
      </c>
      <c r="L1114" s="81">
        <f t="shared" si="253"/>
        <v>4204.6117400000003</v>
      </c>
      <c r="M1114" s="81">
        <f t="shared" si="253"/>
        <v>0</v>
      </c>
      <c r="N1114" s="81">
        <f t="shared" si="253"/>
        <v>0</v>
      </c>
      <c r="O1114" s="81">
        <f t="shared" si="253"/>
        <v>26.90455</v>
      </c>
      <c r="P1114" s="81">
        <f t="shared" si="253"/>
        <v>1.4160200000000001</v>
      </c>
      <c r="Q1114" s="81">
        <f t="shared" si="253"/>
        <v>3210.9834500000002</v>
      </c>
      <c r="R1114" s="81">
        <f t="shared" si="253"/>
        <v>0</v>
      </c>
      <c r="S1114" s="81">
        <f t="shared" si="253"/>
        <v>411.25008000000003</v>
      </c>
      <c r="T1114" s="81">
        <f t="shared" si="253"/>
        <v>376.09548000000001</v>
      </c>
      <c r="U1114" s="81">
        <f t="shared" si="253"/>
        <v>926.80142999999998</v>
      </c>
      <c r="V1114" s="81">
        <f t="shared" si="253"/>
        <v>105.97370000000001</v>
      </c>
      <c r="W1114" s="81">
        <f t="shared" si="253"/>
        <v>184.95000000000002</v>
      </c>
      <c r="X1114" s="81">
        <f t="shared" si="253"/>
        <v>0</v>
      </c>
      <c r="Y1114" s="81">
        <f t="shared" si="253"/>
        <v>6787.8719999999994</v>
      </c>
      <c r="Z1114" s="81">
        <f t="shared" si="253"/>
        <v>0</v>
      </c>
      <c r="AA1114" s="81">
        <f t="shared" si="253"/>
        <v>0</v>
      </c>
      <c r="AB1114" s="81">
        <f t="shared" si="253"/>
        <v>0</v>
      </c>
      <c r="AC1114" s="81">
        <f t="shared" si="253"/>
        <v>0</v>
      </c>
      <c r="AD1114" s="81">
        <f t="shared" si="253"/>
        <v>5274.7120800000002</v>
      </c>
      <c r="AE1114" s="81">
        <f t="shared" si="253"/>
        <v>3168.4431</v>
      </c>
      <c r="AF1114" s="192">
        <f t="shared" si="253"/>
        <v>2106.2689799999998</v>
      </c>
      <c r="AG1114" s="81">
        <f t="shared" si="253"/>
        <v>0</v>
      </c>
      <c r="AH1114" s="81">
        <f t="shared" si="253"/>
        <v>0</v>
      </c>
      <c r="AI1114" s="81">
        <f t="shared" si="253"/>
        <v>0</v>
      </c>
      <c r="AJ1114" s="81">
        <f t="shared" ref="AJ1114:BO1114" si="254">SUBTOTAL(9,AJ1095:AJ1113)</f>
        <v>0</v>
      </c>
      <c r="AK1114" s="81">
        <f t="shared" si="254"/>
        <v>0</v>
      </c>
      <c r="AL1114" s="81">
        <f t="shared" si="254"/>
        <v>0</v>
      </c>
      <c r="AM1114" s="81">
        <f t="shared" si="254"/>
        <v>0</v>
      </c>
      <c r="AN1114" s="81">
        <f t="shared" si="254"/>
        <v>0</v>
      </c>
      <c r="AO1114" s="81">
        <f t="shared" si="254"/>
        <v>108.16</v>
      </c>
      <c r="AP1114" s="81">
        <f t="shared" si="254"/>
        <v>3439.1643800000002</v>
      </c>
      <c r="AQ1114" s="81">
        <f t="shared" si="254"/>
        <v>4316.1737899999998</v>
      </c>
      <c r="AR1114" s="81">
        <f t="shared" si="254"/>
        <v>0</v>
      </c>
      <c r="AS1114" s="81">
        <f t="shared" si="254"/>
        <v>0</v>
      </c>
      <c r="AT1114" s="81">
        <f t="shared" si="254"/>
        <v>0</v>
      </c>
      <c r="AU1114" s="81">
        <f t="shared" si="254"/>
        <v>0</v>
      </c>
      <c r="AV1114" s="81">
        <f t="shared" si="254"/>
        <v>73315.519170000014</v>
      </c>
      <c r="AW1114" s="81">
        <f t="shared" si="254"/>
        <v>0</v>
      </c>
      <c r="AX1114" s="81">
        <f t="shared" si="254"/>
        <v>0</v>
      </c>
      <c r="AY1114" s="81">
        <f t="shared" si="254"/>
        <v>0</v>
      </c>
      <c r="AZ1114" s="81">
        <f t="shared" si="254"/>
        <v>18805.509889999994</v>
      </c>
      <c r="BA1114" s="81">
        <f t="shared" si="254"/>
        <v>17029.895779999999</v>
      </c>
      <c r="BB1114" s="81">
        <f t="shared" si="254"/>
        <v>0</v>
      </c>
      <c r="BC1114" s="81">
        <f t="shared" si="254"/>
        <v>0</v>
      </c>
      <c r="BD1114" s="81">
        <f t="shared" si="254"/>
        <v>0</v>
      </c>
      <c r="BE1114" s="81">
        <f t="shared" si="254"/>
        <v>0</v>
      </c>
      <c r="BF1114" s="81">
        <f t="shared" si="254"/>
        <v>0</v>
      </c>
      <c r="BG1114" s="81">
        <f t="shared" si="254"/>
        <v>1043.9395300000001</v>
      </c>
      <c r="BH1114" s="81">
        <f t="shared" si="254"/>
        <v>0</v>
      </c>
      <c r="BI1114" s="81">
        <f t="shared" si="254"/>
        <v>0</v>
      </c>
      <c r="BJ1114" s="81">
        <f t="shared" si="254"/>
        <v>0</v>
      </c>
      <c r="BK1114" s="81">
        <f t="shared" si="254"/>
        <v>287.79086000000001</v>
      </c>
      <c r="BL1114" s="81">
        <f t="shared" si="254"/>
        <v>0</v>
      </c>
      <c r="BM1114" s="81">
        <f t="shared" si="254"/>
        <v>0</v>
      </c>
      <c r="BN1114" s="81">
        <f t="shared" si="254"/>
        <v>0</v>
      </c>
      <c r="BO1114" s="81">
        <f t="shared" si="254"/>
        <v>0</v>
      </c>
      <c r="BP1114" s="81">
        <f t="shared" ref="BP1114:CU1114" si="255">SUBTOTAL(9,BP1095:BP1113)</f>
        <v>2917.6539300000004</v>
      </c>
      <c r="BQ1114" s="81">
        <f t="shared" si="255"/>
        <v>0</v>
      </c>
      <c r="BR1114" s="81">
        <f t="shared" si="255"/>
        <v>73850.54372999999</v>
      </c>
      <c r="BS1114" s="81">
        <f t="shared" si="255"/>
        <v>0</v>
      </c>
      <c r="BT1114" s="81">
        <f t="shared" si="255"/>
        <v>232</v>
      </c>
      <c r="BU1114" s="81">
        <f t="shared" si="255"/>
        <v>1607.3789999999999</v>
      </c>
      <c r="BV1114" s="81">
        <f t="shared" si="255"/>
        <v>2850</v>
      </c>
      <c r="BW1114" s="81">
        <f t="shared" si="255"/>
        <v>150</v>
      </c>
      <c r="BX1114" s="81">
        <f t="shared" si="255"/>
        <v>0</v>
      </c>
      <c r="BY1114" s="81">
        <f t="shared" si="255"/>
        <v>0</v>
      </c>
      <c r="BZ1114" s="81">
        <f t="shared" si="255"/>
        <v>0</v>
      </c>
      <c r="CA1114" s="81">
        <f t="shared" si="255"/>
        <v>0</v>
      </c>
      <c r="CB1114" s="176"/>
      <c r="CC1114" s="176"/>
      <c r="CD1114" s="176"/>
      <c r="CE1114" s="176"/>
      <c r="CF1114" s="176"/>
      <c r="CG1114" s="176"/>
      <c r="CH1114" s="176"/>
      <c r="CI1114" s="176"/>
      <c r="CJ1114" s="176"/>
      <c r="CK1114" s="176"/>
      <c r="CL1114" s="176"/>
      <c r="CM1114" s="176"/>
      <c r="CN1114" s="176"/>
      <c r="CO1114" s="176"/>
      <c r="CP1114" s="176"/>
      <c r="CQ1114" s="176"/>
      <c r="CR1114" s="176"/>
      <c r="CS1114" s="176"/>
      <c r="CT1114" s="176"/>
      <c r="CU1114" s="176"/>
      <c r="CV1114" s="176"/>
      <c r="CW1114" s="176"/>
      <c r="CX1114" s="176"/>
      <c r="CY1114" s="176"/>
      <c r="CZ1114" s="176"/>
      <c r="DA1114" s="176"/>
      <c r="DB1114" s="176"/>
      <c r="DC1114" s="176"/>
      <c r="DD1114" s="176"/>
      <c r="DE1114" s="176"/>
      <c r="DF1114" s="176"/>
      <c r="DG1114" s="176"/>
      <c r="DH1114" s="176"/>
      <c r="DI1114" s="176"/>
      <c r="DJ1114" s="176"/>
      <c r="DK1114" s="176"/>
      <c r="DL1114" s="176"/>
      <c r="DM1114" s="176"/>
      <c r="DN1114" s="176"/>
      <c r="DO1114" s="176"/>
      <c r="DP1114" s="176"/>
      <c r="DQ1114" s="176"/>
      <c r="DR1114" s="176"/>
      <c r="DS1114" s="176"/>
      <c r="DT1114" s="176"/>
      <c r="DU1114" s="176"/>
      <c r="DV1114" s="176"/>
      <c r="DW1114" s="176"/>
      <c r="DX1114" s="176"/>
      <c r="DY1114" s="176"/>
      <c r="DZ1114" s="176"/>
      <c r="EA1114" s="176"/>
      <c r="EB1114" s="176"/>
      <c r="EC1114" s="176"/>
      <c r="ED1114" s="176"/>
      <c r="EE1114" s="176"/>
      <c r="EF1114" s="176"/>
      <c r="EG1114" s="176"/>
      <c r="EH1114" s="176"/>
      <c r="EI1114" s="176"/>
      <c r="EJ1114" s="176"/>
      <c r="EK1114" s="176"/>
      <c r="EL1114" s="176"/>
      <c r="EM1114" s="176"/>
      <c r="EN1114" s="176"/>
      <c r="EO1114" s="176"/>
      <c r="EP1114" s="176"/>
      <c r="EQ1114" s="176"/>
      <c r="ER1114" s="176"/>
      <c r="ES1114" s="176"/>
      <c r="ET1114" s="176"/>
      <c r="EU1114" s="176"/>
      <c r="EV1114" s="176"/>
      <c r="EW1114" s="176"/>
      <c r="EX1114" s="176"/>
      <c r="EY1114" s="176"/>
      <c r="EZ1114" s="176"/>
      <c r="FA1114" s="176"/>
      <c r="FB1114" s="176"/>
      <c r="FC1114" s="176"/>
      <c r="FD1114" s="176"/>
      <c r="FE1114" s="176"/>
      <c r="FF1114" s="176"/>
      <c r="FG1114" s="176"/>
      <c r="FH1114" s="176"/>
      <c r="FI1114" s="176"/>
      <c r="FJ1114" s="176"/>
      <c r="FK1114" s="176"/>
      <c r="FL1114" s="176"/>
      <c r="FM1114" s="176"/>
      <c r="FN1114" s="176"/>
      <c r="FO1114" s="176"/>
      <c r="FP1114" s="176"/>
      <c r="FQ1114" s="176"/>
      <c r="FR1114" s="176"/>
      <c r="FS1114" s="176"/>
      <c r="FT1114" s="176"/>
      <c r="FU1114" s="176"/>
      <c r="FV1114" s="176"/>
      <c r="FW1114" s="176"/>
      <c r="FX1114" s="176"/>
      <c r="FY1114" s="176"/>
      <c r="FZ1114" s="176"/>
      <c r="GA1114" s="176"/>
      <c r="GB1114" s="176"/>
      <c r="GC1114" s="176"/>
      <c r="GD1114" s="176"/>
      <c r="GE1114" s="176"/>
      <c r="GF1114" s="176"/>
      <c r="GG1114" s="176"/>
      <c r="GH1114" s="176"/>
      <c r="GI1114" s="176"/>
      <c r="GJ1114" s="176"/>
      <c r="GK1114" s="176"/>
      <c r="GL1114" s="176"/>
      <c r="GM1114" s="176"/>
      <c r="GN1114" s="176"/>
      <c r="GO1114" s="176"/>
      <c r="GP1114" s="176"/>
      <c r="GQ1114" s="176"/>
      <c r="GR1114" s="176"/>
      <c r="GS1114" s="176"/>
      <c r="GT1114" s="176"/>
      <c r="GU1114" s="176"/>
      <c r="GV1114" s="176"/>
      <c r="GW1114" s="176"/>
      <c r="GX1114" s="176"/>
      <c r="GY1114" s="176"/>
      <c r="GZ1114" s="176"/>
      <c r="HA1114" s="176"/>
      <c r="HB1114" s="176"/>
      <c r="HC1114" s="176"/>
      <c r="HD1114" s="176"/>
      <c r="HE1114" s="176"/>
      <c r="HF1114" s="176"/>
      <c r="HG1114" s="176"/>
      <c r="HH1114" s="176"/>
      <c r="HI1114" s="176"/>
      <c r="HJ1114" s="176"/>
      <c r="HK1114" s="176"/>
      <c r="HL1114" s="176"/>
      <c r="HM1114" s="176"/>
      <c r="HN1114" s="176"/>
      <c r="HO1114" s="176"/>
      <c r="HP1114" s="176"/>
      <c r="HQ1114" s="176"/>
      <c r="HR1114" s="176"/>
      <c r="HS1114" s="176"/>
      <c r="HT1114" s="176"/>
      <c r="HU1114" s="176"/>
      <c r="HV1114" s="176"/>
      <c r="HW1114" s="176"/>
      <c r="HX1114" s="176"/>
      <c r="HY1114" s="176"/>
      <c r="HZ1114" s="176"/>
      <c r="IA1114" s="176"/>
      <c r="IB1114" s="176"/>
      <c r="IC1114" s="176"/>
      <c r="ID1114" s="176"/>
      <c r="IE1114" s="176"/>
      <c r="IF1114" s="176"/>
      <c r="IG1114" s="176"/>
      <c r="IH1114" s="176"/>
      <c r="II1114" s="176"/>
      <c r="IJ1114" s="176"/>
      <c r="IK1114" s="176"/>
      <c r="IL1114" s="176"/>
      <c r="IM1114" s="176"/>
      <c r="IN1114" s="176"/>
      <c r="IO1114" s="176"/>
      <c r="IP1114" s="176"/>
      <c r="IQ1114" s="176"/>
      <c r="IR1114" s="176"/>
      <c r="IS1114" s="176"/>
      <c r="IT1114" s="176"/>
      <c r="IU1114" s="176"/>
      <c r="IV1114" s="176"/>
      <c r="IW1114" s="176"/>
      <c r="IX1114" s="176"/>
      <c r="IY1114" s="176"/>
      <c r="IZ1114" s="176"/>
      <c r="JA1114" s="176"/>
      <c r="JB1114" s="176"/>
      <c r="JC1114" s="176"/>
      <c r="JD1114" s="176"/>
      <c r="JE1114" s="176"/>
      <c r="JF1114" s="176"/>
      <c r="JG1114" s="176"/>
      <c r="JH1114" s="176"/>
      <c r="JI1114" s="176"/>
      <c r="JJ1114" s="176"/>
      <c r="JK1114" s="176"/>
      <c r="JL1114" s="176"/>
      <c r="JM1114" s="176"/>
      <c r="JN1114" s="176"/>
      <c r="JO1114" s="176"/>
      <c r="JP1114" s="176"/>
      <c r="JQ1114" s="176"/>
      <c r="JR1114" s="176"/>
      <c r="JS1114" s="176"/>
      <c r="JT1114" s="176"/>
      <c r="JU1114" s="176"/>
      <c r="JV1114" s="176"/>
      <c r="JW1114" s="131"/>
      <c r="JX1114" s="131"/>
      <c r="JY1114" s="131"/>
      <c r="JZ1114" s="131"/>
      <c r="KA1114" s="131"/>
      <c r="KB1114" s="131"/>
      <c r="KC1114" s="131"/>
      <c r="KD1114" s="131"/>
      <c r="KE1114" s="131"/>
      <c r="KF1114" s="131"/>
      <c r="KG1114" s="131"/>
      <c r="KH1114" s="131"/>
      <c r="KI1114" s="131"/>
      <c r="KJ1114" s="131"/>
      <c r="KK1114" s="131"/>
      <c r="KL1114" s="131"/>
      <c r="KM1114" s="131"/>
      <c r="KN1114" s="131"/>
      <c r="KO1114" s="131"/>
      <c r="KP1114" s="131"/>
      <c r="KQ1114" s="131"/>
      <c r="KR1114" s="131"/>
      <c r="KS1114" s="131"/>
      <c r="KT1114" s="131"/>
      <c r="KU1114" s="131"/>
      <c r="KV1114" s="131"/>
      <c r="KW1114" s="131"/>
      <c r="KX1114" s="131"/>
      <c r="KY1114" s="131"/>
      <c r="KZ1114" s="131"/>
      <c r="LA1114" s="131"/>
      <c r="LB1114" s="131"/>
      <c r="LC1114" s="131"/>
      <c r="LD1114" s="131"/>
      <c r="LE1114" s="131"/>
      <c r="LF1114" s="131"/>
      <c r="LG1114" s="131"/>
      <c r="LH1114" s="131"/>
      <c r="LI1114" s="131"/>
      <c r="LJ1114" s="131"/>
      <c r="LK1114" s="131"/>
      <c r="LL1114" s="131"/>
      <c r="LM1114" s="131"/>
      <c r="LN1114" s="131"/>
      <c r="LO1114" s="131"/>
      <c r="LP1114" s="131"/>
      <c r="LQ1114" s="131"/>
      <c r="LR1114" s="131"/>
      <c r="LS1114" s="131"/>
      <c r="LT1114" s="131"/>
      <c r="LU1114" s="131"/>
      <c r="LV1114" s="131"/>
      <c r="LW1114" s="131"/>
      <c r="LX1114" s="131"/>
      <c r="LY1114" s="131"/>
      <c r="LZ1114" s="131"/>
      <c r="MA1114" s="131"/>
      <c r="MB1114" s="131"/>
      <c r="MC1114" s="131"/>
      <c r="MD1114" s="131"/>
      <c r="ME1114" s="131"/>
      <c r="MF1114" s="131"/>
      <c r="MG1114" s="131"/>
      <c r="MH1114" s="131"/>
      <c r="MI1114" s="131"/>
      <c r="MJ1114" s="131"/>
      <c r="MK1114" s="131"/>
      <c r="ML1114" s="131"/>
      <c r="MM1114" s="131"/>
      <c r="MN1114" s="131"/>
      <c r="MO1114" s="131"/>
      <c r="MP1114" s="131"/>
      <c r="MQ1114" s="131"/>
      <c r="MR1114" s="131"/>
      <c r="MS1114" s="131"/>
      <c r="MT1114" s="131"/>
      <c r="MU1114" s="131"/>
      <c r="MV1114" s="131"/>
      <c r="MW1114" s="131"/>
      <c r="MX1114" s="131"/>
      <c r="MY1114" s="131"/>
      <c r="MZ1114" s="131"/>
      <c r="NA1114" s="131"/>
      <c r="NB1114" s="131"/>
      <c r="NC1114" s="131"/>
      <c r="ND1114" s="131"/>
      <c r="NE1114" s="131"/>
      <c r="NF1114" s="131"/>
      <c r="NG1114" s="131"/>
      <c r="NH1114" s="131"/>
      <c r="NI1114" s="131"/>
      <c r="NJ1114" s="131"/>
      <c r="NK1114" s="131"/>
      <c r="NL1114" s="131"/>
      <c r="NM1114" s="131"/>
      <c r="NN1114" s="131"/>
      <c r="NO1114" s="131"/>
      <c r="NP1114" s="131"/>
      <c r="NQ1114" s="131"/>
      <c r="NR1114" s="131"/>
      <c r="NS1114" s="131"/>
      <c r="NT1114" s="131"/>
      <c r="NU1114" s="131"/>
      <c r="NV1114" s="131"/>
      <c r="NW1114" s="131"/>
      <c r="NX1114" s="131"/>
      <c r="NY1114" s="131"/>
      <c r="NZ1114" s="131"/>
      <c r="OA1114" s="131"/>
      <c r="OB1114" s="131"/>
      <c r="OC1114" s="131"/>
      <c r="OD1114" s="131"/>
      <c r="OE1114" s="131"/>
      <c r="OF1114" s="131"/>
      <c r="OG1114" s="131"/>
      <c r="OH1114" s="131"/>
      <c r="OI1114" s="131"/>
      <c r="OJ1114" s="131"/>
      <c r="OK1114" s="131"/>
      <c r="OL1114" s="131"/>
      <c r="OM1114" s="131"/>
      <c r="ON1114" s="131"/>
      <c r="OO1114" s="131"/>
      <c r="OP1114" s="131"/>
      <c r="OQ1114" s="131"/>
      <c r="OR1114" s="131"/>
      <c r="OS1114" s="131"/>
      <c r="OT1114" s="131"/>
      <c r="OU1114" s="131"/>
      <c r="OV1114" s="131"/>
      <c r="OW1114" s="131"/>
      <c r="OX1114" s="131"/>
      <c r="OY1114" s="131"/>
      <c r="OZ1114" s="131"/>
      <c r="PA1114" s="131"/>
      <c r="PB1114" s="131"/>
      <c r="PC1114" s="131"/>
      <c r="PD1114" s="131"/>
      <c r="PE1114" s="131"/>
      <c r="PF1114" s="131"/>
      <c r="PG1114" s="131"/>
      <c r="PH1114" s="131"/>
      <c r="PI1114" s="131"/>
      <c r="PJ1114" s="131"/>
      <c r="PK1114" s="131"/>
      <c r="PL1114" s="131"/>
      <c r="PM1114" s="131"/>
      <c r="PN1114" s="131"/>
      <c r="PO1114" s="131"/>
      <c r="PP1114" s="131"/>
      <c r="PQ1114" s="131"/>
      <c r="PR1114" s="131"/>
      <c r="PS1114" s="131"/>
      <c r="PT1114" s="131"/>
      <c r="PU1114" s="131"/>
      <c r="PV1114" s="131"/>
      <c r="PW1114" s="131"/>
      <c r="PX1114" s="131"/>
      <c r="PY1114" s="131"/>
      <c r="PZ1114" s="131"/>
      <c r="QA1114" s="131"/>
      <c r="QB1114" s="131"/>
      <c r="QC1114" s="131"/>
      <c r="QD1114" s="131"/>
      <c r="QE1114" s="131"/>
      <c r="QF1114" s="131"/>
      <c r="QG1114" s="131"/>
      <c r="QH1114" s="131"/>
      <c r="QI1114" s="131"/>
      <c r="QJ1114" s="131"/>
      <c r="QK1114" s="131"/>
      <c r="QL1114" s="131"/>
      <c r="QM1114" s="131"/>
      <c r="QN1114" s="131"/>
      <c r="QO1114" s="131"/>
      <c r="QP1114" s="131"/>
      <c r="QQ1114" s="131"/>
      <c r="QR1114" s="131"/>
      <c r="QS1114" s="131"/>
      <c r="QT1114" s="131"/>
      <c r="QU1114" s="131"/>
      <c r="QV1114" s="131"/>
      <c r="QW1114" s="131"/>
      <c r="QX1114" s="131"/>
      <c r="QY1114" s="131"/>
      <c r="QZ1114" s="131"/>
      <c r="RA1114" s="131"/>
      <c r="RB1114" s="131"/>
      <c r="RC1114" s="131"/>
      <c r="RD1114" s="131"/>
      <c r="RE1114" s="131"/>
      <c r="RF1114" s="131"/>
      <c r="RG1114" s="131"/>
      <c r="RH1114" s="131"/>
      <c r="RI1114" s="131"/>
      <c r="RJ1114" s="131"/>
      <c r="RK1114" s="131"/>
      <c r="RL1114" s="131"/>
      <c r="RM1114" s="131"/>
      <c r="RN1114" s="131"/>
      <c r="RO1114" s="131"/>
      <c r="RP1114" s="131"/>
      <c r="RQ1114" s="131"/>
      <c r="RR1114" s="131"/>
      <c r="RS1114" s="131"/>
      <c r="RT1114" s="131"/>
      <c r="RU1114" s="131"/>
      <c r="RV1114" s="131"/>
      <c r="RW1114" s="131"/>
      <c r="RX1114" s="131"/>
      <c r="RY1114" s="131"/>
      <c r="RZ1114" s="131"/>
      <c r="SA1114" s="131"/>
      <c r="SB1114" s="131"/>
      <c r="SC1114" s="131"/>
      <c r="SD1114" s="131"/>
      <c r="SE1114" s="131"/>
      <c r="SF1114" s="131"/>
      <c r="SG1114" s="131"/>
      <c r="SH1114" s="131"/>
      <c r="SI1114" s="131"/>
      <c r="SJ1114" s="131"/>
      <c r="SK1114" s="131"/>
      <c r="SL1114" s="131"/>
      <c r="SM1114" s="131"/>
      <c r="SN1114" s="131"/>
      <c r="SO1114" s="131"/>
      <c r="SP1114" s="131"/>
      <c r="SQ1114" s="131"/>
      <c r="SR1114" s="131"/>
      <c r="SS1114" s="131"/>
      <c r="ST1114" s="131"/>
      <c r="SU1114" s="131"/>
      <c r="SV1114" s="131"/>
      <c r="SW1114" s="131"/>
      <c r="SX1114" s="131"/>
      <c r="SY1114" s="131"/>
      <c r="SZ1114" s="131"/>
      <c r="TA1114" s="131"/>
      <c r="TB1114" s="131"/>
      <c r="TC1114" s="131"/>
      <c r="TD1114" s="131"/>
      <c r="TE1114" s="131"/>
      <c r="TF1114" s="131"/>
      <c r="TG1114" s="131"/>
      <c r="TH1114" s="131"/>
      <c r="TI1114" s="131"/>
      <c r="TJ1114" s="131"/>
      <c r="TK1114" s="131"/>
      <c r="TL1114" s="131"/>
      <c r="TM1114" s="131"/>
      <c r="TN1114" s="131"/>
      <c r="TO1114" s="131"/>
      <c r="TP1114" s="131"/>
      <c r="TQ1114" s="131"/>
      <c r="TR1114" s="131"/>
      <c r="TS1114" s="131"/>
      <c r="TT1114" s="131"/>
      <c r="TU1114" s="131"/>
      <c r="TV1114" s="131"/>
      <c r="TW1114" s="131"/>
      <c r="TX1114" s="131"/>
      <c r="TY1114" s="131"/>
      <c r="TZ1114" s="131"/>
      <c r="UA1114" s="131"/>
      <c r="UB1114" s="131"/>
      <c r="UC1114" s="131"/>
      <c r="UD1114" s="131"/>
      <c r="UE1114" s="131"/>
      <c r="UF1114" s="131"/>
      <c r="UG1114" s="131"/>
      <c r="UH1114" s="131"/>
      <c r="UI1114" s="131"/>
      <c r="UJ1114" s="131"/>
      <c r="UK1114" s="131"/>
      <c r="UL1114" s="131"/>
      <c r="UM1114" s="131"/>
      <c r="UN1114" s="131"/>
      <c r="UO1114" s="131"/>
      <c r="UP1114" s="131"/>
      <c r="UQ1114" s="131"/>
      <c r="UR1114" s="131"/>
      <c r="US1114" s="131"/>
      <c r="UT1114" s="131"/>
      <c r="UU1114" s="131"/>
      <c r="UV1114" s="131"/>
      <c r="UW1114" s="131"/>
      <c r="UX1114" s="131"/>
      <c r="UY1114" s="131"/>
      <c r="UZ1114" s="131"/>
      <c r="VA1114" s="131"/>
      <c r="VB1114" s="131"/>
      <c r="VC1114" s="131"/>
      <c r="VD1114" s="131"/>
      <c r="VE1114" s="131"/>
      <c r="VF1114" s="131"/>
      <c r="VG1114" s="131"/>
      <c r="VH1114" s="131"/>
      <c r="VI1114" s="131"/>
      <c r="VJ1114" s="131"/>
      <c r="VK1114" s="131"/>
      <c r="VL1114" s="131"/>
      <c r="VM1114" s="131"/>
      <c r="VN1114" s="131"/>
      <c r="VO1114" s="131"/>
      <c r="VP1114" s="131"/>
      <c r="VQ1114" s="131"/>
      <c r="VR1114" s="131"/>
      <c r="VS1114" s="131"/>
      <c r="VT1114" s="131"/>
      <c r="VU1114" s="131"/>
      <c r="VV1114" s="131"/>
      <c r="VW1114" s="131"/>
      <c r="VX1114" s="131"/>
      <c r="VY1114" s="131"/>
      <c r="VZ1114" s="131"/>
      <c r="WA1114" s="131"/>
      <c r="WB1114" s="131"/>
      <c r="WC1114" s="131"/>
      <c r="WD1114" s="131"/>
      <c r="WE1114" s="131"/>
      <c r="WF1114" s="131"/>
      <c r="WG1114" s="131"/>
      <c r="WH1114" s="131"/>
      <c r="WI1114" s="131"/>
      <c r="WJ1114" s="131"/>
      <c r="WK1114" s="131"/>
      <c r="WL1114" s="131"/>
      <c r="WM1114" s="131"/>
      <c r="WN1114" s="131"/>
      <c r="WO1114" s="131"/>
      <c r="WP1114" s="131"/>
      <c r="WQ1114" s="131"/>
      <c r="WR1114" s="131"/>
      <c r="WS1114" s="131"/>
      <c r="WT1114" s="131"/>
      <c r="WU1114" s="131"/>
      <c r="WV1114" s="131"/>
      <c r="WW1114" s="131"/>
      <c r="WX1114" s="131"/>
      <c r="WY1114" s="131"/>
      <c r="WZ1114" s="131"/>
      <c r="XA1114" s="131"/>
      <c r="XB1114" s="131"/>
      <c r="XC1114" s="131"/>
      <c r="XD1114" s="131"/>
      <c r="XE1114" s="131"/>
      <c r="XF1114" s="131"/>
      <c r="XG1114" s="131"/>
      <c r="XH1114" s="131"/>
      <c r="XI1114" s="131"/>
      <c r="XJ1114" s="131"/>
      <c r="XK1114" s="131"/>
      <c r="XL1114" s="131"/>
      <c r="XM1114" s="131"/>
      <c r="XN1114" s="131"/>
      <c r="XO1114" s="131"/>
      <c r="XP1114" s="131"/>
      <c r="XQ1114" s="131"/>
      <c r="XR1114" s="131"/>
      <c r="XS1114" s="131"/>
      <c r="XT1114" s="131"/>
      <c r="XU1114" s="131"/>
      <c r="XV1114" s="131"/>
      <c r="XW1114" s="131"/>
      <c r="XX1114" s="131"/>
      <c r="XY1114" s="131"/>
      <c r="XZ1114" s="131"/>
      <c r="YA1114" s="131"/>
      <c r="YB1114" s="131"/>
      <c r="YC1114" s="131"/>
      <c r="YD1114" s="131"/>
      <c r="YE1114" s="131"/>
      <c r="YF1114" s="131"/>
      <c r="YG1114" s="131"/>
      <c r="YH1114" s="131"/>
      <c r="YI1114" s="131"/>
      <c r="YJ1114" s="131"/>
      <c r="YK1114" s="131"/>
      <c r="YL1114" s="131"/>
      <c r="YM1114" s="131"/>
      <c r="YN1114" s="131"/>
      <c r="YO1114" s="131"/>
      <c r="YP1114" s="131"/>
      <c r="YQ1114" s="131"/>
      <c r="YR1114" s="131"/>
      <c r="YS1114" s="131"/>
      <c r="YT1114" s="131"/>
      <c r="YU1114" s="131"/>
      <c r="YV1114" s="131"/>
      <c r="YW1114" s="131"/>
      <c r="YX1114" s="131"/>
      <c r="YY1114" s="131"/>
      <c r="YZ1114" s="131"/>
      <c r="ZA1114" s="131"/>
      <c r="ZB1114" s="131"/>
      <c r="ZC1114" s="131"/>
      <c r="ZD1114" s="131"/>
      <c r="ZE1114" s="131"/>
      <c r="ZF1114" s="131"/>
      <c r="ZG1114" s="131"/>
      <c r="ZH1114" s="131"/>
      <c r="ZI1114" s="131"/>
      <c r="ZJ1114" s="131"/>
      <c r="ZK1114" s="131"/>
      <c r="ZL1114" s="131"/>
      <c r="ZM1114" s="131"/>
      <c r="ZN1114" s="131"/>
      <c r="ZO1114" s="131"/>
      <c r="ZP1114" s="131"/>
      <c r="ZQ1114" s="131"/>
      <c r="ZR1114" s="131"/>
      <c r="ZS1114" s="131"/>
      <c r="ZT1114" s="131"/>
      <c r="ZU1114" s="131"/>
      <c r="ZV1114" s="131"/>
      <c r="ZW1114" s="131"/>
      <c r="ZX1114" s="131"/>
      <c r="ZY1114" s="131"/>
      <c r="ZZ1114" s="131"/>
      <c r="AAA1114" s="131"/>
      <c r="AAB1114" s="131"/>
      <c r="AAC1114" s="131"/>
      <c r="AAD1114" s="131"/>
      <c r="AAE1114" s="131"/>
      <c r="AAF1114" s="131"/>
      <c r="AAG1114" s="131"/>
      <c r="AAH1114" s="131"/>
      <c r="AAI1114" s="131"/>
      <c r="AAJ1114" s="131"/>
      <c r="AAK1114" s="131"/>
      <c r="AAL1114" s="131"/>
      <c r="AAM1114" s="131"/>
      <c r="AAN1114" s="131"/>
      <c r="AAO1114" s="131"/>
      <c r="AAP1114" s="131"/>
      <c r="AAQ1114" s="131"/>
      <c r="AAR1114" s="131"/>
      <c r="AAS1114" s="131"/>
      <c r="AAT1114" s="131"/>
      <c r="AAU1114" s="131"/>
      <c r="AAV1114" s="131"/>
      <c r="AAW1114" s="131"/>
      <c r="AAX1114" s="131"/>
      <c r="AAY1114" s="131"/>
      <c r="AAZ1114" s="131"/>
      <c r="ABA1114" s="131"/>
      <c r="ABB1114" s="131"/>
      <c r="ABC1114" s="131"/>
      <c r="ABD1114" s="131"/>
      <c r="ABE1114" s="131"/>
      <c r="ABF1114" s="131"/>
      <c r="ABG1114" s="131"/>
      <c r="ABH1114" s="131"/>
      <c r="ABI1114" s="131"/>
      <c r="ABJ1114" s="131"/>
      <c r="ABK1114" s="131"/>
      <c r="ABL1114" s="131"/>
      <c r="ABM1114" s="131"/>
      <c r="ABN1114" s="131"/>
      <c r="ABO1114" s="131"/>
      <c r="ABP1114" s="131"/>
      <c r="ABQ1114" s="131"/>
      <c r="ABR1114" s="131"/>
      <c r="ABS1114" s="131"/>
      <c r="ABT1114" s="131"/>
      <c r="ABU1114" s="131"/>
      <c r="ABV1114" s="131"/>
      <c r="ABW1114" s="131"/>
      <c r="ABX1114" s="131"/>
      <c r="ABY1114" s="131"/>
      <c r="ABZ1114" s="131"/>
      <c r="ACA1114" s="131"/>
      <c r="ACB1114" s="131"/>
      <c r="ACC1114" s="131"/>
      <c r="ACD1114" s="131"/>
      <c r="ACE1114" s="131"/>
      <c r="ACF1114" s="131"/>
      <c r="ACG1114" s="131"/>
      <c r="ACH1114" s="131"/>
      <c r="ACI1114" s="131"/>
      <c r="ACJ1114" s="131"/>
      <c r="ACK1114" s="131"/>
      <c r="ACL1114" s="131"/>
      <c r="ACM1114" s="131"/>
      <c r="ACN1114" s="131"/>
      <c r="ACO1114" s="131"/>
      <c r="ACP1114" s="131"/>
      <c r="ACQ1114" s="131"/>
      <c r="ACR1114" s="131"/>
      <c r="ACS1114" s="131"/>
      <c r="ACT1114" s="131"/>
      <c r="ACU1114" s="131"/>
      <c r="ACV1114" s="131"/>
      <c r="ACW1114" s="131"/>
      <c r="ACX1114" s="131"/>
      <c r="ACY1114" s="131"/>
      <c r="ACZ1114" s="131"/>
      <c r="ADA1114" s="131"/>
      <c r="ADB1114" s="131"/>
      <c r="ADC1114" s="131"/>
      <c r="ADD1114" s="131"/>
      <c r="ADE1114" s="131"/>
      <c r="ADF1114" s="131"/>
      <c r="ADG1114" s="131"/>
      <c r="ADH1114" s="131"/>
      <c r="ADI1114" s="131"/>
      <c r="ADJ1114" s="131"/>
      <c r="ADK1114" s="131"/>
      <c r="ADL1114" s="131"/>
      <c r="ADM1114" s="131"/>
      <c r="ADN1114" s="131"/>
      <c r="ADO1114" s="131"/>
      <c r="ADP1114" s="131"/>
      <c r="ADQ1114" s="131"/>
      <c r="ADR1114" s="131"/>
      <c r="ADS1114" s="131"/>
      <c r="ADT1114" s="131"/>
      <c r="ADU1114" s="131"/>
      <c r="ADV1114" s="131"/>
      <c r="ADW1114" s="131"/>
      <c r="ADX1114" s="131"/>
      <c r="ADY1114" s="131"/>
      <c r="ADZ1114" s="131"/>
      <c r="AEA1114" s="131"/>
      <c r="AEB1114" s="131"/>
      <c r="AEC1114" s="131"/>
      <c r="AED1114" s="131"/>
      <c r="AEE1114" s="131"/>
      <c r="AEF1114" s="131"/>
      <c r="AEG1114" s="131"/>
      <c r="AEH1114" s="131"/>
      <c r="AEI1114" s="131"/>
      <c r="AEJ1114" s="131"/>
      <c r="AEK1114" s="131"/>
      <c r="AEL1114" s="131"/>
      <c r="AEM1114" s="131"/>
      <c r="AEN1114" s="131"/>
      <c r="AEO1114" s="131"/>
      <c r="AEP1114" s="131"/>
      <c r="AEQ1114" s="131"/>
      <c r="AER1114" s="131"/>
      <c r="AES1114" s="131"/>
      <c r="AET1114" s="131"/>
      <c r="AEU1114" s="131"/>
      <c r="AEV1114" s="131"/>
      <c r="AEW1114" s="131"/>
      <c r="AEX1114" s="131"/>
      <c r="AEY1114" s="131"/>
      <c r="AEZ1114" s="131"/>
      <c r="AFA1114" s="131"/>
      <c r="AFB1114" s="131"/>
      <c r="AFC1114" s="131"/>
      <c r="AFD1114" s="131"/>
      <c r="AFE1114" s="131"/>
      <c r="AFF1114" s="131"/>
      <c r="AFG1114" s="131"/>
      <c r="AFH1114" s="131"/>
      <c r="AFI1114" s="131"/>
      <c r="AFJ1114" s="131"/>
      <c r="AFK1114" s="131"/>
      <c r="AFL1114" s="131"/>
      <c r="AFM1114" s="131"/>
      <c r="AFN1114" s="131"/>
      <c r="AFO1114" s="131"/>
      <c r="AFP1114" s="131"/>
      <c r="AFQ1114" s="131"/>
      <c r="AFR1114" s="131"/>
      <c r="AFS1114" s="131"/>
      <c r="AFT1114" s="131"/>
      <c r="AFU1114" s="131"/>
      <c r="AFV1114" s="131"/>
      <c r="AFW1114" s="131"/>
      <c r="AFX1114" s="131"/>
      <c r="AFY1114" s="131"/>
      <c r="AFZ1114" s="131"/>
      <c r="AGA1114" s="131"/>
      <c r="AGB1114" s="131"/>
      <c r="AGC1114" s="131"/>
      <c r="AGD1114" s="131"/>
      <c r="AGE1114" s="131"/>
      <c r="AGF1114" s="131"/>
      <c r="AGG1114" s="131"/>
      <c r="AGH1114" s="131"/>
      <c r="AGI1114" s="131"/>
      <c r="AGJ1114" s="131"/>
      <c r="AGK1114" s="131"/>
      <c r="AGL1114" s="131"/>
      <c r="AGM1114" s="131"/>
      <c r="AGN1114" s="131"/>
      <c r="AGO1114" s="131"/>
      <c r="AGP1114" s="131"/>
      <c r="AGQ1114" s="131"/>
      <c r="AGR1114" s="131"/>
      <c r="AGS1114" s="131"/>
      <c r="AGT1114" s="131"/>
      <c r="AGU1114" s="131"/>
      <c r="AGV1114" s="131"/>
      <c r="AGW1114" s="131"/>
      <c r="AGX1114" s="131"/>
      <c r="AGY1114" s="131"/>
      <c r="AGZ1114" s="131"/>
      <c r="AHA1114" s="131"/>
      <c r="AHB1114" s="131"/>
      <c r="AHC1114" s="131"/>
      <c r="AHD1114" s="131"/>
      <c r="AHE1114" s="131"/>
      <c r="AHF1114" s="131"/>
      <c r="AHG1114" s="131"/>
      <c r="AHH1114" s="131"/>
      <c r="AHI1114" s="131"/>
      <c r="AHJ1114" s="131"/>
      <c r="AHK1114" s="131"/>
      <c r="AHL1114" s="131"/>
      <c r="AHM1114" s="131"/>
      <c r="AHN1114" s="131"/>
      <c r="AHO1114" s="131"/>
      <c r="AHP1114" s="131"/>
      <c r="AHQ1114" s="131"/>
      <c r="AHR1114" s="131"/>
      <c r="AHS1114" s="131"/>
      <c r="AHT1114" s="131"/>
      <c r="AHU1114" s="131"/>
      <c r="AHV1114" s="131"/>
      <c r="AHW1114" s="131"/>
      <c r="AHX1114" s="131"/>
      <c r="AHY1114" s="131"/>
      <c r="AHZ1114" s="131"/>
      <c r="AIA1114" s="131"/>
      <c r="AIB1114" s="131"/>
      <c r="AIC1114" s="131"/>
      <c r="AID1114" s="131"/>
      <c r="AIE1114" s="131"/>
      <c r="AIF1114" s="131"/>
      <c r="AIG1114" s="131"/>
      <c r="AIH1114" s="131"/>
      <c r="AII1114" s="131"/>
      <c r="AIJ1114" s="131"/>
      <c r="AIK1114" s="131"/>
      <c r="AIL1114" s="131"/>
      <c r="AIM1114" s="131"/>
      <c r="AIN1114" s="131"/>
      <c r="AIO1114" s="131"/>
      <c r="AIP1114" s="131"/>
      <c r="AIQ1114" s="131"/>
      <c r="AIR1114" s="131"/>
      <c r="AIS1114" s="131"/>
      <c r="AIT1114" s="131"/>
      <c r="AIU1114" s="131"/>
      <c r="AIV1114" s="131"/>
      <c r="AIW1114" s="131"/>
      <c r="AIX1114" s="131"/>
      <c r="AIY1114" s="131"/>
      <c r="AIZ1114" s="131"/>
      <c r="AJA1114" s="131"/>
      <c r="AJB1114" s="131"/>
      <c r="AJC1114" s="131"/>
      <c r="AJD1114" s="131"/>
      <c r="AJE1114" s="131"/>
      <c r="AJF1114" s="131"/>
      <c r="AJG1114" s="131"/>
      <c r="AJH1114" s="131"/>
      <c r="AJI1114" s="131"/>
      <c r="AJJ1114" s="131"/>
      <c r="AJK1114" s="131"/>
      <c r="AJL1114" s="131"/>
      <c r="AJM1114" s="131"/>
      <c r="AJN1114" s="131"/>
      <c r="AJO1114" s="131"/>
      <c r="AJP1114" s="131"/>
      <c r="AJQ1114" s="131"/>
      <c r="AJR1114" s="131"/>
      <c r="AJS1114" s="131"/>
      <c r="AJT1114" s="131"/>
      <c r="AJU1114" s="131"/>
      <c r="AJV1114" s="131"/>
      <c r="AJW1114" s="131"/>
      <c r="AJX1114" s="131"/>
      <c r="AJY1114" s="131"/>
      <c r="AJZ1114" s="131"/>
      <c r="AKA1114" s="131"/>
      <c r="AKB1114" s="131"/>
      <c r="AKC1114" s="131"/>
      <c r="AKD1114" s="131"/>
      <c r="AKE1114" s="131"/>
      <c r="AKF1114" s="131"/>
      <c r="AKG1114" s="131"/>
      <c r="AKH1114" s="131"/>
      <c r="AKI1114" s="131"/>
      <c r="AKJ1114" s="131"/>
      <c r="AKK1114" s="131"/>
      <c r="AKL1114" s="131"/>
      <c r="AKM1114" s="131"/>
      <c r="AKN1114" s="131"/>
      <c r="AKO1114" s="131"/>
      <c r="AKP1114" s="131"/>
      <c r="AKQ1114" s="131"/>
      <c r="AKR1114" s="131"/>
      <c r="AKS1114" s="131"/>
      <c r="AKT1114" s="131"/>
      <c r="AKU1114" s="131"/>
      <c r="AKV1114" s="131"/>
      <c r="AKW1114" s="131"/>
      <c r="AKX1114" s="131"/>
      <c r="AKY1114" s="131"/>
      <c r="AKZ1114" s="131"/>
      <c r="ALA1114" s="131"/>
      <c r="ALB1114" s="131"/>
      <c r="ALC1114" s="131"/>
      <c r="ALD1114" s="131"/>
      <c r="ALE1114" s="131"/>
      <c r="ALF1114" s="131"/>
      <c r="ALG1114" s="131"/>
      <c r="ALH1114" s="131"/>
      <c r="ALI1114" s="131"/>
      <c r="ALJ1114" s="131"/>
      <c r="ALK1114" s="131"/>
      <c r="ALL1114" s="131"/>
      <c r="ALM1114" s="131"/>
      <c r="ALN1114" s="131"/>
      <c r="ALO1114" s="131"/>
      <c r="ALP1114" s="131"/>
      <c r="ALQ1114" s="131"/>
      <c r="ALR1114" s="131"/>
      <c r="ALS1114" s="131"/>
      <c r="ALT1114" s="131"/>
      <c r="ALU1114" s="131"/>
      <c r="ALV1114" s="131"/>
      <c r="ALW1114" s="131"/>
      <c r="ALX1114" s="131"/>
      <c r="ALY1114" s="131"/>
      <c r="ALZ1114" s="131"/>
      <c r="AMA1114" s="131"/>
      <c r="AMB1114" s="131"/>
      <c r="AMC1114" s="131"/>
      <c r="AMD1114" s="131"/>
      <c r="AME1114" s="131"/>
      <c r="AMF1114" s="131"/>
      <c r="AMG1114" s="131"/>
      <c r="AMH1114" s="131"/>
      <c r="AMI1114" s="131"/>
      <c r="AMJ1114" s="131"/>
      <c r="AMK1114" s="131"/>
      <c r="AML1114" s="131"/>
      <c r="AMM1114" s="131"/>
      <c r="AMN1114" s="131"/>
      <c r="AMO1114" s="131"/>
      <c r="AMP1114" s="131"/>
      <c r="AMQ1114" s="131"/>
      <c r="AMR1114" s="131"/>
      <c r="AMS1114" s="131"/>
      <c r="AMT1114" s="131"/>
      <c r="AMU1114" s="131"/>
      <c r="AMV1114" s="131"/>
      <c r="AMW1114" s="131"/>
      <c r="AMX1114" s="131"/>
      <c r="AMY1114" s="131"/>
      <c r="AMZ1114" s="131"/>
      <c r="ANA1114" s="131"/>
      <c r="ANB1114" s="131"/>
      <c r="ANC1114" s="131"/>
      <c r="AND1114" s="131"/>
      <c r="ANE1114" s="131"/>
      <c r="ANF1114" s="131"/>
      <c r="ANG1114" s="131"/>
      <c r="ANH1114" s="131"/>
      <c r="ANI1114" s="131"/>
      <c r="ANJ1114" s="131"/>
      <c r="ANK1114" s="131"/>
      <c r="ANL1114" s="131"/>
      <c r="ANM1114" s="131"/>
      <c r="ANN1114" s="131"/>
      <c r="ANO1114" s="131"/>
      <c r="ANP1114" s="131"/>
      <c r="ANQ1114" s="131"/>
      <c r="ANR1114" s="131"/>
      <c r="ANS1114" s="131"/>
      <c r="ANT1114" s="131"/>
      <c r="ANU1114" s="131"/>
      <c r="ANV1114" s="131"/>
      <c r="ANW1114" s="131"/>
      <c r="ANX1114" s="131"/>
      <c r="ANY1114" s="131"/>
      <c r="ANZ1114" s="131"/>
      <c r="AOA1114" s="131"/>
      <c r="AOB1114" s="131"/>
      <c r="AOC1114" s="131"/>
      <c r="AOD1114" s="131"/>
      <c r="AOE1114" s="131"/>
      <c r="AOF1114" s="131"/>
      <c r="AOG1114" s="131"/>
      <c r="AOH1114" s="131"/>
      <c r="AOI1114" s="131"/>
      <c r="AOJ1114" s="131"/>
      <c r="AOK1114" s="131"/>
      <c r="AOL1114" s="131"/>
      <c r="AOM1114" s="131"/>
      <c r="AON1114" s="131"/>
      <c r="AOO1114" s="131"/>
      <c r="AOP1114" s="131"/>
      <c r="AOQ1114" s="131"/>
      <c r="AOR1114" s="131"/>
      <c r="AOS1114" s="131"/>
      <c r="AOT1114" s="131"/>
      <c r="AOU1114" s="131"/>
      <c r="AOV1114" s="131"/>
      <c r="AOW1114" s="131"/>
      <c r="AOX1114" s="131"/>
      <c r="AOY1114" s="131"/>
      <c r="AOZ1114" s="131"/>
      <c r="APA1114" s="131"/>
      <c r="APB1114" s="131"/>
      <c r="APC1114" s="131"/>
      <c r="APD1114" s="131"/>
      <c r="APE1114" s="131"/>
      <c r="APF1114" s="131"/>
      <c r="APG1114" s="131"/>
      <c r="APH1114" s="131"/>
      <c r="API1114" s="131"/>
      <c r="APJ1114" s="131"/>
      <c r="APK1114" s="131"/>
      <c r="APL1114" s="131"/>
      <c r="APM1114" s="131"/>
      <c r="APN1114" s="131"/>
      <c r="APO1114" s="131"/>
      <c r="APP1114" s="131"/>
      <c r="APQ1114" s="131"/>
      <c r="APR1114" s="131"/>
      <c r="APS1114" s="131"/>
      <c r="APT1114" s="131"/>
      <c r="APU1114" s="131"/>
      <c r="APV1114" s="131"/>
      <c r="APW1114" s="131"/>
      <c r="APX1114" s="131"/>
      <c r="APY1114" s="131"/>
      <c r="APZ1114" s="131"/>
      <c r="AQA1114" s="131"/>
      <c r="AQB1114" s="131"/>
      <c r="AQC1114" s="131"/>
      <c r="AQD1114" s="131"/>
      <c r="AQE1114" s="131"/>
      <c r="AQF1114" s="131"/>
      <c r="AQG1114" s="131"/>
      <c r="AQH1114" s="131"/>
      <c r="AQI1114" s="131"/>
      <c r="AQJ1114" s="131"/>
      <c r="AQK1114" s="131"/>
      <c r="AQL1114" s="131"/>
      <c r="AQM1114" s="131"/>
      <c r="AQN1114" s="131"/>
      <c r="AQO1114" s="131"/>
      <c r="AQP1114" s="131"/>
      <c r="AQQ1114" s="131"/>
      <c r="AQR1114" s="131"/>
      <c r="AQS1114" s="131"/>
      <c r="AQT1114" s="131"/>
      <c r="AQU1114" s="131"/>
      <c r="AQV1114" s="131"/>
      <c r="AQW1114" s="131"/>
      <c r="AQX1114" s="131"/>
      <c r="AQY1114" s="131"/>
      <c r="AQZ1114" s="131"/>
      <c r="ARA1114" s="131"/>
      <c r="ARB1114" s="131"/>
      <c r="ARC1114" s="131"/>
      <c r="ARD1114" s="131"/>
      <c r="ARE1114" s="131"/>
      <c r="ARF1114" s="131"/>
      <c r="ARG1114" s="131"/>
      <c r="ARH1114" s="131"/>
      <c r="ARI1114" s="131"/>
      <c r="ARJ1114" s="131"/>
      <c r="ARK1114" s="131"/>
      <c r="ARL1114" s="131"/>
      <c r="ARM1114" s="131"/>
      <c r="ARN1114" s="131"/>
      <c r="ARO1114" s="131"/>
      <c r="ARP1114" s="131"/>
      <c r="ARQ1114" s="131"/>
      <c r="ARR1114" s="131"/>
      <c r="ARS1114" s="131"/>
      <c r="ART1114" s="131"/>
      <c r="ARU1114" s="131"/>
      <c r="ARV1114" s="131"/>
      <c r="ARW1114" s="131"/>
      <c r="ARX1114" s="131"/>
      <c r="ARY1114" s="131"/>
      <c r="ARZ1114" s="131"/>
      <c r="ASA1114" s="131"/>
      <c r="ASB1114" s="131"/>
      <c r="ASC1114" s="131"/>
      <c r="ASD1114" s="131"/>
      <c r="ASE1114" s="131"/>
      <c r="ASF1114" s="131"/>
      <c r="ASG1114" s="131"/>
      <c r="ASH1114" s="131"/>
      <c r="ASI1114" s="131"/>
      <c r="ASJ1114" s="131"/>
      <c r="ASK1114" s="131"/>
      <c r="ASL1114" s="131"/>
      <c r="ASM1114" s="131"/>
      <c r="ASN1114" s="131"/>
      <c r="ASO1114" s="131"/>
      <c r="ASP1114" s="131"/>
      <c r="ASQ1114" s="131"/>
      <c r="ASR1114" s="131"/>
      <c r="ASS1114" s="131"/>
      <c r="AST1114" s="131"/>
      <c r="ASU1114" s="131"/>
      <c r="ASV1114" s="131"/>
      <c r="ASW1114" s="131"/>
      <c r="ASX1114" s="131"/>
      <c r="ASY1114" s="131"/>
      <c r="ASZ1114" s="131"/>
      <c r="ATA1114" s="131"/>
      <c r="ATB1114" s="131"/>
      <c r="ATC1114" s="131"/>
    </row>
    <row r="1115" spans="1:1199" ht="50.1" customHeight="1" outlineLevel="2" x14ac:dyDescent="0.3">
      <c r="A1115" s="106" t="s">
        <v>940</v>
      </c>
      <c r="B1115" s="96" t="s">
        <v>941</v>
      </c>
      <c r="C1115" s="79" t="s">
        <v>37</v>
      </c>
      <c r="D1115" s="81">
        <f t="shared" ref="D1115" si="256">E1115+F1115</f>
        <v>68225.695830000011</v>
      </c>
      <c r="E1115" s="82">
        <f t="shared" si="251"/>
        <v>20825.27952</v>
      </c>
      <c r="F1115" s="83">
        <f t="shared" si="252"/>
        <v>47400.416310000008</v>
      </c>
      <c r="G1115" s="84"/>
      <c r="H1115" s="85"/>
      <c r="I1115" s="85"/>
      <c r="J1115" s="84">
        <v>5.6845999999999997</v>
      </c>
      <c r="K1115" s="85">
        <v>0.77010999999999996</v>
      </c>
      <c r="L1115" s="85">
        <v>4508.5123599999997</v>
      </c>
      <c r="M1115" s="85"/>
      <c r="N1115" s="85"/>
      <c r="O1115" s="82"/>
      <c r="P1115" s="83"/>
      <c r="Q1115" s="83"/>
      <c r="R1115" s="83"/>
      <c r="S1115" s="82">
        <v>4868.8802900000001</v>
      </c>
      <c r="T1115" s="83">
        <v>4355.3162000000002</v>
      </c>
      <c r="U1115" s="83"/>
      <c r="V1115" s="84">
        <v>1252.6072999999999</v>
      </c>
      <c r="W1115" s="85">
        <v>3032.616</v>
      </c>
      <c r="X1115" s="87"/>
      <c r="Y1115" s="83">
        <v>374.4</v>
      </c>
      <c r="Z1115" s="84"/>
      <c r="AA1115" s="85">
        <v>628.54231000000004</v>
      </c>
      <c r="AB1115" s="84"/>
      <c r="AC1115" s="85"/>
      <c r="AD1115" s="89">
        <f t="shared" si="245"/>
        <v>2312.4951099999998</v>
      </c>
      <c r="AE1115" s="89">
        <f>131.4225+487.2987</f>
        <v>618.72119999999995</v>
      </c>
      <c r="AF1115" s="186">
        <f>1248.66509+104.60266+201.37891+139.12725</f>
        <v>1693.7739099999999</v>
      </c>
      <c r="AG1115" s="85"/>
      <c r="AH1115" s="85"/>
      <c r="AI1115" s="85"/>
      <c r="AJ1115" s="84"/>
      <c r="AK1115" s="85"/>
      <c r="AL1115" s="84"/>
      <c r="AM1115" s="88"/>
      <c r="AN1115" s="84"/>
      <c r="AO1115" s="85"/>
      <c r="AP1115" s="84">
        <v>4652.2491799999998</v>
      </c>
      <c r="AQ1115" s="83">
        <v>6666.4509500000004</v>
      </c>
      <c r="AR1115" s="83"/>
      <c r="AS1115" s="83"/>
      <c r="AT1115" s="85"/>
      <c r="AU1115" s="85"/>
      <c r="AV1115" s="85">
        <f>10135.37575+3415.87311</f>
        <v>13551.24886</v>
      </c>
      <c r="AW1115" s="88"/>
      <c r="AX1115" s="84"/>
      <c r="AY1115" s="85"/>
      <c r="AZ1115" s="84">
        <v>3473.7687299999998</v>
      </c>
      <c r="BA1115" s="85">
        <v>3145.7762299999999</v>
      </c>
      <c r="BB1115" s="88">
        <v>380.62619999999998</v>
      </c>
      <c r="BC1115" s="85"/>
      <c r="BD1115" s="84"/>
      <c r="BE1115" s="88"/>
      <c r="BF1115" s="85"/>
      <c r="BG1115" s="85">
        <v>8039.6351699999996</v>
      </c>
      <c r="BH1115" s="85"/>
      <c r="BI1115" s="85"/>
      <c r="BJ1115" s="85"/>
      <c r="BK1115" s="85">
        <v>404.02681000000001</v>
      </c>
      <c r="BL1115" s="85"/>
      <c r="BM1115" s="85"/>
      <c r="BN1115" s="85"/>
      <c r="BO1115" s="85"/>
      <c r="BP1115" s="85"/>
      <c r="BQ1115" s="85"/>
      <c r="BR1115" s="84">
        <v>6572.0894200000002</v>
      </c>
      <c r="BS1115" s="85"/>
      <c r="BT1115" s="85"/>
      <c r="BU1115" s="198"/>
      <c r="BV1115" s="90"/>
      <c r="BW1115" s="198"/>
      <c r="BX1115" s="90"/>
      <c r="BY1115" s="198"/>
      <c r="BZ1115" s="90"/>
      <c r="CA1115" s="91"/>
    </row>
    <row r="1116" spans="1:1199" ht="50.1" customHeight="1" outlineLevel="2" x14ac:dyDescent="0.3">
      <c r="A1116" s="103" t="s">
        <v>940</v>
      </c>
      <c r="B1116" s="102" t="s">
        <v>942</v>
      </c>
      <c r="C1116" s="79" t="s">
        <v>37</v>
      </c>
      <c r="D1116" s="81">
        <f t="shared" ref="D1116:D1141" si="257">E1116+F1116</f>
        <v>40362.355000000003</v>
      </c>
      <c r="E1116" s="82">
        <f t="shared" si="251"/>
        <v>0</v>
      </c>
      <c r="F1116" s="83">
        <f t="shared" si="252"/>
        <v>40362.355000000003</v>
      </c>
      <c r="G1116" s="84"/>
      <c r="H1116" s="85"/>
      <c r="I1116" s="85"/>
      <c r="J1116" s="84"/>
      <c r="K1116" s="85"/>
      <c r="L1116" s="209"/>
      <c r="M1116" s="85"/>
      <c r="N1116" s="85"/>
      <c r="O1116" s="82"/>
      <c r="P1116" s="83"/>
      <c r="Q1116" s="83"/>
      <c r="R1116" s="83"/>
      <c r="S1116" s="82"/>
      <c r="T1116" s="83"/>
      <c r="U1116" s="83"/>
      <c r="V1116" s="84"/>
      <c r="W1116" s="85"/>
      <c r="X1116" s="82"/>
      <c r="Y1116" s="83"/>
      <c r="Z1116" s="84"/>
      <c r="AA1116" s="85"/>
      <c r="AB1116" s="84"/>
      <c r="AC1116" s="85"/>
      <c r="AD1116" s="89">
        <f t="shared" si="245"/>
        <v>0</v>
      </c>
      <c r="AE1116" s="89"/>
      <c r="AF1116" s="186"/>
      <c r="AG1116" s="85"/>
      <c r="AH1116" s="85"/>
      <c r="AI1116" s="85"/>
      <c r="AJ1116" s="84"/>
      <c r="AK1116" s="85"/>
      <c r="AL1116" s="84"/>
      <c r="AM1116" s="88"/>
      <c r="AN1116" s="84"/>
      <c r="AO1116" s="85"/>
      <c r="AP1116" s="84"/>
      <c r="AQ1116" s="83"/>
      <c r="AR1116" s="83"/>
      <c r="AS1116" s="83"/>
      <c r="AT1116" s="85">
        <v>40362.355000000003</v>
      </c>
      <c r="AU1116" s="85"/>
      <c r="AV1116" s="85"/>
      <c r="AW1116" s="88"/>
      <c r="AX1116" s="84"/>
      <c r="AY1116" s="85"/>
      <c r="AZ1116" s="84"/>
      <c r="BA1116" s="85"/>
      <c r="BB1116" s="88"/>
      <c r="BC1116" s="85"/>
      <c r="BD1116" s="84"/>
      <c r="BE1116" s="88"/>
      <c r="BF1116" s="85"/>
      <c r="BG1116" s="85"/>
      <c r="BH1116" s="85"/>
      <c r="BI1116" s="85"/>
      <c r="BJ1116" s="85"/>
      <c r="BK1116" s="85"/>
      <c r="BL1116" s="85"/>
      <c r="BM1116" s="85"/>
      <c r="BN1116" s="85"/>
      <c r="BO1116" s="85"/>
      <c r="BP1116" s="85"/>
      <c r="BQ1116" s="85"/>
      <c r="BR1116" s="84"/>
      <c r="BS1116" s="85"/>
      <c r="BT1116" s="85"/>
      <c r="BU1116" s="198"/>
      <c r="BV1116" s="90"/>
      <c r="BW1116" s="198"/>
      <c r="BX1116" s="90"/>
      <c r="BY1116" s="198"/>
      <c r="BZ1116" s="90"/>
      <c r="CA1116" s="91"/>
    </row>
    <row r="1117" spans="1:1199" ht="50.1" customHeight="1" outlineLevel="2" x14ac:dyDescent="0.3">
      <c r="A1117" s="103" t="s">
        <v>940</v>
      </c>
      <c r="B1117" s="102" t="s">
        <v>943</v>
      </c>
      <c r="C1117" s="79" t="s">
        <v>37</v>
      </c>
      <c r="D1117" s="81">
        <f t="shared" si="257"/>
        <v>388.09859999999998</v>
      </c>
      <c r="E1117" s="82">
        <f t="shared" si="251"/>
        <v>0</v>
      </c>
      <c r="F1117" s="83">
        <f t="shared" si="252"/>
        <v>388.09859999999998</v>
      </c>
      <c r="G1117" s="84"/>
      <c r="H1117" s="85"/>
      <c r="I1117" s="85"/>
      <c r="J1117" s="84"/>
      <c r="K1117" s="85"/>
      <c r="L1117" s="209"/>
      <c r="M1117" s="85"/>
      <c r="N1117" s="85"/>
      <c r="O1117" s="82"/>
      <c r="P1117" s="83"/>
      <c r="Q1117" s="83"/>
      <c r="R1117" s="83"/>
      <c r="S1117" s="82"/>
      <c r="T1117" s="83"/>
      <c r="U1117" s="83"/>
      <c r="V1117" s="84"/>
      <c r="W1117" s="85"/>
      <c r="X1117" s="82"/>
      <c r="Y1117" s="83"/>
      <c r="Z1117" s="84"/>
      <c r="AA1117" s="85"/>
      <c r="AB1117" s="84"/>
      <c r="AC1117" s="85"/>
      <c r="AD1117" s="89">
        <f t="shared" si="245"/>
        <v>388.09859999999998</v>
      </c>
      <c r="AE1117" s="89"/>
      <c r="AF1117" s="186">
        <v>388.09859999999998</v>
      </c>
      <c r="AG1117" s="85"/>
      <c r="AH1117" s="85"/>
      <c r="AI1117" s="85"/>
      <c r="AJ1117" s="84"/>
      <c r="AK1117" s="85"/>
      <c r="AL1117" s="84"/>
      <c r="AM1117" s="88"/>
      <c r="AN1117" s="84"/>
      <c r="AO1117" s="85"/>
      <c r="AP1117" s="84"/>
      <c r="AQ1117" s="83"/>
      <c r="AR1117" s="83"/>
      <c r="AS1117" s="83"/>
      <c r="AT1117" s="85"/>
      <c r="AU1117" s="85"/>
      <c r="AV1117" s="85"/>
      <c r="AW1117" s="88"/>
      <c r="AX1117" s="84"/>
      <c r="AY1117" s="85"/>
      <c r="AZ1117" s="84"/>
      <c r="BA1117" s="85"/>
      <c r="BB1117" s="88"/>
      <c r="BC1117" s="85"/>
      <c r="BD1117" s="84"/>
      <c r="BE1117" s="88"/>
      <c r="BF1117" s="85"/>
      <c r="BG1117" s="85"/>
      <c r="BH1117" s="85"/>
      <c r="BI1117" s="85"/>
      <c r="BJ1117" s="85"/>
      <c r="BK1117" s="85"/>
      <c r="BL1117" s="85"/>
      <c r="BM1117" s="85"/>
      <c r="BN1117" s="85"/>
      <c r="BO1117" s="85"/>
      <c r="BP1117" s="85"/>
      <c r="BQ1117" s="85"/>
      <c r="BR1117" s="84"/>
      <c r="BS1117" s="85"/>
      <c r="BT1117" s="85"/>
      <c r="BU1117" s="198"/>
      <c r="BV1117" s="90"/>
      <c r="BW1117" s="198"/>
      <c r="BX1117" s="90"/>
      <c r="BY1117" s="198"/>
      <c r="BZ1117" s="90"/>
      <c r="CA1117" s="91"/>
    </row>
    <row r="1118" spans="1:1199" ht="50.1" customHeight="1" outlineLevel="2" x14ac:dyDescent="0.3">
      <c r="A1118" s="106" t="s">
        <v>940</v>
      </c>
      <c r="B1118" s="96" t="s">
        <v>944</v>
      </c>
      <c r="C1118" s="79" t="s">
        <v>37</v>
      </c>
      <c r="D1118" s="81">
        <f t="shared" si="257"/>
        <v>20.620829999999998</v>
      </c>
      <c r="E1118" s="82">
        <f t="shared" si="251"/>
        <v>0</v>
      </c>
      <c r="F1118" s="83">
        <f t="shared" si="252"/>
        <v>20.620829999999998</v>
      </c>
      <c r="G1118" s="84"/>
      <c r="H1118" s="85"/>
      <c r="I1118" s="85"/>
      <c r="J1118" s="84"/>
      <c r="K1118" s="85"/>
      <c r="L1118" s="209"/>
      <c r="M1118" s="85"/>
      <c r="N1118" s="85"/>
      <c r="O1118" s="82"/>
      <c r="P1118" s="83"/>
      <c r="Q1118" s="83"/>
      <c r="R1118" s="83"/>
      <c r="S1118" s="82"/>
      <c r="T1118" s="83"/>
      <c r="U1118" s="83"/>
      <c r="V1118" s="84"/>
      <c r="W1118" s="85"/>
      <c r="X1118" s="87"/>
      <c r="Y1118" s="83"/>
      <c r="Z1118" s="84"/>
      <c r="AA1118" s="85"/>
      <c r="AB1118" s="84"/>
      <c r="AC1118" s="85"/>
      <c r="AD1118" s="89">
        <f t="shared" si="245"/>
        <v>20.620829999999998</v>
      </c>
      <c r="AE1118" s="89">
        <v>8.5963999999999992</v>
      </c>
      <c r="AF1118" s="186">
        <f>3.26883+8.7556</f>
        <v>12.024429999999999</v>
      </c>
      <c r="AG1118" s="85"/>
      <c r="AH1118" s="85"/>
      <c r="AI1118" s="85"/>
      <c r="AJ1118" s="84"/>
      <c r="AK1118" s="85"/>
      <c r="AL1118" s="84"/>
      <c r="AM1118" s="88"/>
      <c r="AN1118" s="84"/>
      <c r="AO1118" s="85"/>
      <c r="AP1118" s="84"/>
      <c r="AQ1118" s="83"/>
      <c r="AR1118" s="83"/>
      <c r="AS1118" s="83"/>
      <c r="AT1118" s="85"/>
      <c r="AU1118" s="85"/>
      <c r="AV1118" s="85"/>
      <c r="AW1118" s="88"/>
      <c r="AX1118" s="84"/>
      <c r="AY1118" s="85"/>
      <c r="AZ1118" s="84"/>
      <c r="BA1118" s="85"/>
      <c r="BB1118" s="88"/>
      <c r="BC1118" s="85"/>
      <c r="BD1118" s="84"/>
      <c r="BE1118" s="88"/>
      <c r="BF1118" s="85"/>
      <c r="BG1118" s="85"/>
      <c r="BH1118" s="85"/>
      <c r="BI1118" s="85"/>
      <c r="BJ1118" s="85"/>
      <c r="BK1118" s="85"/>
      <c r="BL1118" s="85"/>
      <c r="BM1118" s="85"/>
      <c r="BN1118" s="85"/>
      <c r="BO1118" s="85"/>
      <c r="BP1118" s="85"/>
      <c r="BQ1118" s="85"/>
      <c r="BR1118" s="84"/>
      <c r="BS1118" s="85"/>
      <c r="BT1118" s="85"/>
      <c r="BU1118" s="198"/>
      <c r="BV1118" s="90"/>
      <c r="BW1118" s="198"/>
      <c r="BX1118" s="90"/>
      <c r="BY1118" s="198"/>
      <c r="BZ1118" s="90"/>
      <c r="CA1118" s="91"/>
    </row>
    <row r="1119" spans="1:1199" ht="50.1" customHeight="1" outlineLevel="2" x14ac:dyDescent="0.3">
      <c r="A1119" s="106" t="s">
        <v>940</v>
      </c>
      <c r="B1119" s="96" t="s">
        <v>945</v>
      </c>
      <c r="C1119" s="79" t="s">
        <v>37</v>
      </c>
      <c r="D1119" s="81">
        <f t="shared" si="257"/>
        <v>10153.79466</v>
      </c>
      <c r="E1119" s="82">
        <f t="shared" si="251"/>
        <v>2802.4576300000003</v>
      </c>
      <c r="F1119" s="83">
        <f t="shared" si="252"/>
        <v>7351.3370299999997</v>
      </c>
      <c r="G1119" s="84"/>
      <c r="H1119" s="85"/>
      <c r="I1119" s="85"/>
      <c r="J1119" s="84"/>
      <c r="K1119" s="85"/>
      <c r="L1119" s="85">
        <v>522.83285000000001</v>
      </c>
      <c r="M1119" s="85"/>
      <c r="N1119" s="85"/>
      <c r="O1119" s="82"/>
      <c r="P1119" s="83"/>
      <c r="Q1119" s="83"/>
      <c r="R1119" s="83"/>
      <c r="S1119" s="82">
        <v>749.54282000000001</v>
      </c>
      <c r="T1119" s="83">
        <v>683.53367000000003</v>
      </c>
      <c r="U1119" s="83"/>
      <c r="V1119" s="84"/>
      <c r="W1119" s="85"/>
      <c r="X1119" s="87"/>
      <c r="Y1119" s="83"/>
      <c r="Z1119" s="84"/>
      <c r="AA1119" s="85"/>
      <c r="AB1119" s="84"/>
      <c r="AC1119" s="85"/>
      <c r="AD1119" s="89">
        <f t="shared" si="245"/>
        <v>1149.1459599999998</v>
      </c>
      <c r="AE1119" s="89">
        <f>105.138+437.8626</f>
        <v>543.00059999999996</v>
      </c>
      <c r="AF1119" s="186">
        <f>94.79616+223.75435+287.59485</f>
        <v>606.14535999999998</v>
      </c>
      <c r="AG1119" s="85"/>
      <c r="AH1119" s="85"/>
      <c r="AI1119" s="85"/>
      <c r="AJ1119" s="84"/>
      <c r="AK1119" s="85"/>
      <c r="AL1119" s="84"/>
      <c r="AM1119" s="88"/>
      <c r="AN1119" s="84"/>
      <c r="AO1119" s="85">
        <v>599.04</v>
      </c>
      <c r="AP1119" s="84"/>
      <c r="AQ1119" s="83"/>
      <c r="AR1119" s="83"/>
      <c r="AS1119" s="83"/>
      <c r="AT1119" s="85"/>
      <c r="AU1119" s="85"/>
      <c r="AV1119" s="85">
        <f>198.98846+1923.50865</f>
        <v>2122.4971099999998</v>
      </c>
      <c r="AW1119" s="88"/>
      <c r="AX1119" s="84"/>
      <c r="AY1119" s="85"/>
      <c r="AZ1119" s="84">
        <v>2052.9148100000002</v>
      </c>
      <c r="BA1119" s="85">
        <v>1859.0792100000001</v>
      </c>
      <c r="BB1119" s="88">
        <v>415.20823000000001</v>
      </c>
      <c r="BC1119" s="85"/>
      <c r="BD1119" s="84"/>
      <c r="BE1119" s="88"/>
      <c r="BF1119" s="85"/>
      <c r="BG1119" s="85"/>
      <c r="BH1119" s="85"/>
      <c r="BI1119" s="85"/>
      <c r="BJ1119" s="85"/>
      <c r="BK1119" s="85"/>
      <c r="BL1119" s="85"/>
      <c r="BM1119" s="85"/>
      <c r="BN1119" s="85"/>
      <c r="BO1119" s="85"/>
      <c r="BP1119" s="85"/>
      <c r="BQ1119" s="85"/>
      <c r="BR1119" s="84"/>
      <c r="BS1119" s="85"/>
      <c r="BT1119" s="85"/>
      <c r="BU1119" s="198"/>
      <c r="BV1119" s="90"/>
      <c r="BW1119" s="198"/>
      <c r="BX1119" s="90"/>
      <c r="BY1119" s="198"/>
      <c r="BZ1119" s="90"/>
      <c r="CA1119" s="91"/>
    </row>
    <row r="1120" spans="1:1199" ht="50.1" customHeight="1" outlineLevel="2" x14ac:dyDescent="0.3">
      <c r="A1120" s="106" t="s">
        <v>940</v>
      </c>
      <c r="B1120" s="102" t="s">
        <v>946</v>
      </c>
      <c r="C1120" s="79" t="s">
        <v>55</v>
      </c>
      <c r="D1120" s="81">
        <f t="shared" si="257"/>
        <v>3036.4512399999999</v>
      </c>
      <c r="E1120" s="82">
        <f t="shared" si="251"/>
        <v>2870.0914699999998</v>
      </c>
      <c r="F1120" s="83">
        <f t="shared" si="252"/>
        <v>166.35977</v>
      </c>
      <c r="G1120" s="84"/>
      <c r="H1120" s="85"/>
      <c r="I1120" s="85"/>
      <c r="J1120" s="84"/>
      <c r="K1120" s="85"/>
      <c r="L1120" s="209"/>
      <c r="M1120" s="85"/>
      <c r="N1120" s="85"/>
      <c r="O1120" s="82"/>
      <c r="P1120" s="83"/>
      <c r="Q1120" s="83"/>
      <c r="R1120" s="83"/>
      <c r="S1120" s="82"/>
      <c r="T1120" s="83"/>
      <c r="U1120" s="83"/>
      <c r="V1120" s="84"/>
      <c r="W1120" s="85"/>
      <c r="X1120" s="87"/>
      <c r="Y1120" s="83"/>
      <c r="Z1120" s="84"/>
      <c r="AA1120" s="85"/>
      <c r="AB1120" s="84"/>
      <c r="AC1120" s="85"/>
      <c r="AD1120" s="89">
        <f t="shared" si="245"/>
        <v>0</v>
      </c>
      <c r="AE1120" s="89"/>
      <c r="AF1120" s="186"/>
      <c r="AG1120" s="85"/>
      <c r="AH1120" s="85"/>
      <c r="AI1120" s="85"/>
      <c r="AJ1120" s="84"/>
      <c r="AK1120" s="85"/>
      <c r="AL1120" s="84"/>
      <c r="AM1120" s="88"/>
      <c r="AN1120" s="84"/>
      <c r="AO1120" s="85"/>
      <c r="AP1120" s="84"/>
      <c r="AQ1120" s="83"/>
      <c r="AR1120" s="83"/>
      <c r="AS1120" s="83"/>
      <c r="AT1120" s="85"/>
      <c r="AU1120" s="85"/>
      <c r="AV1120" s="85"/>
      <c r="AW1120" s="88"/>
      <c r="AX1120" s="84"/>
      <c r="AY1120" s="85"/>
      <c r="AZ1120" s="84">
        <v>20.091470000000001</v>
      </c>
      <c r="BA1120" s="85">
        <v>13.86966</v>
      </c>
      <c r="BB1120" s="88">
        <v>2.49011</v>
      </c>
      <c r="BC1120" s="85"/>
      <c r="BD1120" s="84"/>
      <c r="BE1120" s="88"/>
      <c r="BF1120" s="85"/>
      <c r="BG1120" s="85"/>
      <c r="BH1120" s="85"/>
      <c r="BI1120" s="85"/>
      <c r="BJ1120" s="85"/>
      <c r="BK1120" s="85"/>
      <c r="BL1120" s="85"/>
      <c r="BM1120" s="85"/>
      <c r="BN1120" s="85"/>
      <c r="BO1120" s="85"/>
      <c r="BP1120" s="85"/>
      <c r="BQ1120" s="85"/>
      <c r="BR1120" s="84"/>
      <c r="BS1120" s="85"/>
      <c r="BT1120" s="85"/>
      <c r="BU1120" s="198"/>
      <c r="BV1120" s="90">
        <v>2850</v>
      </c>
      <c r="BW1120" s="198">
        <v>150</v>
      </c>
      <c r="BX1120" s="90"/>
      <c r="BY1120" s="198"/>
      <c r="BZ1120" s="90"/>
      <c r="CA1120" s="91"/>
    </row>
    <row r="1121" spans="1:79" ht="50.1" customHeight="1" outlineLevel="2" x14ac:dyDescent="0.3">
      <c r="A1121" s="106" t="s">
        <v>940</v>
      </c>
      <c r="B1121" s="102" t="s">
        <v>947</v>
      </c>
      <c r="C1121" s="79" t="s">
        <v>55</v>
      </c>
      <c r="D1121" s="81">
        <f t="shared" si="257"/>
        <v>5.8211399999999998</v>
      </c>
      <c r="E1121" s="82">
        <f t="shared" si="251"/>
        <v>0</v>
      </c>
      <c r="F1121" s="83">
        <f t="shared" si="252"/>
        <v>5.8211399999999998</v>
      </c>
      <c r="G1121" s="84"/>
      <c r="H1121" s="85"/>
      <c r="I1121" s="85"/>
      <c r="J1121" s="84"/>
      <c r="K1121" s="85"/>
      <c r="L1121" s="209"/>
      <c r="M1121" s="85"/>
      <c r="N1121" s="85"/>
      <c r="O1121" s="82"/>
      <c r="P1121" s="83"/>
      <c r="Q1121" s="83"/>
      <c r="R1121" s="83"/>
      <c r="S1121" s="82"/>
      <c r="T1121" s="83"/>
      <c r="U1121" s="83"/>
      <c r="V1121" s="84"/>
      <c r="W1121" s="85"/>
      <c r="X1121" s="82"/>
      <c r="Y1121" s="83"/>
      <c r="Z1121" s="84"/>
      <c r="AA1121" s="85"/>
      <c r="AB1121" s="84"/>
      <c r="AC1121" s="85"/>
      <c r="AD1121" s="89">
        <f t="shared" si="245"/>
        <v>0</v>
      </c>
      <c r="AE1121" s="89"/>
      <c r="AF1121" s="186"/>
      <c r="AG1121" s="85"/>
      <c r="AH1121" s="85"/>
      <c r="AI1121" s="85"/>
      <c r="AJ1121" s="84"/>
      <c r="AK1121" s="85"/>
      <c r="AL1121" s="84"/>
      <c r="AM1121" s="88"/>
      <c r="AN1121" s="84"/>
      <c r="AO1121" s="85"/>
      <c r="AP1121" s="84"/>
      <c r="AQ1121" s="83"/>
      <c r="AR1121" s="83"/>
      <c r="AS1121" s="83"/>
      <c r="AT1121" s="85"/>
      <c r="AU1121" s="85"/>
      <c r="AV1121" s="85"/>
      <c r="AW1121" s="88"/>
      <c r="AX1121" s="84"/>
      <c r="AY1121" s="85"/>
      <c r="AZ1121" s="84"/>
      <c r="BA1121" s="85"/>
      <c r="BB1121" s="88">
        <v>5.8211399999999998</v>
      </c>
      <c r="BC1121" s="85"/>
      <c r="BD1121" s="84"/>
      <c r="BE1121" s="88"/>
      <c r="BF1121" s="85"/>
      <c r="BG1121" s="85"/>
      <c r="BH1121" s="85"/>
      <c r="BI1121" s="85"/>
      <c r="BJ1121" s="85"/>
      <c r="BK1121" s="85"/>
      <c r="BL1121" s="85"/>
      <c r="BM1121" s="85"/>
      <c r="BN1121" s="85"/>
      <c r="BO1121" s="85"/>
      <c r="BP1121" s="85"/>
      <c r="BQ1121" s="85"/>
      <c r="BR1121" s="84"/>
      <c r="BS1121" s="85"/>
      <c r="BT1121" s="85"/>
      <c r="BU1121" s="198"/>
      <c r="BV1121" s="90"/>
      <c r="BW1121" s="198"/>
      <c r="BX1121" s="90"/>
      <c r="BY1121" s="198"/>
      <c r="BZ1121" s="90"/>
      <c r="CA1121" s="91"/>
    </row>
    <row r="1122" spans="1:79" ht="50.1" customHeight="1" outlineLevel="2" x14ac:dyDescent="0.3">
      <c r="A1122" s="106" t="s">
        <v>940</v>
      </c>
      <c r="B1122" s="102" t="s">
        <v>948</v>
      </c>
      <c r="C1122" s="79" t="s">
        <v>55</v>
      </c>
      <c r="D1122" s="81">
        <f t="shared" si="257"/>
        <v>29.148540000000001</v>
      </c>
      <c r="E1122" s="82">
        <f t="shared" si="251"/>
        <v>0</v>
      </c>
      <c r="F1122" s="83">
        <f t="shared" si="252"/>
        <v>29.148540000000001</v>
      </c>
      <c r="G1122" s="84"/>
      <c r="H1122" s="85"/>
      <c r="I1122" s="85"/>
      <c r="J1122" s="84"/>
      <c r="K1122" s="85"/>
      <c r="L1122" s="209"/>
      <c r="M1122" s="85"/>
      <c r="N1122" s="85"/>
      <c r="O1122" s="82"/>
      <c r="P1122" s="83"/>
      <c r="Q1122" s="83"/>
      <c r="R1122" s="83"/>
      <c r="S1122" s="82"/>
      <c r="T1122" s="83"/>
      <c r="U1122" s="83"/>
      <c r="V1122" s="84"/>
      <c r="W1122" s="85"/>
      <c r="X1122" s="82"/>
      <c r="Y1122" s="83"/>
      <c r="Z1122" s="84"/>
      <c r="AA1122" s="85"/>
      <c r="AB1122" s="84"/>
      <c r="AC1122" s="85"/>
      <c r="AD1122" s="89">
        <f t="shared" si="245"/>
        <v>0</v>
      </c>
      <c r="AE1122" s="89"/>
      <c r="AF1122" s="186"/>
      <c r="AG1122" s="85"/>
      <c r="AH1122" s="85"/>
      <c r="AI1122" s="85"/>
      <c r="AJ1122" s="84"/>
      <c r="AK1122" s="85"/>
      <c r="AL1122" s="84"/>
      <c r="AM1122" s="88"/>
      <c r="AN1122" s="84"/>
      <c r="AO1122" s="85"/>
      <c r="AP1122" s="84"/>
      <c r="AQ1122" s="83"/>
      <c r="AR1122" s="83"/>
      <c r="AS1122" s="83"/>
      <c r="AT1122" s="85"/>
      <c r="AU1122" s="85"/>
      <c r="AV1122" s="85"/>
      <c r="AW1122" s="88"/>
      <c r="AX1122" s="84"/>
      <c r="AY1122" s="85"/>
      <c r="AZ1122" s="84"/>
      <c r="BA1122" s="85"/>
      <c r="BB1122" s="88">
        <v>29.148540000000001</v>
      </c>
      <c r="BC1122" s="85"/>
      <c r="BD1122" s="84"/>
      <c r="BE1122" s="88"/>
      <c r="BF1122" s="85"/>
      <c r="BG1122" s="85"/>
      <c r="BH1122" s="85"/>
      <c r="BI1122" s="85"/>
      <c r="BJ1122" s="85"/>
      <c r="BK1122" s="85"/>
      <c r="BL1122" s="85"/>
      <c r="BM1122" s="85"/>
      <c r="BN1122" s="85"/>
      <c r="BO1122" s="85"/>
      <c r="BP1122" s="85"/>
      <c r="BQ1122" s="85"/>
      <c r="BR1122" s="84"/>
      <c r="BS1122" s="85"/>
      <c r="BT1122" s="85"/>
      <c r="BU1122" s="198"/>
      <c r="BV1122" s="90"/>
      <c r="BW1122" s="198"/>
      <c r="BX1122" s="90"/>
      <c r="BY1122" s="198"/>
      <c r="BZ1122" s="90"/>
      <c r="CA1122" s="91"/>
    </row>
    <row r="1123" spans="1:79" ht="50.1" customHeight="1" outlineLevel="2" x14ac:dyDescent="0.3">
      <c r="A1123" s="106" t="s">
        <v>940</v>
      </c>
      <c r="B1123" s="102" t="s">
        <v>1184</v>
      </c>
      <c r="C1123" s="79" t="s">
        <v>55</v>
      </c>
      <c r="D1123" s="81">
        <f t="shared" si="257"/>
        <v>2998.8</v>
      </c>
      <c r="E1123" s="82">
        <f t="shared" si="251"/>
        <v>2848.86</v>
      </c>
      <c r="F1123" s="83">
        <f t="shared" si="252"/>
        <v>149.94</v>
      </c>
      <c r="G1123" s="84"/>
      <c r="H1123" s="85"/>
      <c r="I1123" s="85"/>
      <c r="J1123" s="84"/>
      <c r="K1123" s="85"/>
      <c r="L1123" s="209"/>
      <c r="M1123" s="85"/>
      <c r="N1123" s="85"/>
      <c r="O1123" s="82"/>
      <c r="P1123" s="83"/>
      <c r="Q1123" s="83"/>
      <c r="R1123" s="83"/>
      <c r="S1123" s="82"/>
      <c r="T1123" s="83"/>
      <c r="U1123" s="83"/>
      <c r="V1123" s="84"/>
      <c r="W1123" s="85"/>
      <c r="X1123" s="82"/>
      <c r="Y1123" s="83"/>
      <c r="Z1123" s="84"/>
      <c r="AA1123" s="85"/>
      <c r="AB1123" s="84"/>
      <c r="AC1123" s="85"/>
      <c r="AD1123" s="89"/>
      <c r="AE1123" s="89"/>
      <c r="AF1123" s="186"/>
      <c r="AG1123" s="85"/>
      <c r="AH1123" s="85"/>
      <c r="AI1123" s="85"/>
      <c r="AJ1123" s="84"/>
      <c r="AK1123" s="85"/>
      <c r="AL1123" s="84"/>
      <c r="AM1123" s="88"/>
      <c r="AN1123" s="84"/>
      <c r="AO1123" s="85"/>
      <c r="AP1123" s="84"/>
      <c r="AQ1123" s="83"/>
      <c r="AR1123" s="83"/>
      <c r="AS1123" s="83"/>
      <c r="AT1123" s="85"/>
      <c r="AU1123" s="85"/>
      <c r="AV1123" s="85"/>
      <c r="AW1123" s="88"/>
      <c r="AX1123" s="84"/>
      <c r="AY1123" s="85"/>
      <c r="AZ1123" s="84"/>
      <c r="BA1123" s="85"/>
      <c r="BB1123" s="88"/>
      <c r="BC1123" s="85"/>
      <c r="BD1123" s="84"/>
      <c r="BE1123" s="88"/>
      <c r="BF1123" s="85"/>
      <c r="BG1123" s="85"/>
      <c r="BH1123" s="85"/>
      <c r="BI1123" s="85"/>
      <c r="BJ1123" s="85"/>
      <c r="BK1123" s="85"/>
      <c r="BL1123" s="85"/>
      <c r="BM1123" s="85"/>
      <c r="BN1123" s="85"/>
      <c r="BO1123" s="85"/>
      <c r="BP1123" s="85"/>
      <c r="BQ1123" s="85"/>
      <c r="BR1123" s="84"/>
      <c r="BS1123" s="85"/>
      <c r="BT1123" s="85"/>
      <c r="BU1123" s="198"/>
      <c r="BV1123" s="90">
        <v>2848.86</v>
      </c>
      <c r="BW1123" s="198">
        <v>149.94</v>
      </c>
      <c r="BX1123" s="90"/>
      <c r="BY1123" s="198"/>
      <c r="BZ1123" s="90"/>
      <c r="CA1123" s="91"/>
    </row>
    <row r="1124" spans="1:79" ht="50.1" customHeight="1" outlineLevel="2" x14ac:dyDescent="0.3">
      <c r="A1124" s="106" t="s">
        <v>940</v>
      </c>
      <c r="B1124" s="102" t="s">
        <v>949</v>
      </c>
      <c r="C1124" s="79" t="s">
        <v>55</v>
      </c>
      <c r="D1124" s="81">
        <f t="shared" si="257"/>
        <v>9.7957900000000002</v>
      </c>
      <c r="E1124" s="82">
        <f t="shared" si="251"/>
        <v>0</v>
      </c>
      <c r="F1124" s="83">
        <f t="shared" si="252"/>
        <v>9.7957900000000002</v>
      </c>
      <c r="G1124" s="84"/>
      <c r="H1124" s="85"/>
      <c r="I1124" s="85"/>
      <c r="J1124" s="84"/>
      <c r="K1124" s="85"/>
      <c r="L1124" s="209"/>
      <c r="M1124" s="85"/>
      <c r="N1124" s="85"/>
      <c r="O1124" s="82"/>
      <c r="P1124" s="83"/>
      <c r="Q1124" s="83"/>
      <c r="R1124" s="83"/>
      <c r="S1124" s="82"/>
      <c r="T1124" s="83"/>
      <c r="U1124" s="83"/>
      <c r="V1124" s="84"/>
      <c r="W1124" s="85"/>
      <c r="X1124" s="87"/>
      <c r="Y1124" s="83"/>
      <c r="Z1124" s="84"/>
      <c r="AA1124" s="85"/>
      <c r="AB1124" s="84"/>
      <c r="AC1124" s="85"/>
      <c r="AD1124" s="89">
        <f t="shared" si="245"/>
        <v>0</v>
      </c>
      <c r="AE1124" s="89"/>
      <c r="AF1124" s="186"/>
      <c r="AG1124" s="85"/>
      <c r="AH1124" s="85"/>
      <c r="AI1124" s="85"/>
      <c r="AJ1124" s="84"/>
      <c r="AK1124" s="85"/>
      <c r="AL1124" s="84"/>
      <c r="AM1124" s="88"/>
      <c r="AN1124" s="84"/>
      <c r="AO1124" s="85"/>
      <c r="AP1124" s="84"/>
      <c r="AQ1124" s="83"/>
      <c r="AR1124" s="83"/>
      <c r="AS1124" s="83"/>
      <c r="AT1124" s="85"/>
      <c r="AU1124" s="85"/>
      <c r="AV1124" s="85"/>
      <c r="AW1124" s="88"/>
      <c r="AX1124" s="84"/>
      <c r="AY1124" s="85"/>
      <c r="AZ1124" s="84"/>
      <c r="BA1124" s="85"/>
      <c r="BB1124" s="88">
        <v>9.7957900000000002</v>
      </c>
      <c r="BC1124" s="85"/>
      <c r="BD1124" s="84"/>
      <c r="BE1124" s="88"/>
      <c r="BF1124" s="85"/>
      <c r="BG1124" s="85"/>
      <c r="BH1124" s="85"/>
      <c r="BI1124" s="85"/>
      <c r="BJ1124" s="85"/>
      <c r="BK1124" s="85"/>
      <c r="BL1124" s="85"/>
      <c r="BM1124" s="85"/>
      <c r="BN1124" s="85"/>
      <c r="BO1124" s="85"/>
      <c r="BP1124" s="85"/>
      <c r="BQ1124" s="85"/>
      <c r="BR1124" s="84"/>
      <c r="BS1124" s="85"/>
      <c r="BT1124" s="85"/>
      <c r="BU1124" s="198"/>
      <c r="BV1124" s="90"/>
      <c r="BW1124" s="198"/>
      <c r="BX1124" s="90"/>
      <c r="BY1124" s="198"/>
      <c r="BZ1124" s="90"/>
      <c r="CA1124" s="91"/>
    </row>
    <row r="1125" spans="1:79" ht="50.1" customHeight="1" outlineLevel="2" x14ac:dyDescent="0.3">
      <c r="A1125" s="106" t="s">
        <v>940</v>
      </c>
      <c r="B1125" s="102" t="s">
        <v>1169</v>
      </c>
      <c r="C1125" s="79" t="s">
        <v>55</v>
      </c>
      <c r="D1125" s="81">
        <f t="shared" si="257"/>
        <v>5663.4992000000002</v>
      </c>
      <c r="E1125" s="82">
        <f t="shared" si="251"/>
        <v>0</v>
      </c>
      <c r="F1125" s="83">
        <f t="shared" si="252"/>
        <v>5663.4992000000002</v>
      </c>
      <c r="G1125" s="84"/>
      <c r="H1125" s="85"/>
      <c r="I1125" s="85"/>
      <c r="J1125" s="84"/>
      <c r="K1125" s="85"/>
      <c r="L1125" s="209"/>
      <c r="M1125" s="85"/>
      <c r="N1125" s="85"/>
      <c r="O1125" s="82"/>
      <c r="P1125" s="83"/>
      <c r="Q1125" s="83"/>
      <c r="R1125" s="83"/>
      <c r="S1125" s="82"/>
      <c r="T1125" s="83"/>
      <c r="U1125" s="83"/>
      <c r="V1125" s="84"/>
      <c r="W1125" s="85"/>
      <c r="X1125" s="87"/>
      <c r="Y1125" s="83">
        <v>655.20000000000005</v>
      </c>
      <c r="Z1125" s="84"/>
      <c r="AA1125" s="85"/>
      <c r="AB1125" s="84"/>
      <c r="AC1125" s="85"/>
      <c r="AD1125" s="89"/>
      <c r="AE1125" s="89"/>
      <c r="AF1125" s="186"/>
      <c r="AG1125" s="85"/>
      <c r="AH1125" s="85"/>
      <c r="AI1125" s="85"/>
      <c r="AJ1125" s="84"/>
      <c r="AK1125" s="85"/>
      <c r="AL1125" s="84"/>
      <c r="AM1125" s="88"/>
      <c r="AN1125" s="84"/>
      <c r="AO1125" s="85"/>
      <c r="AP1125" s="84"/>
      <c r="AQ1125" s="83"/>
      <c r="AR1125" s="83"/>
      <c r="AS1125" s="83"/>
      <c r="AT1125" s="85"/>
      <c r="AU1125" s="85"/>
      <c r="AV1125" s="85">
        <v>5008.2992000000004</v>
      </c>
      <c r="AW1125" s="88"/>
      <c r="AX1125" s="84"/>
      <c r="AY1125" s="85"/>
      <c r="AZ1125" s="84"/>
      <c r="BA1125" s="85"/>
      <c r="BB1125" s="88"/>
      <c r="BC1125" s="85"/>
      <c r="BD1125" s="84"/>
      <c r="BE1125" s="88"/>
      <c r="BF1125" s="85"/>
      <c r="BG1125" s="85"/>
      <c r="BH1125" s="85"/>
      <c r="BI1125" s="85"/>
      <c r="BJ1125" s="85"/>
      <c r="BK1125" s="85"/>
      <c r="BL1125" s="85"/>
      <c r="BM1125" s="85"/>
      <c r="BN1125" s="85"/>
      <c r="BO1125" s="85"/>
      <c r="BP1125" s="85"/>
      <c r="BQ1125" s="85"/>
      <c r="BR1125" s="84"/>
      <c r="BS1125" s="85"/>
      <c r="BT1125" s="85"/>
      <c r="BU1125" s="198"/>
      <c r="BV1125" s="90"/>
      <c r="BW1125" s="198"/>
      <c r="BX1125" s="90"/>
      <c r="BY1125" s="198"/>
      <c r="BZ1125" s="90"/>
      <c r="CA1125" s="91"/>
    </row>
    <row r="1126" spans="1:79" ht="50.1" customHeight="1" outlineLevel="2" x14ac:dyDescent="0.3">
      <c r="A1126" s="106" t="s">
        <v>940</v>
      </c>
      <c r="B1126" s="102" t="s">
        <v>1170</v>
      </c>
      <c r="C1126" s="79" t="s">
        <v>55</v>
      </c>
      <c r="D1126" s="81">
        <f t="shared" si="257"/>
        <v>2776.05</v>
      </c>
      <c r="E1126" s="82">
        <f t="shared" si="251"/>
        <v>2637.2474999999999</v>
      </c>
      <c r="F1126" s="83">
        <f t="shared" si="252"/>
        <v>138.80250000000001</v>
      </c>
      <c r="G1126" s="84"/>
      <c r="H1126" s="85"/>
      <c r="I1126" s="85"/>
      <c r="J1126" s="84"/>
      <c r="K1126" s="85"/>
      <c r="L1126" s="209"/>
      <c r="M1126" s="85"/>
      <c r="N1126" s="85"/>
      <c r="O1126" s="82"/>
      <c r="P1126" s="83"/>
      <c r="Q1126" s="83"/>
      <c r="R1126" s="83"/>
      <c r="S1126" s="82"/>
      <c r="T1126" s="83"/>
      <c r="U1126" s="83"/>
      <c r="V1126" s="84"/>
      <c r="W1126" s="85"/>
      <c r="X1126" s="87"/>
      <c r="Y1126" s="83"/>
      <c r="Z1126" s="84"/>
      <c r="AA1126" s="85"/>
      <c r="AB1126" s="84"/>
      <c r="AC1126" s="85"/>
      <c r="AD1126" s="89"/>
      <c r="AE1126" s="89"/>
      <c r="AF1126" s="186"/>
      <c r="AG1126" s="85"/>
      <c r="AH1126" s="85"/>
      <c r="AI1126" s="85"/>
      <c r="AJ1126" s="84"/>
      <c r="AK1126" s="85"/>
      <c r="AL1126" s="84"/>
      <c r="AM1126" s="88"/>
      <c r="AN1126" s="84"/>
      <c r="AO1126" s="85"/>
      <c r="AP1126" s="84"/>
      <c r="AQ1126" s="83"/>
      <c r="AR1126" s="83"/>
      <c r="AS1126" s="83"/>
      <c r="AT1126" s="85"/>
      <c r="AU1126" s="85"/>
      <c r="AV1126" s="85"/>
      <c r="AW1126" s="88"/>
      <c r="AX1126" s="84"/>
      <c r="AY1126" s="85"/>
      <c r="AZ1126" s="84"/>
      <c r="BA1126" s="85"/>
      <c r="BB1126" s="88"/>
      <c r="BC1126" s="85"/>
      <c r="BD1126" s="84"/>
      <c r="BE1126" s="88"/>
      <c r="BF1126" s="85"/>
      <c r="BG1126" s="85"/>
      <c r="BH1126" s="85"/>
      <c r="BI1126" s="85"/>
      <c r="BJ1126" s="85"/>
      <c r="BK1126" s="85"/>
      <c r="BL1126" s="85"/>
      <c r="BM1126" s="85"/>
      <c r="BN1126" s="85"/>
      <c r="BO1126" s="85"/>
      <c r="BP1126" s="85"/>
      <c r="BQ1126" s="85"/>
      <c r="BR1126" s="84"/>
      <c r="BS1126" s="85"/>
      <c r="BT1126" s="85"/>
      <c r="BU1126" s="198"/>
      <c r="BV1126" s="90">
        <v>2637.2474999999999</v>
      </c>
      <c r="BW1126" s="198">
        <v>138.80250000000001</v>
      </c>
      <c r="BX1126" s="90"/>
      <c r="BY1126" s="198"/>
      <c r="BZ1126" s="90"/>
      <c r="CA1126" s="91"/>
    </row>
    <row r="1127" spans="1:79" ht="50.1" customHeight="1" outlineLevel="2" x14ac:dyDescent="0.3">
      <c r="A1127" s="106" t="s">
        <v>940</v>
      </c>
      <c r="B1127" s="102" t="s">
        <v>1205</v>
      </c>
      <c r="C1127" s="79" t="s">
        <v>55</v>
      </c>
      <c r="D1127" s="81">
        <f t="shared" si="257"/>
        <v>2898</v>
      </c>
      <c r="E1127" s="82">
        <f t="shared" si="251"/>
        <v>0</v>
      </c>
      <c r="F1127" s="83">
        <f t="shared" si="252"/>
        <v>2898</v>
      </c>
      <c r="G1127" s="84"/>
      <c r="H1127" s="85"/>
      <c r="I1127" s="85"/>
      <c r="J1127" s="84"/>
      <c r="K1127" s="85"/>
      <c r="L1127" s="209"/>
      <c r="M1127" s="85"/>
      <c r="N1127" s="85"/>
      <c r="O1127" s="82"/>
      <c r="P1127" s="83"/>
      <c r="Q1127" s="83"/>
      <c r="R1127" s="83"/>
      <c r="S1127" s="82"/>
      <c r="T1127" s="83"/>
      <c r="U1127" s="83"/>
      <c r="V1127" s="84"/>
      <c r="W1127" s="85"/>
      <c r="X1127" s="87"/>
      <c r="Y1127" s="83"/>
      <c r="Z1127" s="84"/>
      <c r="AA1127" s="85"/>
      <c r="AB1127" s="84"/>
      <c r="AC1127" s="85"/>
      <c r="AD1127" s="89"/>
      <c r="AE1127" s="89"/>
      <c r="AF1127" s="186"/>
      <c r="AG1127" s="85"/>
      <c r="AH1127" s="85"/>
      <c r="AI1127" s="85"/>
      <c r="AJ1127" s="84"/>
      <c r="AK1127" s="85"/>
      <c r="AL1127" s="84"/>
      <c r="AM1127" s="88"/>
      <c r="AN1127" s="84"/>
      <c r="AO1127" s="85"/>
      <c r="AP1127" s="84"/>
      <c r="AQ1127" s="83"/>
      <c r="AR1127" s="83"/>
      <c r="AS1127" s="83"/>
      <c r="AT1127" s="85"/>
      <c r="AU1127" s="85"/>
      <c r="AV1127" s="85"/>
      <c r="AW1127" s="88"/>
      <c r="AX1127" s="84"/>
      <c r="AY1127" s="85"/>
      <c r="AZ1127" s="84"/>
      <c r="BA1127" s="85"/>
      <c r="BB1127" s="88"/>
      <c r="BC1127" s="85"/>
      <c r="BD1127" s="84"/>
      <c r="BE1127" s="88"/>
      <c r="BF1127" s="85"/>
      <c r="BG1127" s="85"/>
      <c r="BH1127" s="85"/>
      <c r="BI1127" s="85"/>
      <c r="BJ1127" s="85"/>
      <c r="BK1127" s="85"/>
      <c r="BL1127" s="85"/>
      <c r="BM1127" s="85"/>
      <c r="BN1127" s="85"/>
      <c r="BO1127" s="85"/>
      <c r="BP1127" s="85"/>
      <c r="BQ1127" s="85"/>
      <c r="BR1127" s="84"/>
      <c r="BS1127" s="85"/>
      <c r="BT1127" s="85"/>
      <c r="BU1127" s="198"/>
      <c r="BV1127" s="90"/>
      <c r="BW1127" s="198">
        <v>2898</v>
      </c>
      <c r="BX1127" s="90"/>
      <c r="BY1127" s="198"/>
      <c r="BZ1127" s="90"/>
      <c r="CA1127" s="91"/>
    </row>
    <row r="1128" spans="1:79" ht="50.1" customHeight="1" outlineLevel="2" x14ac:dyDescent="0.3">
      <c r="A1128" s="106" t="s">
        <v>940</v>
      </c>
      <c r="B1128" s="102" t="s">
        <v>1206</v>
      </c>
      <c r="C1128" s="79" t="s">
        <v>55</v>
      </c>
      <c r="D1128" s="81">
        <f t="shared" si="257"/>
        <v>2998.8</v>
      </c>
      <c r="E1128" s="82">
        <f t="shared" si="251"/>
        <v>0</v>
      </c>
      <c r="F1128" s="83">
        <f t="shared" si="252"/>
        <v>2998.8</v>
      </c>
      <c r="G1128" s="84"/>
      <c r="H1128" s="85"/>
      <c r="I1128" s="85"/>
      <c r="J1128" s="84"/>
      <c r="K1128" s="85"/>
      <c r="L1128" s="209"/>
      <c r="M1128" s="85"/>
      <c r="N1128" s="85"/>
      <c r="O1128" s="82"/>
      <c r="P1128" s="83"/>
      <c r="Q1128" s="83"/>
      <c r="R1128" s="83"/>
      <c r="S1128" s="82"/>
      <c r="T1128" s="83"/>
      <c r="U1128" s="83"/>
      <c r="V1128" s="84"/>
      <c r="W1128" s="85"/>
      <c r="X1128" s="87"/>
      <c r="Y1128" s="83"/>
      <c r="Z1128" s="84"/>
      <c r="AA1128" s="85"/>
      <c r="AB1128" s="84"/>
      <c r="AC1128" s="85"/>
      <c r="AD1128" s="89"/>
      <c r="AE1128" s="89"/>
      <c r="AF1128" s="186"/>
      <c r="AG1128" s="85"/>
      <c r="AH1128" s="85"/>
      <c r="AI1128" s="85"/>
      <c r="AJ1128" s="84"/>
      <c r="AK1128" s="85"/>
      <c r="AL1128" s="84"/>
      <c r="AM1128" s="88"/>
      <c r="AN1128" s="84"/>
      <c r="AO1128" s="85"/>
      <c r="AP1128" s="84"/>
      <c r="AQ1128" s="83"/>
      <c r="AR1128" s="83"/>
      <c r="AS1128" s="83"/>
      <c r="AT1128" s="85"/>
      <c r="AU1128" s="85"/>
      <c r="AV1128" s="85"/>
      <c r="AW1128" s="88"/>
      <c r="AX1128" s="84"/>
      <c r="AY1128" s="85"/>
      <c r="AZ1128" s="84"/>
      <c r="BA1128" s="85"/>
      <c r="BB1128" s="88"/>
      <c r="BC1128" s="85"/>
      <c r="BD1128" s="84"/>
      <c r="BE1128" s="88"/>
      <c r="BF1128" s="85"/>
      <c r="BG1128" s="85"/>
      <c r="BH1128" s="85"/>
      <c r="BI1128" s="85"/>
      <c r="BJ1128" s="85"/>
      <c r="BK1128" s="85"/>
      <c r="BL1128" s="85"/>
      <c r="BM1128" s="85"/>
      <c r="BN1128" s="85"/>
      <c r="BO1128" s="85"/>
      <c r="BP1128" s="85"/>
      <c r="BQ1128" s="85"/>
      <c r="BR1128" s="84"/>
      <c r="BS1128" s="85"/>
      <c r="BT1128" s="85"/>
      <c r="BU1128" s="198"/>
      <c r="BV1128" s="90"/>
      <c r="BW1128" s="198">
        <v>2998.8</v>
      </c>
      <c r="BX1128" s="90"/>
      <c r="BY1128" s="198"/>
      <c r="BZ1128" s="90"/>
      <c r="CA1128" s="91"/>
    </row>
    <row r="1129" spans="1:79" ht="50.1" customHeight="1" outlineLevel="2" x14ac:dyDescent="0.3">
      <c r="A1129" s="106" t="s">
        <v>940</v>
      </c>
      <c r="B1129" s="102" t="s">
        <v>1207</v>
      </c>
      <c r="C1129" s="79" t="s">
        <v>55</v>
      </c>
      <c r="D1129" s="81">
        <f t="shared" si="257"/>
        <v>2391.3000000000002</v>
      </c>
      <c r="E1129" s="82">
        <f t="shared" si="251"/>
        <v>0</v>
      </c>
      <c r="F1129" s="83">
        <f t="shared" si="252"/>
        <v>2391.3000000000002</v>
      </c>
      <c r="G1129" s="84"/>
      <c r="H1129" s="85"/>
      <c r="I1129" s="85"/>
      <c r="J1129" s="84"/>
      <c r="K1129" s="85"/>
      <c r="L1129" s="209"/>
      <c r="M1129" s="85"/>
      <c r="N1129" s="85"/>
      <c r="O1129" s="82"/>
      <c r="P1129" s="83"/>
      <c r="Q1129" s="83"/>
      <c r="R1129" s="83"/>
      <c r="S1129" s="82"/>
      <c r="T1129" s="83"/>
      <c r="U1129" s="83"/>
      <c r="V1129" s="84"/>
      <c r="W1129" s="85"/>
      <c r="X1129" s="87"/>
      <c r="Y1129" s="83"/>
      <c r="Z1129" s="84"/>
      <c r="AA1129" s="85"/>
      <c r="AB1129" s="84"/>
      <c r="AC1129" s="85"/>
      <c r="AD1129" s="89"/>
      <c r="AE1129" s="89"/>
      <c r="AF1129" s="186"/>
      <c r="AG1129" s="85"/>
      <c r="AH1129" s="85"/>
      <c r="AI1129" s="85"/>
      <c r="AJ1129" s="84"/>
      <c r="AK1129" s="85"/>
      <c r="AL1129" s="84"/>
      <c r="AM1129" s="88"/>
      <c r="AN1129" s="84"/>
      <c r="AO1129" s="85"/>
      <c r="AP1129" s="84"/>
      <c r="AQ1129" s="83"/>
      <c r="AR1129" s="83"/>
      <c r="AS1129" s="83"/>
      <c r="AT1129" s="85"/>
      <c r="AU1129" s="85"/>
      <c r="AV1129" s="85"/>
      <c r="AW1129" s="88"/>
      <c r="AX1129" s="84"/>
      <c r="AY1129" s="85"/>
      <c r="AZ1129" s="84"/>
      <c r="BA1129" s="85"/>
      <c r="BB1129" s="88"/>
      <c r="BC1129" s="85"/>
      <c r="BD1129" s="84"/>
      <c r="BE1129" s="88"/>
      <c r="BF1129" s="85"/>
      <c r="BG1129" s="85"/>
      <c r="BH1129" s="85"/>
      <c r="BI1129" s="85"/>
      <c r="BJ1129" s="85"/>
      <c r="BK1129" s="85"/>
      <c r="BL1129" s="85"/>
      <c r="BM1129" s="85"/>
      <c r="BN1129" s="85"/>
      <c r="BO1129" s="85"/>
      <c r="BP1129" s="85"/>
      <c r="BQ1129" s="85"/>
      <c r="BR1129" s="84"/>
      <c r="BS1129" s="85"/>
      <c r="BT1129" s="85"/>
      <c r="BU1129" s="198"/>
      <c r="BV1129" s="90"/>
      <c r="BW1129" s="198">
        <v>2391.3000000000002</v>
      </c>
      <c r="BX1129" s="90"/>
      <c r="BY1129" s="198"/>
      <c r="BZ1129" s="90"/>
      <c r="CA1129" s="91"/>
    </row>
    <row r="1130" spans="1:79" ht="50.1" customHeight="1" outlineLevel="2" x14ac:dyDescent="0.3">
      <c r="A1130" s="106" t="s">
        <v>940</v>
      </c>
      <c r="B1130" s="102" t="s">
        <v>950</v>
      </c>
      <c r="C1130" s="79" t="s">
        <v>55</v>
      </c>
      <c r="D1130" s="81">
        <f t="shared" si="257"/>
        <v>324.29879999999997</v>
      </c>
      <c r="E1130" s="82">
        <f t="shared" si="251"/>
        <v>110.21420999999999</v>
      </c>
      <c r="F1130" s="83">
        <f t="shared" si="252"/>
        <v>214.08458999999999</v>
      </c>
      <c r="G1130" s="84"/>
      <c r="H1130" s="85"/>
      <c r="I1130" s="85"/>
      <c r="J1130" s="84"/>
      <c r="K1130" s="85"/>
      <c r="L1130" s="209"/>
      <c r="M1130" s="85"/>
      <c r="N1130" s="85"/>
      <c r="O1130" s="82">
        <v>7.4362899999999996</v>
      </c>
      <c r="P1130" s="83">
        <v>0.65778999999999999</v>
      </c>
      <c r="Q1130" s="83"/>
      <c r="R1130" s="83"/>
      <c r="S1130" s="82"/>
      <c r="T1130" s="83"/>
      <c r="U1130" s="83"/>
      <c r="V1130" s="84">
        <v>13.917</v>
      </c>
      <c r="W1130" s="85">
        <v>24.3</v>
      </c>
      <c r="X1130" s="87"/>
      <c r="Y1130" s="83">
        <v>50.856000000000002</v>
      </c>
      <c r="Z1130" s="84"/>
      <c r="AA1130" s="85"/>
      <c r="AB1130" s="84"/>
      <c r="AC1130" s="85"/>
      <c r="AD1130" s="89">
        <f t="shared" si="245"/>
        <v>0</v>
      </c>
      <c r="AE1130" s="89"/>
      <c r="AF1130" s="186"/>
      <c r="AG1130" s="85"/>
      <c r="AH1130" s="85"/>
      <c r="AI1130" s="85"/>
      <c r="AJ1130" s="84"/>
      <c r="AK1130" s="85"/>
      <c r="AL1130" s="84"/>
      <c r="AM1130" s="88"/>
      <c r="AN1130" s="84"/>
      <c r="AO1130" s="85"/>
      <c r="AP1130" s="84"/>
      <c r="AQ1130" s="83"/>
      <c r="AR1130" s="83"/>
      <c r="AS1130" s="83"/>
      <c r="AT1130" s="85"/>
      <c r="AU1130" s="85"/>
      <c r="AV1130" s="85"/>
      <c r="AW1130" s="88"/>
      <c r="AX1130" s="84"/>
      <c r="AY1130" s="85"/>
      <c r="AZ1130" s="84">
        <v>88.860919999999993</v>
      </c>
      <c r="BA1130" s="85">
        <v>80.470799999999997</v>
      </c>
      <c r="BB1130" s="88"/>
      <c r="BC1130" s="85"/>
      <c r="BD1130" s="84"/>
      <c r="BE1130" s="88"/>
      <c r="BF1130" s="85"/>
      <c r="BG1130" s="85"/>
      <c r="BH1130" s="85"/>
      <c r="BI1130" s="85"/>
      <c r="BJ1130" s="85"/>
      <c r="BK1130" s="85"/>
      <c r="BL1130" s="85"/>
      <c r="BM1130" s="85"/>
      <c r="BN1130" s="85"/>
      <c r="BO1130" s="85"/>
      <c r="BP1130" s="85"/>
      <c r="BQ1130" s="85"/>
      <c r="BR1130" s="84"/>
      <c r="BS1130" s="85"/>
      <c r="BT1130" s="85">
        <v>57.8</v>
      </c>
      <c r="BU1130" s="198"/>
      <c r="BV1130" s="90"/>
      <c r="BW1130" s="198"/>
      <c r="BX1130" s="90"/>
      <c r="BY1130" s="198"/>
      <c r="BZ1130" s="90"/>
      <c r="CA1130" s="91"/>
    </row>
    <row r="1131" spans="1:79" ht="50.1" customHeight="1" outlineLevel="2" x14ac:dyDescent="0.3">
      <c r="A1131" s="106" t="s">
        <v>940</v>
      </c>
      <c r="B1131" s="102" t="s">
        <v>951</v>
      </c>
      <c r="C1131" s="79" t="s">
        <v>55</v>
      </c>
      <c r="D1131" s="81">
        <f t="shared" si="257"/>
        <v>272.65334999999999</v>
      </c>
      <c r="E1131" s="82">
        <f t="shared" si="251"/>
        <v>113.21006</v>
      </c>
      <c r="F1131" s="83">
        <f t="shared" si="252"/>
        <v>159.44328999999999</v>
      </c>
      <c r="G1131" s="84"/>
      <c r="H1131" s="85"/>
      <c r="I1131" s="85"/>
      <c r="J1131" s="84"/>
      <c r="K1131" s="85"/>
      <c r="L1131" s="209"/>
      <c r="M1131" s="85"/>
      <c r="N1131" s="85"/>
      <c r="O1131" s="82"/>
      <c r="P1131" s="83"/>
      <c r="Q1131" s="83"/>
      <c r="R1131" s="83"/>
      <c r="S1131" s="82"/>
      <c r="T1131" s="83"/>
      <c r="U1131" s="83"/>
      <c r="V1131" s="84"/>
      <c r="W1131" s="85"/>
      <c r="X1131" s="87"/>
      <c r="Y1131" s="83">
        <v>31.2</v>
      </c>
      <c r="Z1131" s="84"/>
      <c r="AA1131" s="85"/>
      <c r="AB1131" s="84"/>
      <c r="AC1131" s="85"/>
      <c r="AD1131" s="89">
        <f t="shared" si="245"/>
        <v>25.72231</v>
      </c>
      <c r="AE1131" s="89"/>
      <c r="AF1131" s="188">
        <f>13.07533+12.64698</f>
        <v>25.72231</v>
      </c>
      <c r="AG1131" s="85"/>
      <c r="AH1131" s="85"/>
      <c r="AI1131" s="85"/>
      <c r="AJ1131" s="84"/>
      <c r="AK1131" s="85"/>
      <c r="AL1131" s="84"/>
      <c r="AM1131" s="88"/>
      <c r="AN1131" s="84"/>
      <c r="AO1131" s="85"/>
      <c r="AP1131" s="84"/>
      <c r="AQ1131" s="83"/>
      <c r="AR1131" s="83"/>
      <c r="AS1131" s="83"/>
      <c r="AT1131" s="85"/>
      <c r="AU1131" s="85"/>
      <c r="AV1131" s="85"/>
      <c r="AW1131" s="88"/>
      <c r="AX1131" s="84"/>
      <c r="AY1131" s="85"/>
      <c r="AZ1131" s="84">
        <v>113.21006</v>
      </c>
      <c r="BA1131" s="85">
        <v>102.52097999999999</v>
      </c>
      <c r="BB1131" s="88"/>
      <c r="BC1131" s="85"/>
      <c r="BD1131" s="84"/>
      <c r="BE1131" s="88"/>
      <c r="BF1131" s="85"/>
      <c r="BG1131" s="85"/>
      <c r="BH1131" s="85"/>
      <c r="BI1131" s="85"/>
      <c r="BJ1131" s="85"/>
      <c r="BK1131" s="85"/>
      <c r="BL1131" s="85"/>
      <c r="BM1131" s="85"/>
      <c r="BN1131" s="85"/>
      <c r="BO1131" s="85"/>
      <c r="BP1131" s="85"/>
      <c r="BQ1131" s="85"/>
      <c r="BR1131" s="84"/>
      <c r="BS1131" s="85"/>
      <c r="BT1131" s="85"/>
      <c r="BU1131" s="198"/>
      <c r="BV1131" s="90"/>
      <c r="BW1131" s="198"/>
      <c r="BX1131" s="90"/>
      <c r="BY1131" s="198"/>
      <c r="BZ1131" s="90"/>
      <c r="CA1131" s="91"/>
    </row>
    <row r="1132" spans="1:79" ht="50.1" customHeight="1" outlineLevel="2" x14ac:dyDescent="0.3">
      <c r="A1132" s="106" t="s">
        <v>940</v>
      </c>
      <c r="B1132" s="102" t="s">
        <v>952</v>
      </c>
      <c r="C1132" s="79" t="s">
        <v>55</v>
      </c>
      <c r="D1132" s="81">
        <f t="shared" si="257"/>
        <v>1287.05548</v>
      </c>
      <c r="E1132" s="82">
        <f t="shared" si="251"/>
        <v>627.26827000000003</v>
      </c>
      <c r="F1132" s="83">
        <f t="shared" si="252"/>
        <v>659.78720999999996</v>
      </c>
      <c r="G1132" s="84"/>
      <c r="H1132" s="85"/>
      <c r="I1132" s="85"/>
      <c r="J1132" s="84">
        <v>448.42862000000002</v>
      </c>
      <c r="K1132" s="85">
        <v>172.23067</v>
      </c>
      <c r="L1132" s="85">
        <v>215.45278999999999</v>
      </c>
      <c r="M1132" s="85"/>
      <c r="N1132" s="85"/>
      <c r="O1132" s="82"/>
      <c r="P1132" s="83"/>
      <c r="Q1132" s="83"/>
      <c r="R1132" s="83"/>
      <c r="S1132" s="82"/>
      <c r="T1132" s="83"/>
      <c r="U1132" s="83"/>
      <c r="V1132" s="84"/>
      <c r="W1132" s="85"/>
      <c r="X1132" s="87"/>
      <c r="Y1132" s="83">
        <v>74.88</v>
      </c>
      <c r="Z1132" s="84"/>
      <c r="AA1132" s="85"/>
      <c r="AB1132" s="84"/>
      <c r="AC1132" s="85"/>
      <c r="AD1132" s="89">
        <f t="shared" ref="AD1132:AD1152" si="258">AE1132+AF1132</f>
        <v>35.270040000000002</v>
      </c>
      <c r="AE1132" s="89">
        <v>12.894600000000001</v>
      </c>
      <c r="AF1132" s="186">
        <v>22.375440000000001</v>
      </c>
      <c r="AG1132" s="85"/>
      <c r="AH1132" s="85"/>
      <c r="AI1132" s="85"/>
      <c r="AJ1132" s="84"/>
      <c r="AK1132" s="85"/>
      <c r="AL1132" s="84"/>
      <c r="AM1132" s="88"/>
      <c r="AN1132" s="84"/>
      <c r="AO1132" s="85"/>
      <c r="AP1132" s="84"/>
      <c r="AQ1132" s="83"/>
      <c r="AR1132" s="83"/>
      <c r="AS1132" s="83"/>
      <c r="AT1132" s="85"/>
      <c r="AU1132" s="85"/>
      <c r="AV1132" s="85"/>
      <c r="AW1132" s="88"/>
      <c r="AX1132" s="84"/>
      <c r="AY1132" s="85"/>
      <c r="AZ1132" s="84">
        <v>178.83965000000001</v>
      </c>
      <c r="BA1132" s="85">
        <v>161.95371</v>
      </c>
      <c r="BB1132" s="88"/>
      <c r="BC1132" s="85"/>
      <c r="BD1132" s="84"/>
      <c r="BE1132" s="88"/>
      <c r="BF1132" s="85"/>
      <c r="BG1132" s="85"/>
      <c r="BH1132" s="85"/>
      <c r="BI1132" s="85"/>
      <c r="BJ1132" s="85"/>
      <c r="BK1132" s="85"/>
      <c r="BL1132" s="85"/>
      <c r="BM1132" s="85"/>
      <c r="BN1132" s="85"/>
      <c r="BO1132" s="85"/>
      <c r="BP1132" s="85"/>
      <c r="BQ1132" s="85"/>
      <c r="BR1132" s="84"/>
      <c r="BS1132" s="85"/>
      <c r="BT1132" s="85"/>
      <c r="BU1132" s="198"/>
      <c r="BV1132" s="90"/>
      <c r="BW1132" s="198"/>
      <c r="BX1132" s="90"/>
      <c r="BY1132" s="198"/>
      <c r="BZ1132" s="90"/>
      <c r="CA1132" s="91"/>
    </row>
    <row r="1133" spans="1:79" ht="50.1" customHeight="1" outlineLevel="2" x14ac:dyDescent="0.3">
      <c r="A1133" s="106" t="s">
        <v>940</v>
      </c>
      <c r="B1133" s="102" t="s">
        <v>953</v>
      </c>
      <c r="C1133" s="79" t="s">
        <v>53</v>
      </c>
      <c r="D1133" s="81">
        <f t="shared" si="257"/>
        <v>6.4682000000000004</v>
      </c>
      <c r="E1133" s="82">
        <f t="shared" si="251"/>
        <v>0</v>
      </c>
      <c r="F1133" s="83">
        <f t="shared" si="252"/>
        <v>6.4682000000000004</v>
      </c>
      <c r="G1133" s="84"/>
      <c r="H1133" s="85"/>
      <c r="I1133" s="85"/>
      <c r="J1133" s="84"/>
      <c r="K1133" s="85"/>
      <c r="L1133" s="209"/>
      <c r="M1133" s="85"/>
      <c r="N1133" s="85"/>
      <c r="O1133" s="82"/>
      <c r="P1133" s="83"/>
      <c r="Q1133" s="83"/>
      <c r="R1133" s="83"/>
      <c r="S1133" s="82"/>
      <c r="T1133" s="83"/>
      <c r="U1133" s="83"/>
      <c r="V1133" s="84"/>
      <c r="W1133" s="85"/>
      <c r="X1133" s="82"/>
      <c r="Y1133" s="83"/>
      <c r="Z1133" s="84"/>
      <c r="AA1133" s="85"/>
      <c r="AB1133" s="84"/>
      <c r="AC1133" s="85"/>
      <c r="AD1133" s="89">
        <f t="shared" si="258"/>
        <v>0</v>
      </c>
      <c r="AE1133" s="89"/>
      <c r="AF1133" s="186"/>
      <c r="AG1133" s="85"/>
      <c r="AH1133" s="85"/>
      <c r="AI1133" s="85"/>
      <c r="AJ1133" s="84"/>
      <c r="AK1133" s="85"/>
      <c r="AL1133" s="84"/>
      <c r="AM1133" s="88"/>
      <c r="AN1133" s="84"/>
      <c r="AO1133" s="85"/>
      <c r="AP1133" s="84"/>
      <c r="AQ1133" s="83"/>
      <c r="AR1133" s="83"/>
      <c r="AS1133" s="83"/>
      <c r="AT1133" s="85"/>
      <c r="AU1133" s="85"/>
      <c r="AV1133" s="85"/>
      <c r="AW1133" s="88"/>
      <c r="AX1133" s="84"/>
      <c r="AY1133" s="85"/>
      <c r="AZ1133" s="84"/>
      <c r="BA1133" s="85"/>
      <c r="BB1133" s="88">
        <v>6.4682000000000004</v>
      </c>
      <c r="BC1133" s="85"/>
      <c r="BD1133" s="84"/>
      <c r="BE1133" s="88"/>
      <c r="BF1133" s="85"/>
      <c r="BG1133" s="85"/>
      <c r="BH1133" s="85"/>
      <c r="BI1133" s="85"/>
      <c r="BJ1133" s="85"/>
      <c r="BK1133" s="85"/>
      <c r="BL1133" s="85"/>
      <c r="BM1133" s="85"/>
      <c r="BN1133" s="85"/>
      <c r="BO1133" s="85"/>
      <c r="BP1133" s="85"/>
      <c r="BQ1133" s="85"/>
      <c r="BR1133" s="84"/>
      <c r="BS1133" s="85"/>
      <c r="BT1133" s="85"/>
      <c r="BU1133" s="198"/>
      <c r="BV1133" s="90"/>
      <c r="BW1133" s="198"/>
      <c r="BX1133" s="90"/>
      <c r="BY1133" s="198"/>
      <c r="BZ1133" s="90"/>
      <c r="CA1133" s="91"/>
    </row>
    <row r="1134" spans="1:79" ht="50.1" customHeight="1" outlineLevel="2" x14ac:dyDescent="0.3">
      <c r="A1134" s="106" t="s">
        <v>940</v>
      </c>
      <c r="B1134" s="102" t="s">
        <v>954</v>
      </c>
      <c r="C1134" s="79" t="s">
        <v>53</v>
      </c>
      <c r="D1134" s="81">
        <f t="shared" si="257"/>
        <v>63.000880000000002</v>
      </c>
      <c r="E1134" s="82">
        <f t="shared" si="251"/>
        <v>0</v>
      </c>
      <c r="F1134" s="83">
        <f t="shared" si="252"/>
        <v>63.000880000000002</v>
      </c>
      <c r="G1134" s="84"/>
      <c r="H1134" s="85"/>
      <c r="I1134" s="85"/>
      <c r="J1134" s="84"/>
      <c r="K1134" s="85"/>
      <c r="L1134" s="209"/>
      <c r="M1134" s="85"/>
      <c r="N1134" s="85"/>
      <c r="O1134" s="82"/>
      <c r="P1134" s="83"/>
      <c r="Q1134" s="83"/>
      <c r="R1134" s="83"/>
      <c r="S1134" s="82"/>
      <c r="T1134" s="83"/>
      <c r="U1134" s="83"/>
      <c r="V1134" s="84"/>
      <c r="W1134" s="85"/>
      <c r="X1134" s="87"/>
      <c r="Y1134" s="83"/>
      <c r="Z1134" s="84"/>
      <c r="AA1134" s="85"/>
      <c r="AB1134" s="84"/>
      <c r="AC1134" s="85"/>
      <c r="AD1134" s="89">
        <f t="shared" si="258"/>
        <v>0</v>
      </c>
      <c r="AE1134" s="89"/>
      <c r="AF1134" s="186"/>
      <c r="AG1134" s="85"/>
      <c r="AH1134" s="85"/>
      <c r="AI1134" s="85"/>
      <c r="AJ1134" s="84"/>
      <c r="AK1134" s="85"/>
      <c r="AL1134" s="84"/>
      <c r="AM1134" s="88"/>
      <c r="AN1134" s="84"/>
      <c r="AO1134" s="85"/>
      <c r="AP1134" s="84"/>
      <c r="AQ1134" s="83"/>
      <c r="AR1134" s="83"/>
      <c r="AS1134" s="83"/>
      <c r="AT1134" s="85"/>
      <c r="AU1134" s="85"/>
      <c r="AV1134" s="85"/>
      <c r="AW1134" s="88"/>
      <c r="AX1134" s="84"/>
      <c r="AY1134" s="85"/>
      <c r="AZ1134" s="84"/>
      <c r="BA1134" s="85"/>
      <c r="BB1134" s="88">
        <v>63.000880000000002</v>
      </c>
      <c r="BC1134" s="85"/>
      <c r="BD1134" s="84"/>
      <c r="BE1134" s="88"/>
      <c r="BF1134" s="85"/>
      <c r="BG1134" s="85"/>
      <c r="BH1134" s="85"/>
      <c r="BI1134" s="85"/>
      <c r="BJ1134" s="85"/>
      <c r="BK1134" s="85"/>
      <c r="BL1134" s="85"/>
      <c r="BM1134" s="85"/>
      <c r="BN1134" s="85"/>
      <c r="BO1134" s="85"/>
      <c r="BP1134" s="85"/>
      <c r="BQ1134" s="85"/>
      <c r="BR1134" s="84"/>
      <c r="BS1134" s="85"/>
      <c r="BT1134" s="85"/>
      <c r="BU1134" s="198"/>
      <c r="BV1134" s="90"/>
      <c r="BW1134" s="198"/>
      <c r="BX1134" s="90"/>
      <c r="BY1134" s="198"/>
      <c r="BZ1134" s="90"/>
      <c r="CA1134" s="91"/>
    </row>
    <row r="1135" spans="1:79" ht="50.1" customHeight="1" outlineLevel="2" x14ac:dyDescent="0.3">
      <c r="A1135" s="106" t="s">
        <v>940</v>
      </c>
      <c r="B1135" s="102" t="s">
        <v>955</v>
      </c>
      <c r="C1135" s="79" t="s">
        <v>99</v>
      </c>
      <c r="D1135" s="81">
        <f t="shared" si="257"/>
        <v>135601.32157</v>
      </c>
      <c r="E1135" s="82">
        <f t="shared" si="251"/>
        <v>48346.407160000002</v>
      </c>
      <c r="F1135" s="83">
        <f t="shared" si="252"/>
        <v>87254.914409999998</v>
      </c>
      <c r="G1135" s="84"/>
      <c r="H1135" s="85"/>
      <c r="I1135" s="85"/>
      <c r="J1135" s="84"/>
      <c r="K1135" s="85"/>
      <c r="L1135" s="85">
        <v>18912.491880000001</v>
      </c>
      <c r="M1135" s="85"/>
      <c r="N1135" s="85">
        <f>11746.58414+1220.52051+530.89326</f>
        <v>13497.997910000002</v>
      </c>
      <c r="O1135" s="82"/>
      <c r="P1135" s="83"/>
      <c r="Q1135" s="83"/>
      <c r="R1135" s="83"/>
      <c r="S1135" s="82">
        <v>48346.407160000002</v>
      </c>
      <c r="T1135" s="83">
        <v>26215.57214</v>
      </c>
      <c r="U1135" s="83">
        <v>12174.79321</v>
      </c>
      <c r="V1135" s="84"/>
      <c r="W1135" s="85"/>
      <c r="X1135" s="82"/>
      <c r="Y1135" s="83"/>
      <c r="Z1135" s="84"/>
      <c r="AA1135" s="85"/>
      <c r="AB1135" s="84"/>
      <c r="AC1135" s="85"/>
      <c r="AD1135" s="89">
        <f t="shared" si="258"/>
        <v>0</v>
      </c>
      <c r="AE1135" s="89"/>
      <c r="AF1135" s="186"/>
      <c r="AG1135" s="85"/>
      <c r="AH1135" s="85"/>
      <c r="AI1135" s="85"/>
      <c r="AJ1135" s="84"/>
      <c r="AK1135" s="85"/>
      <c r="AL1135" s="84"/>
      <c r="AM1135" s="88"/>
      <c r="AN1135" s="84"/>
      <c r="AO1135" s="85"/>
      <c r="AP1135" s="84"/>
      <c r="AQ1135" s="83"/>
      <c r="AR1135" s="83"/>
      <c r="AS1135" s="83"/>
      <c r="AT1135" s="85"/>
      <c r="AU1135" s="85"/>
      <c r="AV1135" s="85">
        <f>8306.75632+728.32628+4405.14616</f>
        <v>13440.22876</v>
      </c>
      <c r="AW1135" s="88"/>
      <c r="AX1135" s="84"/>
      <c r="AY1135" s="85"/>
      <c r="AZ1135" s="84"/>
      <c r="BA1135" s="85"/>
      <c r="BB1135" s="88"/>
      <c r="BC1135" s="85"/>
      <c r="BD1135" s="84"/>
      <c r="BE1135" s="88"/>
      <c r="BF1135" s="85"/>
      <c r="BG1135" s="85">
        <v>3013.8305099999998</v>
      </c>
      <c r="BH1135" s="85"/>
      <c r="BI1135" s="85"/>
      <c r="BJ1135" s="85"/>
      <c r="BK1135" s="85"/>
      <c r="BL1135" s="85"/>
      <c r="BM1135" s="85"/>
      <c r="BN1135" s="85"/>
      <c r="BO1135" s="85"/>
      <c r="BP1135" s="85"/>
      <c r="BQ1135" s="85"/>
      <c r="BR1135" s="84"/>
      <c r="BS1135" s="85"/>
      <c r="BT1135" s="85"/>
      <c r="BU1135" s="198"/>
      <c r="BV1135" s="90"/>
      <c r="BW1135" s="198"/>
      <c r="BX1135" s="90"/>
      <c r="BY1135" s="198"/>
      <c r="BZ1135" s="90"/>
      <c r="CA1135" s="91"/>
    </row>
    <row r="1136" spans="1:79" ht="50.1" customHeight="1" outlineLevel="2" x14ac:dyDescent="0.3">
      <c r="A1136" s="106" t="s">
        <v>940</v>
      </c>
      <c r="B1136" s="111" t="s">
        <v>956</v>
      </c>
      <c r="C1136" s="79"/>
      <c r="D1136" s="81">
        <f t="shared" si="257"/>
        <v>300</v>
      </c>
      <c r="E1136" s="82">
        <f t="shared" si="251"/>
        <v>0</v>
      </c>
      <c r="F1136" s="83">
        <f t="shared" si="252"/>
        <v>300</v>
      </c>
      <c r="G1136" s="84"/>
      <c r="H1136" s="85"/>
      <c r="I1136" s="85"/>
      <c r="J1136" s="84"/>
      <c r="K1136" s="85"/>
      <c r="L1136" s="209"/>
      <c r="M1136" s="85"/>
      <c r="N1136" s="85"/>
      <c r="O1136" s="82"/>
      <c r="P1136" s="83"/>
      <c r="Q1136" s="83"/>
      <c r="R1136" s="83"/>
      <c r="S1136" s="82"/>
      <c r="T1136" s="83"/>
      <c r="U1136" s="83"/>
      <c r="V1136" s="84"/>
      <c r="W1136" s="85"/>
      <c r="X1136" s="82"/>
      <c r="Y1136" s="83"/>
      <c r="Z1136" s="84"/>
      <c r="AA1136" s="85"/>
      <c r="AB1136" s="84"/>
      <c r="AC1136" s="85"/>
      <c r="AD1136" s="89">
        <f t="shared" si="258"/>
        <v>0</v>
      </c>
      <c r="AE1136" s="89"/>
      <c r="AF1136" s="188"/>
      <c r="AG1136" s="85"/>
      <c r="AH1136" s="85"/>
      <c r="AI1136" s="85"/>
      <c r="AJ1136" s="84"/>
      <c r="AK1136" s="85"/>
      <c r="AL1136" s="84"/>
      <c r="AM1136" s="88"/>
      <c r="AN1136" s="84"/>
      <c r="AO1136" s="85"/>
      <c r="AP1136" s="84"/>
      <c r="AQ1136" s="83"/>
      <c r="AR1136" s="83"/>
      <c r="AS1136" s="83"/>
      <c r="AT1136" s="85"/>
      <c r="AU1136" s="85"/>
      <c r="AV1136" s="85"/>
      <c r="AW1136" s="88"/>
      <c r="AX1136" s="84"/>
      <c r="AY1136" s="85"/>
      <c r="AZ1136" s="84"/>
      <c r="BA1136" s="85"/>
      <c r="BB1136" s="88"/>
      <c r="BC1136" s="85"/>
      <c r="BD1136" s="84"/>
      <c r="BE1136" s="88"/>
      <c r="BF1136" s="85"/>
      <c r="BG1136" s="85"/>
      <c r="BH1136" s="85">
        <v>300</v>
      </c>
      <c r="BI1136" s="85"/>
      <c r="BJ1136" s="85"/>
      <c r="BK1136" s="85"/>
      <c r="BL1136" s="85"/>
      <c r="BM1136" s="85"/>
      <c r="BN1136" s="85"/>
      <c r="BO1136" s="85"/>
      <c r="BP1136" s="85"/>
      <c r="BQ1136" s="85"/>
      <c r="BR1136" s="84"/>
      <c r="BS1136" s="85"/>
      <c r="BT1136" s="85"/>
      <c r="BU1136" s="198"/>
      <c r="BV1136" s="90"/>
      <c r="BW1136" s="198"/>
      <c r="BX1136" s="90"/>
      <c r="BY1136" s="198"/>
      <c r="BZ1136" s="90"/>
      <c r="CA1136" s="91"/>
    </row>
    <row r="1137" spans="1:16348" ht="50.1" customHeight="1" outlineLevel="2" x14ac:dyDescent="0.3">
      <c r="A1137" s="106" t="s">
        <v>940</v>
      </c>
      <c r="B1137" s="111" t="s">
        <v>957</v>
      </c>
      <c r="C1137" s="79"/>
      <c r="D1137" s="81">
        <f t="shared" si="257"/>
        <v>300</v>
      </c>
      <c r="E1137" s="82">
        <f t="shared" si="251"/>
        <v>0</v>
      </c>
      <c r="F1137" s="83">
        <f t="shared" si="252"/>
        <v>300</v>
      </c>
      <c r="G1137" s="84"/>
      <c r="H1137" s="85"/>
      <c r="I1137" s="85"/>
      <c r="J1137" s="84"/>
      <c r="K1137" s="85"/>
      <c r="L1137" s="209"/>
      <c r="M1137" s="85"/>
      <c r="N1137" s="85"/>
      <c r="O1137" s="82"/>
      <c r="P1137" s="83"/>
      <c r="Q1137" s="83"/>
      <c r="R1137" s="83"/>
      <c r="S1137" s="82"/>
      <c r="T1137" s="83"/>
      <c r="U1137" s="83"/>
      <c r="V1137" s="84"/>
      <c r="W1137" s="85"/>
      <c r="X1137" s="82"/>
      <c r="Y1137" s="83"/>
      <c r="Z1137" s="84"/>
      <c r="AA1137" s="85"/>
      <c r="AB1137" s="84"/>
      <c r="AC1137" s="85"/>
      <c r="AD1137" s="89">
        <f t="shared" si="258"/>
        <v>0</v>
      </c>
      <c r="AE1137" s="89"/>
      <c r="AF1137" s="188"/>
      <c r="AG1137" s="85"/>
      <c r="AH1137" s="85"/>
      <c r="AI1137" s="85"/>
      <c r="AJ1137" s="84"/>
      <c r="AK1137" s="85"/>
      <c r="AL1137" s="84"/>
      <c r="AM1137" s="88"/>
      <c r="AN1137" s="84"/>
      <c r="AO1137" s="85"/>
      <c r="AP1137" s="84"/>
      <c r="AQ1137" s="83"/>
      <c r="AR1137" s="83"/>
      <c r="AS1137" s="83"/>
      <c r="AT1137" s="85"/>
      <c r="AU1137" s="85"/>
      <c r="AV1137" s="85"/>
      <c r="AW1137" s="88"/>
      <c r="AX1137" s="84"/>
      <c r="AY1137" s="85"/>
      <c r="AZ1137" s="84"/>
      <c r="BA1137" s="85"/>
      <c r="BB1137" s="88"/>
      <c r="BC1137" s="85"/>
      <c r="BD1137" s="84"/>
      <c r="BE1137" s="88"/>
      <c r="BF1137" s="85"/>
      <c r="BG1137" s="85"/>
      <c r="BH1137" s="85">
        <v>300</v>
      </c>
      <c r="BI1137" s="85"/>
      <c r="BJ1137" s="85"/>
      <c r="BK1137" s="85"/>
      <c r="BL1137" s="85"/>
      <c r="BM1137" s="85"/>
      <c r="BN1137" s="85"/>
      <c r="BO1137" s="85"/>
      <c r="BP1137" s="85"/>
      <c r="BQ1137" s="85"/>
      <c r="BR1137" s="84"/>
      <c r="BS1137" s="85"/>
      <c r="BT1137" s="85"/>
      <c r="BU1137" s="198"/>
      <c r="BV1137" s="90"/>
      <c r="BW1137" s="198"/>
      <c r="BX1137" s="90"/>
      <c r="BY1137" s="198"/>
      <c r="BZ1137" s="90"/>
      <c r="CA1137" s="91"/>
    </row>
    <row r="1138" spans="1:16348" ht="50.1" customHeight="1" outlineLevel="2" x14ac:dyDescent="0.3">
      <c r="A1138" s="106" t="s">
        <v>940</v>
      </c>
      <c r="B1138" s="111" t="s">
        <v>1140</v>
      </c>
      <c r="C1138" s="79"/>
      <c r="D1138" s="81">
        <f t="shared" si="257"/>
        <v>300</v>
      </c>
      <c r="E1138" s="82">
        <f t="shared" si="251"/>
        <v>0</v>
      </c>
      <c r="F1138" s="83">
        <f t="shared" si="252"/>
        <v>300</v>
      </c>
      <c r="G1138" s="84"/>
      <c r="H1138" s="85"/>
      <c r="I1138" s="85"/>
      <c r="J1138" s="84"/>
      <c r="K1138" s="85"/>
      <c r="L1138" s="209"/>
      <c r="M1138" s="85"/>
      <c r="N1138" s="85"/>
      <c r="O1138" s="82"/>
      <c r="P1138" s="83"/>
      <c r="Q1138" s="83"/>
      <c r="R1138" s="83"/>
      <c r="S1138" s="82"/>
      <c r="T1138" s="83"/>
      <c r="U1138" s="83"/>
      <c r="V1138" s="84"/>
      <c r="W1138" s="85"/>
      <c r="X1138" s="82"/>
      <c r="Y1138" s="83"/>
      <c r="Z1138" s="84"/>
      <c r="AA1138" s="85"/>
      <c r="AB1138" s="84"/>
      <c r="AC1138" s="85"/>
      <c r="AD1138" s="89">
        <f t="shared" si="258"/>
        <v>0</v>
      </c>
      <c r="AE1138" s="89"/>
      <c r="AF1138" s="188"/>
      <c r="AG1138" s="85"/>
      <c r="AH1138" s="85"/>
      <c r="AI1138" s="85"/>
      <c r="AJ1138" s="84"/>
      <c r="AK1138" s="85"/>
      <c r="AL1138" s="84"/>
      <c r="AM1138" s="88"/>
      <c r="AN1138" s="84"/>
      <c r="AO1138" s="85"/>
      <c r="AP1138" s="84"/>
      <c r="AQ1138" s="83"/>
      <c r="AR1138" s="83"/>
      <c r="AS1138" s="83"/>
      <c r="AT1138" s="85"/>
      <c r="AU1138" s="85"/>
      <c r="AV1138" s="85"/>
      <c r="AW1138" s="88"/>
      <c r="AX1138" s="84"/>
      <c r="AY1138" s="85"/>
      <c r="AZ1138" s="84"/>
      <c r="BA1138" s="85"/>
      <c r="BB1138" s="88"/>
      <c r="BC1138" s="85"/>
      <c r="BD1138" s="84"/>
      <c r="BE1138" s="88"/>
      <c r="BF1138" s="85"/>
      <c r="BG1138" s="85"/>
      <c r="BH1138" s="85">
        <v>300</v>
      </c>
      <c r="BI1138" s="85"/>
      <c r="BJ1138" s="85"/>
      <c r="BK1138" s="85"/>
      <c r="BL1138" s="85"/>
      <c r="BM1138" s="85"/>
      <c r="BN1138" s="85"/>
      <c r="BO1138" s="85"/>
      <c r="BP1138" s="85"/>
      <c r="BQ1138" s="85"/>
      <c r="BR1138" s="84"/>
      <c r="BS1138" s="85"/>
      <c r="BT1138" s="85"/>
      <c r="BU1138" s="198"/>
      <c r="BV1138" s="90"/>
      <c r="BW1138" s="198"/>
      <c r="BX1138" s="90"/>
      <c r="BY1138" s="198"/>
      <c r="BZ1138" s="90"/>
      <c r="CA1138" s="91"/>
    </row>
    <row r="1139" spans="1:16348" ht="50.1" customHeight="1" outlineLevel="2" x14ac:dyDescent="0.3">
      <c r="A1139" s="106" t="s">
        <v>940</v>
      </c>
      <c r="B1139" s="111" t="s">
        <v>958</v>
      </c>
      <c r="C1139" s="79"/>
      <c r="D1139" s="81">
        <f t="shared" si="257"/>
        <v>25.39697</v>
      </c>
      <c r="E1139" s="82">
        <f t="shared" si="251"/>
        <v>0</v>
      </c>
      <c r="F1139" s="83">
        <f t="shared" si="252"/>
        <v>25.39697</v>
      </c>
      <c r="G1139" s="84"/>
      <c r="H1139" s="85"/>
      <c r="I1139" s="85"/>
      <c r="J1139" s="84"/>
      <c r="K1139" s="85"/>
      <c r="L1139" s="209"/>
      <c r="M1139" s="85"/>
      <c r="N1139" s="85"/>
      <c r="O1139" s="82"/>
      <c r="P1139" s="83"/>
      <c r="Q1139" s="83"/>
      <c r="R1139" s="83"/>
      <c r="S1139" s="82"/>
      <c r="T1139" s="83"/>
      <c r="U1139" s="83"/>
      <c r="V1139" s="84"/>
      <c r="W1139" s="85"/>
      <c r="X1139" s="82"/>
      <c r="Y1139" s="83"/>
      <c r="Z1139" s="84"/>
      <c r="AA1139" s="85"/>
      <c r="AB1139" s="84"/>
      <c r="AC1139" s="85"/>
      <c r="AD1139" s="89">
        <f t="shared" si="258"/>
        <v>0</v>
      </c>
      <c r="AE1139" s="89"/>
      <c r="AF1139" s="186"/>
      <c r="AG1139" s="85"/>
      <c r="AH1139" s="85"/>
      <c r="AI1139" s="85"/>
      <c r="AJ1139" s="84"/>
      <c r="AK1139" s="85"/>
      <c r="AL1139" s="84"/>
      <c r="AM1139" s="88"/>
      <c r="AN1139" s="84"/>
      <c r="AO1139" s="85"/>
      <c r="AP1139" s="84"/>
      <c r="AQ1139" s="83"/>
      <c r="AR1139" s="83"/>
      <c r="AS1139" s="83"/>
      <c r="AT1139" s="85"/>
      <c r="AU1139" s="85"/>
      <c r="AV1139" s="85"/>
      <c r="AW1139" s="88"/>
      <c r="AX1139" s="84"/>
      <c r="AY1139" s="85"/>
      <c r="AZ1139" s="84"/>
      <c r="BA1139" s="85"/>
      <c r="BB1139" s="88"/>
      <c r="BC1139" s="85"/>
      <c r="BD1139" s="84"/>
      <c r="BE1139" s="88"/>
      <c r="BF1139" s="85"/>
      <c r="BG1139" s="85"/>
      <c r="BH1139" s="85"/>
      <c r="BI1139" s="135">
        <f>15.03+10.36697</f>
        <v>25.39697</v>
      </c>
      <c r="BJ1139" s="85"/>
      <c r="BK1139" s="85"/>
      <c r="BL1139" s="85"/>
      <c r="BM1139" s="85"/>
      <c r="BN1139" s="85"/>
      <c r="BO1139" s="85"/>
      <c r="BP1139" s="85"/>
      <c r="BQ1139" s="85"/>
      <c r="BR1139" s="84"/>
      <c r="BS1139" s="85"/>
      <c r="BT1139" s="85"/>
      <c r="BU1139" s="198"/>
      <c r="BV1139" s="90"/>
      <c r="BW1139" s="198"/>
      <c r="BX1139" s="90"/>
      <c r="BY1139" s="198"/>
      <c r="BZ1139" s="90"/>
      <c r="CA1139" s="91"/>
    </row>
    <row r="1140" spans="1:16348" ht="50.1" customHeight="1" outlineLevel="2" x14ac:dyDescent="0.3">
      <c r="A1140" s="106" t="s">
        <v>940</v>
      </c>
      <c r="B1140" s="111" t="s">
        <v>1070</v>
      </c>
      <c r="C1140" s="79"/>
      <c r="D1140" s="81">
        <f t="shared" si="257"/>
        <v>18.925000000000001</v>
      </c>
      <c r="E1140" s="82">
        <f t="shared" si="251"/>
        <v>0</v>
      </c>
      <c r="F1140" s="83">
        <f t="shared" si="252"/>
        <v>18.925000000000001</v>
      </c>
      <c r="G1140" s="84"/>
      <c r="H1140" s="85"/>
      <c r="I1140" s="85"/>
      <c r="J1140" s="84"/>
      <c r="K1140" s="85"/>
      <c r="L1140" s="209"/>
      <c r="M1140" s="85"/>
      <c r="N1140" s="85"/>
      <c r="O1140" s="82"/>
      <c r="P1140" s="83"/>
      <c r="Q1140" s="83"/>
      <c r="R1140" s="83"/>
      <c r="S1140" s="82"/>
      <c r="T1140" s="83"/>
      <c r="U1140" s="83"/>
      <c r="V1140" s="84"/>
      <c r="W1140" s="85"/>
      <c r="X1140" s="82"/>
      <c r="Y1140" s="83"/>
      <c r="Z1140" s="84"/>
      <c r="AA1140" s="85"/>
      <c r="AB1140" s="84"/>
      <c r="AC1140" s="85"/>
      <c r="AD1140" s="89"/>
      <c r="AE1140" s="89"/>
      <c r="AF1140" s="186"/>
      <c r="AG1140" s="85"/>
      <c r="AH1140" s="85"/>
      <c r="AI1140" s="85"/>
      <c r="AJ1140" s="84"/>
      <c r="AK1140" s="85"/>
      <c r="AL1140" s="84"/>
      <c r="AM1140" s="88"/>
      <c r="AN1140" s="84"/>
      <c r="AO1140" s="85"/>
      <c r="AP1140" s="84"/>
      <c r="AQ1140" s="83"/>
      <c r="AR1140" s="83"/>
      <c r="AS1140" s="83"/>
      <c r="AT1140" s="85"/>
      <c r="AU1140" s="85"/>
      <c r="AV1140" s="85"/>
      <c r="AW1140" s="88"/>
      <c r="AX1140" s="84"/>
      <c r="AY1140" s="85"/>
      <c r="AZ1140" s="84"/>
      <c r="BA1140" s="85"/>
      <c r="BB1140" s="88"/>
      <c r="BC1140" s="85"/>
      <c r="BD1140" s="84"/>
      <c r="BE1140" s="88"/>
      <c r="BF1140" s="85"/>
      <c r="BG1140" s="85"/>
      <c r="BH1140" s="85"/>
      <c r="BI1140" s="135">
        <v>18.925000000000001</v>
      </c>
      <c r="BJ1140" s="85"/>
      <c r="BK1140" s="85"/>
      <c r="BL1140" s="85"/>
      <c r="BM1140" s="85"/>
      <c r="BN1140" s="85"/>
      <c r="BO1140" s="85"/>
      <c r="BP1140" s="85"/>
      <c r="BQ1140" s="85"/>
      <c r="BR1140" s="84"/>
      <c r="BS1140" s="85"/>
      <c r="BT1140" s="85"/>
      <c r="BU1140" s="198"/>
      <c r="BV1140" s="90"/>
      <c r="BW1140" s="198"/>
      <c r="BX1140" s="90"/>
      <c r="BY1140" s="198"/>
      <c r="BZ1140" s="90"/>
      <c r="CA1140" s="91"/>
    </row>
    <row r="1141" spans="1:16348" ht="50.1" customHeight="1" outlineLevel="2" x14ac:dyDescent="0.3">
      <c r="A1141" s="103" t="s">
        <v>940</v>
      </c>
      <c r="B1141" s="111" t="s">
        <v>1125</v>
      </c>
      <c r="C1141" s="79"/>
      <c r="D1141" s="81">
        <f t="shared" si="257"/>
        <v>43.555</v>
      </c>
      <c r="E1141" s="82">
        <f t="shared" ref="E1141:E1152" si="259">G1141+J1141+O1141+S1141+V1141+X1141+Z1141+AB1141+AJ1141+AL1141+AN1141+AP1141+AX1141+AZ1141+BD1141+BV1141+BX1141+BZ1141+BR1141</f>
        <v>0</v>
      </c>
      <c r="F1141" s="83">
        <f t="shared" si="252"/>
        <v>43.555</v>
      </c>
      <c r="G1141" s="84"/>
      <c r="H1141" s="85"/>
      <c r="I1141" s="85"/>
      <c r="J1141" s="84"/>
      <c r="K1141" s="85"/>
      <c r="L1141" s="209"/>
      <c r="M1141" s="85"/>
      <c r="N1141" s="85"/>
      <c r="O1141" s="82"/>
      <c r="P1141" s="83"/>
      <c r="Q1141" s="83"/>
      <c r="R1141" s="83"/>
      <c r="S1141" s="82"/>
      <c r="T1141" s="83"/>
      <c r="U1141" s="83"/>
      <c r="V1141" s="84"/>
      <c r="W1141" s="85"/>
      <c r="X1141" s="82"/>
      <c r="Y1141" s="83"/>
      <c r="Z1141" s="84"/>
      <c r="AA1141" s="85"/>
      <c r="AB1141" s="84"/>
      <c r="AC1141" s="85"/>
      <c r="AD1141" s="89">
        <f t="shared" si="258"/>
        <v>0</v>
      </c>
      <c r="AE1141" s="89"/>
      <c r="AF1141" s="186"/>
      <c r="AG1141" s="85"/>
      <c r="AH1141" s="85"/>
      <c r="AI1141" s="85"/>
      <c r="AJ1141" s="84"/>
      <c r="AK1141" s="85"/>
      <c r="AL1141" s="84"/>
      <c r="AM1141" s="88"/>
      <c r="AN1141" s="84"/>
      <c r="AO1141" s="85"/>
      <c r="AP1141" s="84"/>
      <c r="AQ1141" s="83"/>
      <c r="AR1141" s="83"/>
      <c r="AS1141" s="83"/>
      <c r="AT1141" s="85"/>
      <c r="AU1141" s="85"/>
      <c r="AV1141" s="85"/>
      <c r="AW1141" s="88"/>
      <c r="AX1141" s="84"/>
      <c r="AY1141" s="85"/>
      <c r="AZ1141" s="84"/>
      <c r="BA1141" s="85"/>
      <c r="BB1141" s="88"/>
      <c r="BC1141" s="85"/>
      <c r="BD1141" s="84"/>
      <c r="BE1141" s="88"/>
      <c r="BF1141" s="85"/>
      <c r="BG1141" s="85"/>
      <c r="BH1141" s="85"/>
      <c r="BI1141" s="85">
        <v>43.555</v>
      </c>
      <c r="BJ1141" s="85"/>
      <c r="BK1141" s="85"/>
      <c r="BL1141" s="85"/>
      <c r="BM1141" s="85"/>
      <c r="BN1141" s="85"/>
      <c r="BO1141" s="85"/>
      <c r="BP1141" s="85"/>
      <c r="BQ1141" s="85"/>
      <c r="BR1141" s="84"/>
      <c r="BS1141" s="85"/>
      <c r="BT1141" s="85"/>
      <c r="BU1141" s="198"/>
      <c r="BV1141" s="90"/>
      <c r="BW1141" s="198"/>
      <c r="BX1141" s="90"/>
      <c r="BY1141" s="198"/>
      <c r="BZ1141" s="90"/>
      <c r="CA1141" s="91"/>
    </row>
    <row r="1142" spans="1:16348" s="101" customFormat="1" ht="50.1" customHeight="1" outlineLevel="1" x14ac:dyDescent="0.3">
      <c r="A1142" s="228" t="s">
        <v>959</v>
      </c>
      <c r="B1142" s="133"/>
      <c r="C1142" s="134" t="s">
        <v>94</v>
      </c>
      <c r="D1142" s="81">
        <f t="shared" ref="D1142:AI1142" si="260">SUBTOTAL(9,D1115:D1141)</f>
        <v>280500.90607999999</v>
      </c>
      <c r="E1142" s="81">
        <f t="shared" si="260"/>
        <v>81181.035820000005</v>
      </c>
      <c r="F1142" s="81">
        <f t="shared" si="260"/>
        <v>199319.87026</v>
      </c>
      <c r="G1142" s="81">
        <f t="shared" si="260"/>
        <v>0</v>
      </c>
      <c r="H1142" s="81">
        <f t="shared" si="260"/>
        <v>0</v>
      </c>
      <c r="I1142" s="81">
        <f t="shared" si="260"/>
        <v>0</v>
      </c>
      <c r="J1142" s="81">
        <f t="shared" si="260"/>
        <v>454.11322000000001</v>
      </c>
      <c r="K1142" s="81">
        <f t="shared" si="260"/>
        <v>173.00077999999999</v>
      </c>
      <c r="L1142" s="81">
        <f t="shared" si="260"/>
        <v>24159.28988</v>
      </c>
      <c r="M1142" s="81">
        <f t="shared" si="260"/>
        <v>0</v>
      </c>
      <c r="N1142" s="81">
        <f t="shared" si="260"/>
        <v>13497.997910000002</v>
      </c>
      <c r="O1142" s="81">
        <f t="shared" si="260"/>
        <v>7.4362899999999996</v>
      </c>
      <c r="P1142" s="81">
        <f t="shared" si="260"/>
        <v>0.65778999999999999</v>
      </c>
      <c r="Q1142" s="81">
        <f t="shared" si="260"/>
        <v>0</v>
      </c>
      <c r="R1142" s="81">
        <f t="shared" si="260"/>
        <v>0</v>
      </c>
      <c r="S1142" s="81">
        <f t="shared" si="260"/>
        <v>53964.830270000006</v>
      </c>
      <c r="T1142" s="81">
        <f t="shared" si="260"/>
        <v>31254.422010000002</v>
      </c>
      <c r="U1142" s="81">
        <f t="shared" si="260"/>
        <v>12174.79321</v>
      </c>
      <c r="V1142" s="81">
        <f t="shared" si="260"/>
        <v>1266.5242999999998</v>
      </c>
      <c r="W1142" s="81">
        <f t="shared" si="260"/>
        <v>3056.9160000000002</v>
      </c>
      <c r="X1142" s="81">
        <f t="shared" si="260"/>
        <v>0</v>
      </c>
      <c r="Y1142" s="81">
        <f t="shared" si="260"/>
        <v>1186.5360000000001</v>
      </c>
      <c r="Z1142" s="81">
        <f t="shared" si="260"/>
        <v>0</v>
      </c>
      <c r="AA1142" s="81">
        <f t="shared" si="260"/>
        <v>628.54231000000004</v>
      </c>
      <c r="AB1142" s="81">
        <f t="shared" si="260"/>
        <v>0</v>
      </c>
      <c r="AC1142" s="81">
        <f t="shared" si="260"/>
        <v>0</v>
      </c>
      <c r="AD1142" s="81">
        <f t="shared" si="260"/>
        <v>3931.3528499999993</v>
      </c>
      <c r="AE1142" s="81">
        <f t="shared" si="260"/>
        <v>1183.2128</v>
      </c>
      <c r="AF1142" s="192">
        <f t="shared" si="260"/>
        <v>2748.1400499999995</v>
      </c>
      <c r="AG1142" s="81">
        <f t="shared" si="260"/>
        <v>0</v>
      </c>
      <c r="AH1142" s="81">
        <f t="shared" si="260"/>
        <v>0</v>
      </c>
      <c r="AI1142" s="81">
        <f t="shared" si="260"/>
        <v>0</v>
      </c>
      <c r="AJ1142" s="81">
        <f t="shared" ref="AJ1142:BO1142" si="261">SUBTOTAL(9,AJ1115:AJ1141)</f>
        <v>0</v>
      </c>
      <c r="AK1142" s="81">
        <f t="shared" si="261"/>
        <v>0</v>
      </c>
      <c r="AL1142" s="81">
        <f t="shared" si="261"/>
        <v>0</v>
      </c>
      <c r="AM1142" s="81">
        <f t="shared" si="261"/>
        <v>0</v>
      </c>
      <c r="AN1142" s="81">
        <f t="shared" si="261"/>
        <v>0</v>
      </c>
      <c r="AO1142" s="81">
        <f t="shared" si="261"/>
        <v>599.04</v>
      </c>
      <c r="AP1142" s="81">
        <f t="shared" si="261"/>
        <v>4652.2491799999998</v>
      </c>
      <c r="AQ1142" s="81">
        <f t="shared" si="261"/>
        <v>6666.4509500000004</v>
      </c>
      <c r="AR1142" s="81">
        <f t="shared" si="261"/>
        <v>0</v>
      </c>
      <c r="AS1142" s="81">
        <f t="shared" si="261"/>
        <v>0</v>
      </c>
      <c r="AT1142" s="81">
        <f t="shared" si="261"/>
        <v>40362.355000000003</v>
      </c>
      <c r="AU1142" s="81">
        <f t="shared" si="261"/>
        <v>0</v>
      </c>
      <c r="AV1142" s="81">
        <f t="shared" si="261"/>
        <v>34122.273930000003</v>
      </c>
      <c r="AW1142" s="81">
        <f t="shared" si="261"/>
        <v>0</v>
      </c>
      <c r="AX1142" s="81">
        <f t="shared" si="261"/>
        <v>0</v>
      </c>
      <c r="AY1142" s="81">
        <f t="shared" si="261"/>
        <v>0</v>
      </c>
      <c r="AZ1142" s="81">
        <f t="shared" si="261"/>
        <v>5927.6856400000006</v>
      </c>
      <c r="BA1142" s="81">
        <f t="shared" si="261"/>
        <v>5363.6705900000006</v>
      </c>
      <c r="BB1142" s="81">
        <f t="shared" si="261"/>
        <v>912.55909000000008</v>
      </c>
      <c r="BC1142" s="81">
        <f t="shared" si="261"/>
        <v>0</v>
      </c>
      <c r="BD1142" s="81">
        <f t="shared" si="261"/>
        <v>0</v>
      </c>
      <c r="BE1142" s="81">
        <f t="shared" si="261"/>
        <v>0</v>
      </c>
      <c r="BF1142" s="81">
        <f t="shared" si="261"/>
        <v>0</v>
      </c>
      <c r="BG1142" s="81">
        <f t="shared" si="261"/>
        <v>11053.465679999999</v>
      </c>
      <c r="BH1142" s="81">
        <f t="shared" si="261"/>
        <v>900</v>
      </c>
      <c r="BI1142" s="81">
        <f t="shared" si="261"/>
        <v>87.87697</v>
      </c>
      <c r="BJ1142" s="81">
        <f t="shared" si="261"/>
        <v>0</v>
      </c>
      <c r="BK1142" s="81">
        <f t="shared" si="261"/>
        <v>404.02681000000001</v>
      </c>
      <c r="BL1142" s="81">
        <f t="shared" si="261"/>
        <v>0</v>
      </c>
      <c r="BM1142" s="81">
        <f t="shared" si="261"/>
        <v>0</v>
      </c>
      <c r="BN1142" s="81">
        <f t="shared" si="261"/>
        <v>0</v>
      </c>
      <c r="BO1142" s="81">
        <f t="shared" si="261"/>
        <v>0</v>
      </c>
      <c r="BP1142" s="81">
        <f t="shared" ref="BP1142:CU1142" si="262">SUBTOTAL(9,BP1115:BP1141)</f>
        <v>0</v>
      </c>
      <c r="BQ1142" s="81">
        <f t="shared" si="262"/>
        <v>0</v>
      </c>
      <c r="BR1142" s="81">
        <f t="shared" si="262"/>
        <v>6572.0894200000002</v>
      </c>
      <c r="BS1142" s="81">
        <f t="shared" si="262"/>
        <v>0</v>
      </c>
      <c r="BT1142" s="81">
        <f t="shared" si="262"/>
        <v>57.8</v>
      </c>
      <c r="BU1142" s="81">
        <f t="shared" si="262"/>
        <v>0</v>
      </c>
      <c r="BV1142" s="81">
        <f t="shared" si="262"/>
        <v>8336.1075000000001</v>
      </c>
      <c r="BW1142" s="81">
        <f t="shared" si="262"/>
        <v>8726.8424999999988</v>
      </c>
      <c r="BX1142" s="81">
        <f t="shared" si="262"/>
        <v>0</v>
      </c>
      <c r="BY1142" s="81">
        <f t="shared" si="262"/>
        <v>0</v>
      </c>
      <c r="BZ1142" s="81">
        <f t="shared" si="262"/>
        <v>0</v>
      </c>
      <c r="CA1142" s="81">
        <f t="shared" si="262"/>
        <v>0</v>
      </c>
      <c r="CB1142" s="176"/>
      <c r="CC1142" s="176"/>
      <c r="CD1142" s="176"/>
      <c r="CE1142" s="176"/>
      <c r="CF1142" s="176"/>
      <c r="CG1142" s="176"/>
      <c r="CH1142" s="176"/>
      <c r="CI1142" s="176"/>
      <c r="CJ1142" s="176"/>
      <c r="CK1142" s="176"/>
      <c r="CL1142" s="176"/>
      <c r="CM1142" s="176"/>
      <c r="CN1142" s="176"/>
      <c r="CO1142" s="176"/>
      <c r="CP1142" s="176"/>
      <c r="CQ1142" s="176"/>
      <c r="CR1142" s="176"/>
      <c r="CS1142" s="176"/>
      <c r="CT1142" s="176"/>
      <c r="CU1142" s="176"/>
      <c r="CV1142" s="176"/>
      <c r="CW1142" s="176"/>
      <c r="CX1142" s="176"/>
      <c r="CY1142" s="176"/>
      <c r="CZ1142" s="176"/>
      <c r="DA1142" s="176"/>
      <c r="DB1142" s="176"/>
      <c r="DC1142" s="176"/>
      <c r="DD1142" s="176"/>
      <c r="DE1142" s="176"/>
      <c r="DF1142" s="176"/>
      <c r="DG1142" s="176"/>
      <c r="DH1142" s="176"/>
      <c r="DI1142" s="176"/>
      <c r="DJ1142" s="176"/>
      <c r="DK1142" s="176"/>
      <c r="DL1142" s="176"/>
      <c r="DM1142" s="176"/>
      <c r="DN1142" s="176"/>
      <c r="DO1142" s="176"/>
      <c r="DP1142" s="176"/>
      <c r="DQ1142" s="176"/>
      <c r="DR1142" s="176"/>
      <c r="DS1142" s="176"/>
      <c r="DT1142" s="176"/>
      <c r="DU1142" s="176"/>
      <c r="DV1142" s="176"/>
      <c r="DW1142" s="176"/>
      <c r="DX1142" s="176"/>
      <c r="DY1142" s="176"/>
      <c r="DZ1142" s="176"/>
      <c r="EA1142" s="176"/>
      <c r="EB1142" s="176"/>
      <c r="EC1142" s="176"/>
      <c r="ED1142" s="176"/>
      <c r="EE1142" s="176"/>
      <c r="EF1142" s="176"/>
      <c r="EG1142" s="176"/>
      <c r="EH1142" s="176"/>
      <c r="EI1142" s="176"/>
      <c r="EJ1142" s="176"/>
      <c r="EK1142" s="176"/>
      <c r="EL1142" s="176"/>
      <c r="EM1142" s="176"/>
      <c r="EN1142" s="176"/>
      <c r="EO1142" s="176"/>
      <c r="EP1142" s="176"/>
      <c r="EQ1142" s="176"/>
      <c r="ER1142" s="176"/>
      <c r="ES1142" s="176"/>
      <c r="ET1142" s="176"/>
      <c r="EU1142" s="176"/>
      <c r="EV1142" s="176"/>
      <c r="EW1142" s="176"/>
      <c r="EX1142" s="176"/>
      <c r="EY1142" s="176"/>
      <c r="EZ1142" s="176"/>
      <c r="FA1142" s="176"/>
      <c r="FB1142" s="176"/>
      <c r="FC1142" s="176"/>
      <c r="FD1142" s="176"/>
      <c r="FE1142" s="176"/>
      <c r="FF1142" s="176"/>
      <c r="FG1142" s="176"/>
      <c r="FH1142" s="176"/>
      <c r="FI1142" s="176"/>
      <c r="FJ1142" s="176"/>
      <c r="FK1142" s="176"/>
      <c r="FL1142" s="176"/>
      <c r="FM1142" s="176"/>
      <c r="FN1142" s="176"/>
      <c r="FO1142" s="176"/>
      <c r="FP1142" s="176"/>
      <c r="FQ1142" s="176"/>
      <c r="FR1142" s="176"/>
      <c r="FS1142" s="176"/>
      <c r="FT1142" s="176"/>
      <c r="FU1142" s="176"/>
      <c r="FV1142" s="176"/>
      <c r="FW1142" s="176"/>
      <c r="FX1142" s="176"/>
      <c r="FY1142" s="176"/>
      <c r="FZ1142" s="176"/>
      <c r="GA1142" s="176"/>
      <c r="GB1142" s="176"/>
      <c r="GC1142" s="176"/>
      <c r="GD1142" s="176"/>
      <c r="GE1142" s="176"/>
      <c r="GF1142" s="176"/>
      <c r="GG1142" s="176"/>
      <c r="GH1142" s="176"/>
      <c r="GI1142" s="176"/>
      <c r="GJ1142" s="176"/>
      <c r="GK1142" s="176"/>
      <c r="GL1142" s="176"/>
      <c r="GM1142" s="176"/>
      <c r="GN1142" s="176"/>
      <c r="GO1142" s="176"/>
      <c r="GP1142" s="176"/>
      <c r="GQ1142" s="176"/>
      <c r="GR1142" s="176"/>
      <c r="GS1142" s="176"/>
      <c r="GT1142" s="176"/>
      <c r="GU1142" s="176"/>
      <c r="GV1142" s="176"/>
      <c r="GW1142" s="176"/>
      <c r="GX1142" s="176"/>
      <c r="GY1142" s="176"/>
      <c r="GZ1142" s="176"/>
      <c r="HA1142" s="176"/>
      <c r="HB1142" s="176"/>
      <c r="HC1142" s="176"/>
      <c r="HD1142" s="176"/>
      <c r="HE1142" s="176"/>
      <c r="HF1142" s="176"/>
      <c r="HG1142" s="176"/>
      <c r="HH1142" s="176"/>
      <c r="HI1142" s="176"/>
      <c r="HJ1142" s="176"/>
      <c r="HK1142" s="176"/>
      <c r="HL1142" s="176"/>
      <c r="HM1142" s="176"/>
      <c r="HN1142" s="176"/>
      <c r="HO1142" s="176"/>
      <c r="HP1142" s="176"/>
      <c r="HQ1142" s="176"/>
      <c r="HR1142" s="176"/>
      <c r="HS1142" s="176"/>
      <c r="HT1142" s="176"/>
      <c r="HU1142" s="176"/>
      <c r="HV1142" s="176"/>
      <c r="HW1142" s="176"/>
      <c r="HX1142" s="176"/>
      <c r="HY1142" s="176"/>
      <c r="HZ1142" s="176"/>
      <c r="IA1142" s="176"/>
      <c r="IB1142" s="176"/>
      <c r="IC1142" s="176"/>
      <c r="ID1142" s="176"/>
      <c r="IE1142" s="176"/>
      <c r="IF1142" s="176"/>
      <c r="IG1142" s="176"/>
      <c r="IH1142" s="176"/>
      <c r="II1142" s="176"/>
      <c r="IJ1142" s="176"/>
      <c r="IK1142" s="176"/>
      <c r="IL1142" s="176"/>
      <c r="IM1142" s="176"/>
      <c r="IN1142" s="176"/>
      <c r="IO1142" s="176"/>
      <c r="IP1142" s="176"/>
      <c r="IQ1142" s="176"/>
      <c r="IR1142" s="176"/>
      <c r="IS1142" s="176"/>
      <c r="IT1142" s="176"/>
      <c r="IU1142" s="176"/>
      <c r="IV1142" s="176"/>
      <c r="IW1142" s="176"/>
      <c r="IX1142" s="176"/>
      <c r="IY1142" s="176"/>
      <c r="IZ1142" s="176"/>
      <c r="JA1142" s="176"/>
      <c r="JB1142" s="176"/>
      <c r="JC1142" s="176"/>
      <c r="JD1142" s="176"/>
      <c r="JE1142" s="176"/>
      <c r="JF1142" s="176"/>
      <c r="JG1142" s="176"/>
      <c r="JH1142" s="176"/>
      <c r="JI1142" s="176"/>
      <c r="JJ1142" s="176"/>
      <c r="JK1142" s="176"/>
      <c r="JL1142" s="176"/>
      <c r="JM1142" s="176"/>
      <c r="JN1142" s="176"/>
      <c r="JO1142" s="176"/>
      <c r="JP1142" s="176"/>
      <c r="JQ1142" s="176"/>
      <c r="JR1142" s="176"/>
      <c r="JS1142" s="176"/>
      <c r="JT1142" s="176"/>
      <c r="JU1142" s="176"/>
      <c r="JV1142" s="176"/>
      <c r="JW1142" s="131"/>
      <c r="JX1142" s="131"/>
      <c r="JY1142" s="131"/>
      <c r="JZ1142" s="131"/>
      <c r="KA1142" s="131"/>
      <c r="KB1142" s="131"/>
      <c r="KC1142" s="131"/>
      <c r="KD1142" s="131"/>
      <c r="KE1142" s="131"/>
      <c r="KF1142" s="131"/>
      <c r="KG1142" s="131"/>
      <c r="KH1142" s="131"/>
      <c r="KI1142" s="131"/>
      <c r="KJ1142" s="131"/>
      <c r="KK1142" s="131"/>
      <c r="KL1142" s="131"/>
      <c r="KM1142" s="131"/>
      <c r="KN1142" s="131"/>
      <c r="KO1142" s="131"/>
      <c r="KP1142" s="131"/>
      <c r="KQ1142" s="131"/>
      <c r="KR1142" s="131"/>
      <c r="KS1142" s="131"/>
      <c r="KT1142" s="131"/>
      <c r="KU1142" s="131"/>
      <c r="KV1142" s="131"/>
      <c r="KW1142" s="131"/>
      <c r="KX1142" s="131"/>
      <c r="KY1142" s="131"/>
      <c r="KZ1142" s="131"/>
      <c r="LA1142" s="131"/>
      <c r="LB1142" s="131"/>
      <c r="LC1142" s="131"/>
      <c r="LD1142" s="131"/>
      <c r="LE1142" s="131"/>
      <c r="LF1142" s="131"/>
      <c r="LG1142" s="131"/>
      <c r="LH1142" s="131"/>
      <c r="LI1142" s="131"/>
      <c r="LJ1142" s="131"/>
      <c r="LK1142" s="131"/>
      <c r="LL1142" s="131"/>
      <c r="LM1142" s="131"/>
      <c r="LN1142" s="131"/>
      <c r="LO1142" s="131"/>
      <c r="LP1142" s="131"/>
      <c r="LQ1142" s="131"/>
      <c r="LR1142" s="131"/>
      <c r="LS1142" s="131"/>
      <c r="LT1142" s="131"/>
      <c r="LU1142" s="131"/>
      <c r="LV1142" s="131"/>
      <c r="LW1142" s="131"/>
      <c r="LX1142" s="131"/>
      <c r="LY1142" s="131"/>
      <c r="LZ1142" s="131"/>
      <c r="MA1142" s="131"/>
      <c r="MB1142" s="131"/>
      <c r="MC1142" s="131"/>
      <c r="MD1142" s="131"/>
      <c r="ME1142" s="131"/>
      <c r="MF1142" s="131"/>
      <c r="MG1142" s="131"/>
      <c r="MH1142" s="131"/>
      <c r="MI1142" s="131"/>
      <c r="MJ1142" s="131"/>
      <c r="MK1142" s="131"/>
      <c r="ML1142" s="131"/>
      <c r="MM1142" s="131"/>
      <c r="MN1142" s="131"/>
      <c r="MO1142" s="131"/>
      <c r="MP1142" s="131"/>
      <c r="MQ1142" s="131"/>
      <c r="MR1142" s="131"/>
      <c r="MS1142" s="131"/>
      <c r="MT1142" s="131"/>
      <c r="MU1142" s="131"/>
      <c r="MV1142" s="131"/>
      <c r="MW1142" s="131"/>
      <c r="MX1142" s="131"/>
      <c r="MY1142" s="131"/>
      <c r="MZ1142" s="131"/>
      <c r="NA1142" s="131"/>
      <c r="NB1142" s="131"/>
      <c r="NC1142" s="131"/>
      <c r="ND1142" s="131"/>
      <c r="NE1142" s="131"/>
      <c r="NF1142" s="131"/>
      <c r="NG1142" s="131"/>
      <c r="NH1142" s="131"/>
      <c r="NI1142" s="131"/>
      <c r="NJ1142" s="131"/>
      <c r="NK1142" s="131"/>
      <c r="NL1142" s="131"/>
      <c r="NM1142" s="131"/>
      <c r="NN1142" s="131"/>
      <c r="NO1142" s="131"/>
      <c r="NP1142" s="131"/>
      <c r="NQ1142" s="131"/>
      <c r="NR1142" s="131"/>
      <c r="NS1142" s="131"/>
      <c r="NT1142" s="131"/>
      <c r="NU1142" s="131"/>
      <c r="NV1142" s="131"/>
      <c r="NW1142" s="131"/>
      <c r="NX1142" s="131"/>
      <c r="NY1142" s="131"/>
      <c r="NZ1142" s="131"/>
      <c r="OA1142" s="131"/>
      <c r="OB1142" s="131"/>
      <c r="OC1142" s="131"/>
      <c r="OD1142" s="131"/>
      <c r="OE1142" s="131"/>
      <c r="OF1142" s="131"/>
      <c r="OG1142" s="131"/>
      <c r="OH1142" s="131"/>
      <c r="OI1142" s="131"/>
      <c r="OJ1142" s="131"/>
      <c r="OK1142" s="131"/>
      <c r="OL1142" s="131"/>
      <c r="OM1142" s="131"/>
      <c r="ON1142" s="131"/>
      <c r="OO1142" s="131"/>
      <c r="OP1142" s="131"/>
      <c r="OQ1142" s="131"/>
      <c r="OR1142" s="131"/>
      <c r="OS1142" s="131"/>
      <c r="OT1142" s="131"/>
      <c r="OU1142" s="131"/>
      <c r="OV1142" s="131"/>
      <c r="OW1142" s="131"/>
      <c r="OX1142" s="131"/>
      <c r="OY1142" s="131"/>
      <c r="OZ1142" s="131"/>
      <c r="PA1142" s="131"/>
      <c r="PB1142" s="131"/>
      <c r="PC1142" s="131"/>
      <c r="PD1142" s="131"/>
      <c r="PE1142" s="131"/>
      <c r="PF1142" s="131"/>
      <c r="PG1142" s="131"/>
      <c r="PH1142" s="131"/>
      <c r="PI1142" s="131"/>
      <c r="PJ1142" s="131"/>
      <c r="PK1142" s="131"/>
      <c r="PL1142" s="131"/>
      <c r="PM1142" s="131"/>
      <c r="PN1142" s="131"/>
      <c r="PO1142" s="131"/>
      <c r="PP1142" s="131"/>
      <c r="PQ1142" s="131"/>
      <c r="PR1142" s="131"/>
      <c r="PS1142" s="131"/>
      <c r="PT1142" s="131"/>
      <c r="PU1142" s="131"/>
      <c r="PV1142" s="131"/>
      <c r="PW1142" s="131"/>
      <c r="PX1142" s="131"/>
      <c r="PY1142" s="131"/>
      <c r="PZ1142" s="131"/>
      <c r="QA1142" s="131"/>
      <c r="QB1142" s="131"/>
      <c r="QC1142" s="131"/>
      <c r="QD1142" s="131"/>
      <c r="QE1142" s="131"/>
      <c r="QF1142" s="131"/>
      <c r="QG1142" s="131"/>
      <c r="QH1142" s="131"/>
      <c r="QI1142" s="131"/>
      <c r="QJ1142" s="131"/>
      <c r="QK1142" s="131"/>
      <c r="QL1142" s="131"/>
      <c r="QM1142" s="131"/>
      <c r="QN1142" s="131"/>
      <c r="QO1142" s="131"/>
      <c r="QP1142" s="131"/>
      <c r="QQ1142" s="131"/>
      <c r="QR1142" s="131"/>
      <c r="QS1142" s="131"/>
      <c r="QT1142" s="131"/>
      <c r="QU1142" s="131"/>
      <c r="QV1142" s="131"/>
      <c r="QW1142" s="131"/>
      <c r="QX1142" s="131"/>
      <c r="QY1142" s="131"/>
      <c r="QZ1142" s="131"/>
      <c r="RA1142" s="131"/>
      <c r="RB1142" s="131"/>
      <c r="RC1142" s="131"/>
      <c r="RD1142" s="131"/>
      <c r="RE1142" s="131"/>
      <c r="RF1142" s="131"/>
      <c r="RG1142" s="131"/>
      <c r="RH1142" s="131"/>
      <c r="RI1142" s="131"/>
      <c r="RJ1142" s="131"/>
      <c r="RK1142" s="131"/>
      <c r="RL1142" s="131"/>
      <c r="RM1142" s="131"/>
      <c r="RN1142" s="131"/>
      <c r="RO1142" s="131"/>
      <c r="RP1142" s="131"/>
      <c r="RQ1142" s="131"/>
      <c r="RR1142" s="131"/>
      <c r="RS1142" s="131"/>
      <c r="RT1142" s="131"/>
      <c r="RU1142" s="131"/>
      <c r="RV1142" s="131"/>
      <c r="RW1142" s="131"/>
      <c r="RX1142" s="131"/>
      <c r="RY1142" s="131"/>
      <c r="RZ1142" s="131"/>
      <c r="SA1142" s="131"/>
      <c r="SB1142" s="131"/>
      <c r="SC1142" s="131"/>
      <c r="SD1142" s="131"/>
      <c r="SE1142" s="131"/>
      <c r="SF1142" s="131"/>
      <c r="SG1142" s="131"/>
      <c r="SH1142" s="131"/>
      <c r="SI1142" s="131"/>
      <c r="SJ1142" s="131"/>
      <c r="SK1142" s="131"/>
      <c r="SL1142" s="131"/>
      <c r="SM1142" s="131"/>
      <c r="SN1142" s="131"/>
      <c r="SO1142" s="131"/>
      <c r="SP1142" s="131"/>
      <c r="SQ1142" s="131"/>
      <c r="SR1142" s="131"/>
      <c r="SS1142" s="131"/>
      <c r="ST1142" s="131"/>
      <c r="SU1142" s="131"/>
      <c r="SV1142" s="131"/>
      <c r="SW1142" s="131"/>
      <c r="SX1142" s="131"/>
      <c r="SY1142" s="131"/>
      <c r="SZ1142" s="131"/>
      <c r="TA1142" s="131"/>
      <c r="TB1142" s="131"/>
      <c r="TC1142" s="131"/>
      <c r="TD1142" s="131"/>
      <c r="TE1142" s="131"/>
      <c r="TF1142" s="131"/>
      <c r="TG1142" s="131"/>
      <c r="TH1142" s="131"/>
      <c r="TI1142" s="131"/>
      <c r="TJ1142" s="131"/>
      <c r="TK1142" s="131"/>
      <c r="TL1142" s="131"/>
      <c r="TM1142" s="131"/>
      <c r="TN1142" s="131"/>
      <c r="TO1142" s="131"/>
      <c r="TP1142" s="131"/>
      <c r="TQ1142" s="131"/>
      <c r="TR1142" s="131"/>
      <c r="TS1142" s="131"/>
      <c r="TT1142" s="131"/>
      <c r="TU1142" s="131"/>
      <c r="TV1142" s="131"/>
      <c r="TW1142" s="131"/>
      <c r="TX1142" s="131"/>
      <c r="TY1142" s="131"/>
      <c r="TZ1142" s="131"/>
      <c r="UA1142" s="131"/>
      <c r="UB1142" s="131"/>
      <c r="UC1142" s="131"/>
      <c r="UD1142" s="131"/>
      <c r="UE1142" s="131"/>
      <c r="UF1142" s="131"/>
      <c r="UG1142" s="131"/>
      <c r="UH1142" s="131"/>
      <c r="UI1142" s="131"/>
      <c r="UJ1142" s="131"/>
      <c r="UK1142" s="131"/>
      <c r="UL1142" s="131"/>
      <c r="UM1142" s="131"/>
      <c r="UN1142" s="131"/>
      <c r="UO1142" s="131"/>
      <c r="UP1142" s="131"/>
      <c r="UQ1142" s="131"/>
      <c r="UR1142" s="131"/>
      <c r="US1142" s="131"/>
      <c r="UT1142" s="131"/>
      <c r="UU1142" s="131"/>
      <c r="UV1142" s="131"/>
      <c r="UW1142" s="131"/>
      <c r="UX1142" s="131"/>
      <c r="UY1142" s="131"/>
      <c r="UZ1142" s="131"/>
      <c r="VA1142" s="131"/>
      <c r="VB1142" s="131"/>
      <c r="VC1142" s="131"/>
      <c r="VD1142" s="131"/>
      <c r="VE1142" s="131"/>
      <c r="VF1142" s="131"/>
      <c r="VG1142" s="131"/>
      <c r="VH1142" s="131"/>
      <c r="VI1142" s="131"/>
      <c r="VJ1142" s="131"/>
      <c r="VK1142" s="131"/>
      <c r="VL1142" s="131"/>
      <c r="VM1142" s="131"/>
      <c r="VN1142" s="131"/>
      <c r="VO1142" s="131"/>
      <c r="VP1142" s="131"/>
      <c r="VQ1142" s="131"/>
      <c r="VR1142" s="131"/>
      <c r="VS1142" s="131"/>
      <c r="VT1142" s="131"/>
      <c r="VU1142" s="131"/>
      <c r="VV1142" s="131"/>
      <c r="VW1142" s="131"/>
      <c r="VX1142" s="131"/>
      <c r="VY1142" s="131"/>
      <c r="VZ1142" s="131"/>
      <c r="WA1142" s="131"/>
      <c r="WB1142" s="131"/>
      <c r="WC1142" s="131"/>
      <c r="WD1142" s="131"/>
      <c r="WE1142" s="131"/>
      <c r="WF1142" s="131"/>
      <c r="WG1142" s="131"/>
      <c r="WH1142" s="131"/>
      <c r="WI1142" s="131"/>
      <c r="WJ1142" s="131"/>
      <c r="WK1142" s="131"/>
      <c r="WL1142" s="131"/>
      <c r="WM1142" s="131"/>
      <c r="WN1142" s="131"/>
      <c r="WO1142" s="131"/>
      <c r="WP1142" s="131"/>
      <c r="WQ1142" s="131"/>
      <c r="WR1142" s="131"/>
      <c r="WS1142" s="131"/>
      <c r="WT1142" s="131"/>
      <c r="WU1142" s="131"/>
      <c r="WV1142" s="131"/>
      <c r="WW1142" s="131"/>
      <c r="WX1142" s="131"/>
      <c r="WY1142" s="131"/>
      <c r="WZ1142" s="131"/>
      <c r="XA1142" s="131"/>
      <c r="XB1142" s="131"/>
      <c r="XC1142" s="131"/>
      <c r="XD1142" s="131"/>
      <c r="XE1142" s="131"/>
      <c r="XF1142" s="131"/>
      <c r="XG1142" s="131"/>
      <c r="XH1142" s="131"/>
      <c r="XI1142" s="131"/>
      <c r="XJ1142" s="131"/>
      <c r="XK1142" s="131"/>
      <c r="XL1142" s="131"/>
      <c r="XM1142" s="131"/>
      <c r="XN1142" s="131"/>
      <c r="XO1142" s="131"/>
      <c r="XP1142" s="131"/>
      <c r="XQ1142" s="131"/>
      <c r="XR1142" s="131"/>
      <c r="XS1142" s="131"/>
      <c r="XT1142" s="131"/>
      <c r="XU1142" s="131"/>
      <c r="XV1142" s="131"/>
      <c r="XW1142" s="131"/>
      <c r="XX1142" s="131"/>
      <c r="XY1142" s="131"/>
      <c r="XZ1142" s="131"/>
      <c r="YA1142" s="131"/>
      <c r="YB1142" s="131"/>
      <c r="YC1142" s="131"/>
      <c r="YD1142" s="131"/>
      <c r="YE1142" s="131"/>
      <c r="YF1142" s="131"/>
      <c r="YG1142" s="131"/>
      <c r="YH1142" s="131"/>
      <c r="YI1142" s="131"/>
      <c r="YJ1142" s="131"/>
      <c r="YK1142" s="131"/>
      <c r="YL1142" s="131"/>
      <c r="YM1142" s="131"/>
      <c r="YN1142" s="131"/>
      <c r="YO1142" s="131"/>
      <c r="YP1142" s="131"/>
      <c r="YQ1142" s="131"/>
      <c r="YR1142" s="131"/>
      <c r="YS1142" s="131"/>
      <c r="YT1142" s="131"/>
      <c r="YU1142" s="131"/>
      <c r="YV1142" s="131"/>
      <c r="YW1142" s="131"/>
      <c r="YX1142" s="131"/>
      <c r="YY1142" s="131"/>
      <c r="YZ1142" s="131"/>
      <c r="ZA1142" s="131"/>
      <c r="ZB1142" s="131"/>
      <c r="ZC1142" s="131"/>
      <c r="ZD1142" s="131"/>
      <c r="ZE1142" s="131"/>
      <c r="ZF1142" s="131"/>
      <c r="ZG1142" s="131"/>
      <c r="ZH1142" s="131"/>
      <c r="ZI1142" s="131"/>
      <c r="ZJ1142" s="131"/>
      <c r="ZK1142" s="131"/>
      <c r="ZL1142" s="131"/>
      <c r="ZM1142" s="131"/>
      <c r="ZN1142" s="131"/>
      <c r="ZO1142" s="131"/>
      <c r="ZP1142" s="131"/>
      <c r="ZQ1142" s="131"/>
      <c r="ZR1142" s="131"/>
      <c r="ZS1142" s="131"/>
      <c r="ZT1142" s="131"/>
      <c r="ZU1142" s="131"/>
      <c r="ZV1142" s="131"/>
      <c r="ZW1142" s="131"/>
      <c r="ZX1142" s="131"/>
      <c r="ZY1142" s="131"/>
      <c r="ZZ1142" s="131"/>
      <c r="AAA1142" s="131"/>
      <c r="AAB1142" s="131"/>
      <c r="AAC1142" s="131"/>
      <c r="AAD1142" s="131"/>
      <c r="AAE1142" s="131"/>
      <c r="AAF1142" s="131"/>
      <c r="AAG1142" s="131"/>
      <c r="AAH1142" s="131"/>
      <c r="AAI1142" s="131"/>
      <c r="AAJ1142" s="131"/>
      <c r="AAK1142" s="131"/>
      <c r="AAL1142" s="131"/>
      <c r="AAM1142" s="131"/>
      <c r="AAN1142" s="131"/>
      <c r="AAO1142" s="131"/>
      <c r="AAP1142" s="131"/>
      <c r="AAQ1142" s="131"/>
      <c r="AAR1142" s="131"/>
      <c r="AAS1142" s="131"/>
      <c r="AAT1142" s="131"/>
      <c r="AAU1142" s="131"/>
      <c r="AAV1142" s="131"/>
      <c r="AAW1142" s="131"/>
      <c r="AAX1142" s="131"/>
      <c r="AAY1142" s="131"/>
      <c r="AAZ1142" s="131"/>
      <c r="ABA1142" s="131"/>
      <c r="ABB1142" s="131"/>
      <c r="ABC1142" s="131"/>
      <c r="ABD1142" s="131"/>
      <c r="ABE1142" s="131"/>
      <c r="ABF1142" s="131"/>
      <c r="ABG1142" s="131"/>
      <c r="ABH1142" s="131"/>
      <c r="ABI1142" s="131"/>
      <c r="ABJ1142" s="131"/>
      <c r="ABK1142" s="131"/>
      <c r="ABL1142" s="131"/>
      <c r="ABM1142" s="131"/>
      <c r="ABN1142" s="131"/>
      <c r="ABO1142" s="131"/>
      <c r="ABP1142" s="131"/>
      <c r="ABQ1142" s="131"/>
      <c r="ABR1142" s="131"/>
      <c r="ABS1142" s="131"/>
      <c r="ABT1142" s="131"/>
      <c r="ABU1142" s="131"/>
      <c r="ABV1142" s="131"/>
      <c r="ABW1142" s="131"/>
      <c r="ABX1142" s="131"/>
      <c r="ABY1142" s="131"/>
      <c r="ABZ1142" s="131"/>
      <c r="ACA1142" s="131"/>
      <c r="ACB1142" s="131"/>
      <c r="ACC1142" s="131"/>
      <c r="ACD1142" s="131"/>
      <c r="ACE1142" s="131"/>
      <c r="ACF1142" s="131"/>
      <c r="ACG1142" s="131"/>
      <c r="ACH1142" s="131"/>
      <c r="ACI1142" s="131"/>
      <c r="ACJ1142" s="131"/>
      <c r="ACK1142" s="131"/>
      <c r="ACL1142" s="131"/>
      <c r="ACM1142" s="131"/>
      <c r="ACN1142" s="131"/>
      <c r="ACO1142" s="131"/>
      <c r="ACP1142" s="131"/>
      <c r="ACQ1142" s="131"/>
      <c r="ACR1142" s="131"/>
      <c r="ACS1142" s="131"/>
      <c r="ACT1142" s="131"/>
      <c r="ACU1142" s="131"/>
      <c r="ACV1142" s="131"/>
      <c r="ACW1142" s="131"/>
      <c r="ACX1142" s="131"/>
      <c r="ACY1142" s="131"/>
      <c r="ACZ1142" s="131"/>
      <c r="ADA1142" s="131"/>
      <c r="ADB1142" s="131"/>
      <c r="ADC1142" s="131"/>
      <c r="ADD1142" s="131"/>
      <c r="ADE1142" s="131"/>
      <c r="ADF1142" s="131"/>
      <c r="ADG1142" s="131"/>
      <c r="ADH1142" s="131"/>
      <c r="ADI1142" s="131"/>
      <c r="ADJ1142" s="131"/>
      <c r="ADK1142" s="131"/>
      <c r="ADL1142" s="131"/>
      <c r="ADM1142" s="131"/>
      <c r="ADN1142" s="131"/>
      <c r="ADO1142" s="131"/>
      <c r="ADP1142" s="131"/>
      <c r="ADQ1142" s="131"/>
      <c r="ADR1142" s="131"/>
      <c r="ADS1142" s="131"/>
      <c r="ADT1142" s="131"/>
      <c r="ADU1142" s="131"/>
      <c r="ADV1142" s="131"/>
      <c r="ADW1142" s="131"/>
      <c r="ADX1142" s="131"/>
      <c r="ADY1142" s="131"/>
      <c r="ADZ1142" s="131"/>
      <c r="AEA1142" s="131"/>
      <c r="AEB1142" s="131"/>
      <c r="AEC1142" s="131"/>
      <c r="AED1142" s="131"/>
      <c r="AEE1142" s="131"/>
      <c r="AEF1142" s="131"/>
      <c r="AEG1142" s="131"/>
      <c r="AEH1142" s="131"/>
      <c r="AEI1142" s="131"/>
      <c r="AEJ1142" s="131"/>
      <c r="AEK1142" s="131"/>
      <c r="AEL1142" s="131"/>
      <c r="AEM1142" s="131"/>
      <c r="AEN1142" s="131"/>
      <c r="AEO1142" s="131"/>
      <c r="AEP1142" s="131"/>
      <c r="AEQ1142" s="131"/>
      <c r="AER1142" s="131"/>
      <c r="AES1142" s="131"/>
      <c r="AET1142" s="131"/>
      <c r="AEU1142" s="131"/>
      <c r="AEV1142" s="131"/>
      <c r="AEW1142" s="131"/>
      <c r="AEX1142" s="131"/>
      <c r="AEY1142" s="131"/>
      <c r="AEZ1142" s="131"/>
      <c r="AFA1142" s="131"/>
      <c r="AFB1142" s="131"/>
      <c r="AFC1142" s="131"/>
      <c r="AFD1142" s="131"/>
      <c r="AFE1142" s="131"/>
      <c r="AFF1142" s="131"/>
      <c r="AFG1142" s="131"/>
      <c r="AFH1142" s="131"/>
      <c r="AFI1142" s="131"/>
      <c r="AFJ1142" s="131"/>
      <c r="AFK1142" s="131"/>
      <c r="AFL1142" s="131"/>
      <c r="AFM1142" s="131"/>
      <c r="AFN1142" s="131"/>
      <c r="AFO1142" s="131"/>
      <c r="AFP1142" s="131"/>
      <c r="AFQ1142" s="131"/>
      <c r="AFR1142" s="131"/>
      <c r="AFS1142" s="131"/>
      <c r="AFT1142" s="131"/>
      <c r="AFU1142" s="131"/>
      <c r="AFV1142" s="131"/>
      <c r="AFW1142" s="131"/>
      <c r="AFX1142" s="131"/>
      <c r="AFY1142" s="131"/>
      <c r="AFZ1142" s="131"/>
      <c r="AGA1142" s="131"/>
      <c r="AGB1142" s="131"/>
      <c r="AGC1142" s="131"/>
      <c r="AGD1142" s="131"/>
      <c r="AGE1142" s="131"/>
      <c r="AGF1142" s="131"/>
      <c r="AGG1142" s="131"/>
      <c r="AGH1142" s="131"/>
      <c r="AGI1142" s="131"/>
      <c r="AGJ1142" s="131"/>
      <c r="AGK1142" s="131"/>
      <c r="AGL1142" s="131"/>
      <c r="AGM1142" s="131"/>
      <c r="AGN1142" s="131"/>
      <c r="AGO1142" s="131"/>
      <c r="AGP1142" s="131"/>
      <c r="AGQ1142" s="131"/>
      <c r="AGR1142" s="131"/>
      <c r="AGS1142" s="131"/>
      <c r="AGT1142" s="131"/>
      <c r="AGU1142" s="131"/>
      <c r="AGV1142" s="131"/>
      <c r="AGW1142" s="131"/>
      <c r="AGX1142" s="131"/>
      <c r="AGY1142" s="131"/>
      <c r="AGZ1142" s="131"/>
      <c r="AHA1142" s="131"/>
      <c r="AHB1142" s="131"/>
      <c r="AHC1142" s="131"/>
      <c r="AHD1142" s="131"/>
      <c r="AHE1142" s="131"/>
      <c r="AHF1142" s="131"/>
      <c r="AHG1142" s="131"/>
      <c r="AHH1142" s="131"/>
      <c r="AHI1142" s="131"/>
      <c r="AHJ1142" s="131"/>
      <c r="AHK1142" s="131"/>
      <c r="AHL1142" s="131"/>
      <c r="AHM1142" s="131"/>
      <c r="AHN1142" s="131"/>
      <c r="AHO1142" s="131"/>
      <c r="AHP1142" s="131"/>
      <c r="AHQ1142" s="131"/>
      <c r="AHR1142" s="131"/>
      <c r="AHS1142" s="131"/>
      <c r="AHT1142" s="131"/>
      <c r="AHU1142" s="131"/>
      <c r="AHV1142" s="131"/>
      <c r="AHW1142" s="131"/>
      <c r="AHX1142" s="131"/>
      <c r="AHY1142" s="131"/>
      <c r="AHZ1142" s="131"/>
      <c r="AIA1142" s="131"/>
      <c r="AIB1142" s="131"/>
      <c r="AIC1142" s="131"/>
      <c r="AID1142" s="131"/>
      <c r="AIE1142" s="131"/>
      <c r="AIF1142" s="131"/>
      <c r="AIG1142" s="131"/>
      <c r="AIH1142" s="131"/>
      <c r="AII1142" s="131"/>
      <c r="AIJ1142" s="131"/>
      <c r="AIK1142" s="131"/>
      <c r="AIL1142" s="131"/>
      <c r="AIM1142" s="131"/>
      <c r="AIN1142" s="131"/>
      <c r="AIO1142" s="131"/>
      <c r="AIP1142" s="131"/>
      <c r="AIQ1142" s="131"/>
      <c r="AIR1142" s="131"/>
      <c r="AIS1142" s="131"/>
      <c r="AIT1142" s="131"/>
      <c r="AIU1142" s="131"/>
      <c r="AIV1142" s="131"/>
      <c r="AIW1142" s="131"/>
      <c r="AIX1142" s="131"/>
      <c r="AIY1142" s="131"/>
      <c r="AIZ1142" s="131"/>
      <c r="AJA1142" s="131"/>
      <c r="AJB1142" s="131"/>
      <c r="AJC1142" s="131"/>
      <c r="AJD1142" s="131"/>
      <c r="AJE1142" s="131"/>
      <c r="AJF1142" s="131"/>
      <c r="AJG1142" s="131"/>
      <c r="AJH1142" s="131"/>
      <c r="AJI1142" s="131"/>
      <c r="AJJ1142" s="131"/>
      <c r="AJK1142" s="131"/>
      <c r="AJL1142" s="131"/>
      <c r="AJM1142" s="131"/>
      <c r="AJN1142" s="131"/>
      <c r="AJO1142" s="131"/>
      <c r="AJP1142" s="131"/>
      <c r="AJQ1142" s="131"/>
      <c r="AJR1142" s="131"/>
      <c r="AJS1142" s="131"/>
      <c r="AJT1142" s="131"/>
      <c r="AJU1142" s="131"/>
      <c r="AJV1142" s="131"/>
      <c r="AJW1142" s="131"/>
      <c r="AJX1142" s="131"/>
      <c r="AJY1142" s="131"/>
      <c r="AJZ1142" s="131"/>
      <c r="AKA1142" s="131"/>
      <c r="AKB1142" s="131"/>
      <c r="AKC1142" s="131"/>
      <c r="AKD1142" s="131"/>
      <c r="AKE1142" s="131"/>
      <c r="AKF1142" s="131"/>
      <c r="AKG1142" s="131"/>
      <c r="AKH1142" s="131"/>
      <c r="AKI1142" s="131"/>
      <c r="AKJ1142" s="131"/>
      <c r="AKK1142" s="131"/>
      <c r="AKL1142" s="131"/>
      <c r="AKM1142" s="131"/>
      <c r="AKN1142" s="131"/>
      <c r="AKO1142" s="131"/>
      <c r="AKP1142" s="131"/>
      <c r="AKQ1142" s="131"/>
      <c r="AKR1142" s="131"/>
      <c r="AKS1142" s="131"/>
      <c r="AKT1142" s="131"/>
      <c r="AKU1142" s="131"/>
      <c r="AKV1142" s="131"/>
      <c r="AKW1142" s="131"/>
      <c r="AKX1142" s="131"/>
      <c r="AKY1142" s="131"/>
      <c r="AKZ1142" s="131"/>
      <c r="ALA1142" s="131"/>
      <c r="ALB1142" s="131"/>
      <c r="ALC1142" s="131"/>
      <c r="ALD1142" s="131"/>
      <c r="ALE1142" s="131"/>
      <c r="ALF1142" s="131"/>
      <c r="ALG1142" s="131"/>
      <c r="ALH1142" s="131"/>
      <c r="ALI1142" s="131"/>
      <c r="ALJ1142" s="131"/>
      <c r="ALK1142" s="131"/>
      <c r="ALL1142" s="131"/>
      <c r="ALM1142" s="131"/>
      <c r="ALN1142" s="131"/>
      <c r="ALO1142" s="131"/>
      <c r="ALP1142" s="131"/>
      <c r="ALQ1142" s="131"/>
      <c r="ALR1142" s="131"/>
      <c r="ALS1142" s="131"/>
      <c r="ALT1142" s="131"/>
      <c r="ALU1142" s="131"/>
      <c r="ALV1142" s="131"/>
      <c r="ALW1142" s="131"/>
      <c r="ALX1142" s="131"/>
      <c r="ALY1142" s="131"/>
      <c r="ALZ1142" s="131"/>
      <c r="AMA1142" s="131"/>
      <c r="AMB1142" s="131"/>
      <c r="AMC1142" s="131"/>
      <c r="AMD1142" s="131"/>
      <c r="AME1142" s="131"/>
      <c r="AMF1142" s="131"/>
      <c r="AMG1142" s="131"/>
      <c r="AMH1142" s="131"/>
      <c r="AMI1142" s="131"/>
      <c r="AMJ1142" s="131"/>
      <c r="AMK1142" s="131"/>
      <c r="AML1142" s="131"/>
      <c r="AMM1142" s="131"/>
      <c r="AMN1142" s="131"/>
      <c r="AMO1142" s="131"/>
      <c r="AMP1142" s="131"/>
      <c r="AMQ1142" s="131"/>
      <c r="AMR1142" s="131"/>
      <c r="AMS1142" s="131"/>
      <c r="AMT1142" s="131"/>
      <c r="AMU1142" s="131"/>
      <c r="AMV1142" s="131"/>
      <c r="AMW1142" s="131"/>
      <c r="AMX1142" s="131"/>
      <c r="AMY1142" s="131"/>
      <c r="AMZ1142" s="131"/>
      <c r="ANA1142" s="131"/>
      <c r="ANB1142" s="131"/>
      <c r="ANC1142" s="131"/>
      <c r="AND1142" s="131"/>
      <c r="ANE1142" s="131"/>
      <c r="ANF1142" s="131"/>
      <c r="ANG1142" s="131"/>
      <c r="ANH1142" s="131"/>
      <c r="ANI1142" s="131"/>
      <c r="ANJ1142" s="131"/>
      <c r="ANK1142" s="131"/>
      <c r="ANL1142" s="131"/>
      <c r="ANM1142" s="131"/>
      <c r="ANN1142" s="131"/>
      <c r="ANO1142" s="131"/>
      <c r="ANP1142" s="131"/>
      <c r="ANQ1142" s="131"/>
      <c r="ANR1142" s="131"/>
      <c r="ANS1142" s="131"/>
      <c r="ANT1142" s="131"/>
      <c r="ANU1142" s="131"/>
      <c r="ANV1142" s="131"/>
      <c r="ANW1142" s="131"/>
      <c r="ANX1142" s="131"/>
      <c r="ANY1142" s="131"/>
      <c r="ANZ1142" s="131"/>
      <c r="AOA1142" s="131"/>
      <c r="AOB1142" s="131"/>
      <c r="AOC1142" s="131"/>
      <c r="AOD1142" s="131"/>
      <c r="AOE1142" s="131"/>
      <c r="AOF1142" s="131"/>
      <c r="AOG1142" s="131"/>
      <c r="AOH1142" s="131"/>
      <c r="AOI1142" s="131"/>
      <c r="AOJ1142" s="131"/>
      <c r="AOK1142" s="131"/>
      <c r="AOL1142" s="131"/>
      <c r="AOM1142" s="131"/>
      <c r="AON1142" s="131"/>
      <c r="AOO1142" s="131"/>
      <c r="AOP1142" s="131"/>
      <c r="AOQ1142" s="131"/>
      <c r="AOR1142" s="131"/>
      <c r="AOS1142" s="131"/>
      <c r="AOT1142" s="131"/>
      <c r="AOU1142" s="131"/>
      <c r="AOV1142" s="131"/>
      <c r="AOW1142" s="131"/>
      <c r="AOX1142" s="131"/>
      <c r="AOY1142" s="131"/>
      <c r="AOZ1142" s="131"/>
      <c r="APA1142" s="131"/>
      <c r="APB1142" s="131"/>
      <c r="APC1142" s="131"/>
      <c r="APD1142" s="131"/>
      <c r="APE1142" s="131"/>
      <c r="APF1142" s="131"/>
      <c r="APG1142" s="131"/>
      <c r="APH1142" s="131"/>
      <c r="API1142" s="131"/>
      <c r="APJ1142" s="131"/>
      <c r="APK1142" s="131"/>
      <c r="APL1142" s="131"/>
      <c r="APM1142" s="131"/>
      <c r="APN1142" s="131"/>
      <c r="APO1142" s="131"/>
      <c r="APP1142" s="131"/>
      <c r="APQ1142" s="131"/>
      <c r="APR1142" s="131"/>
      <c r="APS1142" s="131"/>
      <c r="APT1142" s="131"/>
      <c r="APU1142" s="131"/>
      <c r="APV1142" s="131"/>
      <c r="APW1142" s="131"/>
      <c r="APX1142" s="131"/>
      <c r="APY1142" s="131"/>
      <c r="APZ1142" s="131"/>
      <c r="AQA1142" s="131"/>
      <c r="AQB1142" s="131"/>
      <c r="AQC1142" s="131"/>
      <c r="AQD1142" s="131"/>
      <c r="AQE1142" s="131"/>
      <c r="AQF1142" s="131"/>
      <c r="AQG1142" s="131"/>
      <c r="AQH1142" s="131"/>
      <c r="AQI1142" s="131"/>
      <c r="AQJ1142" s="131"/>
      <c r="AQK1142" s="131"/>
      <c r="AQL1142" s="131"/>
      <c r="AQM1142" s="131"/>
      <c r="AQN1142" s="131"/>
      <c r="AQO1142" s="131"/>
      <c r="AQP1142" s="131"/>
      <c r="AQQ1142" s="131"/>
      <c r="AQR1142" s="131"/>
      <c r="AQS1142" s="131"/>
      <c r="AQT1142" s="131"/>
      <c r="AQU1142" s="131"/>
      <c r="AQV1142" s="131"/>
      <c r="AQW1142" s="131"/>
      <c r="AQX1142" s="131"/>
      <c r="AQY1142" s="131"/>
      <c r="AQZ1142" s="131"/>
      <c r="ARA1142" s="131"/>
      <c r="ARB1142" s="131"/>
      <c r="ARC1142" s="131"/>
      <c r="ARD1142" s="131"/>
      <c r="ARE1142" s="131"/>
      <c r="ARF1142" s="131"/>
      <c r="ARG1142" s="131"/>
      <c r="ARH1142" s="131"/>
      <c r="ARI1142" s="131"/>
      <c r="ARJ1142" s="131"/>
      <c r="ARK1142" s="131"/>
      <c r="ARL1142" s="131"/>
      <c r="ARM1142" s="131"/>
      <c r="ARN1142" s="131"/>
      <c r="ARO1142" s="131"/>
      <c r="ARP1142" s="131"/>
      <c r="ARQ1142" s="131"/>
      <c r="ARR1142" s="131"/>
      <c r="ARS1142" s="131"/>
      <c r="ART1142" s="131"/>
      <c r="ARU1142" s="131"/>
      <c r="ARV1142" s="131"/>
      <c r="ARW1142" s="131"/>
      <c r="ARX1142" s="131"/>
      <c r="ARY1142" s="131"/>
      <c r="ARZ1142" s="131"/>
      <c r="ASA1142" s="131"/>
      <c r="ASB1142" s="131"/>
      <c r="ASC1142" s="131"/>
      <c r="ASD1142" s="131"/>
      <c r="ASE1142" s="131"/>
      <c r="ASF1142" s="131"/>
      <c r="ASG1142" s="131"/>
      <c r="ASH1142" s="131"/>
      <c r="ASI1142" s="131"/>
      <c r="ASJ1142" s="131"/>
      <c r="ASK1142" s="131"/>
      <c r="ASL1142" s="131"/>
      <c r="ASM1142" s="131"/>
      <c r="ASN1142" s="131"/>
      <c r="ASO1142" s="131"/>
      <c r="ASP1142" s="131"/>
      <c r="ASQ1142" s="131"/>
      <c r="ASR1142" s="131"/>
      <c r="ASS1142" s="131"/>
      <c r="AST1142" s="131"/>
      <c r="ASU1142" s="131"/>
      <c r="ASV1142" s="131"/>
      <c r="ASW1142" s="131"/>
      <c r="ASX1142" s="131"/>
      <c r="ASY1142" s="131"/>
      <c r="ASZ1142" s="131"/>
      <c r="ATA1142" s="131"/>
      <c r="ATB1142" s="131"/>
      <c r="ATC1142" s="131"/>
    </row>
    <row r="1143" spans="1:16348" s="101" customFormat="1" ht="50.1" customHeight="1" outlineLevel="1" x14ac:dyDescent="0.3">
      <c r="A1143" s="103" t="s">
        <v>1096</v>
      </c>
      <c r="B1143" s="103" t="s">
        <v>1097</v>
      </c>
      <c r="C1143" s="79" t="s">
        <v>37</v>
      </c>
      <c r="D1143" s="81">
        <f t="shared" ref="D1143" si="263">E1143+F1143</f>
        <v>1965.04</v>
      </c>
      <c r="E1143" s="82">
        <f t="shared" si="259"/>
        <v>1558.48</v>
      </c>
      <c r="F1143" s="83">
        <f t="shared" ref="F1143" si="264">H1143+I1143+K1143+L1143+M1143+N1143+P1143+Q1143+R1143+T1143+U1143+W1143+Y1143+AA1143+AC1143+AD1143+AG1143+AH1143+AI1143+AK1143+AM1143+AO1143+AQ1143+AR1143+AS1143+AT1143+AU1143+AV1143+AW1143+AY1143+BA1143+BB1143+BC1143+BE1143+BF1143+BG1143+BH1143+BI1143+BJ1143+BK1143+BL1143+BO1143+BP1143+BQ1143+BS1143+BT1143+BU1143+BW1143+BY1143+CA1143+BM1143+BN1143</f>
        <v>406.56</v>
      </c>
      <c r="G1143" s="82"/>
      <c r="H1143" s="83"/>
      <c r="I1143" s="83"/>
      <c r="J1143" s="82"/>
      <c r="K1143" s="83"/>
      <c r="L1143" s="83"/>
      <c r="M1143" s="83"/>
      <c r="N1143" s="83"/>
      <c r="O1143" s="82"/>
      <c r="P1143" s="83"/>
      <c r="Q1143" s="83"/>
      <c r="R1143" s="83"/>
      <c r="S1143" s="82"/>
      <c r="T1143" s="83"/>
      <c r="U1143" s="83"/>
      <c r="V1143" s="82"/>
      <c r="W1143" s="83"/>
      <c r="X1143" s="82"/>
      <c r="Y1143" s="83"/>
      <c r="Z1143" s="82"/>
      <c r="AA1143" s="83"/>
      <c r="AB1143" s="82"/>
      <c r="AC1143" s="83"/>
      <c r="AD1143" s="209"/>
      <c r="AE1143" s="209"/>
      <c r="AF1143" s="272"/>
      <c r="AG1143" s="209"/>
      <c r="AH1143" s="83"/>
      <c r="AI1143" s="83"/>
      <c r="AJ1143" s="84">
        <v>1558.48</v>
      </c>
      <c r="AK1143" s="85">
        <v>406.56</v>
      </c>
      <c r="AL1143" s="263"/>
      <c r="AM1143" s="201"/>
      <c r="AN1143" s="82"/>
      <c r="AO1143" s="83"/>
      <c r="AP1143" s="81"/>
      <c r="AQ1143" s="209"/>
      <c r="AR1143" s="83"/>
      <c r="AS1143" s="83"/>
      <c r="AT1143" s="83"/>
      <c r="AU1143" s="83"/>
      <c r="AV1143" s="83"/>
      <c r="AW1143" s="83"/>
      <c r="AX1143" s="82"/>
      <c r="AY1143" s="83"/>
      <c r="AZ1143" s="82"/>
      <c r="BA1143" s="83"/>
      <c r="BB1143" s="83"/>
      <c r="BC1143" s="83"/>
      <c r="BD1143" s="82"/>
      <c r="BE1143" s="83"/>
      <c r="BF1143" s="83"/>
      <c r="BG1143" s="83"/>
      <c r="BH1143" s="83"/>
      <c r="BI1143" s="83"/>
      <c r="BJ1143" s="83"/>
      <c r="BK1143" s="83"/>
      <c r="BL1143" s="83"/>
      <c r="BM1143" s="83"/>
      <c r="BN1143" s="83"/>
      <c r="BO1143" s="83"/>
      <c r="BP1143" s="83"/>
      <c r="BQ1143" s="83"/>
      <c r="BR1143" s="82"/>
      <c r="BS1143" s="83"/>
      <c r="BT1143" s="83"/>
      <c r="BU1143" s="83"/>
      <c r="BV1143" s="82"/>
      <c r="BW1143" s="83"/>
      <c r="BX1143" s="82"/>
      <c r="BY1143" s="83"/>
      <c r="BZ1143" s="82"/>
      <c r="CA1143" s="83"/>
      <c r="CB1143" s="175"/>
      <c r="CC1143" s="175"/>
      <c r="CD1143" s="175"/>
      <c r="CE1143" s="175"/>
      <c r="CF1143" s="175"/>
      <c r="CG1143" s="175"/>
      <c r="CH1143" s="175"/>
      <c r="CI1143" s="175"/>
      <c r="CJ1143" s="175"/>
      <c r="CK1143" s="175"/>
      <c r="CL1143" s="175"/>
      <c r="CM1143" s="175"/>
      <c r="CN1143" s="175"/>
      <c r="CO1143" s="175"/>
      <c r="CP1143" s="175"/>
      <c r="CQ1143" s="175"/>
      <c r="CR1143" s="175"/>
      <c r="CS1143" s="175"/>
      <c r="CT1143" s="175"/>
      <c r="CU1143" s="175"/>
      <c r="CV1143" s="175"/>
      <c r="CW1143" s="175"/>
      <c r="CX1143" s="175"/>
      <c r="CY1143" s="175"/>
      <c r="CZ1143" s="175"/>
      <c r="DA1143" s="175"/>
      <c r="DB1143" s="175"/>
      <c r="DC1143" s="175"/>
      <c r="DD1143" s="175"/>
      <c r="DE1143" s="175"/>
      <c r="DF1143" s="175"/>
      <c r="DG1143" s="175"/>
      <c r="DH1143" s="175"/>
      <c r="DI1143" s="175"/>
      <c r="DJ1143" s="175"/>
      <c r="DK1143" s="175"/>
      <c r="DL1143" s="175"/>
      <c r="DM1143" s="175"/>
      <c r="DN1143" s="175"/>
      <c r="DO1143" s="175"/>
      <c r="DP1143" s="175"/>
      <c r="DQ1143" s="175"/>
      <c r="DR1143" s="175"/>
      <c r="DS1143" s="175"/>
      <c r="DT1143" s="175"/>
      <c r="DU1143" s="175"/>
      <c r="DV1143" s="175"/>
      <c r="DW1143" s="175"/>
      <c r="DX1143" s="175"/>
      <c r="DY1143" s="175"/>
      <c r="DZ1143" s="175"/>
      <c r="EA1143" s="175"/>
      <c r="EB1143" s="175"/>
      <c r="EC1143" s="175"/>
      <c r="ED1143" s="175"/>
      <c r="EE1143" s="175"/>
      <c r="EF1143" s="175"/>
      <c r="EG1143" s="175"/>
      <c r="EH1143" s="175"/>
      <c r="EI1143" s="175"/>
      <c r="EJ1143" s="175"/>
      <c r="EK1143" s="175"/>
      <c r="EL1143" s="175"/>
      <c r="EM1143" s="175"/>
      <c r="EN1143" s="175"/>
      <c r="EO1143" s="175"/>
      <c r="EP1143" s="175"/>
      <c r="EQ1143" s="175"/>
      <c r="ER1143" s="175"/>
      <c r="ES1143" s="175"/>
      <c r="ET1143" s="175"/>
      <c r="EU1143" s="175"/>
      <c r="EV1143" s="175"/>
      <c r="EW1143" s="175"/>
      <c r="EX1143" s="175"/>
      <c r="EY1143" s="175"/>
      <c r="EZ1143" s="175"/>
      <c r="FA1143" s="175"/>
      <c r="FB1143" s="175"/>
      <c r="FC1143" s="175"/>
      <c r="FD1143" s="175"/>
      <c r="FE1143" s="175"/>
      <c r="FF1143" s="175"/>
      <c r="FG1143" s="175"/>
      <c r="FH1143" s="175"/>
      <c r="FI1143" s="175"/>
      <c r="FJ1143" s="175"/>
      <c r="FK1143" s="175"/>
      <c r="FL1143" s="175"/>
      <c r="FM1143" s="175"/>
      <c r="FN1143" s="175"/>
      <c r="FO1143" s="175"/>
      <c r="FP1143" s="175"/>
      <c r="FQ1143" s="175"/>
      <c r="FR1143" s="175"/>
      <c r="FS1143" s="175"/>
      <c r="FT1143" s="175"/>
      <c r="FU1143" s="175"/>
      <c r="FV1143" s="175"/>
      <c r="FW1143" s="175"/>
      <c r="FX1143" s="175"/>
      <c r="FY1143" s="175"/>
      <c r="FZ1143" s="175"/>
      <c r="GA1143" s="175"/>
      <c r="GB1143" s="175"/>
      <c r="GC1143" s="175"/>
      <c r="GD1143" s="175"/>
      <c r="GE1143" s="175"/>
      <c r="GF1143" s="175"/>
      <c r="GG1143" s="175"/>
      <c r="GH1143" s="175"/>
      <c r="GI1143" s="175"/>
      <c r="GJ1143" s="175"/>
      <c r="GK1143" s="175"/>
      <c r="GL1143" s="175"/>
      <c r="GM1143" s="175"/>
      <c r="GN1143" s="175"/>
      <c r="GO1143" s="175"/>
      <c r="GP1143" s="175"/>
      <c r="GQ1143" s="175"/>
      <c r="GR1143" s="175"/>
      <c r="GS1143" s="175"/>
      <c r="GT1143" s="175"/>
      <c r="GU1143" s="175"/>
      <c r="GV1143" s="175"/>
      <c r="GW1143" s="175"/>
      <c r="GX1143" s="175"/>
      <c r="GY1143" s="175"/>
      <c r="GZ1143" s="175"/>
      <c r="HA1143" s="175"/>
      <c r="HB1143" s="175"/>
      <c r="HC1143" s="175"/>
      <c r="HD1143" s="175"/>
      <c r="HE1143" s="175"/>
      <c r="HF1143" s="175"/>
      <c r="HG1143" s="175"/>
      <c r="HH1143" s="175"/>
      <c r="HI1143" s="175"/>
      <c r="HJ1143" s="175"/>
      <c r="HK1143" s="175"/>
      <c r="HL1143" s="175"/>
      <c r="HM1143" s="175"/>
      <c r="HN1143" s="175"/>
      <c r="HO1143" s="175"/>
      <c r="HP1143" s="175"/>
      <c r="HQ1143" s="175"/>
      <c r="HR1143" s="175"/>
      <c r="HS1143" s="175"/>
      <c r="HT1143" s="175"/>
      <c r="HU1143" s="175"/>
      <c r="HV1143" s="175"/>
      <c r="HW1143" s="175"/>
      <c r="HX1143" s="175"/>
      <c r="HY1143" s="175"/>
      <c r="HZ1143" s="175"/>
      <c r="IA1143" s="175"/>
      <c r="IB1143" s="175"/>
      <c r="IC1143" s="175"/>
      <c r="ID1143" s="175"/>
      <c r="IE1143" s="175"/>
      <c r="IF1143" s="175"/>
      <c r="IG1143" s="175"/>
      <c r="IH1143" s="175"/>
      <c r="II1143" s="175"/>
      <c r="IJ1143" s="175"/>
      <c r="IK1143" s="175"/>
      <c r="IL1143" s="175"/>
      <c r="IM1143" s="175"/>
      <c r="IN1143" s="175"/>
      <c r="IO1143" s="175"/>
      <c r="IP1143" s="175"/>
      <c r="IQ1143" s="175"/>
      <c r="IR1143" s="175"/>
      <c r="IS1143" s="175"/>
      <c r="IT1143" s="175"/>
      <c r="IU1143" s="175"/>
      <c r="IV1143" s="175"/>
      <c r="IW1143" s="175"/>
      <c r="IX1143" s="175"/>
      <c r="IY1143" s="175"/>
      <c r="IZ1143" s="175"/>
      <c r="JA1143" s="175"/>
      <c r="JB1143" s="175"/>
      <c r="JC1143" s="175"/>
      <c r="JD1143" s="175"/>
      <c r="JE1143" s="175"/>
      <c r="JF1143" s="175"/>
      <c r="JG1143" s="175"/>
      <c r="JH1143" s="175"/>
      <c r="JI1143" s="175"/>
      <c r="JJ1143" s="175"/>
      <c r="JK1143" s="175"/>
      <c r="JL1143" s="175"/>
      <c r="JM1143" s="175"/>
      <c r="JN1143" s="175"/>
      <c r="JO1143" s="175"/>
      <c r="JP1143" s="175"/>
      <c r="JQ1143" s="175"/>
      <c r="JR1143" s="175"/>
      <c r="JS1143" s="175"/>
      <c r="JT1143" s="175"/>
      <c r="JU1143" s="175"/>
      <c r="JV1143" s="175"/>
      <c r="JW1143" s="17"/>
      <c r="JX1143" s="17"/>
      <c r="JY1143" s="17"/>
      <c r="JZ1143" s="17"/>
      <c r="KA1143" s="17"/>
      <c r="KB1143" s="17"/>
      <c r="KC1143" s="17"/>
      <c r="KD1143" s="17"/>
      <c r="KE1143" s="17"/>
      <c r="KF1143" s="17"/>
      <c r="KG1143" s="17"/>
      <c r="KH1143" s="17"/>
      <c r="KI1143" s="17"/>
      <c r="KJ1143" s="17"/>
      <c r="KK1143" s="17"/>
      <c r="KL1143" s="17"/>
      <c r="KM1143" s="17"/>
      <c r="KN1143" s="17"/>
      <c r="KO1143" s="17"/>
      <c r="KP1143" s="17"/>
      <c r="KQ1143" s="17"/>
      <c r="KR1143" s="17"/>
      <c r="KS1143" s="17"/>
      <c r="KT1143" s="17"/>
      <c r="KU1143" s="17"/>
      <c r="KV1143" s="17"/>
      <c r="KW1143" s="17"/>
      <c r="KX1143" s="17"/>
      <c r="KY1143" s="17"/>
      <c r="KZ1143" s="17"/>
      <c r="LA1143" s="17"/>
      <c r="LB1143" s="17"/>
      <c r="LC1143" s="17"/>
      <c r="LD1143" s="17"/>
      <c r="LE1143" s="17"/>
      <c r="LF1143" s="17"/>
      <c r="LG1143" s="17"/>
      <c r="LH1143" s="17"/>
      <c r="LI1143" s="17"/>
      <c r="LJ1143" s="17"/>
      <c r="LK1143" s="17"/>
      <c r="LL1143" s="17"/>
      <c r="LM1143" s="17"/>
      <c r="LN1143" s="17"/>
      <c r="LO1143" s="17"/>
      <c r="LP1143" s="17"/>
      <c r="LQ1143" s="17"/>
      <c r="LR1143" s="17"/>
      <c r="LS1143" s="17"/>
      <c r="LT1143" s="17"/>
      <c r="LU1143" s="17"/>
      <c r="LV1143" s="17"/>
      <c r="LW1143" s="17"/>
      <c r="LX1143" s="17"/>
      <c r="LY1143" s="17"/>
      <c r="LZ1143" s="17"/>
      <c r="MA1143" s="17"/>
      <c r="MB1143" s="17"/>
      <c r="MC1143" s="17"/>
      <c r="MD1143" s="17"/>
      <c r="ME1143" s="17"/>
      <c r="MF1143" s="17"/>
      <c r="MG1143" s="17"/>
      <c r="MH1143" s="17"/>
      <c r="MI1143" s="17"/>
      <c r="MJ1143" s="17"/>
      <c r="MK1143" s="17"/>
      <c r="ML1143" s="17"/>
      <c r="MM1143" s="17"/>
      <c r="MN1143" s="17"/>
      <c r="MO1143" s="17"/>
      <c r="MP1143" s="17"/>
      <c r="MQ1143" s="17"/>
      <c r="MR1143" s="17"/>
      <c r="MS1143" s="17"/>
      <c r="MT1143" s="17"/>
      <c r="MU1143" s="17"/>
      <c r="MV1143" s="17"/>
      <c r="MW1143" s="17"/>
      <c r="MX1143" s="17"/>
      <c r="MY1143" s="17"/>
      <c r="MZ1143" s="17"/>
      <c r="NA1143" s="17"/>
      <c r="NB1143" s="17"/>
      <c r="NC1143" s="17"/>
      <c r="ND1143" s="17"/>
      <c r="NE1143" s="17"/>
      <c r="NF1143" s="17"/>
      <c r="NG1143" s="17"/>
      <c r="NH1143" s="17"/>
      <c r="NI1143" s="17"/>
      <c r="NJ1143" s="17"/>
      <c r="NK1143" s="17"/>
      <c r="NL1143" s="17"/>
      <c r="NM1143" s="17"/>
      <c r="NN1143" s="17"/>
      <c r="NO1143" s="17"/>
      <c r="NP1143" s="17"/>
      <c r="NQ1143" s="17"/>
      <c r="NR1143" s="17"/>
      <c r="NS1143" s="17"/>
      <c r="NT1143" s="17"/>
      <c r="NU1143" s="17"/>
      <c r="NV1143" s="17"/>
      <c r="NW1143" s="17"/>
      <c r="NX1143" s="17"/>
      <c r="NY1143" s="17"/>
      <c r="NZ1143" s="17"/>
      <c r="OA1143" s="17"/>
      <c r="OB1143" s="17"/>
      <c r="OC1143" s="17"/>
      <c r="OD1143" s="17"/>
      <c r="OE1143" s="17"/>
      <c r="OF1143" s="17"/>
      <c r="OG1143" s="17"/>
      <c r="OH1143" s="17"/>
      <c r="OI1143" s="17"/>
      <c r="OJ1143" s="17"/>
      <c r="OK1143" s="17"/>
      <c r="OL1143" s="17"/>
      <c r="OM1143" s="17"/>
      <c r="ON1143" s="17"/>
      <c r="OO1143" s="17"/>
      <c r="OP1143" s="17"/>
      <c r="OQ1143" s="17"/>
      <c r="OR1143" s="17"/>
      <c r="OS1143" s="17"/>
      <c r="OT1143" s="17"/>
      <c r="OU1143" s="17"/>
      <c r="OV1143" s="17"/>
      <c r="OW1143" s="17"/>
      <c r="OX1143" s="17"/>
      <c r="OY1143" s="17"/>
      <c r="OZ1143" s="17"/>
      <c r="PA1143" s="17"/>
      <c r="PB1143" s="17"/>
      <c r="PC1143" s="17"/>
      <c r="PD1143" s="17"/>
      <c r="PE1143" s="17"/>
      <c r="PF1143" s="17"/>
      <c r="PG1143" s="17"/>
      <c r="PH1143" s="17"/>
      <c r="PI1143" s="17"/>
      <c r="PJ1143" s="17"/>
      <c r="PK1143" s="17"/>
      <c r="PL1143" s="17"/>
      <c r="PM1143" s="17"/>
      <c r="PN1143" s="17"/>
      <c r="PO1143" s="17"/>
      <c r="PP1143" s="17"/>
      <c r="PQ1143" s="17"/>
      <c r="PR1143" s="17"/>
      <c r="PS1143" s="17"/>
      <c r="PT1143" s="17"/>
      <c r="PU1143" s="17"/>
      <c r="PV1143" s="17"/>
      <c r="PW1143" s="17"/>
      <c r="PX1143" s="17"/>
      <c r="PY1143" s="17"/>
      <c r="PZ1143" s="17"/>
      <c r="QA1143" s="17"/>
      <c r="QB1143" s="17"/>
      <c r="QC1143" s="17"/>
      <c r="QD1143" s="17"/>
      <c r="QE1143" s="17"/>
      <c r="QF1143" s="17"/>
      <c r="QG1143" s="17"/>
      <c r="QH1143" s="17"/>
      <c r="QI1143" s="17"/>
      <c r="QJ1143" s="17"/>
      <c r="QK1143" s="17"/>
      <c r="QL1143" s="17"/>
      <c r="QM1143" s="17"/>
      <c r="QN1143" s="17"/>
      <c r="QO1143" s="17"/>
      <c r="QP1143" s="17"/>
      <c r="QQ1143" s="17"/>
      <c r="QR1143" s="17"/>
      <c r="QS1143" s="17"/>
      <c r="QT1143" s="17"/>
      <c r="QU1143" s="17"/>
      <c r="QV1143" s="17"/>
      <c r="QW1143" s="17"/>
      <c r="QX1143" s="17"/>
      <c r="QY1143" s="17"/>
      <c r="QZ1143" s="17"/>
      <c r="RA1143" s="17"/>
      <c r="RB1143" s="17"/>
      <c r="RC1143" s="17"/>
      <c r="RD1143" s="17"/>
      <c r="RE1143" s="17"/>
      <c r="RF1143" s="17"/>
      <c r="RG1143" s="17"/>
      <c r="RH1143" s="17"/>
      <c r="RI1143" s="17"/>
      <c r="RJ1143" s="17"/>
      <c r="RK1143" s="17"/>
      <c r="RL1143" s="17"/>
      <c r="RM1143" s="17"/>
      <c r="RN1143" s="17"/>
      <c r="RO1143" s="17"/>
      <c r="RP1143" s="17"/>
      <c r="RQ1143" s="17"/>
      <c r="RR1143" s="17"/>
      <c r="RS1143" s="17"/>
      <c r="RT1143" s="17"/>
      <c r="RU1143" s="17"/>
      <c r="RV1143" s="17"/>
      <c r="RW1143" s="17"/>
      <c r="RX1143" s="17"/>
      <c r="RY1143" s="17"/>
      <c r="RZ1143" s="17"/>
      <c r="SA1143" s="17"/>
      <c r="SB1143" s="17"/>
      <c r="SC1143" s="17"/>
      <c r="SD1143" s="17"/>
      <c r="SE1143" s="17"/>
      <c r="SF1143" s="17"/>
      <c r="SG1143" s="17"/>
      <c r="SH1143" s="17"/>
      <c r="SI1143" s="17"/>
      <c r="SJ1143" s="17"/>
      <c r="SK1143" s="17"/>
      <c r="SL1143" s="17"/>
      <c r="SM1143" s="17"/>
      <c r="SN1143" s="17"/>
      <c r="SO1143" s="17"/>
      <c r="SP1143" s="17"/>
      <c r="SQ1143" s="17"/>
      <c r="SR1143" s="17"/>
      <c r="SS1143" s="17"/>
      <c r="ST1143" s="17"/>
      <c r="SU1143" s="17"/>
      <c r="SV1143" s="17"/>
      <c r="SW1143" s="17"/>
      <c r="SX1143" s="17"/>
      <c r="SY1143" s="17"/>
      <c r="SZ1143" s="17"/>
      <c r="TA1143" s="17"/>
      <c r="TB1143" s="17"/>
      <c r="TC1143" s="17"/>
      <c r="TD1143" s="17"/>
      <c r="TE1143" s="17"/>
      <c r="TF1143" s="17"/>
      <c r="TG1143" s="17"/>
      <c r="TH1143" s="17"/>
      <c r="TI1143" s="17"/>
      <c r="TJ1143" s="17"/>
      <c r="TK1143" s="17"/>
      <c r="TL1143" s="17"/>
      <c r="TM1143" s="17"/>
      <c r="TN1143" s="17"/>
      <c r="TO1143" s="17"/>
      <c r="TP1143" s="17"/>
      <c r="TQ1143" s="17"/>
      <c r="TR1143" s="17"/>
      <c r="TS1143" s="17"/>
      <c r="TT1143" s="17"/>
      <c r="TU1143" s="17"/>
      <c r="TV1143" s="17"/>
      <c r="TW1143" s="17"/>
      <c r="TX1143" s="17"/>
      <c r="TY1143" s="17"/>
      <c r="TZ1143" s="17"/>
      <c r="UA1143" s="17"/>
      <c r="UB1143" s="17"/>
      <c r="UC1143" s="17"/>
      <c r="UD1143" s="17"/>
      <c r="UE1143" s="17"/>
      <c r="UF1143" s="17"/>
      <c r="UG1143" s="17"/>
      <c r="UH1143" s="17"/>
      <c r="UI1143" s="17"/>
      <c r="UJ1143" s="17"/>
      <c r="UK1143" s="17"/>
      <c r="UL1143" s="17"/>
      <c r="UM1143" s="17"/>
      <c r="UN1143" s="17"/>
      <c r="UO1143" s="17"/>
      <c r="UP1143" s="17"/>
      <c r="UQ1143" s="17"/>
      <c r="UR1143" s="17"/>
      <c r="US1143" s="17"/>
      <c r="UT1143" s="17"/>
      <c r="UU1143" s="17"/>
      <c r="UV1143" s="17"/>
      <c r="UW1143" s="17"/>
      <c r="UX1143" s="17"/>
      <c r="UY1143" s="17"/>
      <c r="UZ1143" s="17"/>
      <c r="VA1143" s="17"/>
      <c r="VB1143" s="17"/>
      <c r="VC1143" s="17"/>
      <c r="VD1143" s="17"/>
      <c r="VE1143" s="17"/>
      <c r="VF1143" s="17"/>
      <c r="VG1143" s="17"/>
      <c r="VH1143" s="17"/>
      <c r="VI1143" s="17"/>
      <c r="VJ1143" s="17"/>
      <c r="VK1143" s="17"/>
      <c r="VL1143" s="17"/>
      <c r="VM1143" s="17"/>
      <c r="VN1143" s="17"/>
      <c r="VO1143" s="17"/>
      <c r="VP1143" s="17"/>
      <c r="VQ1143" s="17"/>
      <c r="VR1143" s="17"/>
      <c r="VS1143" s="17"/>
      <c r="VT1143" s="17"/>
      <c r="VU1143" s="17"/>
      <c r="VV1143" s="17"/>
      <c r="VW1143" s="17"/>
      <c r="VX1143" s="17"/>
      <c r="VY1143" s="17"/>
      <c r="VZ1143" s="17"/>
      <c r="WA1143" s="17"/>
      <c r="WB1143" s="17"/>
      <c r="WC1143" s="17"/>
      <c r="WD1143" s="17"/>
      <c r="WE1143" s="17"/>
      <c r="WF1143" s="17"/>
      <c r="WG1143" s="17"/>
      <c r="WH1143" s="17"/>
      <c r="WI1143" s="17"/>
      <c r="WJ1143" s="17"/>
      <c r="WK1143" s="17"/>
      <c r="WL1143" s="17"/>
      <c r="WM1143" s="17"/>
      <c r="WN1143" s="17"/>
      <c r="WO1143" s="17"/>
      <c r="WP1143" s="17"/>
      <c r="WQ1143" s="17"/>
      <c r="WR1143" s="17"/>
      <c r="WS1143" s="17"/>
      <c r="WT1143" s="17"/>
      <c r="WU1143" s="17"/>
      <c r="WV1143" s="17"/>
      <c r="WW1143" s="17"/>
      <c r="WX1143" s="17"/>
      <c r="WY1143" s="17"/>
      <c r="WZ1143" s="17"/>
      <c r="XA1143" s="17"/>
      <c r="XB1143" s="17"/>
      <c r="XC1143" s="17"/>
      <c r="XD1143" s="17"/>
      <c r="XE1143" s="17"/>
      <c r="XF1143" s="17"/>
      <c r="XG1143" s="17"/>
      <c r="XH1143" s="17"/>
      <c r="XI1143" s="17"/>
      <c r="XJ1143" s="17"/>
      <c r="XK1143" s="17"/>
      <c r="XL1143" s="17"/>
      <c r="XM1143" s="17"/>
      <c r="XN1143" s="17"/>
      <c r="XO1143" s="17"/>
      <c r="XP1143" s="17"/>
      <c r="XQ1143" s="17"/>
      <c r="XR1143" s="17"/>
      <c r="XS1143" s="17"/>
      <c r="XT1143" s="17"/>
      <c r="XU1143" s="17"/>
      <c r="XV1143" s="17"/>
      <c r="XW1143" s="17"/>
      <c r="XX1143" s="17"/>
      <c r="XY1143" s="17"/>
      <c r="XZ1143" s="17"/>
      <c r="YA1143" s="17"/>
      <c r="YB1143" s="17"/>
      <c r="YC1143" s="17"/>
      <c r="YD1143" s="17"/>
      <c r="YE1143" s="17"/>
      <c r="YF1143" s="17"/>
      <c r="YG1143" s="17"/>
      <c r="YH1143" s="17"/>
      <c r="YI1143" s="17"/>
      <c r="YJ1143" s="17"/>
      <c r="YK1143" s="17"/>
      <c r="YL1143" s="17"/>
      <c r="YM1143" s="17"/>
      <c r="YN1143" s="17"/>
      <c r="YO1143" s="17"/>
      <c r="YP1143" s="17"/>
      <c r="YQ1143" s="17"/>
      <c r="YR1143" s="17"/>
      <c r="YS1143" s="17"/>
      <c r="YT1143" s="17"/>
      <c r="YU1143" s="17"/>
      <c r="YV1143" s="17"/>
      <c r="YW1143" s="17"/>
      <c r="YX1143" s="17"/>
      <c r="YY1143" s="17"/>
      <c r="YZ1143" s="17"/>
      <c r="ZA1143" s="17"/>
      <c r="ZB1143" s="17"/>
      <c r="ZC1143" s="17"/>
      <c r="ZD1143" s="17"/>
      <c r="ZE1143" s="17"/>
      <c r="ZF1143" s="17"/>
      <c r="ZG1143" s="17"/>
      <c r="ZH1143" s="17"/>
      <c r="ZI1143" s="17"/>
      <c r="ZJ1143" s="17"/>
      <c r="ZK1143" s="17"/>
      <c r="ZL1143" s="17"/>
      <c r="ZM1143" s="17"/>
      <c r="ZN1143" s="17"/>
      <c r="ZO1143" s="17"/>
      <c r="ZP1143" s="17"/>
      <c r="ZQ1143" s="17"/>
      <c r="ZR1143" s="17"/>
      <c r="ZS1143" s="17"/>
      <c r="ZT1143" s="17"/>
      <c r="ZU1143" s="17"/>
      <c r="ZV1143" s="17"/>
      <c r="ZW1143" s="17"/>
      <c r="ZX1143" s="17"/>
      <c r="ZY1143" s="17"/>
      <c r="ZZ1143" s="17"/>
      <c r="AAA1143" s="17"/>
      <c r="AAB1143" s="17"/>
      <c r="AAC1143" s="17"/>
      <c r="AAD1143" s="17"/>
      <c r="AAE1143" s="17"/>
      <c r="AAF1143" s="17"/>
      <c r="AAG1143" s="17"/>
      <c r="AAH1143" s="17"/>
      <c r="AAI1143" s="17"/>
      <c r="AAJ1143" s="17"/>
      <c r="AAK1143" s="17"/>
      <c r="AAL1143" s="17"/>
      <c r="AAM1143" s="17"/>
      <c r="AAN1143" s="17"/>
      <c r="AAO1143" s="17"/>
      <c r="AAP1143" s="17"/>
      <c r="AAQ1143" s="17"/>
      <c r="AAR1143" s="17"/>
      <c r="AAS1143" s="17"/>
      <c r="AAT1143" s="17"/>
      <c r="AAU1143" s="17"/>
      <c r="AAV1143" s="17"/>
      <c r="AAW1143" s="17"/>
      <c r="AAX1143" s="17"/>
      <c r="AAY1143" s="17"/>
      <c r="AAZ1143" s="17"/>
      <c r="ABA1143" s="17"/>
      <c r="ABB1143" s="17"/>
      <c r="ABC1143" s="17"/>
      <c r="ABD1143" s="17"/>
      <c r="ABE1143" s="17"/>
      <c r="ABF1143" s="17"/>
      <c r="ABG1143" s="17"/>
      <c r="ABH1143" s="17"/>
      <c r="ABI1143" s="17"/>
      <c r="ABJ1143" s="17"/>
      <c r="ABK1143" s="17"/>
      <c r="ABL1143" s="17"/>
      <c r="ABM1143" s="17"/>
      <c r="ABN1143" s="17"/>
      <c r="ABO1143" s="17"/>
      <c r="ABP1143" s="17"/>
      <c r="ABQ1143" s="17"/>
      <c r="ABR1143" s="17"/>
      <c r="ABS1143" s="17"/>
      <c r="ABT1143" s="17"/>
      <c r="ABU1143" s="17"/>
      <c r="ABV1143" s="17"/>
      <c r="ABW1143" s="17"/>
      <c r="ABX1143" s="17"/>
      <c r="ABY1143" s="17"/>
      <c r="ABZ1143" s="17"/>
      <c r="ACA1143" s="17"/>
      <c r="ACB1143" s="17"/>
      <c r="ACC1143" s="17"/>
      <c r="ACD1143" s="17"/>
      <c r="ACE1143" s="17"/>
      <c r="ACF1143" s="17"/>
      <c r="ACG1143" s="17"/>
      <c r="ACH1143" s="17"/>
      <c r="ACI1143" s="17"/>
      <c r="ACJ1143" s="17"/>
      <c r="ACK1143" s="17"/>
      <c r="ACL1143" s="17"/>
      <c r="ACM1143" s="17"/>
      <c r="ACN1143" s="17"/>
      <c r="ACO1143" s="17"/>
      <c r="ACP1143" s="17"/>
      <c r="ACQ1143" s="17"/>
      <c r="ACR1143" s="17"/>
      <c r="ACS1143" s="17"/>
      <c r="ACT1143" s="17"/>
      <c r="ACU1143" s="17"/>
      <c r="ACV1143" s="17"/>
      <c r="ACW1143" s="17"/>
      <c r="ACX1143" s="17"/>
      <c r="ACY1143" s="17"/>
      <c r="ACZ1143" s="17"/>
      <c r="ADA1143" s="17"/>
      <c r="ADB1143" s="17"/>
      <c r="ADC1143" s="17"/>
      <c r="ADD1143" s="17"/>
      <c r="ADE1143" s="17"/>
      <c r="ADF1143" s="17"/>
      <c r="ADG1143" s="17"/>
      <c r="ADH1143" s="17"/>
      <c r="ADI1143" s="17"/>
      <c r="ADJ1143" s="17"/>
      <c r="ADK1143" s="17"/>
      <c r="ADL1143" s="17"/>
      <c r="ADM1143" s="17"/>
      <c r="ADN1143" s="17"/>
      <c r="ADO1143" s="17"/>
      <c r="ADP1143" s="17"/>
      <c r="ADQ1143" s="17"/>
      <c r="ADR1143" s="17"/>
      <c r="ADS1143" s="17"/>
      <c r="ADT1143" s="17"/>
      <c r="ADU1143" s="17"/>
      <c r="ADV1143" s="17"/>
      <c r="ADW1143" s="17"/>
      <c r="ADX1143" s="17"/>
      <c r="ADY1143" s="17"/>
      <c r="ADZ1143" s="17"/>
      <c r="AEA1143" s="17"/>
      <c r="AEB1143" s="17"/>
      <c r="AEC1143" s="17"/>
      <c r="AED1143" s="17"/>
      <c r="AEE1143" s="17"/>
      <c r="AEF1143" s="17"/>
      <c r="AEG1143" s="17"/>
      <c r="AEH1143" s="17"/>
      <c r="AEI1143" s="17"/>
      <c r="AEJ1143" s="17"/>
      <c r="AEK1143" s="17"/>
      <c r="AEL1143" s="17"/>
      <c r="AEM1143" s="17"/>
      <c r="AEN1143" s="17"/>
      <c r="AEO1143" s="17"/>
      <c r="AEP1143" s="17"/>
      <c r="AEQ1143" s="17"/>
      <c r="AER1143" s="17"/>
      <c r="AES1143" s="17"/>
      <c r="AET1143" s="17"/>
      <c r="AEU1143" s="17"/>
      <c r="AEV1143" s="17"/>
      <c r="AEW1143" s="17"/>
      <c r="AEX1143" s="17"/>
      <c r="AEY1143" s="17"/>
      <c r="AEZ1143" s="17"/>
      <c r="AFA1143" s="17"/>
      <c r="AFB1143" s="17"/>
      <c r="AFC1143" s="17"/>
      <c r="AFD1143" s="17"/>
      <c r="AFE1143" s="17"/>
      <c r="AFF1143" s="17"/>
      <c r="AFG1143" s="17"/>
      <c r="AFH1143" s="17"/>
      <c r="AFI1143" s="17"/>
      <c r="AFJ1143" s="17"/>
      <c r="AFK1143" s="17"/>
      <c r="AFL1143" s="17"/>
      <c r="AFM1143" s="17"/>
      <c r="AFN1143" s="17"/>
      <c r="AFO1143" s="17"/>
      <c r="AFP1143" s="17"/>
      <c r="AFQ1143" s="17"/>
      <c r="AFR1143" s="17"/>
      <c r="AFS1143" s="17"/>
      <c r="AFT1143" s="17"/>
      <c r="AFU1143" s="17"/>
      <c r="AFV1143" s="17"/>
      <c r="AFW1143" s="17"/>
      <c r="AFX1143" s="17"/>
      <c r="AFY1143" s="17"/>
      <c r="AFZ1143" s="17"/>
      <c r="AGA1143" s="17"/>
      <c r="AGB1143" s="17"/>
      <c r="AGC1143" s="17"/>
      <c r="AGD1143" s="17"/>
      <c r="AGE1143" s="17"/>
      <c r="AGF1143" s="17"/>
      <c r="AGG1143" s="17"/>
      <c r="AGH1143" s="17"/>
      <c r="AGI1143" s="17"/>
      <c r="AGJ1143" s="17"/>
      <c r="AGK1143" s="17"/>
      <c r="AGL1143" s="17"/>
      <c r="AGM1143" s="17"/>
      <c r="AGN1143" s="17"/>
      <c r="AGO1143" s="17"/>
      <c r="AGP1143" s="17"/>
      <c r="AGQ1143" s="17"/>
      <c r="AGR1143" s="17"/>
      <c r="AGS1143" s="17"/>
      <c r="AGT1143" s="17"/>
      <c r="AGU1143" s="17"/>
      <c r="AGV1143" s="17"/>
      <c r="AGW1143" s="17"/>
      <c r="AGX1143" s="17"/>
      <c r="AGY1143" s="17"/>
      <c r="AGZ1143" s="17"/>
      <c r="AHA1143" s="17"/>
      <c r="AHB1143" s="17"/>
      <c r="AHC1143" s="17"/>
      <c r="AHD1143" s="17"/>
      <c r="AHE1143" s="17"/>
      <c r="AHF1143" s="17"/>
      <c r="AHG1143" s="17"/>
      <c r="AHH1143" s="17"/>
      <c r="AHI1143" s="17"/>
      <c r="AHJ1143" s="17"/>
      <c r="AHK1143" s="17"/>
      <c r="AHL1143" s="17"/>
      <c r="AHM1143" s="17"/>
      <c r="AHN1143" s="17"/>
      <c r="AHO1143" s="17"/>
      <c r="AHP1143" s="17"/>
      <c r="AHQ1143" s="17"/>
      <c r="AHR1143" s="17"/>
      <c r="AHS1143" s="17"/>
      <c r="AHT1143" s="17"/>
      <c r="AHU1143" s="17"/>
      <c r="AHV1143" s="17"/>
      <c r="AHW1143" s="17"/>
      <c r="AHX1143" s="17"/>
      <c r="AHY1143" s="17"/>
      <c r="AHZ1143" s="17"/>
      <c r="AIA1143" s="17"/>
      <c r="AIB1143" s="17"/>
      <c r="AIC1143" s="17"/>
      <c r="AID1143" s="17"/>
      <c r="AIE1143" s="17"/>
      <c r="AIF1143" s="17"/>
      <c r="AIG1143" s="17"/>
      <c r="AIH1143" s="17"/>
      <c r="AII1143" s="17"/>
      <c r="AIJ1143" s="17"/>
      <c r="AIK1143" s="17"/>
      <c r="AIL1143" s="17"/>
      <c r="AIM1143" s="17"/>
      <c r="AIN1143" s="17"/>
      <c r="AIO1143" s="17"/>
      <c r="AIP1143" s="17"/>
      <c r="AIQ1143" s="17"/>
      <c r="AIR1143" s="17"/>
      <c r="AIS1143" s="17"/>
      <c r="AIT1143" s="17"/>
      <c r="AIU1143" s="17"/>
      <c r="AIV1143" s="17"/>
      <c r="AIW1143" s="17"/>
      <c r="AIX1143" s="17"/>
      <c r="AIY1143" s="17"/>
      <c r="AIZ1143" s="17"/>
      <c r="AJA1143" s="17"/>
      <c r="AJB1143" s="17"/>
      <c r="AJC1143" s="17"/>
      <c r="AJD1143" s="17"/>
      <c r="AJE1143" s="17"/>
      <c r="AJF1143" s="17"/>
      <c r="AJG1143" s="17"/>
      <c r="AJH1143" s="17"/>
      <c r="AJI1143" s="17"/>
      <c r="AJJ1143" s="17"/>
      <c r="AJK1143" s="17"/>
      <c r="AJL1143" s="17"/>
      <c r="AJM1143" s="17"/>
      <c r="AJN1143" s="17"/>
      <c r="AJO1143" s="17"/>
      <c r="AJP1143" s="17"/>
      <c r="AJQ1143" s="17"/>
      <c r="AJR1143" s="17"/>
      <c r="AJS1143" s="17"/>
      <c r="AJT1143" s="17"/>
      <c r="AJU1143" s="17"/>
      <c r="AJV1143" s="17"/>
      <c r="AJW1143" s="17"/>
      <c r="AJX1143" s="17"/>
      <c r="AJY1143" s="17"/>
      <c r="AJZ1143" s="17"/>
      <c r="AKA1143" s="17"/>
      <c r="AKB1143" s="17"/>
      <c r="AKC1143" s="17"/>
      <c r="AKD1143" s="17"/>
      <c r="AKE1143" s="17"/>
      <c r="AKF1143" s="17"/>
      <c r="AKG1143" s="17"/>
      <c r="AKH1143" s="17"/>
      <c r="AKI1143" s="17"/>
      <c r="AKJ1143" s="17"/>
      <c r="AKK1143" s="17"/>
      <c r="AKL1143" s="17"/>
      <c r="AKM1143" s="17"/>
      <c r="AKN1143" s="17"/>
      <c r="AKO1143" s="17"/>
      <c r="AKP1143" s="17"/>
      <c r="AKQ1143" s="17"/>
      <c r="AKR1143" s="17"/>
      <c r="AKS1143" s="17"/>
      <c r="AKT1143" s="17"/>
      <c r="AKU1143" s="17"/>
      <c r="AKV1143" s="17"/>
      <c r="AKW1143" s="17"/>
      <c r="AKX1143" s="17"/>
      <c r="AKY1143" s="17"/>
      <c r="AKZ1143" s="17"/>
      <c r="ALA1143" s="17"/>
      <c r="ALB1143" s="17"/>
      <c r="ALC1143" s="17"/>
      <c r="ALD1143" s="17"/>
      <c r="ALE1143" s="17"/>
      <c r="ALF1143" s="17"/>
      <c r="ALG1143" s="17"/>
      <c r="ALH1143" s="17"/>
      <c r="ALI1143" s="17"/>
      <c r="ALJ1143" s="17"/>
      <c r="ALK1143" s="17"/>
      <c r="ALL1143" s="17"/>
      <c r="ALM1143" s="17"/>
      <c r="ALN1143" s="17"/>
      <c r="ALO1143" s="17"/>
      <c r="ALP1143" s="17"/>
      <c r="ALQ1143" s="17"/>
      <c r="ALR1143" s="17"/>
      <c r="ALS1143" s="17"/>
      <c r="ALT1143" s="17"/>
      <c r="ALU1143" s="17"/>
      <c r="ALV1143" s="17"/>
      <c r="ALW1143" s="17"/>
      <c r="ALX1143" s="17"/>
      <c r="ALY1143" s="17"/>
      <c r="ALZ1143" s="17"/>
      <c r="AMA1143" s="17"/>
      <c r="AMB1143" s="17"/>
      <c r="AMC1143" s="17"/>
      <c r="AMD1143" s="17"/>
      <c r="AME1143" s="17"/>
      <c r="AMF1143" s="17"/>
      <c r="AMG1143" s="17"/>
      <c r="AMH1143" s="17"/>
      <c r="AMI1143" s="17"/>
      <c r="AMJ1143" s="17"/>
      <c r="AMK1143" s="17"/>
      <c r="AML1143" s="17"/>
      <c r="AMM1143" s="17"/>
      <c r="AMN1143" s="17"/>
      <c r="AMO1143" s="17"/>
      <c r="AMP1143" s="17"/>
      <c r="AMQ1143" s="17"/>
      <c r="AMR1143" s="17"/>
      <c r="AMS1143" s="17"/>
      <c r="AMT1143" s="17"/>
      <c r="AMU1143" s="17"/>
      <c r="AMV1143" s="17"/>
      <c r="AMW1143" s="17"/>
      <c r="AMX1143" s="17"/>
      <c r="AMY1143" s="17"/>
      <c r="AMZ1143" s="17"/>
      <c r="ANA1143" s="17"/>
      <c r="ANB1143" s="17"/>
      <c r="ANC1143" s="17"/>
      <c r="AND1143" s="17"/>
      <c r="ANE1143" s="17"/>
      <c r="ANF1143" s="17"/>
      <c r="ANG1143" s="17"/>
      <c r="ANH1143" s="17"/>
      <c r="ANI1143" s="17"/>
      <c r="ANJ1143" s="17"/>
      <c r="ANK1143" s="17"/>
      <c r="ANL1143" s="17"/>
      <c r="ANM1143" s="17"/>
      <c r="ANN1143" s="17"/>
      <c r="ANO1143" s="17"/>
      <c r="ANP1143" s="17"/>
      <c r="ANQ1143" s="17"/>
      <c r="ANR1143" s="17"/>
      <c r="ANS1143" s="17"/>
      <c r="ANT1143" s="17"/>
      <c r="ANU1143" s="17"/>
      <c r="ANV1143" s="17"/>
      <c r="ANW1143" s="17"/>
      <c r="ANX1143" s="17"/>
      <c r="ANY1143" s="17"/>
      <c r="ANZ1143" s="17"/>
      <c r="AOA1143" s="17"/>
      <c r="AOB1143" s="17"/>
      <c r="AOC1143" s="17"/>
      <c r="AOD1143" s="17"/>
      <c r="AOE1143" s="17"/>
      <c r="AOF1143" s="17"/>
      <c r="AOG1143" s="17"/>
      <c r="AOH1143" s="17"/>
      <c r="AOI1143" s="17"/>
      <c r="AOJ1143" s="17"/>
      <c r="AOK1143" s="17"/>
      <c r="AOL1143" s="17"/>
      <c r="AOM1143" s="17"/>
      <c r="AON1143" s="17"/>
      <c r="AOO1143" s="17"/>
      <c r="AOP1143" s="17"/>
      <c r="AOQ1143" s="17"/>
      <c r="AOR1143" s="17"/>
      <c r="AOS1143" s="17"/>
      <c r="AOT1143" s="17"/>
      <c r="AOU1143" s="17"/>
      <c r="AOV1143" s="17"/>
      <c r="AOW1143" s="17"/>
      <c r="AOX1143" s="17"/>
      <c r="AOY1143" s="17"/>
      <c r="AOZ1143" s="17"/>
      <c r="APA1143" s="17"/>
      <c r="APB1143" s="17"/>
      <c r="APC1143" s="17"/>
      <c r="APD1143" s="17"/>
      <c r="APE1143" s="17"/>
      <c r="APF1143" s="17"/>
      <c r="APG1143" s="17"/>
      <c r="APH1143" s="17"/>
      <c r="API1143" s="17"/>
      <c r="APJ1143" s="17"/>
      <c r="APK1143" s="17"/>
      <c r="APL1143" s="17"/>
      <c r="APM1143" s="17"/>
      <c r="APN1143" s="17"/>
      <c r="APO1143" s="17"/>
      <c r="APP1143" s="17"/>
      <c r="APQ1143" s="17"/>
      <c r="APR1143" s="17"/>
      <c r="APS1143" s="17"/>
      <c r="APT1143" s="17"/>
      <c r="APU1143" s="17"/>
      <c r="APV1143" s="17"/>
      <c r="APW1143" s="17"/>
      <c r="APX1143" s="17"/>
      <c r="APY1143" s="17"/>
      <c r="APZ1143" s="17"/>
      <c r="AQA1143" s="17"/>
      <c r="AQB1143" s="17"/>
      <c r="AQC1143" s="17"/>
      <c r="AQD1143" s="17"/>
      <c r="AQE1143" s="17"/>
      <c r="AQF1143" s="17"/>
      <c r="AQG1143" s="17"/>
      <c r="AQH1143" s="17"/>
      <c r="AQI1143" s="17"/>
      <c r="AQJ1143" s="17"/>
      <c r="AQK1143" s="17"/>
      <c r="AQL1143" s="17"/>
      <c r="AQM1143" s="17"/>
      <c r="AQN1143" s="17"/>
      <c r="AQO1143" s="17"/>
      <c r="AQP1143" s="17"/>
      <c r="AQQ1143" s="17"/>
      <c r="AQR1143" s="17"/>
      <c r="AQS1143" s="17"/>
      <c r="AQT1143" s="17"/>
      <c r="AQU1143" s="17"/>
      <c r="AQV1143" s="17"/>
      <c r="AQW1143" s="17"/>
      <c r="AQX1143" s="17"/>
      <c r="AQY1143" s="17"/>
      <c r="AQZ1143" s="17"/>
      <c r="ARA1143" s="17"/>
      <c r="ARB1143" s="17"/>
      <c r="ARC1143" s="17"/>
      <c r="ARD1143" s="17"/>
      <c r="ARE1143" s="17"/>
      <c r="ARF1143" s="17"/>
      <c r="ARG1143" s="17"/>
      <c r="ARH1143" s="17"/>
      <c r="ARI1143" s="17"/>
      <c r="ARJ1143" s="17"/>
      <c r="ARK1143" s="17"/>
      <c r="ARL1143" s="17"/>
      <c r="ARM1143" s="17"/>
      <c r="ARN1143" s="17"/>
      <c r="ARO1143" s="17"/>
      <c r="ARP1143" s="17"/>
      <c r="ARQ1143" s="17"/>
      <c r="ARR1143" s="17"/>
      <c r="ARS1143" s="17"/>
      <c r="ART1143" s="17"/>
      <c r="ARU1143" s="17"/>
      <c r="ARV1143" s="17"/>
      <c r="ARW1143" s="17"/>
      <c r="ARX1143" s="17"/>
      <c r="ARY1143" s="17"/>
      <c r="ARZ1143" s="17"/>
      <c r="ASA1143" s="17"/>
      <c r="ASB1143" s="17"/>
      <c r="ASC1143" s="17"/>
      <c r="ASD1143" s="17"/>
      <c r="ASE1143" s="17"/>
      <c r="ASF1143" s="17"/>
      <c r="ASG1143" s="17"/>
      <c r="ASH1143" s="17"/>
      <c r="ASI1143" s="17"/>
      <c r="ASJ1143" s="17"/>
      <c r="ASK1143" s="17"/>
      <c r="ASL1143" s="17"/>
      <c r="ASM1143" s="17"/>
      <c r="ASN1143" s="17"/>
      <c r="ASO1143" s="17"/>
      <c r="ASP1143" s="17"/>
      <c r="ASQ1143" s="17"/>
      <c r="ASR1143" s="17"/>
      <c r="ASS1143" s="17"/>
      <c r="AST1143" s="17"/>
      <c r="ASU1143" s="17"/>
      <c r="ASV1143" s="17"/>
      <c r="ASW1143" s="17"/>
      <c r="ASX1143" s="17"/>
      <c r="ASY1143" s="17"/>
      <c r="ASZ1143" s="17"/>
      <c r="ATA1143" s="17"/>
      <c r="ATB1143" s="17"/>
      <c r="ATC1143" s="17"/>
      <c r="ATD1143" s="17"/>
      <c r="ATE1143" s="17"/>
      <c r="ATF1143" s="17"/>
      <c r="ATG1143" s="17"/>
      <c r="ATH1143" s="17"/>
      <c r="ATI1143" s="17"/>
      <c r="ATJ1143" s="17"/>
      <c r="ATK1143" s="17"/>
      <c r="ATL1143" s="17"/>
      <c r="ATM1143" s="17"/>
      <c r="ATN1143" s="17"/>
      <c r="ATO1143" s="17"/>
      <c r="ATP1143" s="17"/>
      <c r="ATQ1143" s="17"/>
      <c r="ATR1143" s="17"/>
      <c r="ATS1143" s="17"/>
      <c r="ATT1143" s="17"/>
      <c r="ATU1143" s="17"/>
      <c r="ATV1143" s="17"/>
      <c r="ATW1143" s="17"/>
      <c r="ATX1143" s="17"/>
      <c r="ATY1143" s="17"/>
      <c r="ATZ1143" s="17"/>
      <c r="AUA1143" s="17"/>
      <c r="AUB1143" s="17"/>
      <c r="AUC1143" s="17"/>
      <c r="AUD1143" s="17"/>
      <c r="AUE1143" s="17"/>
      <c r="AUF1143" s="17"/>
      <c r="AUG1143" s="17"/>
      <c r="AUH1143" s="17"/>
      <c r="AUI1143" s="17"/>
      <c r="AUJ1143" s="17"/>
      <c r="AUK1143" s="17"/>
      <c r="AUL1143" s="17"/>
      <c r="AUM1143" s="17"/>
      <c r="AUN1143" s="17"/>
      <c r="AUO1143" s="17"/>
      <c r="AUP1143" s="17"/>
      <c r="AUQ1143" s="17"/>
      <c r="AUR1143" s="17"/>
      <c r="AUS1143" s="17"/>
      <c r="AUT1143" s="17"/>
      <c r="AUU1143" s="17"/>
      <c r="AUV1143" s="17"/>
      <c r="AUW1143" s="17"/>
      <c r="AUX1143" s="17"/>
      <c r="AUY1143" s="17"/>
      <c r="AUZ1143" s="17"/>
      <c r="AVA1143" s="17"/>
      <c r="AVB1143" s="17"/>
      <c r="AVC1143" s="17"/>
      <c r="AVD1143" s="17"/>
      <c r="AVE1143" s="17"/>
      <c r="AVF1143" s="17"/>
      <c r="AVG1143" s="17"/>
      <c r="AVH1143" s="17"/>
      <c r="AVI1143" s="17"/>
      <c r="AVJ1143" s="17"/>
      <c r="AVK1143" s="17"/>
      <c r="AVL1143" s="17"/>
      <c r="AVM1143" s="17"/>
      <c r="AVN1143" s="17"/>
      <c r="AVO1143" s="17"/>
      <c r="AVP1143" s="17"/>
      <c r="AVQ1143" s="17"/>
      <c r="AVR1143" s="17"/>
      <c r="AVS1143" s="17"/>
      <c r="AVT1143" s="17"/>
      <c r="AVU1143" s="17"/>
      <c r="AVV1143" s="17"/>
      <c r="AVW1143" s="17"/>
      <c r="AVX1143" s="17"/>
      <c r="AVY1143" s="17"/>
      <c r="AVZ1143" s="17"/>
      <c r="AWA1143" s="17"/>
      <c r="AWB1143" s="17"/>
      <c r="AWC1143" s="17"/>
      <c r="AWD1143" s="17"/>
      <c r="AWE1143" s="17"/>
      <c r="AWF1143" s="17"/>
      <c r="AWG1143" s="17"/>
      <c r="AWH1143" s="17"/>
      <c r="AWI1143" s="17"/>
      <c r="AWJ1143" s="17"/>
      <c r="AWK1143" s="17"/>
      <c r="AWL1143" s="17"/>
      <c r="AWM1143" s="17"/>
      <c r="AWN1143" s="17"/>
      <c r="AWO1143" s="17"/>
      <c r="AWP1143" s="17"/>
      <c r="AWQ1143" s="17"/>
      <c r="AWR1143" s="17"/>
      <c r="AWS1143" s="17"/>
      <c r="AWT1143" s="17"/>
      <c r="AWU1143" s="17"/>
      <c r="AWV1143" s="17"/>
      <c r="AWW1143" s="17"/>
      <c r="AWX1143" s="17"/>
      <c r="AWY1143" s="17"/>
      <c r="AWZ1143" s="17"/>
      <c r="AXA1143" s="17"/>
      <c r="AXB1143" s="17"/>
      <c r="AXC1143" s="17"/>
      <c r="AXD1143" s="17"/>
      <c r="AXE1143" s="17"/>
      <c r="AXF1143" s="17"/>
      <c r="AXG1143" s="17"/>
      <c r="AXH1143" s="17"/>
      <c r="AXI1143" s="17"/>
      <c r="AXJ1143" s="17"/>
      <c r="AXK1143" s="17"/>
      <c r="AXL1143" s="17"/>
      <c r="AXM1143" s="17"/>
      <c r="AXN1143" s="17"/>
      <c r="AXO1143" s="17"/>
      <c r="AXP1143" s="17"/>
      <c r="AXQ1143" s="17"/>
      <c r="AXR1143" s="17"/>
      <c r="AXS1143" s="17"/>
      <c r="AXT1143" s="17"/>
      <c r="AXU1143" s="17"/>
      <c r="AXV1143" s="17"/>
      <c r="AXW1143" s="17"/>
      <c r="AXX1143" s="17"/>
      <c r="AXY1143" s="17"/>
      <c r="AXZ1143" s="17"/>
      <c r="AYA1143" s="17"/>
      <c r="AYB1143" s="17"/>
      <c r="AYC1143" s="17"/>
      <c r="AYD1143" s="17"/>
      <c r="AYE1143" s="17"/>
      <c r="AYF1143" s="17"/>
      <c r="AYG1143" s="17"/>
      <c r="AYH1143" s="17"/>
      <c r="AYI1143" s="17"/>
      <c r="AYJ1143" s="17"/>
      <c r="AYK1143" s="17"/>
      <c r="AYL1143" s="17"/>
      <c r="AYM1143" s="17"/>
      <c r="AYN1143" s="17"/>
      <c r="AYO1143" s="17"/>
      <c r="AYP1143" s="17"/>
      <c r="AYQ1143" s="17"/>
      <c r="AYR1143" s="17"/>
      <c r="AYS1143" s="17"/>
      <c r="AYT1143" s="17"/>
      <c r="AYU1143" s="17"/>
      <c r="AYV1143" s="17"/>
      <c r="AYW1143" s="17"/>
      <c r="AYX1143" s="17"/>
      <c r="AYY1143" s="17"/>
      <c r="AYZ1143" s="17"/>
      <c r="AZA1143" s="17"/>
      <c r="AZB1143" s="17"/>
      <c r="AZC1143" s="17"/>
      <c r="AZD1143" s="17"/>
      <c r="AZE1143" s="17"/>
      <c r="AZF1143" s="17"/>
      <c r="AZG1143" s="17"/>
      <c r="AZH1143" s="17"/>
      <c r="AZI1143" s="17"/>
      <c r="AZJ1143" s="17"/>
      <c r="AZK1143" s="17"/>
      <c r="AZL1143" s="17"/>
      <c r="AZM1143" s="17"/>
      <c r="AZN1143" s="17"/>
      <c r="AZO1143" s="17"/>
      <c r="AZP1143" s="17"/>
      <c r="AZQ1143" s="17"/>
      <c r="AZR1143" s="17"/>
      <c r="AZS1143" s="17"/>
      <c r="AZT1143" s="17"/>
      <c r="AZU1143" s="17"/>
      <c r="AZV1143" s="17"/>
      <c r="AZW1143" s="17"/>
      <c r="AZX1143" s="17"/>
      <c r="AZY1143" s="17"/>
      <c r="AZZ1143" s="17"/>
      <c r="BAA1143" s="17"/>
      <c r="BAB1143" s="17"/>
      <c r="BAC1143" s="17"/>
      <c r="BAD1143" s="17"/>
      <c r="BAE1143" s="17"/>
      <c r="BAF1143" s="17"/>
      <c r="BAG1143" s="17"/>
      <c r="BAH1143" s="17"/>
      <c r="BAI1143" s="17"/>
      <c r="BAJ1143" s="17"/>
      <c r="BAK1143" s="17"/>
      <c r="BAL1143" s="17"/>
      <c r="BAM1143" s="17"/>
      <c r="BAN1143" s="17"/>
      <c r="BAO1143" s="17"/>
      <c r="BAP1143" s="17"/>
      <c r="BAQ1143" s="17"/>
      <c r="BAR1143" s="17"/>
      <c r="BAS1143" s="17"/>
      <c r="BAT1143" s="17"/>
      <c r="BAU1143" s="17"/>
      <c r="BAV1143" s="17"/>
      <c r="BAW1143" s="17"/>
      <c r="BAX1143" s="17"/>
      <c r="BAY1143" s="17"/>
      <c r="BAZ1143" s="17"/>
      <c r="BBA1143" s="17"/>
      <c r="BBB1143" s="17"/>
      <c r="BBC1143" s="17"/>
      <c r="BBD1143" s="17"/>
      <c r="BBE1143" s="17"/>
      <c r="BBF1143" s="17"/>
      <c r="BBG1143" s="17"/>
      <c r="BBH1143" s="17"/>
      <c r="BBI1143" s="17"/>
      <c r="BBJ1143" s="17"/>
      <c r="BBK1143" s="17"/>
      <c r="BBL1143" s="17"/>
      <c r="BBM1143" s="17"/>
      <c r="BBN1143" s="17"/>
      <c r="BBO1143" s="17"/>
      <c r="BBP1143" s="17"/>
      <c r="BBQ1143" s="17"/>
      <c r="BBR1143" s="17"/>
      <c r="BBS1143" s="17"/>
      <c r="BBT1143" s="17"/>
      <c r="BBU1143" s="17"/>
      <c r="BBV1143" s="17"/>
      <c r="BBW1143" s="17"/>
      <c r="BBX1143" s="17"/>
      <c r="BBY1143" s="17"/>
      <c r="BBZ1143" s="17"/>
      <c r="BCA1143" s="17"/>
      <c r="BCB1143" s="17"/>
      <c r="BCC1143" s="17"/>
      <c r="BCD1143" s="17"/>
      <c r="BCE1143" s="17"/>
      <c r="BCF1143" s="17"/>
      <c r="BCG1143" s="17"/>
      <c r="BCH1143" s="17"/>
      <c r="BCI1143" s="17"/>
      <c r="BCJ1143" s="17"/>
      <c r="BCK1143" s="17"/>
      <c r="BCL1143" s="17"/>
      <c r="BCM1143" s="17"/>
      <c r="BCN1143" s="17"/>
      <c r="BCO1143" s="17"/>
      <c r="BCP1143" s="17"/>
      <c r="BCQ1143" s="17"/>
      <c r="BCR1143" s="17"/>
      <c r="BCS1143" s="17"/>
      <c r="BCT1143" s="17"/>
      <c r="BCU1143" s="17"/>
      <c r="BCV1143" s="17"/>
      <c r="BCW1143" s="17"/>
      <c r="BCX1143" s="17"/>
      <c r="BCY1143" s="17"/>
      <c r="BCZ1143" s="17"/>
      <c r="BDA1143" s="17"/>
      <c r="BDB1143" s="17"/>
      <c r="BDC1143" s="17"/>
      <c r="BDD1143" s="17"/>
      <c r="BDE1143" s="17"/>
      <c r="BDF1143" s="17"/>
      <c r="BDG1143" s="17"/>
      <c r="BDH1143" s="17"/>
      <c r="BDI1143" s="17"/>
      <c r="BDJ1143" s="17"/>
      <c r="BDK1143" s="17"/>
      <c r="BDL1143" s="17"/>
      <c r="BDM1143" s="17"/>
      <c r="BDN1143" s="17"/>
      <c r="BDO1143" s="17"/>
      <c r="BDP1143" s="17"/>
      <c r="BDQ1143" s="17"/>
      <c r="BDR1143" s="17"/>
      <c r="BDS1143" s="17"/>
      <c r="BDT1143" s="17"/>
      <c r="BDU1143" s="17"/>
      <c r="BDV1143" s="17"/>
      <c r="BDW1143" s="17"/>
      <c r="BDX1143" s="17"/>
      <c r="BDY1143" s="17"/>
      <c r="BDZ1143" s="17"/>
      <c r="BEA1143" s="17"/>
      <c r="BEB1143" s="17"/>
      <c r="BEC1143" s="17"/>
      <c r="BED1143" s="17"/>
      <c r="BEE1143" s="17"/>
      <c r="BEF1143" s="17"/>
      <c r="BEG1143" s="17"/>
      <c r="BEH1143" s="17"/>
      <c r="BEI1143" s="17"/>
      <c r="BEJ1143" s="17"/>
      <c r="BEK1143" s="17"/>
      <c r="BEL1143" s="17"/>
      <c r="BEM1143" s="17"/>
      <c r="BEN1143" s="17"/>
      <c r="BEO1143" s="17"/>
      <c r="BEP1143" s="17"/>
      <c r="BEQ1143" s="17"/>
      <c r="BER1143" s="17"/>
      <c r="BES1143" s="17"/>
      <c r="BET1143" s="17"/>
      <c r="BEU1143" s="17"/>
      <c r="BEV1143" s="17"/>
      <c r="BEW1143" s="17"/>
      <c r="BEX1143" s="17"/>
      <c r="BEY1143" s="17"/>
      <c r="BEZ1143" s="17"/>
      <c r="BFA1143" s="17"/>
      <c r="BFB1143" s="17"/>
      <c r="BFC1143" s="17"/>
      <c r="BFD1143" s="17"/>
      <c r="BFE1143" s="17"/>
      <c r="BFF1143" s="17"/>
      <c r="BFG1143" s="17"/>
      <c r="BFH1143" s="17"/>
      <c r="BFI1143" s="17"/>
      <c r="BFJ1143" s="17"/>
      <c r="BFK1143" s="17"/>
      <c r="BFL1143" s="17"/>
      <c r="BFM1143" s="17"/>
      <c r="BFN1143" s="17"/>
      <c r="BFO1143" s="17"/>
      <c r="BFP1143" s="17"/>
      <c r="BFQ1143" s="17"/>
      <c r="BFR1143" s="17"/>
      <c r="BFS1143" s="17"/>
      <c r="BFT1143" s="17"/>
      <c r="BFU1143" s="17"/>
      <c r="BFV1143" s="17"/>
      <c r="BFW1143" s="17"/>
      <c r="BFX1143" s="17"/>
      <c r="BFY1143" s="17"/>
      <c r="BFZ1143" s="17"/>
      <c r="BGA1143" s="17"/>
      <c r="BGB1143" s="17"/>
      <c r="BGC1143" s="17"/>
      <c r="BGD1143" s="17"/>
      <c r="BGE1143" s="17"/>
      <c r="BGF1143" s="17"/>
      <c r="BGG1143" s="17"/>
      <c r="BGH1143" s="17"/>
      <c r="BGI1143" s="17"/>
      <c r="BGJ1143" s="17"/>
      <c r="BGK1143" s="17"/>
      <c r="BGL1143" s="17"/>
      <c r="BGM1143" s="17"/>
      <c r="BGN1143" s="17"/>
      <c r="BGO1143" s="17"/>
      <c r="BGP1143" s="17"/>
      <c r="BGQ1143" s="17"/>
      <c r="BGR1143" s="17"/>
      <c r="BGS1143" s="17"/>
      <c r="BGT1143" s="17"/>
      <c r="BGU1143" s="17"/>
      <c r="BGV1143" s="17"/>
      <c r="BGW1143" s="17"/>
      <c r="BGX1143" s="17"/>
      <c r="BGY1143" s="17"/>
      <c r="BGZ1143" s="17"/>
      <c r="BHA1143" s="17"/>
      <c r="BHB1143" s="17"/>
      <c r="BHC1143" s="17"/>
      <c r="BHD1143" s="17"/>
      <c r="BHE1143" s="17"/>
      <c r="BHF1143" s="17"/>
      <c r="BHG1143" s="17"/>
      <c r="BHH1143" s="17"/>
      <c r="BHI1143" s="17"/>
      <c r="BHJ1143" s="17"/>
      <c r="BHK1143" s="17"/>
      <c r="BHL1143" s="17"/>
      <c r="BHM1143" s="17"/>
      <c r="BHN1143" s="17"/>
      <c r="BHO1143" s="17"/>
      <c r="BHP1143" s="17"/>
      <c r="BHQ1143" s="17"/>
      <c r="BHR1143" s="17"/>
      <c r="BHS1143" s="17"/>
      <c r="BHT1143" s="17"/>
      <c r="BHU1143" s="17"/>
      <c r="BHV1143" s="17"/>
      <c r="BHW1143" s="17"/>
      <c r="BHX1143" s="17"/>
      <c r="BHY1143" s="17"/>
      <c r="BHZ1143" s="17"/>
      <c r="BIA1143" s="17"/>
      <c r="BIB1143" s="17"/>
      <c r="BIC1143" s="17"/>
      <c r="BID1143" s="17"/>
      <c r="BIE1143" s="17"/>
      <c r="BIF1143" s="17"/>
      <c r="BIG1143" s="17"/>
      <c r="BIH1143" s="17"/>
      <c r="BII1143" s="17"/>
      <c r="BIJ1143" s="17"/>
      <c r="BIK1143" s="17"/>
      <c r="BIL1143" s="17"/>
      <c r="BIM1143" s="17"/>
      <c r="BIN1143" s="17"/>
      <c r="BIO1143" s="17"/>
      <c r="BIP1143" s="17"/>
      <c r="BIQ1143" s="17"/>
      <c r="BIR1143" s="17"/>
      <c r="BIS1143" s="17"/>
      <c r="BIT1143" s="17"/>
      <c r="BIU1143" s="17"/>
      <c r="BIV1143" s="17"/>
      <c r="BIW1143" s="17"/>
      <c r="BIX1143" s="17"/>
      <c r="BIY1143" s="17"/>
      <c r="BIZ1143" s="17"/>
      <c r="BJA1143" s="17"/>
      <c r="BJB1143" s="17"/>
      <c r="BJC1143" s="17"/>
      <c r="BJD1143" s="17"/>
      <c r="BJE1143" s="17"/>
      <c r="BJF1143" s="17"/>
      <c r="BJG1143" s="17"/>
      <c r="BJH1143" s="17"/>
      <c r="BJI1143" s="17"/>
      <c r="BJJ1143" s="17"/>
      <c r="BJK1143" s="17"/>
      <c r="BJL1143" s="17"/>
      <c r="BJM1143" s="17"/>
      <c r="BJN1143" s="17"/>
      <c r="BJO1143" s="17"/>
      <c r="BJP1143" s="17"/>
      <c r="BJQ1143" s="17"/>
      <c r="BJR1143" s="17"/>
      <c r="BJS1143" s="17"/>
      <c r="BJT1143" s="17"/>
      <c r="BJU1143" s="17"/>
      <c r="BJV1143" s="17"/>
      <c r="BJW1143" s="17"/>
      <c r="BJX1143" s="17"/>
      <c r="BJY1143" s="17"/>
      <c r="BJZ1143" s="17"/>
      <c r="BKA1143" s="17"/>
      <c r="BKB1143" s="17"/>
      <c r="BKC1143" s="17"/>
      <c r="BKD1143" s="17"/>
      <c r="BKE1143" s="17"/>
      <c r="BKF1143" s="17"/>
      <c r="BKG1143" s="17"/>
      <c r="BKH1143" s="17"/>
      <c r="BKI1143" s="17"/>
      <c r="BKJ1143" s="17"/>
      <c r="BKK1143" s="17"/>
      <c r="BKL1143" s="17"/>
      <c r="BKM1143" s="17"/>
      <c r="BKN1143" s="17"/>
      <c r="BKO1143" s="17"/>
      <c r="BKP1143" s="17"/>
      <c r="BKQ1143" s="17"/>
      <c r="BKR1143" s="17"/>
      <c r="BKS1143" s="17"/>
      <c r="BKT1143" s="17"/>
      <c r="BKU1143" s="17"/>
      <c r="BKV1143" s="17"/>
      <c r="BKW1143" s="17"/>
      <c r="BKX1143" s="17"/>
      <c r="BKY1143" s="17"/>
      <c r="BKZ1143" s="17"/>
      <c r="BLA1143" s="17"/>
      <c r="BLB1143" s="17"/>
      <c r="BLC1143" s="17"/>
      <c r="BLD1143" s="17"/>
      <c r="BLE1143" s="17"/>
      <c r="BLF1143" s="17"/>
      <c r="BLG1143" s="17"/>
      <c r="BLH1143" s="17"/>
      <c r="BLI1143" s="17"/>
      <c r="BLJ1143" s="17"/>
      <c r="BLK1143" s="17"/>
      <c r="BLL1143" s="17"/>
      <c r="BLM1143" s="17"/>
      <c r="BLN1143" s="17"/>
      <c r="BLO1143" s="17"/>
      <c r="BLP1143" s="17"/>
      <c r="BLQ1143" s="17"/>
      <c r="BLR1143" s="17"/>
      <c r="BLS1143" s="17"/>
      <c r="BLT1143" s="17"/>
      <c r="BLU1143" s="17"/>
      <c r="BLV1143" s="17"/>
      <c r="BLW1143" s="17"/>
      <c r="BLX1143" s="17"/>
      <c r="BLY1143" s="17"/>
      <c r="BLZ1143" s="17"/>
      <c r="BMA1143" s="17"/>
      <c r="BMB1143" s="17"/>
      <c r="BMC1143" s="17"/>
      <c r="BMD1143" s="17"/>
      <c r="BME1143" s="17"/>
      <c r="BMF1143" s="17"/>
      <c r="BMG1143" s="17"/>
      <c r="BMH1143" s="17"/>
      <c r="BMI1143" s="17"/>
      <c r="BMJ1143" s="17"/>
      <c r="BMK1143" s="17"/>
      <c r="BML1143" s="17"/>
      <c r="BMM1143" s="17"/>
      <c r="BMN1143" s="17"/>
      <c r="BMO1143" s="17"/>
      <c r="BMP1143" s="17"/>
      <c r="BMQ1143" s="17"/>
      <c r="BMR1143" s="17"/>
      <c r="BMS1143" s="17"/>
      <c r="BMT1143" s="17"/>
      <c r="BMU1143" s="17"/>
      <c r="BMV1143" s="17"/>
      <c r="BMW1143" s="17"/>
      <c r="BMX1143" s="17"/>
      <c r="BMY1143" s="17"/>
      <c r="BMZ1143" s="17"/>
      <c r="BNA1143" s="17"/>
      <c r="BNB1143" s="17"/>
      <c r="BNC1143" s="17"/>
      <c r="BND1143" s="17"/>
      <c r="BNE1143" s="17"/>
      <c r="BNF1143" s="17"/>
      <c r="BNG1143" s="17"/>
      <c r="BNH1143" s="17"/>
      <c r="BNI1143" s="17"/>
      <c r="BNJ1143" s="17"/>
      <c r="BNK1143" s="17"/>
      <c r="BNL1143" s="17"/>
      <c r="BNM1143" s="17"/>
      <c r="BNN1143" s="17"/>
      <c r="BNO1143" s="17"/>
      <c r="BNP1143" s="17"/>
      <c r="BNQ1143" s="17"/>
      <c r="BNR1143" s="17"/>
      <c r="BNS1143" s="17"/>
      <c r="BNT1143" s="17"/>
      <c r="BNU1143" s="17"/>
      <c r="BNV1143" s="17"/>
      <c r="BNW1143" s="17"/>
      <c r="BNX1143" s="17"/>
      <c r="BNY1143" s="17"/>
      <c r="BNZ1143" s="17"/>
      <c r="BOA1143" s="17"/>
      <c r="BOB1143" s="17"/>
      <c r="BOC1143" s="17"/>
      <c r="BOD1143" s="17"/>
      <c r="BOE1143" s="17"/>
      <c r="BOF1143" s="17"/>
      <c r="BOG1143" s="17"/>
      <c r="BOH1143" s="17"/>
      <c r="BOI1143" s="17"/>
      <c r="BOJ1143" s="17"/>
      <c r="BOK1143" s="17"/>
      <c r="BOL1143" s="17"/>
      <c r="BOM1143" s="17"/>
      <c r="BON1143" s="17"/>
      <c r="BOO1143" s="17"/>
      <c r="BOP1143" s="17"/>
      <c r="BOQ1143" s="17"/>
      <c r="BOR1143" s="17"/>
      <c r="BOS1143" s="17"/>
      <c r="BOT1143" s="17"/>
      <c r="BOU1143" s="17"/>
      <c r="BOV1143" s="17"/>
      <c r="BOW1143" s="17"/>
      <c r="BOX1143" s="17"/>
      <c r="BOY1143" s="17"/>
      <c r="BOZ1143" s="17"/>
      <c r="BPA1143" s="17"/>
      <c r="BPB1143" s="17"/>
      <c r="BPC1143" s="17"/>
      <c r="BPD1143" s="17"/>
      <c r="BPE1143" s="17"/>
      <c r="BPF1143" s="17"/>
      <c r="BPG1143" s="17"/>
      <c r="BPH1143" s="17"/>
      <c r="BPI1143" s="17"/>
      <c r="BPJ1143" s="17"/>
      <c r="BPK1143" s="17"/>
      <c r="BPL1143" s="17"/>
      <c r="BPM1143" s="17"/>
      <c r="BPN1143" s="17"/>
      <c r="BPO1143" s="17"/>
      <c r="BPP1143" s="17"/>
      <c r="BPQ1143" s="17"/>
      <c r="BPR1143" s="17"/>
      <c r="BPS1143" s="17"/>
      <c r="BPT1143" s="17"/>
      <c r="BPU1143" s="17"/>
      <c r="BPV1143" s="17"/>
      <c r="BPW1143" s="17"/>
      <c r="BPX1143" s="17"/>
      <c r="BPY1143" s="17"/>
      <c r="BPZ1143" s="17"/>
      <c r="BQA1143" s="17"/>
      <c r="BQB1143" s="17"/>
      <c r="BQC1143" s="17"/>
      <c r="BQD1143" s="17"/>
      <c r="BQE1143" s="17"/>
      <c r="BQF1143" s="17"/>
      <c r="BQG1143" s="17"/>
      <c r="BQH1143" s="17"/>
      <c r="BQI1143" s="17"/>
      <c r="BQJ1143" s="17"/>
      <c r="BQK1143" s="17"/>
      <c r="BQL1143" s="17"/>
      <c r="BQM1143" s="17"/>
      <c r="BQN1143" s="17"/>
      <c r="BQO1143" s="17"/>
      <c r="BQP1143" s="17"/>
      <c r="BQQ1143" s="17"/>
      <c r="BQR1143" s="17"/>
      <c r="BQS1143" s="17"/>
      <c r="BQT1143" s="17"/>
      <c r="BQU1143" s="17"/>
      <c r="BQV1143" s="17"/>
      <c r="BQW1143" s="17"/>
      <c r="BQX1143" s="17"/>
      <c r="BQY1143" s="17"/>
      <c r="BQZ1143" s="17"/>
      <c r="BRA1143" s="17"/>
      <c r="BRB1143" s="17"/>
      <c r="BRC1143" s="17"/>
      <c r="BRD1143" s="17"/>
      <c r="BRE1143" s="17"/>
      <c r="BRF1143" s="17"/>
      <c r="BRG1143" s="17"/>
      <c r="BRH1143" s="17"/>
      <c r="BRI1143" s="17"/>
      <c r="BRJ1143" s="17"/>
      <c r="BRK1143" s="17"/>
      <c r="BRL1143" s="17"/>
      <c r="BRM1143" s="17"/>
      <c r="BRN1143" s="17"/>
      <c r="BRO1143" s="17"/>
      <c r="BRP1143" s="17"/>
      <c r="BRQ1143" s="17"/>
      <c r="BRR1143" s="17"/>
      <c r="BRS1143" s="17"/>
      <c r="BRT1143" s="17"/>
      <c r="BRU1143" s="17"/>
      <c r="BRV1143" s="17"/>
      <c r="BRW1143" s="17"/>
      <c r="BRX1143" s="17"/>
      <c r="BRY1143" s="17"/>
      <c r="BRZ1143" s="17"/>
      <c r="BSA1143" s="17"/>
      <c r="BSB1143" s="17"/>
      <c r="BSC1143" s="17"/>
      <c r="BSD1143" s="17"/>
      <c r="BSE1143" s="17"/>
      <c r="BSF1143" s="17"/>
      <c r="BSG1143" s="17"/>
      <c r="BSH1143" s="17"/>
      <c r="BSI1143" s="17"/>
      <c r="BSJ1143" s="17"/>
      <c r="BSK1143" s="17"/>
      <c r="BSL1143" s="17"/>
      <c r="BSM1143" s="17"/>
      <c r="BSN1143" s="17"/>
      <c r="BSO1143" s="17"/>
      <c r="BSP1143" s="17"/>
      <c r="BSQ1143" s="17"/>
      <c r="BSR1143" s="17"/>
      <c r="BSS1143" s="17"/>
      <c r="BST1143" s="17"/>
      <c r="BSU1143" s="17"/>
      <c r="BSV1143" s="17"/>
      <c r="BSW1143" s="17"/>
      <c r="BSX1143" s="17"/>
      <c r="BSY1143" s="17"/>
      <c r="BSZ1143" s="17"/>
      <c r="BTA1143" s="17"/>
      <c r="BTB1143" s="17"/>
      <c r="BTC1143" s="17"/>
      <c r="BTD1143" s="17"/>
      <c r="BTE1143" s="17"/>
      <c r="BTF1143" s="17"/>
      <c r="BTG1143" s="17"/>
      <c r="BTH1143" s="17"/>
      <c r="BTI1143" s="17"/>
      <c r="BTJ1143" s="17"/>
      <c r="BTK1143" s="17"/>
      <c r="BTL1143" s="17"/>
      <c r="BTM1143" s="17"/>
      <c r="BTN1143" s="17"/>
      <c r="BTO1143" s="17"/>
      <c r="BTP1143" s="17"/>
      <c r="BTQ1143" s="17"/>
      <c r="BTR1143" s="17"/>
      <c r="BTS1143" s="17"/>
      <c r="BTT1143" s="17"/>
      <c r="BTU1143" s="17"/>
      <c r="BTV1143" s="17"/>
      <c r="BTW1143" s="17"/>
      <c r="BTX1143" s="17"/>
      <c r="BTY1143" s="17"/>
      <c r="BTZ1143" s="17"/>
      <c r="BUA1143" s="17"/>
      <c r="BUB1143" s="17"/>
      <c r="BUC1143" s="17"/>
      <c r="BUD1143" s="17"/>
      <c r="BUE1143" s="17"/>
      <c r="BUF1143" s="17"/>
      <c r="BUG1143" s="17"/>
      <c r="BUH1143" s="17"/>
      <c r="BUI1143" s="17"/>
      <c r="BUJ1143" s="17"/>
      <c r="BUK1143" s="17"/>
      <c r="BUL1143" s="17"/>
      <c r="BUM1143" s="17"/>
      <c r="BUN1143" s="17"/>
      <c r="BUO1143" s="17"/>
      <c r="BUP1143" s="17"/>
      <c r="BUQ1143" s="17"/>
      <c r="BUR1143" s="17"/>
      <c r="BUS1143" s="17"/>
      <c r="BUT1143" s="17"/>
      <c r="BUU1143" s="17"/>
      <c r="BUV1143" s="17"/>
      <c r="BUW1143" s="17"/>
      <c r="BUX1143" s="17"/>
      <c r="BUY1143" s="17"/>
      <c r="BUZ1143" s="17"/>
      <c r="BVA1143" s="17"/>
      <c r="BVB1143" s="17"/>
      <c r="BVC1143" s="17"/>
      <c r="BVD1143" s="17"/>
      <c r="BVE1143" s="17"/>
      <c r="BVF1143" s="17"/>
      <c r="BVG1143" s="17"/>
      <c r="BVH1143" s="17"/>
      <c r="BVI1143" s="17"/>
      <c r="BVJ1143" s="17"/>
      <c r="BVK1143" s="17"/>
      <c r="BVL1143" s="17"/>
      <c r="BVM1143" s="17"/>
      <c r="BVN1143" s="17"/>
      <c r="BVO1143" s="17"/>
      <c r="BVP1143" s="17"/>
      <c r="BVQ1143" s="17"/>
      <c r="BVR1143" s="17"/>
      <c r="BVS1143" s="17"/>
      <c r="BVT1143" s="17"/>
      <c r="BVU1143" s="17"/>
      <c r="BVV1143" s="17"/>
      <c r="BVW1143" s="17"/>
      <c r="BVX1143" s="17"/>
      <c r="BVY1143" s="17"/>
      <c r="BVZ1143" s="17"/>
      <c r="BWA1143" s="17"/>
      <c r="BWB1143" s="17"/>
      <c r="BWC1143" s="17"/>
      <c r="BWD1143" s="17"/>
      <c r="BWE1143" s="17"/>
      <c r="BWF1143" s="17"/>
      <c r="BWG1143" s="17"/>
      <c r="BWH1143" s="17"/>
      <c r="BWI1143" s="17"/>
      <c r="BWJ1143" s="17"/>
      <c r="BWK1143" s="17"/>
      <c r="BWL1143" s="17"/>
      <c r="BWM1143" s="17"/>
      <c r="BWN1143" s="17"/>
      <c r="BWO1143" s="17"/>
      <c r="BWP1143" s="17"/>
      <c r="BWQ1143" s="17"/>
      <c r="BWR1143" s="17"/>
      <c r="BWS1143" s="17"/>
      <c r="BWT1143" s="17"/>
      <c r="BWU1143" s="17"/>
      <c r="BWV1143" s="17"/>
      <c r="BWW1143" s="17"/>
      <c r="BWX1143" s="17"/>
      <c r="BWY1143" s="17"/>
      <c r="BWZ1143" s="17"/>
      <c r="BXA1143" s="17"/>
      <c r="BXB1143" s="17"/>
      <c r="BXC1143" s="17"/>
      <c r="BXD1143" s="17"/>
      <c r="BXE1143" s="17"/>
      <c r="BXF1143" s="17"/>
      <c r="BXG1143" s="17"/>
      <c r="BXH1143" s="17"/>
      <c r="BXI1143" s="17"/>
      <c r="BXJ1143" s="17"/>
      <c r="BXK1143" s="17"/>
      <c r="BXL1143" s="17"/>
      <c r="BXM1143" s="17"/>
      <c r="BXN1143" s="17"/>
      <c r="BXO1143" s="17"/>
      <c r="BXP1143" s="17"/>
      <c r="BXQ1143" s="17"/>
      <c r="BXR1143" s="17"/>
      <c r="BXS1143" s="17"/>
      <c r="BXT1143" s="17"/>
      <c r="BXU1143" s="17"/>
      <c r="BXV1143" s="17"/>
      <c r="BXW1143" s="17"/>
      <c r="BXX1143" s="17"/>
      <c r="BXY1143" s="17"/>
      <c r="BXZ1143" s="17"/>
      <c r="BYA1143" s="17"/>
      <c r="BYB1143" s="17"/>
      <c r="BYC1143" s="17"/>
      <c r="BYD1143" s="17"/>
      <c r="BYE1143" s="17"/>
      <c r="BYF1143" s="17"/>
      <c r="BYG1143" s="17"/>
      <c r="BYH1143" s="17"/>
      <c r="BYI1143" s="17"/>
      <c r="BYJ1143" s="17"/>
      <c r="BYK1143" s="17"/>
      <c r="BYL1143" s="17"/>
      <c r="BYM1143" s="17"/>
      <c r="BYN1143" s="17"/>
      <c r="BYO1143" s="17"/>
      <c r="BYP1143" s="17"/>
      <c r="BYQ1143" s="17"/>
      <c r="BYR1143" s="17"/>
      <c r="BYS1143" s="17"/>
      <c r="BYT1143" s="17"/>
      <c r="BYU1143" s="17"/>
      <c r="BYV1143" s="17"/>
      <c r="BYW1143" s="17"/>
      <c r="BYX1143" s="17"/>
      <c r="BYY1143" s="17"/>
      <c r="BYZ1143" s="17"/>
      <c r="BZA1143" s="17"/>
      <c r="BZB1143" s="17"/>
      <c r="BZC1143" s="17"/>
      <c r="BZD1143" s="17"/>
      <c r="BZE1143" s="17"/>
      <c r="BZF1143" s="17"/>
      <c r="BZG1143" s="17"/>
      <c r="BZH1143" s="17"/>
      <c r="BZI1143" s="17"/>
      <c r="BZJ1143" s="17"/>
      <c r="BZK1143" s="17"/>
      <c r="BZL1143" s="17"/>
      <c r="BZM1143" s="17"/>
      <c r="BZN1143" s="17"/>
      <c r="BZO1143" s="17"/>
      <c r="BZP1143" s="17"/>
      <c r="BZQ1143" s="17"/>
      <c r="BZR1143" s="17"/>
      <c r="BZS1143" s="17"/>
      <c r="BZT1143" s="17"/>
      <c r="BZU1143" s="17"/>
      <c r="BZV1143" s="17"/>
      <c r="BZW1143" s="17"/>
      <c r="BZX1143" s="17"/>
      <c r="BZY1143" s="17"/>
      <c r="BZZ1143" s="17"/>
      <c r="CAA1143" s="17"/>
      <c r="CAB1143" s="17"/>
      <c r="CAC1143" s="17"/>
      <c r="CAD1143" s="17"/>
      <c r="CAE1143" s="17"/>
      <c r="CAF1143" s="17"/>
      <c r="CAG1143" s="17"/>
      <c r="CAH1143" s="17"/>
      <c r="CAI1143" s="17"/>
      <c r="CAJ1143" s="17"/>
      <c r="CAK1143" s="17"/>
      <c r="CAL1143" s="17"/>
      <c r="CAM1143" s="17"/>
      <c r="CAN1143" s="17"/>
      <c r="CAO1143" s="17"/>
      <c r="CAP1143" s="17"/>
      <c r="CAQ1143" s="17"/>
      <c r="CAR1143" s="17"/>
      <c r="CAS1143" s="17"/>
      <c r="CAT1143" s="17"/>
      <c r="CAU1143" s="17"/>
      <c r="CAV1143" s="17"/>
      <c r="CAW1143" s="17"/>
      <c r="CAX1143" s="17"/>
      <c r="CAY1143" s="17"/>
      <c r="CAZ1143" s="17"/>
      <c r="CBA1143" s="17"/>
      <c r="CBB1143" s="17"/>
      <c r="CBC1143" s="17"/>
      <c r="CBD1143" s="17"/>
      <c r="CBE1143" s="17"/>
      <c r="CBF1143" s="17"/>
      <c r="CBG1143" s="17"/>
      <c r="CBH1143" s="17"/>
      <c r="CBI1143" s="17"/>
      <c r="CBJ1143" s="17"/>
      <c r="CBK1143" s="17"/>
      <c r="CBL1143" s="17"/>
      <c r="CBM1143" s="17"/>
      <c r="CBN1143" s="17"/>
      <c r="CBO1143" s="17"/>
      <c r="CBP1143" s="17"/>
      <c r="CBQ1143" s="17"/>
      <c r="CBR1143" s="17"/>
      <c r="CBS1143" s="17"/>
      <c r="CBT1143" s="17"/>
      <c r="CBU1143" s="17"/>
      <c r="CBV1143" s="17"/>
      <c r="CBW1143" s="17"/>
      <c r="CBX1143" s="17"/>
      <c r="CBY1143" s="17"/>
      <c r="CBZ1143" s="17"/>
      <c r="CCA1143" s="17"/>
      <c r="CCB1143" s="17"/>
      <c r="CCC1143" s="17"/>
      <c r="CCD1143" s="17"/>
      <c r="CCE1143" s="17"/>
      <c r="CCF1143" s="17"/>
      <c r="CCG1143" s="17"/>
      <c r="CCH1143" s="17"/>
      <c r="CCI1143" s="17"/>
      <c r="CCJ1143" s="17"/>
      <c r="CCK1143" s="17"/>
      <c r="CCL1143" s="17"/>
      <c r="CCM1143" s="17"/>
      <c r="CCN1143" s="17"/>
      <c r="CCO1143" s="17"/>
      <c r="CCP1143" s="17"/>
      <c r="CCQ1143" s="17"/>
      <c r="CCR1143" s="17"/>
      <c r="CCS1143" s="17"/>
      <c r="CCT1143" s="17"/>
      <c r="CCU1143" s="17"/>
      <c r="CCV1143" s="17"/>
      <c r="CCW1143" s="17"/>
      <c r="CCX1143" s="17"/>
      <c r="CCY1143" s="17"/>
      <c r="CCZ1143" s="17"/>
      <c r="CDA1143" s="17"/>
      <c r="CDB1143" s="17"/>
      <c r="CDC1143" s="17"/>
      <c r="CDD1143" s="17"/>
      <c r="CDE1143" s="17"/>
      <c r="CDF1143" s="17"/>
      <c r="CDG1143" s="17"/>
      <c r="CDH1143" s="17"/>
      <c r="CDI1143" s="17"/>
      <c r="CDJ1143" s="17"/>
      <c r="CDK1143" s="17"/>
      <c r="CDL1143" s="17"/>
      <c r="CDM1143" s="17"/>
      <c r="CDN1143" s="17"/>
      <c r="CDO1143" s="17"/>
      <c r="CDP1143" s="17"/>
      <c r="CDQ1143" s="17"/>
      <c r="CDR1143" s="17"/>
      <c r="CDS1143" s="17"/>
      <c r="CDT1143" s="17"/>
      <c r="CDU1143" s="17"/>
      <c r="CDV1143" s="17"/>
      <c r="CDW1143" s="17"/>
      <c r="CDX1143" s="17"/>
      <c r="CDY1143" s="17"/>
      <c r="CDZ1143" s="17"/>
      <c r="CEA1143" s="17"/>
      <c r="CEB1143" s="17"/>
      <c r="CEC1143" s="17"/>
      <c r="CED1143" s="17"/>
      <c r="CEE1143" s="17"/>
      <c r="CEF1143" s="17"/>
      <c r="CEG1143" s="17"/>
      <c r="CEH1143" s="17"/>
      <c r="CEI1143" s="17"/>
      <c r="CEJ1143" s="17"/>
      <c r="CEK1143" s="17"/>
      <c r="CEL1143" s="17"/>
      <c r="CEM1143" s="17"/>
      <c r="CEN1143" s="17"/>
      <c r="CEO1143" s="17"/>
      <c r="CEP1143" s="17"/>
      <c r="CEQ1143" s="17"/>
      <c r="CER1143" s="17"/>
      <c r="CES1143" s="17"/>
      <c r="CET1143" s="17"/>
      <c r="CEU1143" s="17"/>
      <c r="CEV1143" s="17"/>
      <c r="CEW1143" s="17"/>
      <c r="CEX1143" s="17"/>
      <c r="CEY1143" s="17"/>
      <c r="CEZ1143" s="17"/>
      <c r="CFA1143" s="17"/>
      <c r="CFB1143" s="17"/>
      <c r="CFC1143" s="17"/>
      <c r="CFD1143" s="17"/>
      <c r="CFE1143" s="17"/>
      <c r="CFF1143" s="17"/>
      <c r="CFG1143" s="17"/>
      <c r="CFH1143" s="17"/>
      <c r="CFI1143" s="17"/>
      <c r="CFJ1143" s="17"/>
      <c r="CFK1143" s="17"/>
      <c r="CFL1143" s="17"/>
      <c r="CFM1143" s="17"/>
      <c r="CFN1143" s="17"/>
      <c r="CFO1143" s="17"/>
      <c r="CFP1143" s="17"/>
      <c r="CFQ1143" s="17"/>
      <c r="CFR1143" s="17"/>
      <c r="CFS1143" s="17"/>
      <c r="CFT1143" s="17"/>
      <c r="CFU1143" s="17"/>
      <c r="CFV1143" s="17"/>
      <c r="CFW1143" s="17"/>
      <c r="CFX1143" s="17"/>
      <c r="CFY1143" s="17"/>
      <c r="CFZ1143" s="17"/>
      <c r="CGA1143" s="17"/>
      <c r="CGB1143" s="17"/>
      <c r="CGC1143" s="17"/>
      <c r="CGD1143" s="17"/>
      <c r="CGE1143" s="17"/>
      <c r="CGF1143" s="17"/>
      <c r="CGG1143" s="17"/>
      <c r="CGH1143" s="17"/>
      <c r="CGI1143" s="17"/>
      <c r="CGJ1143" s="17"/>
      <c r="CGK1143" s="17"/>
      <c r="CGL1143" s="17"/>
      <c r="CGM1143" s="17"/>
      <c r="CGN1143" s="17"/>
      <c r="CGO1143" s="17"/>
      <c r="CGP1143" s="17"/>
      <c r="CGQ1143" s="17"/>
      <c r="CGR1143" s="17"/>
      <c r="CGS1143" s="17"/>
      <c r="CGT1143" s="17"/>
      <c r="CGU1143" s="17"/>
      <c r="CGV1143" s="17"/>
      <c r="CGW1143" s="17"/>
      <c r="CGX1143" s="17"/>
      <c r="CGY1143" s="17"/>
      <c r="CGZ1143" s="17"/>
      <c r="CHA1143" s="17"/>
      <c r="CHB1143" s="17"/>
      <c r="CHC1143" s="17"/>
      <c r="CHD1143" s="17"/>
      <c r="CHE1143" s="17"/>
      <c r="CHF1143" s="17"/>
      <c r="CHG1143" s="17"/>
      <c r="CHH1143" s="17"/>
      <c r="CHI1143" s="17"/>
      <c r="CHJ1143" s="17"/>
      <c r="CHK1143" s="17"/>
      <c r="CHL1143" s="17"/>
      <c r="CHM1143" s="17"/>
      <c r="CHN1143" s="17"/>
      <c r="CHO1143" s="17"/>
      <c r="CHP1143" s="17"/>
      <c r="CHQ1143" s="17"/>
      <c r="CHR1143" s="17"/>
      <c r="CHS1143" s="17"/>
      <c r="CHT1143" s="17"/>
      <c r="CHU1143" s="17"/>
      <c r="CHV1143" s="17"/>
      <c r="CHW1143" s="17"/>
      <c r="CHX1143" s="17"/>
      <c r="CHY1143" s="17"/>
      <c r="CHZ1143" s="17"/>
      <c r="CIA1143" s="17"/>
      <c r="CIB1143" s="17"/>
      <c r="CIC1143" s="17"/>
      <c r="CID1143" s="17"/>
      <c r="CIE1143" s="17"/>
      <c r="CIF1143" s="17"/>
      <c r="CIG1143" s="17"/>
      <c r="CIH1143" s="17"/>
      <c r="CII1143" s="17"/>
      <c r="CIJ1143" s="17"/>
      <c r="CIK1143" s="17"/>
      <c r="CIL1143" s="17"/>
      <c r="CIM1143" s="17"/>
      <c r="CIN1143" s="17"/>
      <c r="CIO1143" s="17"/>
      <c r="CIP1143" s="17"/>
      <c r="CIQ1143" s="17"/>
      <c r="CIR1143" s="17"/>
      <c r="CIS1143" s="17"/>
      <c r="CIT1143" s="17"/>
      <c r="CIU1143" s="17"/>
      <c r="CIV1143" s="17"/>
      <c r="CIW1143" s="17"/>
      <c r="CIX1143" s="17"/>
      <c r="CIY1143" s="17"/>
      <c r="CIZ1143" s="17"/>
      <c r="CJA1143" s="17"/>
      <c r="CJB1143" s="17"/>
      <c r="CJC1143" s="17"/>
      <c r="CJD1143" s="17"/>
      <c r="CJE1143" s="17"/>
      <c r="CJF1143" s="17"/>
      <c r="CJG1143" s="17"/>
      <c r="CJH1143" s="17"/>
      <c r="CJI1143" s="17"/>
      <c r="CJJ1143" s="17"/>
      <c r="CJK1143" s="17"/>
      <c r="CJL1143" s="17"/>
      <c r="CJM1143" s="17"/>
      <c r="CJN1143" s="17"/>
      <c r="CJO1143" s="17"/>
      <c r="CJP1143" s="17"/>
      <c r="CJQ1143" s="17"/>
      <c r="CJR1143" s="17"/>
      <c r="CJS1143" s="17"/>
      <c r="CJT1143" s="17"/>
      <c r="CJU1143" s="17"/>
      <c r="CJV1143" s="17"/>
      <c r="CJW1143" s="17"/>
      <c r="CJX1143" s="17"/>
      <c r="CJY1143" s="17"/>
      <c r="CJZ1143" s="17"/>
      <c r="CKA1143" s="17"/>
      <c r="CKB1143" s="17"/>
      <c r="CKC1143" s="17"/>
      <c r="CKD1143" s="17"/>
      <c r="CKE1143" s="17"/>
      <c r="CKF1143" s="17"/>
      <c r="CKG1143" s="17"/>
      <c r="CKH1143" s="17"/>
      <c r="CKI1143" s="17"/>
      <c r="CKJ1143" s="17"/>
      <c r="CKK1143" s="17"/>
      <c r="CKL1143" s="17"/>
      <c r="CKM1143" s="17"/>
      <c r="CKN1143" s="17"/>
      <c r="CKO1143" s="17"/>
      <c r="CKP1143" s="17"/>
      <c r="CKQ1143" s="17"/>
      <c r="CKR1143" s="17"/>
      <c r="CKS1143" s="17"/>
      <c r="CKT1143" s="17"/>
      <c r="CKU1143" s="17"/>
      <c r="CKV1143" s="17"/>
      <c r="CKW1143" s="17"/>
      <c r="CKX1143" s="17"/>
      <c r="CKY1143" s="17"/>
      <c r="CKZ1143" s="17"/>
      <c r="CLA1143" s="17"/>
      <c r="CLB1143" s="17"/>
      <c r="CLC1143" s="17"/>
      <c r="CLD1143" s="17"/>
      <c r="CLE1143" s="17"/>
      <c r="CLF1143" s="17"/>
      <c r="CLG1143" s="17"/>
      <c r="CLH1143" s="17"/>
      <c r="CLI1143" s="17"/>
      <c r="CLJ1143" s="17"/>
      <c r="CLK1143" s="17"/>
      <c r="CLL1143" s="17"/>
      <c r="CLM1143" s="17"/>
      <c r="CLN1143" s="17"/>
      <c r="CLO1143" s="17"/>
      <c r="CLP1143" s="17"/>
      <c r="CLQ1143" s="17"/>
      <c r="CLR1143" s="17"/>
      <c r="CLS1143" s="17"/>
      <c r="CLT1143" s="17"/>
      <c r="CLU1143" s="17"/>
      <c r="CLV1143" s="17"/>
      <c r="CLW1143" s="17"/>
      <c r="CLX1143" s="17"/>
      <c r="CLY1143" s="17"/>
      <c r="CLZ1143" s="17"/>
      <c r="CMA1143" s="17"/>
      <c r="CMB1143" s="17"/>
      <c r="CMC1143" s="17"/>
      <c r="CMD1143" s="17"/>
      <c r="CME1143" s="17"/>
      <c r="CMF1143" s="17"/>
      <c r="CMG1143" s="17"/>
      <c r="CMH1143" s="17"/>
      <c r="CMI1143" s="17"/>
      <c r="CMJ1143" s="17"/>
      <c r="CMK1143" s="17"/>
      <c r="CML1143" s="17"/>
      <c r="CMM1143" s="17"/>
      <c r="CMN1143" s="17"/>
      <c r="CMO1143" s="17"/>
      <c r="CMP1143" s="17"/>
      <c r="CMQ1143" s="17"/>
      <c r="CMR1143" s="17"/>
      <c r="CMS1143" s="17"/>
      <c r="CMT1143" s="17"/>
      <c r="CMU1143" s="17"/>
      <c r="CMV1143" s="17"/>
      <c r="CMW1143" s="17"/>
      <c r="CMX1143" s="17"/>
      <c r="CMY1143" s="17"/>
      <c r="CMZ1143" s="17"/>
      <c r="CNA1143" s="17"/>
      <c r="CNB1143" s="17"/>
      <c r="CNC1143" s="17"/>
      <c r="CND1143" s="17"/>
      <c r="CNE1143" s="17"/>
      <c r="CNF1143" s="17"/>
      <c r="CNG1143" s="17"/>
      <c r="CNH1143" s="17"/>
      <c r="CNI1143" s="17"/>
      <c r="CNJ1143" s="17"/>
      <c r="CNK1143" s="17"/>
      <c r="CNL1143" s="17"/>
      <c r="CNM1143" s="17"/>
      <c r="CNN1143" s="17"/>
      <c r="CNO1143" s="17"/>
      <c r="CNP1143" s="17"/>
      <c r="CNQ1143" s="17"/>
      <c r="CNR1143" s="17"/>
      <c r="CNS1143" s="17"/>
      <c r="CNT1143" s="17"/>
      <c r="CNU1143" s="17"/>
      <c r="CNV1143" s="17"/>
      <c r="CNW1143" s="17"/>
      <c r="CNX1143" s="17"/>
      <c r="CNY1143" s="17"/>
      <c r="CNZ1143" s="17"/>
      <c r="COA1143" s="17"/>
      <c r="COB1143" s="17"/>
      <c r="COC1143" s="17"/>
      <c r="COD1143" s="17"/>
      <c r="COE1143" s="17"/>
      <c r="COF1143" s="17"/>
      <c r="COG1143" s="17"/>
      <c r="COH1143" s="17"/>
      <c r="COI1143" s="17"/>
      <c r="COJ1143" s="17"/>
      <c r="COK1143" s="17"/>
      <c r="COL1143" s="17"/>
      <c r="COM1143" s="17"/>
      <c r="CON1143" s="17"/>
      <c r="COO1143" s="17"/>
      <c r="COP1143" s="17"/>
      <c r="COQ1143" s="17"/>
      <c r="COR1143" s="17"/>
      <c r="COS1143" s="17"/>
      <c r="COT1143" s="17"/>
      <c r="COU1143" s="17"/>
      <c r="COV1143" s="17"/>
      <c r="COW1143" s="17"/>
      <c r="COX1143" s="17"/>
      <c r="COY1143" s="17"/>
      <c r="COZ1143" s="17"/>
      <c r="CPA1143" s="17"/>
      <c r="CPB1143" s="17"/>
      <c r="CPC1143" s="17"/>
      <c r="CPD1143" s="17"/>
      <c r="CPE1143" s="17"/>
      <c r="CPF1143" s="17"/>
      <c r="CPG1143" s="17"/>
      <c r="CPH1143" s="17"/>
      <c r="CPI1143" s="17"/>
      <c r="CPJ1143" s="17"/>
      <c r="CPK1143" s="17"/>
      <c r="CPL1143" s="17"/>
      <c r="CPM1143" s="17"/>
      <c r="CPN1143" s="17"/>
      <c r="CPO1143" s="17"/>
      <c r="CPP1143" s="17"/>
      <c r="CPQ1143" s="17"/>
      <c r="CPR1143" s="17"/>
      <c r="CPS1143" s="17"/>
      <c r="CPT1143" s="17"/>
      <c r="CPU1143" s="17"/>
      <c r="CPV1143" s="17"/>
      <c r="CPW1143" s="17"/>
      <c r="CPX1143" s="17"/>
      <c r="CPY1143" s="17"/>
      <c r="CPZ1143" s="17"/>
      <c r="CQA1143" s="17"/>
      <c r="CQB1143" s="17"/>
      <c r="CQC1143" s="17"/>
      <c r="CQD1143" s="17"/>
      <c r="CQE1143" s="17"/>
      <c r="CQF1143" s="17"/>
      <c r="CQG1143" s="17"/>
      <c r="CQH1143" s="17"/>
      <c r="CQI1143" s="17"/>
      <c r="CQJ1143" s="17"/>
      <c r="CQK1143" s="17"/>
      <c r="CQL1143" s="17"/>
      <c r="CQM1143" s="17"/>
      <c r="CQN1143" s="17"/>
      <c r="CQO1143" s="17"/>
      <c r="CQP1143" s="17"/>
      <c r="CQQ1143" s="17"/>
      <c r="CQR1143" s="17"/>
      <c r="CQS1143" s="17"/>
      <c r="CQT1143" s="17"/>
      <c r="CQU1143" s="17"/>
      <c r="CQV1143" s="17"/>
      <c r="CQW1143" s="17"/>
      <c r="CQX1143" s="17"/>
      <c r="CQY1143" s="17"/>
      <c r="CQZ1143" s="17"/>
      <c r="CRA1143" s="17"/>
      <c r="CRB1143" s="17"/>
      <c r="CRC1143" s="17"/>
      <c r="CRD1143" s="17"/>
      <c r="CRE1143" s="17"/>
      <c r="CRF1143" s="17"/>
      <c r="CRG1143" s="17"/>
      <c r="CRH1143" s="17"/>
      <c r="CRI1143" s="17"/>
      <c r="CRJ1143" s="17"/>
      <c r="CRK1143" s="17"/>
      <c r="CRL1143" s="17"/>
      <c r="CRM1143" s="17"/>
      <c r="CRN1143" s="17"/>
      <c r="CRO1143" s="17"/>
      <c r="CRP1143" s="17"/>
      <c r="CRQ1143" s="17"/>
      <c r="CRR1143" s="17"/>
      <c r="CRS1143" s="17"/>
      <c r="CRT1143" s="17"/>
      <c r="CRU1143" s="17"/>
      <c r="CRV1143" s="17"/>
      <c r="CRW1143" s="17"/>
      <c r="CRX1143" s="17"/>
      <c r="CRY1143" s="17"/>
      <c r="CRZ1143" s="17"/>
      <c r="CSA1143" s="17"/>
      <c r="CSB1143" s="17"/>
      <c r="CSC1143" s="17"/>
      <c r="CSD1143" s="17"/>
      <c r="CSE1143" s="17"/>
      <c r="CSF1143" s="17"/>
      <c r="CSG1143" s="17"/>
      <c r="CSH1143" s="17"/>
      <c r="CSI1143" s="17"/>
      <c r="CSJ1143" s="17"/>
      <c r="CSK1143" s="17"/>
      <c r="CSL1143" s="17"/>
      <c r="CSM1143" s="17"/>
      <c r="CSN1143" s="17"/>
      <c r="CSO1143" s="17"/>
      <c r="CSP1143" s="17"/>
      <c r="CSQ1143" s="17"/>
      <c r="CSR1143" s="17"/>
      <c r="CSS1143" s="17"/>
      <c r="CST1143" s="17"/>
      <c r="CSU1143" s="17"/>
      <c r="CSV1143" s="17"/>
      <c r="CSW1143" s="17"/>
      <c r="CSX1143" s="17"/>
      <c r="CSY1143" s="17"/>
      <c r="CSZ1143" s="17"/>
      <c r="CTA1143" s="17"/>
      <c r="CTB1143" s="17"/>
      <c r="CTC1143" s="17"/>
      <c r="CTD1143" s="17"/>
      <c r="CTE1143" s="17"/>
      <c r="CTF1143" s="17"/>
      <c r="CTG1143" s="17"/>
      <c r="CTH1143" s="17"/>
      <c r="CTI1143" s="17"/>
      <c r="CTJ1143" s="17"/>
      <c r="CTK1143" s="17"/>
      <c r="CTL1143" s="17"/>
      <c r="CTM1143" s="17"/>
      <c r="CTN1143" s="17"/>
      <c r="CTO1143" s="17"/>
      <c r="CTP1143" s="17"/>
      <c r="CTQ1143" s="17"/>
      <c r="CTR1143" s="17"/>
      <c r="CTS1143" s="17"/>
      <c r="CTT1143" s="17"/>
      <c r="CTU1143" s="17"/>
      <c r="CTV1143" s="17"/>
      <c r="CTW1143" s="17"/>
      <c r="CTX1143" s="17"/>
      <c r="CTY1143" s="17"/>
      <c r="CTZ1143" s="17"/>
      <c r="CUA1143" s="17"/>
      <c r="CUB1143" s="17"/>
      <c r="CUC1143" s="17"/>
      <c r="CUD1143" s="17"/>
      <c r="CUE1143" s="17"/>
      <c r="CUF1143" s="17"/>
      <c r="CUG1143" s="17"/>
      <c r="CUH1143" s="17"/>
      <c r="CUI1143" s="17"/>
      <c r="CUJ1143" s="17"/>
      <c r="CUK1143" s="17"/>
      <c r="CUL1143" s="17"/>
      <c r="CUM1143" s="17"/>
      <c r="CUN1143" s="17"/>
      <c r="CUO1143" s="17"/>
      <c r="CUP1143" s="17"/>
      <c r="CUQ1143" s="17"/>
      <c r="CUR1143" s="17"/>
      <c r="CUS1143" s="17"/>
      <c r="CUT1143" s="17"/>
      <c r="CUU1143" s="17"/>
      <c r="CUV1143" s="17"/>
      <c r="CUW1143" s="17"/>
      <c r="CUX1143" s="17"/>
      <c r="CUY1143" s="17"/>
      <c r="CUZ1143" s="17"/>
      <c r="CVA1143" s="17"/>
      <c r="CVB1143" s="17"/>
      <c r="CVC1143" s="17"/>
      <c r="CVD1143" s="17"/>
      <c r="CVE1143" s="17"/>
      <c r="CVF1143" s="17"/>
      <c r="CVG1143" s="17"/>
      <c r="CVH1143" s="17"/>
      <c r="CVI1143" s="17"/>
      <c r="CVJ1143" s="17"/>
      <c r="CVK1143" s="17"/>
      <c r="CVL1143" s="17"/>
      <c r="CVM1143" s="17"/>
      <c r="CVN1143" s="17"/>
      <c r="CVO1143" s="17"/>
      <c r="CVP1143" s="17"/>
      <c r="CVQ1143" s="17"/>
      <c r="CVR1143" s="17"/>
      <c r="CVS1143" s="17"/>
      <c r="CVT1143" s="17"/>
      <c r="CVU1143" s="17"/>
      <c r="CVV1143" s="17"/>
      <c r="CVW1143" s="17"/>
      <c r="CVX1143" s="17"/>
      <c r="CVY1143" s="17"/>
      <c r="CVZ1143" s="17"/>
      <c r="CWA1143" s="17"/>
      <c r="CWB1143" s="17"/>
      <c r="CWC1143" s="17"/>
      <c r="CWD1143" s="17"/>
      <c r="CWE1143" s="17"/>
      <c r="CWF1143" s="17"/>
      <c r="CWG1143" s="17"/>
      <c r="CWH1143" s="17"/>
      <c r="CWI1143" s="17"/>
      <c r="CWJ1143" s="17"/>
      <c r="CWK1143" s="17"/>
      <c r="CWL1143" s="17"/>
      <c r="CWM1143" s="17"/>
      <c r="CWN1143" s="17"/>
      <c r="CWO1143" s="17"/>
      <c r="CWP1143" s="17"/>
      <c r="CWQ1143" s="17"/>
      <c r="CWR1143" s="17"/>
      <c r="CWS1143" s="17"/>
      <c r="CWT1143" s="17"/>
      <c r="CWU1143" s="17"/>
      <c r="CWV1143" s="17"/>
      <c r="CWW1143" s="17"/>
      <c r="CWX1143" s="17"/>
      <c r="CWY1143" s="17"/>
      <c r="CWZ1143" s="17"/>
      <c r="CXA1143" s="17"/>
      <c r="CXB1143" s="17"/>
      <c r="CXC1143" s="17"/>
      <c r="CXD1143" s="17"/>
      <c r="CXE1143" s="17"/>
      <c r="CXF1143" s="17"/>
      <c r="CXG1143" s="17"/>
      <c r="CXH1143" s="17"/>
      <c r="CXI1143" s="17"/>
      <c r="CXJ1143" s="17"/>
      <c r="CXK1143" s="17"/>
      <c r="CXL1143" s="17"/>
      <c r="CXM1143" s="17"/>
      <c r="CXN1143" s="17"/>
      <c r="CXO1143" s="17"/>
      <c r="CXP1143" s="17"/>
      <c r="CXQ1143" s="17"/>
      <c r="CXR1143" s="17"/>
      <c r="CXS1143" s="17"/>
      <c r="CXT1143" s="17"/>
      <c r="CXU1143" s="17"/>
      <c r="CXV1143" s="17"/>
      <c r="CXW1143" s="17"/>
      <c r="CXX1143" s="17"/>
      <c r="CXY1143" s="17"/>
      <c r="CXZ1143" s="17"/>
      <c r="CYA1143" s="17"/>
      <c r="CYB1143" s="17"/>
      <c r="CYC1143" s="17"/>
      <c r="CYD1143" s="17"/>
      <c r="CYE1143" s="17"/>
      <c r="CYF1143" s="17"/>
      <c r="CYG1143" s="17"/>
      <c r="CYH1143" s="17"/>
      <c r="CYI1143" s="17"/>
      <c r="CYJ1143" s="17"/>
      <c r="CYK1143" s="17"/>
      <c r="CYL1143" s="17"/>
      <c r="CYM1143" s="17"/>
      <c r="CYN1143" s="17"/>
      <c r="CYO1143" s="17"/>
      <c r="CYP1143" s="17"/>
      <c r="CYQ1143" s="17"/>
      <c r="CYR1143" s="17"/>
      <c r="CYS1143" s="17"/>
      <c r="CYT1143" s="17"/>
      <c r="CYU1143" s="17"/>
      <c r="CYV1143" s="17"/>
      <c r="CYW1143" s="17"/>
      <c r="CYX1143" s="17"/>
      <c r="CYY1143" s="17"/>
      <c r="CYZ1143" s="17"/>
      <c r="CZA1143" s="17"/>
      <c r="CZB1143" s="17"/>
      <c r="CZC1143" s="17"/>
      <c r="CZD1143" s="17"/>
      <c r="CZE1143" s="17"/>
      <c r="CZF1143" s="17"/>
      <c r="CZG1143" s="17"/>
      <c r="CZH1143" s="17"/>
      <c r="CZI1143" s="17"/>
      <c r="CZJ1143" s="17"/>
      <c r="CZK1143" s="17"/>
      <c r="CZL1143" s="17"/>
      <c r="CZM1143" s="17"/>
      <c r="CZN1143" s="17"/>
      <c r="CZO1143" s="17"/>
      <c r="CZP1143" s="17"/>
      <c r="CZQ1143" s="17"/>
      <c r="CZR1143" s="17"/>
      <c r="CZS1143" s="17"/>
      <c r="CZT1143" s="17"/>
      <c r="CZU1143" s="17"/>
      <c r="CZV1143" s="17"/>
      <c r="CZW1143" s="17"/>
      <c r="CZX1143" s="17"/>
      <c r="CZY1143" s="17"/>
      <c r="CZZ1143" s="17"/>
      <c r="DAA1143" s="17"/>
      <c r="DAB1143" s="17"/>
      <c r="DAC1143" s="17"/>
      <c r="DAD1143" s="17"/>
      <c r="DAE1143" s="17"/>
      <c r="DAF1143" s="17"/>
      <c r="DAG1143" s="17"/>
      <c r="DAH1143" s="17"/>
      <c r="DAI1143" s="17"/>
      <c r="DAJ1143" s="17"/>
      <c r="DAK1143" s="17"/>
      <c r="DAL1143" s="17"/>
      <c r="DAM1143" s="17"/>
      <c r="DAN1143" s="17"/>
      <c r="DAO1143" s="17"/>
      <c r="DAP1143" s="17"/>
      <c r="DAQ1143" s="17"/>
      <c r="DAR1143" s="17"/>
      <c r="DAS1143" s="17"/>
      <c r="DAT1143" s="17"/>
      <c r="DAU1143" s="17"/>
      <c r="DAV1143" s="17"/>
      <c r="DAW1143" s="17"/>
      <c r="DAX1143" s="17"/>
      <c r="DAY1143" s="17"/>
      <c r="DAZ1143" s="17"/>
      <c r="DBA1143" s="17"/>
      <c r="DBB1143" s="17"/>
      <c r="DBC1143" s="17"/>
      <c r="DBD1143" s="17"/>
      <c r="DBE1143" s="17"/>
      <c r="DBF1143" s="17"/>
      <c r="DBG1143" s="17"/>
      <c r="DBH1143" s="17"/>
      <c r="DBI1143" s="17"/>
      <c r="DBJ1143" s="17"/>
      <c r="DBK1143" s="17"/>
      <c r="DBL1143" s="17"/>
      <c r="DBM1143" s="17"/>
      <c r="DBN1143" s="17"/>
      <c r="DBO1143" s="17"/>
      <c r="DBP1143" s="17"/>
      <c r="DBQ1143" s="17"/>
      <c r="DBR1143" s="17"/>
      <c r="DBS1143" s="17"/>
      <c r="DBT1143" s="17"/>
      <c r="DBU1143" s="17"/>
      <c r="DBV1143" s="17"/>
      <c r="DBW1143" s="17"/>
      <c r="DBX1143" s="17"/>
      <c r="DBY1143" s="17"/>
      <c r="DBZ1143" s="17"/>
      <c r="DCA1143" s="17"/>
      <c r="DCB1143" s="17"/>
      <c r="DCC1143" s="17"/>
      <c r="DCD1143" s="17"/>
      <c r="DCE1143" s="17"/>
      <c r="DCF1143" s="17"/>
      <c r="DCG1143" s="17"/>
      <c r="DCH1143" s="17"/>
      <c r="DCI1143" s="17"/>
      <c r="DCJ1143" s="17"/>
      <c r="DCK1143" s="17"/>
      <c r="DCL1143" s="17"/>
      <c r="DCM1143" s="17"/>
      <c r="DCN1143" s="17"/>
      <c r="DCO1143" s="17"/>
      <c r="DCP1143" s="17"/>
      <c r="DCQ1143" s="17"/>
      <c r="DCR1143" s="17"/>
      <c r="DCS1143" s="17"/>
      <c r="DCT1143" s="17"/>
      <c r="DCU1143" s="17"/>
      <c r="DCV1143" s="17"/>
      <c r="DCW1143" s="17"/>
      <c r="DCX1143" s="17"/>
      <c r="DCY1143" s="17"/>
      <c r="DCZ1143" s="17"/>
      <c r="DDA1143" s="17"/>
      <c r="DDB1143" s="17"/>
      <c r="DDC1143" s="17"/>
      <c r="DDD1143" s="17"/>
      <c r="DDE1143" s="17"/>
      <c r="DDF1143" s="17"/>
      <c r="DDG1143" s="17"/>
      <c r="DDH1143" s="17"/>
      <c r="DDI1143" s="17"/>
      <c r="DDJ1143" s="17"/>
      <c r="DDK1143" s="17"/>
      <c r="DDL1143" s="17"/>
      <c r="DDM1143" s="17"/>
      <c r="DDN1143" s="17"/>
      <c r="DDO1143" s="17"/>
      <c r="DDP1143" s="17"/>
      <c r="DDQ1143" s="17"/>
      <c r="DDR1143" s="17"/>
      <c r="DDS1143" s="17"/>
      <c r="DDT1143" s="17"/>
      <c r="DDU1143" s="17"/>
      <c r="DDV1143" s="17"/>
      <c r="DDW1143" s="17"/>
      <c r="DDX1143" s="17"/>
      <c r="DDY1143" s="17"/>
      <c r="DDZ1143" s="17"/>
      <c r="DEA1143" s="17"/>
      <c r="DEB1143" s="17"/>
      <c r="DEC1143" s="17"/>
      <c r="DED1143" s="17"/>
      <c r="DEE1143" s="17"/>
      <c r="DEF1143" s="17"/>
      <c r="DEG1143" s="17"/>
      <c r="DEH1143" s="17"/>
      <c r="DEI1143" s="17"/>
      <c r="DEJ1143" s="17"/>
      <c r="DEK1143" s="17"/>
      <c r="DEL1143" s="17"/>
      <c r="DEM1143" s="17"/>
      <c r="DEN1143" s="17"/>
      <c r="DEO1143" s="17"/>
      <c r="DEP1143" s="17"/>
      <c r="DEQ1143" s="17"/>
      <c r="DER1143" s="17"/>
      <c r="DES1143" s="17"/>
      <c r="DET1143" s="17"/>
      <c r="DEU1143" s="17"/>
      <c r="DEV1143" s="17"/>
      <c r="DEW1143" s="17"/>
      <c r="DEX1143" s="17"/>
      <c r="DEY1143" s="17"/>
      <c r="DEZ1143" s="17"/>
      <c r="DFA1143" s="17"/>
      <c r="DFB1143" s="17"/>
      <c r="DFC1143" s="17"/>
      <c r="DFD1143" s="17"/>
      <c r="DFE1143" s="17"/>
      <c r="DFF1143" s="17"/>
      <c r="DFG1143" s="17"/>
      <c r="DFH1143" s="17"/>
      <c r="DFI1143" s="17"/>
      <c r="DFJ1143" s="17"/>
      <c r="DFK1143" s="17"/>
      <c r="DFL1143" s="17"/>
      <c r="DFM1143" s="17"/>
      <c r="DFN1143" s="17"/>
      <c r="DFO1143" s="17"/>
      <c r="DFP1143" s="17"/>
      <c r="DFQ1143" s="17"/>
      <c r="DFR1143" s="17"/>
      <c r="DFS1143" s="17"/>
      <c r="DFT1143" s="17"/>
      <c r="DFU1143" s="17"/>
      <c r="DFV1143" s="17"/>
      <c r="DFW1143" s="17"/>
      <c r="DFX1143" s="17"/>
      <c r="DFY1143" s="17"/>
      <c r="DFZ1143" s="17"/>
      <c r="DGA1143" s="17"/>
      <c r="DGB1143" s="17"/>
      <c r="DGC1143" s="17"/>
      <c r="DGD1143" s="17"/>
      <c r="DGE1143" s="17"/>
      <c r="DGF1143" s="17"/>
      <c r="DGG1143" s="17"/>
      <c r="DGH1143" s="17"/>
      <c r="DGI1143" s="17"/>
      <c r="DGJ1143" s="17"/>
      <c r="DGK1143" s="17"/>
      <c r="DGL1143" s="17"/>
      <c r="DGM1143" s="17"/>
      <c r="DGN1143" s="17"/>
      <c r="DGO1143" s="17"/>
      <c r="DGP1143" s="17"/>
      <c r="DGQ1143" s="17"/>
      <c r="DGR1143" s="17"/>
      <c r="DGS1143" s="17"/>
      <c r="DGT1143" s="17"/>
      <c r="DGU1143" s="17"/>
      <c r="DGV1143" s="17"/>
      <c r="DGW1143" s="17"/>
      <c r="DGX1143" s="17"/>
      <c r="DGY1143" s="17"/>
      <c r="DGZ1143" s="17"/>
      <c r="DHA1143" s="17"/>
      <c r="DHB1143" s="17"/>
      <c r="DHC1143" s="17"/>
      <c r="DHD1143" s="17"/>
      <c r="DHE1143" s="17"/>
      <c r="DHF1143" s="17"/>
      <c r="DHG1143" s="17"/>
      <c r="DHH1143" s="17"/>
      <c r="DHI1143" s="17"/>
      <c r="DHJ1143" s="17"/>
      <c r="DHK1143" s="17"/>
      <c r="DHL1143" s="17"/>
      <c r="DHM1143" s="17"/>
      <c r="DHN1143" s="17"/>
      <c r="DHO1143" s="17"/>
      <c r="DHP1143" s="17"/>
      <c r="DHQ1143" s="17"/>
      <c r="DHR1143" s="17"/>
      <c r="DHS1143" s="17"/>
      <c r="DHT1143" s="17"/>
      <c r="DHU1143" s="17"/>
      <c r="DHV1143" s="17"/>
      <c r="DHW1143" s="17"/>
      <c r="DHX1143" s="17"/>
      <c r="DHY1143" s="17"/>
      <c r="DHZ1143" s="17"/>
      <c r="DIA1143" s="17"/>
      <c r="DIB1143" s="17"/>
      <c r="DIC1143" s="17"/>
      <c r="DID1143" s="17"/>
      <c r="DIE1143" s="17"/>
      <c r="DIF1143" s="17"/>
      <c r="DIG1143" s="17"/>
      <c r="DIH1143" s="17"/>
      <c r="DII1143" s="17"/>
      <c r="DIJ1143" s="17"/>
      <c r="DIK1143" s="17"/>
      <c r="DIL1143" s="17"/>
      <c r="DIM1143" s="17"/>
      <c r="DIN1143" s="17"/>
      <c r="DIO1143" s="17"/>
      <c r="DIP1143" s="17"/>
      <c r="DIQ1143" s="17"/>
      <c r="DIR1143" s="17"/>
      <c r="DIS1143" s="17"/>
      <c r="DIT1143" s="17"/>
      <c r="DIU1143" s="17"/>
      <c r="DIV1143" s="17"/>
      <c r="DIW1143" s="17"/>
      <c r="DIX1143" s="17"/>
      <c r="DIY1143" s="17"/>
      <c r="DIZ1143" s="17"/>
      <c r="DJA1143" s="17"/>
      <c r="DJB1143" s="17"/>
      <c r="DJC1143" s="17"/>
      <c r="DJD1143" s="17"/>
      <c r="DJE1143" s="17"/>
      <c r="DJF1143" s="17"/>
      <c r="DJG1143" s="17"/>
      <c r="DJH1143" s="17"/>
      <c r="DJI1143" s="17"/>
      <c r="DJJ1143" s="17"/>
      <c r="DJK1143" s="17"/>
      <c r="DJL1143" s="17"/>
      <c r="DJM1143" s="17"/>
      <c r="DJN1143" s="17"/>
      <c r="DJO1143" s="17"/>
      <c r="DJP1143" s="17"/>
      <c r="DJQ1143" s="17"/>
      <c r="DJR1143" s="17"/>
      <c r="DJS1143" s="17"/>
      <c r="DJT1143" s="17"/>
      <c r="DJU1143" s="17"/>
      <c r="DJV1143" s="17"/>
      <c r="DJW1143" s="17"/>
      <c r="DJX1143" s="17"/>
      <c r="DJY1143" s="17"/>
      <c r="DJZ1143" s="17"/>
      <c r="DKA1143" s="17"/>
      <c r="DKB1143" s="17"/>
      <c r="DKC1143" s="17"/>
      <c r="DKD1143" s="17"/>
      <c r="DKE1143" s="17"/>
      <c r="DKF1143" s="17"/>
      <c r="DKG1143" s="17"/>
      <c r="DKH1143" s="17"/>
      <c r="DKI1143" s="17"/>
      <c r="DKJ1143" s="17"/>
      <c r="DKK1143" s="17"/>
      <c r="DKL1143" s="17"/>
      <c r="DKM1143" s="17"/>
      <c r="DKN1143" s="17"/>
      <c r="DKO1143" s="17"/>
      <c r="DKP1143" s="17"/>
      <c r="DKQ1143" s="17"/>
      <c r="DKR1143" s="17"/>
      <c r="DKS1143" s="17"/>
      <c r="DKT1143" s="17"/>
      <c r="DKU1143" s="17"/>
      <c r="DKV1143" s="17"/>
      <c r="DKW1143" s="17"/>
      <c r="DKX1143" s="17"/>
      <c r="DKY1143" s="17"/>
      <c r="DKZ1143" s="17"/>
      <c r="DLA1143" s="17"/>
      <c r="DLB1143" s="17"/>
      <c r="DLC1143" s="17"/>
      <c r="DLD1143" s="17"/>
      <c r="DLE1143" s="17"/>
      <c r="DLF1143" s="17"/>
      <c r="DLG1143" s="17"/>
      <c r="DLH1143" s="17"/>
      <c r="DLI1143" s="17"/>
      <c r="DLJ1143" s="17"/>
      <c r="DLK1143" s="17"/>
      <c r="DLL1143" s="17"/>
      <c r="DLM1143" s="17"/>
      <c r="DLN1143" s="17"/>
      <c r="DLO1143" s="17"/>
      <c r="DLP1143" s="17"/>
      <c r="DLQ1143" s="17"/>
      <c r="DLR1143" s="17"/>
      <c r="DLS1143" s="17"/>
      <c r="DLT1143" s="17"/>
      <c r="DLU1143" s="17"/>
      <c r="DLV1143" s="17"/>
      <c r="DLW1143" s="17"/>
      <c r="DLX1143" s="17"/>
      <c r="DLY1143" s="17"/>
      <c r="DLZ1143" s="17"/>
      <c r="DMA1143" s="17"/>
      <c r="DMB1143" s="17"/>
      <c r="DMC1143" s="17"/>
      <c r="DMD1143" s="17"/>
      <c r="DME1143" s="17"/>
      <c r="DMF1143" s="17"/>
      <c r="DMG1143" s="17"/>
      <c r="DMH1143" s="17"/>
      <c r="DMI1143" s="17"/>
      <c r="DMJ1143" s="17"/>
      <c r="DMK1143" s="17"/>
      <c r="DML1143" s="17"/>
      <c r="DMM1143" s="17"/>
      <c r="DMN1143" s="17"/>
      <c r="DMO1143" s="17"/>
      <c r="DMP1143" s="17"/>
      <c r="DMQ1143" s="17"/>
      <c r="DMR1143" s="17"/>
      <c r="DMS1143" s="17"/>
      <c r="DMT1143" s="17"/>
      <c r="DMU1143" s="17"/>
      <c r="DMV1143" s="17"/>
      <c r="DMW1143" s="17"/>
      <c r="DMX1143" s="17"/>
      <c r="DMY1143" s="17"/>
      <c r="DMZ1143" s="17"/>
      <c r="DNA1143" s="17"/>
      <c r="DNB1143" s="17"/>
      <c r="DNC1143" s="17"/>
      <c r="DND1143" s="17"/>
      <c r="DNE1143" s="17"/>
      <c r="DNF1143" s="17"/>
      <c r="DNG1143" s="17"/>
      <c r="DNH1143" s="17"/>
      <c r="DNI1143" s="17"/>
      <c r="DNJ1143" s="17"/>
      <c r="DNK1143" s="17"/>
      <c r="DNL1143" s="17"/>
      <c r="DNM1143" s="17"/>
      <c r="DNN1143" s="17"/>
      <c r="DNO1143" s="17"/>
      <c r="DNP1143" s="17"/>
      <c r="DNQ1143" s="17"/>
      <c r="DNR1143" s="17"/>
      <c r="DNS1143" s="17"/>
      <c r="DNT1143" s="17"/>
      <c r="DNU1143" s="17"/>
      <c r="DNV1143" s="17"/>
      <c r="DNW1143" s="17"/>
      <c r="DNX1143" s="17"/>
      <c r="DNY1143" s="17"/>
      <c r="DNZ1143" s="17"/>
      <c r="DOA1143" s="17"/>
      <c r="DOB1143" s="17"/>
      <c r="DOC1143" s="17"/>
      <c r="DOD1143" s="17"/>
      <c r="DOE1143" s="17"/>
      <c r="DOF1143" s="17"/>
      <c r="DOG1143" s="17"/>
      <c r="DOH1143" s="17"/>
      <c r="DOI1143" s="17"/>
      <c r="DOJ1143" s="17"/>
      <c r="DOK1143" s="17"/>
      <c r="DOL1143" s="17"/>
      <c r="DOM1143" s="17"/>
      <c r="DON1143" s="17"/>
      <c r="DOO1143" s="17"/>
      <c r="DOP1143" s="17"/>
      <c r="DOQ1143" s="17"/>
      <c r="DOR1143" s="17"/>
      <c r="DOS1143" s="17"/>
      <c r="DOT1143" s="17"/>
      <c r="DOU1143" s="17"/>
      <c r="DOV1143" s="17"/>
      <c r="DOW1143" s="17"/>
      <c r="DOX1143" s="17"/>
      <c r="DOY1143" s="17"/>
      <c r="DOZ1143" s="17"/>
      <c r="DPA1143" s="17"/>
      <c r="DPB1143" s="17"/>
      <c r="DPC1143" s="17"/>
      <c r="DPD1143" s="17"/>
      <c r="DPE1143" s="17"/>
      <c r="DPF1143" s="17"/>
      <c r="DPG1143" s="17"/>
      <c r="DPH1143" s="17"/>
      <c r="DPI1143" s="17"/>
      <c r="DPJ1143" s="17"/>
      <c r="DPK1143" s="17"/>
      <c r="DPL1143" s="17"/>
      <c r="DPM1143" s="17"/>
      <c r="DPN1143" s="17"/>
      <c r="DPO1143" s="17"/>
      <c r="DPP1143" s="17"/>
      <c r="DPQ1143" s="17"/>
      <c r="DPR1143" s="17"/>
      <c r="DPS1143" s="17"/>
      <c r="DPT1143" s="17"/>
      <c r="DPU1143" s="17"/>
      <c r="DPV1143" s="17"/>
      <c r="DPW1143" s="17"/>
      <c r="DPX1143" s="17"/>
      <c r="DPY1143" s="17"/>
      <c r="DPZ1143" s="17"/>
      <c r="DQA1143" s="17"/>
      <c r="DQB1143" s="17"/>
      <c r="DQC1143" s="17"/>
      <c r="DQD1143" s="17"/>
      <c r="DQE1143" s="17"/>
      <c r="DQF1143" s="17"/>
      <c r="DQG1143" s="17"/>
      <c r="DQH1143" s="17"/>
      <c r="DQI1143" s="17"/>
      <c r="DQJ1143" s="17"/>
      <c r="DQK1143" s="17"/>
      <c r="DQL1143" s="17"/>
      <c r="DQM1143" s="17"/>
      <c r="DQN1143" s="17"/>
      <c r="DQO1143" s="17"/>
      <c r="DQP1143" s="17"/>
      <c r="DQQ1143" s="17"/>
      <c r="DQR1143" s="17"/>
      <c r="DQS1143" s="17"/>
      <c r="DQT1143" s="17"/>
      <c r="DQU1143" s="17"/>
      <c r="DQV1143" s="17"/>
      <c r="DQW1143" s="17"/>
      <c r="DQX1143" s="17"/>
      <c r="DQY1143" s="17"/>
      <c r="DQZ1143" s="17"/>
      <c r="DRA1143" s="17"/>
      <c r="DRB1143" s="17"/>
      <c r="DRC1143" s="17"/>
      <c r="DRD1143" s="17"/>
      <c r="DRE1143" s="17"/>
      <c r="DRF1143" s="17"/>
      <c r="DRG1143" s="17"/>
      <c r="DRH1143" s="17"/>
      <c r="DRI1143" s="17"/>
      <c r="DRJ1143" s="17"/>
      <c r="DRK1143" s="17"/>
      <c r="DRL1143" s="17"/>
      <c r="DRM1143" s="17"/>
      <c r="DRN1143" s="17"/>
      <c r="DRO1143" s="17"/>
      <c r="DRP1143" s="17"/>
      <c r="DRQ1143" s="17"/>
      <c r="DRR1143" s="17"/>
      <c r="DRS1143" s="17"/>
      <c r="DRT1143" s="17"/>
      <c r="DRU1143" s="17"/>
      <c r="DRV1143" s="17"/>
      <c r="DRW1143" s="17"/>
      <c r="DRX1143" s="17"/>
      <c r="DRY1143" s="17"/>
      <c r="DRZ1143" s="17"/>
      <c r="DSA1143" s="17"/>
      <c r="DSB1143" s="17"/>
      <c r="DSC1143" s="17"/>
      <c r="DSD1143" s="17"/>
      <c r="DSE1143" s="17"/>
      <c r="DSF1143" s="17"/>
      <c r="DSG1143" s="17"/>
      <c r="DSH1143" s="17"/>
      <c r="DSI1143" s="17"/>
      <c r="DSJ1143" s="17"/>
      <c r="DSK1143" s="17"/>
      <c r="DSL1143" s="17"/>
      <c r="DSM1143" s="17"/>
      <c r="DSN1143" s="17"/>
      <c r="DSO1143" s="17"/>
      <c r="DSP1143" s="17"/>
      <c r="DSQ1143" s="17"/>
      <c r="DSR1143" s="17"/>
      <c r="DSS1143" s="17"/>
      <c r="DST1143" s="17"/>
      <c r="DSU1143" s="17"/>
      <c r="DSV1143" s="17"/>
      <c r="DSW1143" s="17"/>
      <c r="DSX1143" s="17"/>
      <c r="DSY1143" s="17"/>
      <c r="DSZ1143" s="17"/>
      <c r="DTA1143" s="17"/>
      <c r="DTB1143" s="17"/>
      <c r="DTC1143" s="17"/>
      <c r="DTD1143" s="17"/>
      <c r="DTE1143" s="17"/>
      <c r="DTF1143" s="17"/>
      <c r="DTG1143" s="17"/>
      <c r="DTH1143" s="17"/>
      <c r="DTI1143" s="17"/>
      <c r="DTJ1143" s="17"/>
      <c r="DTK1143" s="17"/>
      <c r="DTL1143" s="17"/>
      <c r="DTM1143" s="17"/>
      <c r="DTN1143" s="17"/>
      <c r="DTO1143" s="17"/>
      <c r="DTP1143" s="17"/>
      <c r="DTQ1143" s="17"/>
      <c r="DTR1143" s="17"/>
      <c r="DTS1143" s="17"/>
      <c r="DTT1143" s="17"/>
      <c r="DTU1143" s="17"/>
      <c r="DTV1143" s="17"/>
      <c r="DTW1143" s="17"/>
      <c r="DTX1143" s="17"/>
      <c r="DTY1143" s="17"/>
      <c r="DTZ1143" s="17"/>
      <c r="DUA1143" s="17"/>
      <c r="DUB1143" s="17"/>
      <c r="DUC1143" s="17"/>
      <c r="DUD1143" s="17"/>
      <c r="DUE1143" s="17"/>
      <c r="DUF1143" s="17"/>
      <c r="DUG1143" s="17"/>
      <c r="DUH1143" s="17"/>
      <c r="DUI1143" s="17"/>
      <c r="DUJ1143" s="17"/>
      <c r="DUK1143" s="17"/>
      <c r="DUL1143" s="17"/>
      <c r="DUM1143" s="17"/>
      <c r="DUN1143" s="17"/>
      <c r="DUO1143" s="17"/>
      <c r="DUP1143" s="17"/>
      <c r="DUQ1143" s="17"/>
      <c r="DUR1143" s="17"/>
      <c r="DUS1143" s="17"/>
      <c r="DUT1143" s="17"/>
      <c r="DUU1143" s="17"/>
      <c r="DUV1143" s="17"/>
      <c r="DUW1143" s="17"/>
      <c r="DUX1143" s="17"/>
      <c r="DUY1143" s="17"/>
      <c r="DUZ1143" s="17"/>
      <c r="DVA1143" s="17"/>
      <c r="DVB1143" s="17"/>
      <c r="DVC1143" s="17"/>
      <c r="DVD1143" s="17"/>
      <c r="DVE1143" s="17"/>
      <c r="DVF1143" s="17"/>
      <c r="DVG1143" s="17"/>
      <c r="DVH1143" s="17"/>
      <c r="DVI1143" s="17"/>
      <c r="DVJ1143" s="17"/>
      <c r="DVK1143" s="17"/>
      <c r="DVL1143" s="17"/>
      <c r="DVM1143" s="17"/>
      <c r="DVN1143" s="17"/>
      <c r="DVO1143" s="17"/>
      <c r="DVP1143" s="17"/>
      <c r="DVQ1143" s="17"/>
      <c r="DVR1143" s="17"/>
      <c r="DVS1143" s="17"/>
      <c r="DVT1143" s="17"/>
      <c r="DVU1143" s="17"/>
      <c r="DVV1143" s="17"/>
      <c r="DVW1143" s="17"/>
      <c r="DVX1143" s="17"/>
      <c r="DVY1143" s="17"/>
      <c r="DVZ1143" s="17"/>
      <c r="DWA1143" s="17"/>
      <c r="DWB1143" s="17"/>
      <c r="DWC1143" s="17"/>
      <c r="DWD1143" s="17"/>
      <c r="DWE1143" s="17"/>
      <c r="DWF1143" s="17"/>
      <c r="DWG1143" s="17"/>
      <c r="DWH1143" s="17"/>
      <c r="DWI1143" s="17"/>
      <c r="DWJ1143" s="17"/>
      <c r="DWK1143" s="17"/>
      <c r="DWL1143" s="17"/>
      <c r="DWM1143" s="17"/>
      <c r="DWN1143" s="17"/>
      <c r="DWO1143" s="17"/>
      <c r="DWP1143" s="17"/>
      <c r="DWQ1143" s="17"/>
      <c r="DWR1143" s="17"/>
      <c r="DWS1143" s="17"/>
      <c r="DWT1143" s="17"/>
      <c r="DWU1143" s="17"/>
      <c r="DWV1143" s="17"/>
      <c r="DWW1143" s="17"/>
      <c r="DWX1143" s="17"/>
      <c r="DWY1143" s="17"/>
      <c r="DWZ1143" s="17"/>
      <c r="DXA1143" s="17"/>
      <c r="DXB1143" s="17"/>
      <c r="DXC1143" s="17"/>
      <c r="DXD1143" s="17"/>
      <c r="DXE1143" s="17"/>
      <c r="DXF1143" s="17"/>
      <c r="DXG1143" s="17"/>
      <c r="DXH1143" s="17"/>
      <c r="DXI1143" s="17"/>
      <c r="DXJ1143" s="17"/>
      <c r="DXK1143" s="17"/>
      <c r="DXL1143" s="17"/>
      <c r="DXM1143" s="17"/>
      <c r="DXN1143" s="17"/>
      <c r="DXO1143" s="17"/>
      <c r="DXP1143" s="17"/>
      <c r="DXQ1143" s="17"/>
      <c r="DXR1143" s="17"/>
      <c r="DXS1143" s="17"/>
      <c r="DXT1143" s="17"/>
      <c r="DXU1143" s="17"/>
      <c r="DXV1143" s="17"/>
      <c r="DXW1143" s="17"/>
      <c r="DXX1143" s="17"/>
      <c r="DXY1143" s="17"/>
      <c r="DXZ1143" s="17"/>
      <c r="DYA1143" s="17"/>
      <c r="DYB1143" s="17"/>
      <c r="DYC1143" s="17"/>
      <c r="DYD1143" s="17"/>
      <c r="DYE1143" s="17"/>
      <c r="DYF1143" s="17"/>
      <c r="DYG1143" s="17"/>
      <c r="DYH1143" s="17"/>
      <c r="DYI1143" s="17"/>
      <c r="DYJ1143" s="17"/>
      <c r="DYK1143" s="17"/>
      <c r="DYL1143" s="17"/>
      <c r="DYM1143" s="17"/>
      <c r="DYN1143" s="17"/>
      <c r="DYO1143" s="17"/>
      <c r="DYP1143" s="17"/>
      <c r="DYQ1143" s="17"/>
      <c r="DYR1143" s="17"/>
      <c r="DYS1143" s="17"/>
      <c r="DYT1143" s="17"/>
      <c r="DYU1143" s="17"/>
      <c r="DYV1143" s="17"/>
      <c r="DYW1143" s="17"/>
      <c r="DYX1143" s="17"/>
      <c r="DYY1143" s="17"/>
      <c r="DYZ1143" s="17"/>
      <c r="DZA1143" s="17"/>
      <c r="DZB1143" s="17"/>
      <c r="DZC1143" s="17"/>
      <c r="DZD1143" s="17"/>
      <c r="DZE1143" s="17"/>
      <c r="DZF1143" s="17"/>
      <c r="DZG1143" s="17"/>
      <c r="DZH1143" s="17"/>
      <c r="DZI1143" s="17"/>
      <c r="DZJ1143" s="17"/>
      <c r="DZK1143" s="17"/>
      <c r="DZL1143" s="17"/>
      <c r="DZM1143" s="17"/>
      <c r="DZN1143" s="17"/>
      <c r="DZO1143" s="17"/>
      <c r="DZP1143" s="17"/>
      <c r="DZQ1143" s="17"/>
      <c r="DZR1143" s="17"/>
      <c r="DZS1143" s="17"/>
      <c r="DZT1143" s="17"/>
      <c r="DZU1143" s="17"/>
      <c r="DZV1143" s="17"/>
      <c r="DZW1143" s="17"/>
      <c r="DZX1143" s="17"/>
      <c r="DZY1143" s="17"/>
      <c r="DZZ1143" s="17"/>
      <c r="EAA1143" s="17"/>
      <c r="EAB1143" s="17"/>
      <c r="EAC1143" s="17"/>
      <c r="EAD1143" s="17"/>
      <c r="EAE1143" s="17"/>
      <c r="EAF1143" s="17"/>
      <c r="EAG1143" s="17"/>
      <c r="EAH1143" s="17"/>
      <c r="EAI1143" s="17"/>
      <c r="EAJ1143" s="17"/>
      <c r="EAK1143" s="17"/>
      <c r="EAL1143" s="17"/>
      <c r="EAM1143" s="17"/>
      <c r="EAN1143" s="17"/>
      <c r="EAO1143" s="17"/>
      <c r="EAP1143" s="17"/>
      <c r="EAQ1143" s="17"/>
      <c r="EAR1143" s="17"/>
      <c r="EAS1143" s="17"/>
      <c r="EAT1143" s="17"/>
      <c r="EAU1143" s="17"/>
      <c r="EAV1143" s="17"/>
      <c r="EAW1143" s="17"/>
      <c r="EAX1143" s="17"/>
      <c r="EAY1143" s="17"/>
      <c r="EAZ1143" s="17"/>
      <c r="EBA1143" s="17"/>
      <c r="EBB1143" s="17"/>
      <c r="EBC1143" s="17"/>
      <c r="EBD1143" s="17"/>
      <c r="EBE1143" s="17"/>
      <c r="EBF1143" s="17"/>
      <c r="EBG1143" s="17"/>
      <c r="EBH1143" s="17"/>
      <c r="EBI1143" s="17"/>
      <c r="EBJ1143" s="17"/>
      <c r="EBK1143" s="17"/>
      <c r="EBL1143" s="17"/>
      <c r="EBM1143" s="17"/>
      <c r="EBN1143" s="17"/>
      <c r="EBO1143" s="17"/>
      <c r="EBP1143" s="17"/>
      <c r="EBQ1143" s="17"/>
      <c r="EBR1143" s="17"/>
      <c r="EBS1143" s="17"/>
      <c r="EBT1143" s="17"/>
      <c r="EBU1143" s="17"/>
      <c r="EBV1143" s="17"/>
      <c r="EBW1143" s="17"/>
      <c r="EBX1143" s="17"/>
      <c r="EBY1143" s="17"/>
      <c r="EBZ1143" s="17"/>
      <c r="ECA1143" s="17"/>
      <c r="ECB1143" s="17"/>
      <c r="ECC1143" s="17"/>
      <c r="ECD1143" s="17"/>
      <c r="ECE1143" s="17"/>
      <c r="ECF1143" s="17"/>
      <c r="ECG1143" s="17"/>
      <c r="ECH1143" s="17"/>
      <c r="ECI1143" s="17"/>
      <c r="ECJ1143" s="17"/>
      <c r="ECK1143" s="17"/>
      <c r="ECL1143" s="17"/>
      <c r="ECM1143" s="17"/>
      <c r="ECN1143" s="17"/>
      <c r="ECO1143" s="17"/>
      <c r="ECP1143" s="17"/>
      <c r="ECQ1143" s="17"/>
      <c r="ECR1143" s="17"/>
      <c r="ECS1143" s="17"/>
      <c r="ECT1143" s="17"/>
      <c r="ECU1143" s="17"/>
      <c r="ECV1143" s="17"/>
      <c r="ECW1143" s="17"/>
      <c r="ECX1143" s="17"/>
      <c r="ECY1143" s="17"/>
      <c r="ECZ1143" s="17"/>
      <c r="EDA1143" s="17"/>
      <c r="EDB1143" s="17"/>
      <c r="EDC1143" s="17"/>
      <c r="EDD1143" s="17"/>
      <c r="EDE1143" s="17"/>
      <c r="EDF1143" s="17"/>
      <c r="EDG1143" s="17"/>
      <c r="EDH1143" s="17"/>
      <c r="EDI1143" s="17"/>
      <c r="EDJ1143" s="17"/>
      <c r="EDK1143" s="17"/>
      <c r="EDL1143" s="17"/>
      <c r="EDM1143" s="17"/>
      <c r="EDN1143" s="17"/>
      <c r="EDO1143" s="17"/>
      <c r="EDP1143" s="17"/>
      <c r="EDQ1143" s="17"/>
      <c r="EDR1143" s="17"/>
      <c r="EDS1143" s="17"/>
      <c r="EDT1143" s="17"/>
      <c r="EDU1143" s="17"/>
      <c r="EDV1143" s="17"/>
      <c r="EDW1143" s="17"/>
      <c r="EDX1143" s="17"/>
      <c r="EDY1143" s="17"/>
      <c r="EDZ1143" s="17"/>
      <c r="EEA1143" s="17"/>
      <c r="EEB1143" s="17"/>
      <c r="EEC1143" s="17"/>
      <c r="EED1143" s="17"/>
      <c r="EEE1143" s="17"/>
      <c r="EEF1143" s="17"/>
      <c r="EEG1143" s="17"/>
      <c r="EEH1143" s="17"/>
      <c r="EEI1143" s="17"/>
      <c r="EEJ1143" s="17"/>
      <c r="EEK1143" s="17"/>
      <c r="EEL1143" s="17"/>
      <c r="EEM1143" s="17"/>
      <c r="EEN1143" s="17"/>
      <c r="EEO1143" s="17"/>
      <c r="EEP1143" s="17"/>
      <c r="EEQ1143" s="17"/>
      <c r="EER1143" s="17"/>
      <c r="EES1143" s="17"/>
      <c r="EET1143" s="17"/>
      <c r="EEU1143" s="17"/>
      <c r="EEV1143" s="17"/>
      <c r="EEW1143" s="17"/>
      <c r="EEX1143" s="17"/>
      <c r="EEY1143" s="17"/>
      <c r="EEZ1143" s="17"/>
      <c r="EFA1143" s="17"/>
      <c r="EFB1143" s="17"/>
      <c r="EFC1143" s="17"/>
      <c r="EFD1143" s="17"/>
      <c r="EFE1143" s="17"/>
      <c r="EFF1143" s="17"/>
      <c r="EFG1143" s="17"/>
      <c r="EFH1143" s="17"/>
      <c r="EFI1143" s="17"/>
      <c r="EFJ1143" s="17"/>
      <c r="EFK1143" s="17"/>
      <c r="EFL1143" s="17"/>
      <c r="EFM1143" s="17"/>
      <c r="EFN1143" s="17"/>
      <c r="EFO1143" s="17"/>
      <c r="EFP1143" s="17"/>
      <c r="EFQ1143" s="17"/>
      <c r="EFR1143" s="17"/>
      <c r="EFS1143" s="17"/>
      <c r="EFT1143" s="17"/>
      <c r="EFU1143" s="17"/>
      <c r="EFV1143" s="17"/>
      <c r="EFW1143" s="17"/>
      <c r="EFX1143" s="17"/>
      <c r="EFY1143" s="17"/>
      <c r="EFZ1143" s="17"/>
      <c r="EGA1143" s="17"/>
      <c r="EGB1143" s="17"/>
      <c r="EGC1143" s="17"/>
      <c r="EGD1143" s="17"/>
      <c r="EGE1143" s="17"/>
      <c r="EGF1143" s="17"/>
      <c r="EGG1143" s="17"/>
      <c r="EGH1143" s="17"/>
      <c r="EGI1143" s="17"/>
      <c r="EGJ1143" s="17"/>
      <c r="EGK1143" s="17"/>
      <c r="EGL1143" s="17"/>
      <c r="EGM1143" s="17"/>
      <c r="EGN1143" s="17"/>
      <c r="EGO1143" s="17"/>
      <c r="EGP1143" s="17"/>
      <c r="EGQ1143" s="17"/>
      <c r="EGR1143" s="17"/>
      <c r="EGS1143" s="17"/>
      <c r="EGT1143" s="17"/>
      <c r="EGU1143" s="17"/>
      <c r="EGV1143" s="17"/>
      <c r="EGW1143" s="17"/>
      <c r="EGX1143" s="17"/>
      <c r="EGY1143" s="17"/>
      <c r="EGZ1143" s="17"/>
      <c r="EHA1143" s="17"/>
      <c r="EHB1143" s="17"/>
      <c r="EHC1143" s="17"/>
      <c r="EHD1143" s="17"/>
      <c r="EHE1143" s="17"/>
      <c r="EHF1143" s="17"/>
      <c r="EHG1143" s="17"/>
      <c r="EHH1143" s="17"/>
      <c r="EHI1143" s="17"/>
      <c r="EHJ1143" s="17"/>
      <c r="EHK1143" s="17"/>
      <c r="EHL1143" s="17"/>
      <c r="EHM1143" s="17"/>
      <c r="EHN1143" s="17"/>
      <c r="EHO1143" s="17"/>
      <c r="EHP1143" s="17"/>
      <c r="EHQ1143" s="17"/>
      <c r="EHR1143" s="17"/>
      <c r="EHS1143" s="17"/>
      <c r="EHT1143" s="17"/>
      <c r="EHU1143" s="17"/>
      <c r="EHV1143" s="17"/>
      <c r="EHW1143" s="17"/>
      <c r="EHX1143" s="17"/>
      <c r="EHY1143" s="17"/>
      <c r="EHZ1143" s="17"/>
      <c r="EIA1143" s="17"/>
      <c r="EIB1143" s="17"/>
      <c r="EIC1143" s="17"/>
      <c r="EID1143" s="17"/>
      <c r="EIE1143" s="17"/>
      <c r="EIF1143" s="17"/>
      <c r="EIG1143" s="17"/>
      <c r="EIH1143" s="17"/>
      <c r="EII1143" s="17"/>
      <c r="EIJ1143" s="17"/>
      <c r="EIK1143" s="17"/>
      <c r="EIL1143" s="17"/>
      <c r="EIM1143" s="17"/>
      <c r="EIN1143" s="17"/>
      <c r="EIO1143" s="17"/>
      <c r="EIP1143" s="17"/>
      <c r="EIQ1143" s="17"/>
      <c r="EIR1143" s="17"/>
      <c r="EIS1143" s="17"/>
      <c r="EIT1143" s="17"/>
      <c r="EIU1143" s="17"/>
      <c r="EIV1143" s="17"/>
      <c r="EIW1143" s="17"/>
      <c r="EIX1143" s="17"/>
      <c r="EIY1143" s="17"/>
      <c r="EIZ1143" s="17"/>
      <c r="EJA1143" s="17"/>
      <c r="EJB1143" s="17"/>
      <c r="EJC1143" s="17"/>
      <c r="EJD1143" s="17"/>
      <c r="EJE1143" s="17"/>
      <c r="EJF1143" s="17"/>
      <c r="EJG1143" s="17"/>
      <c r="EJH1143" s="17"/>
      <c r="EJI1143" s="17"/>
      <c r="EJJ1143" s="17"/>
      <c r="EJK1143" s="17"/>
      <c r="EJL1143" s="17"/>
      <c r="EJM1143" s="17"/>
      <c r="EJN1143" s="17"/>
      <c r="EJO1143" s="17"/>
      <c r="EJP1143" s="17"/>
      <c r="EJQ1143" s="17"/>
      <c r="EJR1143" s="17"/>
      <c r="EJS1143" s="17"/>
      <c r="EJT1143" s="17"/>
      <c r="EJU1143" s="17"/>
      <c r="EJV1143" s="17"/>
      <c r="EJW1143" s="17"/>
      <c r="EJX1143" s="17"/>
      <c r="EJY1143" s="17"/>
      <c r="EJZ1143" s="17"/>
      <c r="EKA1143" s="17"/>
      <c r="EKB1143" s="17"/>
      <c r="EKC1143" s="17"/>
      <c r="EKD1143" s="17"/>
      <c r="EKE1143" s="17"/>
      <c r="EKF1143" s="17"/>
      <c r="EKG1143" s="17"/>
      <c r="EKH1143" s="17"/>
      <c r="EKI1143" s="17"/>
      <c r="EKJ1143" s="17"/>
      <c r="EKK1143" s="17"/>
      <c r="EKL1143" s="17"/>
      <c r="EKM1143" s="17"/>
      <c r="EKN1143" s="17"/>
      <c r="EKO1143" s="17"/>
      <c r="EKP1143" s="17"/>
      <c r="EKQ1143" s="17"/>
      <c r="EKR1143" s="17"/>
      <c r="EKS1143" s="17"/>
      <c r="EKT1143" s="17"/>
      <c r="EKU1143" s="17"/>
      <c r="EKV1143" s="17"/>
      <c r="EKW1143" s="17"/>
      <c r="EKX1143" s="17"/>
      <c r="EKY1143" s="17"/>
      <c r="EKZ1143" s="17"/>
      <c r="ELA1143" s="17"/>
      <c r="ELB1143" s="17"/>
      <c r="ELC1143" s="17"/>
      <c r="ELD1143" s="17"/>
      <c r="ELE1143" s="17"/>
      <c r="ELF1143" s="17"/>
      <c r="ELG1143" s="17"/>
      <c r="ELH1143" s="17"/>
      <c r="ELI1143" s="17"/>
      <c r="ELJ1143" s="17"/>
      <c r="ELK1143" s="17"/>
      <c r="ELL1143" s="17"/>
      <c r="ELM1143" s="17"/>
      <c r="ELN1143" s="17"/>
      <c r="ELO1143" s="17"/>
      <c r="ELP1143" s="17"/>
      <c r="ELQ1143" s="17"/>
      <c r="ELR1143" s="17"/>
      <c r="ELS1143" s="17"/>
      <c r="ELT1143" s="17"/>
      <c r="ELU1143" s="17"/>
      <c r="ELV1143" s="17"/>
      <c r="ELW1143" s="17"/>
      <c r="ELX1143" s="17"/>
      <c r="ELY1143" s="17"/>
      <c r="ELZ1143" s="17"/>
      <c r="EMA1143" s="17"/>
      <c r="EMB1143" s="17"/>
      <c r="EMC1143" s="17"/>
      <c r="EMD1143" s="17"/>
      <c r="EME1143" s="17"/>
      <c r="EMF1143" s="17"/>
      <c r="EMG1143" s="17"/>
      <c r="EMH1143" s="17"/>
      <c r="EMI1143" s="17"/>
      <c r="EMJ1143" s="17"/>
      <c r="EMK1143" s="17"/>
      <c r="EML1143" s="17"/>
      <c r="EMM1143" s="17"/>
      <c r="EMN1143" s="17"/>
      <c r="EMO1143" s="17"/>
      <c r="EMP1143" s="17"/>
      <c r="EMQ1143" s="17"/>
      <c r="EMR1143" s="17"/>
      <c r="EMS1143" s="17"/>
      <c r="EMT1143" s="17"/>
      <c r="EMU1143" s="17"/>
      <c r="EMV1143" s="17"/>
      <c r="EMW1143" s="17"/>
      <c r="EMX1143" s="17"/>
      <c r="EMY1143" s="17"/>
      <c r="EMZ1143" s="17"/>
      <c r="ENA1143" s="17"/>
      <c r="ENB1143" s="17"/>
      <c r="ENC1143" s="17"/>
      <c r="END1143" s="17"/>
      <c r="ENE1143" s="17"/>
      <c r="ENF1143" s="17"/>
      <c r="ENG1143" s="17"/>
      <c r="ENH1143" s="17"/>
      <c r="ENI1143" s="17"/>
      <c r="ENJ1143" s="17"/>
      <c r="ENK1143" s="17"/>
      <c r="ENL1143" s="17"/>
      <c r="ENM1143" s="17"/>
      <c r="ENN1143" s="17"/>
      <c r="ENO1143" s="17"/>
      <c r="ENP1143" s="17"/>
      <c r="ENQ1143" s="17"/>
      <c r="ENR1143" s="17"/>
      <c r="ENS1143" s="17"/>
      <c r="ENT1143" s="17"/>
      <c r="ENU1143" s="17"/>
      <c r="ENV1143" s="17"/>
      <c r="ENW1143" s="17"/>
      <c r="ENX1143" s="17"/>
      <c r="ENY1143" s="17"/>
      <c r="ENZ1143" s="17"/>
      <c r="EOA1143" s="17"/>
      <c r="EOB1143" s="17"/>
      <c r="EOC1143" s="17"/>
      <c r="EOD1143" s="17"/>
      <c r="EOE1143" s="17"/>
      <c r="EOF1143" s="17"/>
      <c r="EOG1143" s="17"/>
      <c r="EOH1143" s="17"/>
      <c r="EOI1143" s="17"/>
      <c r="EOJ1143" s="17"/>
      <c r="EOK1143" s="17"/>
      <c r="EOL1143" s="17"/>
      <c r="EOM1143" s="17"/>
      <c r="EON1143" s="17"/>
      <c r="EOO1143" s="17"/>
      <c r="EOP1143" s="17"/>
      <c r="EOQ1143" s="17"/>
      <c r="EOR1143" s="17"/>
      <c r="EOS1143" s="17"/>
      <c r="EOT1143" s="17"/>
      <c r="EOU1143" s="17"/>
      <c r="EOV1143" s="17"/>
      <c r="EOW1143" s="17"/>
      <c r="EOX1143" s="17"/>
      <c r="EOY1143" s="17"/>
      <c r="EOZ1143" s="17"/>
      <c r="EPA1143" s="17"/>
      <c r="EPB1143" s="17"/>
      <c r="EPC1143" s="17"/>
      <c r="EPD1143" s="17"/>
      <c r="EPE1143" s="17"/>
      <c r="EPF1143" s="17"/>
      <c r="EPG1143" s="17"/>
      <c r="EPH1143" s="17"/>
      <c r="EPI1143" s="17"/>
      <c r="EPJ1143" s="17"/>
      <c r="EPK1143" s="17"/>
      <c r="EPL1143" s="17"/>
      <c r="EPM1143" s="17"/>
      <c r="EPN1143" s="17"/>
      <c r="EPO1143" s="17"/>
      <c r="EPP1143" s="17"/>
      <c r="EPQ1143" s="17"/>
      <c r="EPR1143" s="17"/>
      <c r="EPS1143" s="17"/>
      <c r="EPT1143" s="17"/>
      <c r="EPU1143" s="17"/>
      <c r="EPV1143" s="17"/>
      <c r="EPW1143" s="17"/>
      <c r="EPX1143" s="17"/>
      <c r="EPY1143" s="17"/>
      <c r="EPZ1143" s="17"/>
      <c r="EQA1143" s="17"/>
      <c r="EQB1143" s="17"/>
      <c r="EQC1143" s="17"/>
      <c r="EQD1143" s="17"/>
      <c r="EQE1143" s="17"/>
      <c r="EQF1143" s="17"/>
      <c r="EQG1143" s="17"/>
      <c r="EQH1143" s="17"/>
      <c r="EQI1143" s="17"/>
      <c r="EQJ1143" s="17"/>
      <c r="EQK1143" s="17"/>
      <c r="EQL1143" s="17"/>
      <c r="EQM1143" s="17"/>
      <c r="EQN1143" s="17"/>
      <c r="EQO1143" s="17"/>
      <c r="EQP1143" s="17"/>
      <c r="EQQ1143" s="17"/>
      <c r="EQR1143" s="17"/>
      <c r="EQS1143" s="17"/>
      <c r="EQT1143" s="17"/>
      <c r="EQU1143" s="17"/>
      <c r="EQV1143" s="17"/>
      <c r="EQW1143" s="17"/>
      <c r="EQX1143" s="17"/>
      <c r="EQY1143" s="17"/>
      <c r="EQZ1143" s="17"/>
      <c r="ERA1143" s="17"/>
      <c r="ERB1143" s="17"/>
      <c r="ERC1143" s="17"/>
      <c r="ERD1143" s="17"/>
      <c r="ERE1143" s="17"/>
      <c r="ERF1143" s="17"/>
      <c r="ERG1143" s="17"/>
      <c r="ERH1143" s="17"/>
      <c r="ERI1143" s="17"/>
      <c r="ERJ1143" s="17"/>
      <c r="ERK1143" s="17"/>
      <c r="ERL1143" s="17"/>
      <c r="ERM1143" s="17"/>
      <c r="ERN1143" s="17"/>
      <c r="ERO1143" s="17"/>
      <c r="ERP1143" s="17"/>
      <c r="ERQ1143" s="17"/>
      <c r="ERR1143" s="17"/>
      <c r="ERS1143" s="17"/>
      <c r="ERT1143" s="17"/>
      <c r="ERU1143" s="17"/>
      <c r="ERV1143" s="17"/>
      <c r="ERW1143" s="17"/>
      <c r="ERX1143" s="17"/>
      <c r="ERY1143" s="17"/>
      <c r="ERZ1143" s="17"/>
      <c r="ESA1143" s="17"/>
      <c r="ESB1143" s="17"/>
      <c r="ESC1143" s="17"/>
      <c r="ESD1143" s="17"/>
      <c r="ESE1143" s="17"/>
      <c r="ESF1143" s="17"/>
      <c r="ESG1143" s="17"/>
      <c r="ESH1143" s="17"/>
      <c r="ESI1143" s="17"/>
      <c r="ESJ1143" s="17"/>
      <c r="ESK1143" s="17"/>
      <c r="ESL1143" s="17"/>
      <c r="ESM1143" s="17"/>
      <c r="ESN1143" s="17"/>
      <c r="ESO1143" s="17"/>
      <c r="ESP1143" s="17"/>
      <c r="ESQ1143" s="17"/>
      <c r="ESR1143" s="17"/>
      <c r="ESS1143" s="17"/>
      <c r="EST1143" s="17"/>
      <c r="ESU1143" s="17"/>
      <c r="ESV1143" s="17"/>
      <c r="ESW1143" s="17"/>
      <c r="ESX1143" s="17"/>
      <c r="ESY1143" s="17"/>
      <c r="ESZ1143" s="17"/>
      <c r="ETA1143" s="17"/>
      <c r="ETB1143" s="17"/>
      <c r="ETC1143" s="17"/>
      <c r="ETD1143" s="17"/>
      <c r="ETE1143" s="17"/>
      <c r="ETF1143" s="17"/>
      <c r="ETG1143" s="17"/>
      <c r="ETH1143" s="17"/>
      <c r="ETI1143" s="17"/>
      <c r="ETJ1143" s="17"/>
      <c r="ETK1143" s="17"/>
      <c r="ETL1143" s="17"/>
      <c r="ETM1143" s="17"/>
      <c r="ETN1143" s="17"/>
      <c r="ETO1143" s="17"/>
      <c r="ETP1143" s="17"/>
      <c r="ETQ1143" s="17"/>
      <c r="ETR1143" s="17"/>
      <c r="ETS1143" s="17"/>
      <c r="ETT1143" s="17"/>
      <c r="ETU1143" s="17"/>
      <c r="ETV1143" s="17"/>
      <c r="ETW1143" s="17"/>
      <c r="ETX1143" s="17"/>
      <c r="ETY1143" s="17"/>
      <c r="ETZ1143" s="17"/>
      <c r="EUA1143" s="17"/>
      <c r="EUB1143" s="17"/>
      <c r="EUC1143" s="17"/>
      <c r="EUD1143" s="17"/>
      <c r="EUE1143" s="17"/>
      <c r="EUF1143" s="17"/>
      <c r="EUG1143" s="17"/>
      <c r="EUH1143" s="17"/>
      <c r="EUI1143" s="17"/>
      <c r="EUJ1143" s="17"/>
      <c r="EUK1143" s="17"/>
      <c r="EUL1143" s="17"/>
      <c r="EUM1143" s="17"/>
      <c r="EUN1143" s="17"/>
      <c r="EUO1143" s="17"/>
      <c r="EUP1143" s="17"/>
      <c r="EUQ1143" s="17"/>
      <c r="EUR1143" s="17"/>
      <c r="EUS1143" s="17"/>
      <c r="EUT1143" s="17"/>
      <c r="EUU1143" s="17"/>
      <c r="EUV1143" s="17"/>
      <c r="EUW1143" s="17"/>
      <c r="EUX1143" s="17"/>
      <c r="EUY1143" s="17"/>
      <c r="EUZ1143" s="17"/>
      <c r="EVA1143" s="17"/>
      <c r="EVB1143" s="17"/>
      <c r="EVC1143" s="17"/>
      <c r="EVD1143" s="17"/>
      <c r="EVE1143" s="17"/>
      <c r="EVF1143" s="17"/>
      <c r="EVG1143" s="17"/>
      <c r="EVH1143" s="17"/>
      <c r="EVI1143" s="17"/>
      <c r="EVJ1143" s="17"/>
      <c r="EVK1143" s="17"/>
      <c r="EVL1143" s="17"/>
      <c r="EVM1143" s="17"/>
      <c r="EVN1143" s="17"/>
      <c r="EVO1143" s="17"/>
      <c r="EVP1143" s="17"/>
      <c r="EVQ1143" s="17"/>
      <c r="EVR1143" s="17"/>
      <c r="EVS1143" s="17"/>
      <c r="EVT1143" s="17"/>
      <c r="EVU1143" s="17"/>
      <c r="EVV1143" s="17"/>
      <c r="EVW1143" s="17"/>
      <c r="EVX1143" s="17"/>
      <c r="EVY1143" s="17"/>
      <c r="EVZ1143" s="17"/>
      <c r="EWA1143" s="17"/>
      <c r="EWB1143" s="17"/>
      <c r="EWC1143" s="17"/>
      <c r="EWD1143" s="17"/>
      <c r="EWE1143" s="17"/>
      <c r="EWF1143" s="17"/>
      <c r="EWG1143" s="17"/>
      <c r="EWH1143" s="17"/>
      <c r="EWI1143" s="17"/>
      <c r="EWJ1143" s="17"/>
      <c r="EWK1143" s="17"/>
      <c r="EWL1143" s="17"/>
      <c r="EWM1143" s="17"/>
      <c r="EWN1143" s="17"/>
      <c r="EWO1143" s="17"/>
      <c r="EWP1143" s="17"/>
      <c r="EWQ1143" s="17"/>
      <c r="EWR1143" s="17"/>
      <c r="EWS1143" s="17"/>
      <c r="EWT1143" s="17"/>
      <c r="EWU1143" s="17"/>
      <c r="EWV1143" s="17"/>
      <c r="EWW1143" s="17"/>
      <c r="EWX1143" s="17"/>
      <c r="EWY1143" s="17"/>
      <c r="EWZ1143" s="17"/>
      <c r="EXA1143" s="17"/>
      <c r="EXB1143" s="17"/>
      <c r="EXC1143" s="17"/>
      <c r="EXD1143" s="17"/>
      <c r="EXE1143" s="17"/>
      <c r="EXF1143" s="17"/>
      <c r="EXG1143" s="17"/>
      <c r="EXH1143" s="17"/>
      <c r="EXI1143" s="17"/>
      <c r="EXJ1143" s="17"/>
      <c r="EXK1143" s="17"/>
      <c r="EXL1143" s="17"/>
      <c r="EXM1143" s="17"/>
      <c r="EXN1143" s="17"/>
      <c r="EXO1143" s="17"/>
      <c r="EXP1143" s="17"/>
      <c r="EXQ1143" s="17"/>
      <c r="EXR1143" s="17"/>
      <c r="EXS1143" s="17"/>
      <c r="EXT1143" s="17"/>
      <c r="EXU1143" s="17"/>
      <c r="EXV1143" s="17"/>
      <c r="EXW1143" s="17"/>
      <c r="EXX1143" s="17"/>
      <c r="EXY1143" s="17"/>
      <c r="EXZ1143" s="17"/>
      <c r="EYA1143" s="17"/>
      <c r="EYB1143" s="17"/>
      <c r="EYC1143" s="17"/>
      <c r="EYD1143" s="17"/>
      <c r="EYE1143" s="17"/>
      <c r="EYF1143" s="17"/>
      <c r="EYG1143" s="17"/>
      <c r="EYH1143" s="17"/>
      <c r="EYI1143" s="17"/>
      <c r="EYJ1143" s="17"/>
      <c r="EYK1143" s="17"/>
      <c r="EYL1143" s="17"/>
      <c r="EYM1143" s="17"/>
      <c r="EYN1143" s="17"/>
      <c r="EYO1143" s="17"/>
      <c r="EYP1143" s="17"/>
      <c r="EYQ1143" s="17"/>
      <c r="EYR1143" s="17"/>
      <c r="EYS1143" s="17"/>
      <c r="EYT1143" s="17"/>
      <c r="EYU1143" s="17"/>
      <c r="EYV1143" s="17"/>
      <c r="EYW1143" s="17"/>
      <c r="EYX1143" s="17"/>
      <c r="EYY1143" s="17"/>
      <c r="EYZ1143" s="17"/>
      <c r="EZA1143" s="17"/>
      <c r="EZB1143" s="17"/>
      <c r="EZC1143" s="17"/>
      <c r="EZD1143" s="17"/>
      <c r="EZE1143" s="17"/>
      <c r="EZF1143" s="17"/>
      <c r="EZG1143" s="17"/>
      <c r="EZH1143" s="17"/>
      <c r="EZI1143" s="17"/>
      <c r="EZJ1143" s="17"/>
      <c r="EZK1143" s="17"/>
      <c r="EZL1143" s="17"/>
      <c r="EZM1143" s="17"/>
      <c r="EZN1143" s="17"/>
      <c r="EZO1143" s="17"/>
      <c r="EZP1143" s="17"/>
      <c r="EZQ1143" s="17"/>
      <c r="EZR1143" s="17"/>
      <c r="EZS1143" s="17"/>
      <c r="EZT1143" s="17"/>
      <c r="EZU1143" s="17"/>
      <c r="EZV1143" s="17"/>
      <c r="EZW1143" s="17"/>
      <c r="EZX1143" s="17"/>
      <c r="EZY1143" s="17"/>
      <c r="EZZ1143" s="17"/>
      <c r="FAA1143" s="17"/>
      <c r="FAB1143" s="17"/>
      <c r="FAC1143" s="17"/>
      <c r="FAD1143" s="17"/>
      <c r="FAE1143" s="17"/>
      <c r="FAF1143" s="17"/>
      <c r="FAG1143" s="17"/>
      <c r="FAH1143" s="17"/>
      <c r="FAI1143" s="17"/>
      <c r="FAJ1143" s="17"/>
      <c r="FAK1143" s="17"/>
      <c r="FAL1143" s="17"/>
      <c r="FAM1143" s="17"/>
      <c r="FAN1143" s="17"/>
      <c r="FAO1143" s="17"/>
      <c r="FAP1143" s="17"/>
      <c r="FAQ1143" s="17"/>
      <c r="FAR1143" s="17"/>
      <c r="FAS1143" s="17"/>
      <c r="FAT1143" s="17"/>
      <c r="FAU1143" s="17"/>
      <c r="FAV1143" s="17"/>
      <c r="FAW1143" s="17"/>
      <c r="FAX1143" s="17"/>
      <c r="FAY1143" s="17"/>
      <c r="FAZ1143" s="17"/>
      <c r="FBA1143" s="17"/>
      <c r="FBB1143" s="17"/>
      <c r="FBC1143" s="17"/>
      <c r="FBD1143" s="17"/>
      <c r="FBE1143" s="17"/>
      <c r="FBF1143" s="17"/>
      <c r="FBG1143" s="17"/>
      <c r="FBH1143" s="17"/>
      <c r="FBI1143" s="17"/>
      <c r="FBJ1143" s="17"/>
      <c r="FBK1143" s="17"/>
      <c r="FBL1143" s="17"/>
      <c r="FBM1143" s="17"/>
      <c r="FBN1143" s="17"/>
      <c r="FBO1143" s="17"/>
      <c r="FBP1143" s="17"/>
      <c r="FBQ1143" s="17"/>
      <c r="FBR1143" s="17"/>
      <c r="FBS1143" s="17"/>
      <c r="FBT1143" s="17"/>
      <c r="FBU1143" s="17"/>
      <c r="FBV1143" s="17"/>
      <c r="FBW1143" s="17"/>
      <c r="FBX1143" s="17"/>
      <c r="FBY1143" s="17"/>
      <c r="FBZ1143" s="17"/>
      <c r="FCA1143" s="17"/>
      <c r="FCB1143" s="17"/>
      <c r="FCC1143" s="17"/>
      <c r="FCD1143" s="17"/>
      <c r="FCE1143" s="17"/>
      <c r="FCF1143" s="17"/>
      <c r="FCG1143" s="17"/>
      <c r="FCH1143" s="17"/>
      <c r="FCI1143" s="17"/>
      <c r="FCJ1143" s="17"/>
      <c r="FCK1143" s="17"/>
      <c r="FCL1143" s="17"/>
      <c r="FCM1143" s="17"/>
      <c r="FCN1143" s="17"/>
      <c r="FCO1143" s="17"/>
      <c r="FCP1143" s="17"/>
      <c r="FCQ1143" s="17"/>
      <c r="FCR1143" s="17"/>
      <c r="FCS1143" s="17"/>
      <c r="FCT1143" s="17"/>
      <c r="FCU1143" s="17"/>
      <c r="FCV1143" s="17"/>
      <c r="FCW1143" s="17"/>
      <c r="FCX1143" s="17"/>
      <c r="FCY1143" s="17"/>
      <c r="FCZ1143" s="17"/>
      <c r="FDA1143" s="17"/>
      <c r="FDB1143" s="17"/>
      <c r="FDC1143" s="17"/>
      <c r="FDD1143" s="17"/>
      <c r="FDE1143" s="17"/>
      <c r="FDF1143" s="17"/>
      <c r="FDG1143" s="17"/>
      <c r="FDH1143" s="17"/>
      <c r="FDI1143" s="17"/>
      <c r="FDJ1143" s="17"/>
      <c r="FDK1143" s="17"/>
      <c r="FDL1143" s="17"/>
      <c r="FDM1143" s="17"/>
      <c r="FDN1143" s="17"/>
      <c r="FDO1143" s="17"/>
      <c r="FDP1143" s="17"/>
      <c r="FDQ1143" s="17"/>
      <c r="FDR1143" s="17"/>
      <c r="FDS1143" s="17"/>
      <c r="FDT1143" s="17"/>
      <c r="FDU1143" s="17"/>
      <c r="FDV1143" s="17"/>
      <c r="FDW1143" s="17"/>
      <c r="FDX1143" s="17"/>
      <c r="FDY1143" s="17"/>
      <c r="FDZ1143" s="17"/>
      <c r="FEA1143" s="17"/>
      <c r="FEB1143" s="17"/>
      <c r="FEC1143" s="17"/>
      <c r="FED1143" s="17"/>
      <c r="FEE1143" s="17"/>
      <c r="FEF1143" s="17"/>
      <c r="FEG1143" s="17"/>
      <c r="FEH1143" s="17"/>
      <c r="FEI1143" s="17"/>
      <c r="FEJ1143" s="17"/>
      <c r="FEK1143" s="17"/>
      <c r="FEL1143" s="17"/>
      <c r="FEM1143" s="17"/>
      <c r="FEN1143" s="17"/>
      <c r="FEO1143" s="17"/>
      <c r="FEP1143" s="17"/>
      <c r="FEQ1143" s="17"/>
      <c r="FER1143" s="17"/>
      <c r="FES1143" s="17"/>
      <c r="FET1143" s="17"/>
      <c r="FEU1143" s="17"/>
      <c r="FEV1143" s="17"/>
      <c r="FEW1143" s="17"/>
      <c r="FEX1143" s="17"/>
      <c r="FEY1143" s="17"/>
      <c r="FEZ1143" s="17"/>
      <c r="FFA1143" s="17"/>
      <c r="FFB1143" s="17"/>
      <c r="FFC1143" s="17"/>
      <c r="FFD1143" s="17"/>
      <c r="FFE1143" s="17"/>
      <c r="FFF1143" s="17"/>
      <c r="FFG1143" s="17"/>
      <c r="FFH1143" s="17"/>
      <c r="FFI1143" s="17"/>
      <c r="FFJ1143" s="17"/>
      <c r="FFK1143" s="17"/>
      <c r="FFL1143" s="17"/>
      <c r="FFM1143" s="17"/>
      <c r="FFN1143" s="17"/>
      <c r="FFO1143" s="17"/>
      <c r="FFP1143" s="17"/>
      <c r="FFQ1143" s="17"/>
      <c r="FFR1143" s="17"/>
      <c r="FFS1143" s="17"/>
      <c r="FFT1143" s="17"/>
      <c r="FFU1143" s="17"/>
      <c r="FFV1143" s="17"/>
      <c r="FFW1143" s="17"/>
      <c r="FFX1143" s="17"/>
      <c r="FFY1143" s="17"/>
      <c r="FFZ1143" s="17"/>
      <c r="FGA1143" s="17"/>
      <c r="FGB1143" s="17"/>
      <c r="FGC1143" s="17"/>
      <c r="FGD1143" s="17"/>
      <c r="FGE1143" s="17"/>
      <c r="FGF1143" s="17"/>
      <c r="FGG1143" s="17"/>
      <c r="FGH1143" s="17"/>
      <c r="FGI1143" s="17"/>
      <c r="FGJ1143" s="17"/>
      <c r="FGK1143" s="17"/>
      <c r="FGL1143" s="17"/>
      <c r="FGM1143" s="17"/>
      <c r="FGN1143" s="17"/>
      <c r="FGO1143" s="17"/>
      <c r="FGP1143" s="17"/>
      <c r="FGQ1143" s="17"/>
      <c r="FGR1143" s="17"/>
      <c r="FGS1143" s="17"/>
      <c r="FGT1143" s="17"/>
      <c r="FGU1143" s="17"/>
      <c r="FGV1143" s="17"/>
      <c r="FGW1143" s="17"/>
      <c r="FGX1143" s="17"/>
      <c r="FGY1143" s="17"/>
      <c r="FGZ1143" s="17"/>
      <c r="FHA1143" s="17"/>
      <c r="FHB1143" s="17"/>
      <c r="FHC1143" s="17"/>
      <c r="FHD1143" s="17"/>
      <c r="FHE1143" s="17"/>
      <c r="FHF1143" s="17"/>
      <c r="FHG1143" s="17"/>
      <c r="FHH1143" s="17"/>
      <c r="FHI1143" s="17"/>
      <c r="FHJ1143" s="17"/>
      <c r="FHK1143" s="17"/>
      <c r="FHL1143" s="17"/>
      <c r="FHM1143" s="17"/>
      <c r="FHN1143" s="17"/>
      <c r="FHO1143" s="17"/>
      <c r="FHP1143" s="17"/>
      <c r="FHQ1143" s="17"/>
      <c r="FHR1143" s="17"/>
      <c r="FHS1143" s="17"/>
      <c r="FHT1143" s="17"/>
      <c r="FHU1143" s="17"/>
      <c r="FHV1143" s="17"/>
      <c r="FHW1143" s="17"/>
      <c r="FHX1143" s="17"/>
      <c r="FHY1143" s="17"/>
      <c r="FHZ1143" s="17"/>
      <c r="FIA1143" s="17"/>
      <c r="FIB1143" s="17"/>
      <c r="FIC1143" s="17"/>
      <c r="FID1143" s="17"/>
      <c r="FIE1143" s="17"/>
      <c r="FIF1143" s="17"/>
      <c r="FIG1143" s="17"/>
      <c r="FIH1143" s="17"/>
      <c r="FII1143" s="17"/>
      <c r="FIJ1143" s="17"/>
      <c r="FIK1143" s="17"/>
      <c r="FIL1143" s="17"/>
      <c r="FIM1143" s="17"/>
      <c r="FIN1143" s="17"/>
      <c r="FIO1143" s="17"/>
      <c r="FIP1143" s="17"/>
      <c r="FIQ1143" s="17"/>
      <c r="FIR1143" s="17"/>
      <c r="FIS1143" s="17"/>
      <c r="FIT1143" s="17"/>
      <c r="FIU1143" s="17"/>
      <c r="FIV1143" s="17"/>
      <c r="FIW1143" s="17"/>
      <c r="FIX1143" s="17"/>
      <c r="FIY1143" s="17"/>
      <c r="FIZ1143" s="17"/>
      <c r="FJA1143" s="17"/>
      <c r="FJB1143" s="17"/>
      <c r="FJC1143" s="17"/>
      <c r="FJD1143" s="17"/>
      <c r="FJE1143" s="17"/>
      <c r="FJF1143" s="17"/>
      <c r="FJG1143" s="17"/>
      <c r="FJH1143" s="17"/>
      <c r="FJI1143" s="17"/>
      <c r="FJJ1143" s="17"/>
      <c r="FJK1143" s="17"/>
      <c r="FJL1143" s="17"/>
      <c r="FJM1143" s="17"/>
      <c r="FJN1143" s="17"/>
      <c r="FJO1143" s="17"/>
      <c r="FJP1143" s="17"/>
      <c r="FJQ1143" s="17"/>
      <c r="FJR1143" s="17"/>
      <c r="FJS1143" s="17"/>
      <c r="FJT1143" s="17"/>
      <c r="FJU1143" s="17"/>
      <c r="FJV1143" s="17"/>
      <c r="FJW1143" s="17"/>
      <c r="FJX1143" s="17"/>
      <c r="FJY1143" s="17"/>
      <c r="FJZ1143" s="17"/>
      <c r="FKA1143" s="17"/>
      <c r="FKB1143" s="17"/>
      <c r="FKC1143" s="17"/>
      <c r="FKD1143" s="17"/>
      <c r="FKE1143" s="17"/>
      <c r="FKF1143" s="17"/>
      <c r="FKG1143" s="17"/>
      <c r="FKH1143" s="17"/>
      <c r="FKI1143" s="17"/>
      <c r="FKJ1143" s="17"/>
      <c r="FKK1143" s="17"/>
      <c r="FKL1143" s="17"/>
      <c r="FKM1143" s="17"/>
      <c r="FKN1143" s="17"/>
      <c r="FKO1143" s="17"/>
      <c r="FKP1143" s="17"/>
      <c r="FKQ1143" s="17"/>
      <c r="FKR1143" s="17"/>
      <c r="FKS1143" s="17"/>
      <c r="FKT1143" s="17"/>
      <c r="FKU1143" s="17"/>
      <c r="FKV1143" s="17"/>
      <c r="FKW1143" s="17"/>
      <c r="FKX1143" s="17"/>
      <c r="FKY1143" s="17"/>
      <c r="FKZ1143" s="17"/>
      <c r="FLA1143" s="17"/>
      <c r="FLB1143" s="17"/>
      <c r="FLC1143" s="17"/>
      <c r="FLD1143" s="17"/>
      <c r="FLE1143" s="17"/>
      <c r="FLF1143" s="17"/>
      <c r="FLG1143" s="17"/>
      <c r="FLH1143" s="17"/>
      <c r="FLI1143" s="17"/>
      <c r="FLJ1143" s="17"/>
      <c r="FLK1143" s="17"/>
      <c r="FLL1143" s="17"/>
      <c r="FLM1143" s="17"/>
      <c r="FLN1143" s="17"/>
      <c r="FLO1143" s="17"/>
      <c r="FLP1143" s="17"/>
      <c r="FLQ1143" s="17"/>
      <c r="FLR1143" s="17"/>
      <c r="FLS1143" s="17"/>
      <c r="FLT1143" s="17"/>
      <c r="FLU1143" s="17"/>
      <c r="FLV1143" s="17"/>
      <c r="FLW1143" s="17"/>
      <c r="FLX1143" s="17"/>
      <c r="FLY1143" s="17"/>
      <c r="FLZ1143" s="17"/>
      <c r="FMA1143" s="17"/>
      <c r="FMB1143" s="17"/>
      <c r="FMC1143" s="17"/>
      <c r="FMD1143" s="17"/>
      <c r="FME1143" s="17"/>
      <c r="FMF1143" s="17"/>
      <c r="FMG1143" s="17"/>
      <c r="FMH1143" s="17"/>
      <c r="FMI1143" s="17"/>
      <c r="FMJ1143" s="17"/>
      <c r="FMK1143" s="17"/>
      <c r="FML1143" s="17"/>
      <c r="FMM1143" s="17"/>
      <c r="FMN1143" s="17"/>
      <c r="FMO1143" s="17"/>
      <c r="FMP1143" s="17"/>
      <c r="FMQ1143" s="17"/>
      <c r="FMR1143" s="17"/>
      <c r="FMS1143" s="17"/>
      <c r="FMT1143" s="17"/>
      <c r="FMU1143" s="17"/>
      <c r="FMV1143" s="17"/>
      <c r="FMW1143" s="17"/>
      <c r="FMX1143" s="17"/>
      <c r="FMY1143" s="17"/>
      <c r="FMZ1143" s="17"/>
      <c r="FNA1143" s="17"/>
      <c r="FNB1143" s="17"/>
      <c r="FNC1143" s="17"/>
      <c r="FND1143" s="17"/>
      <c r="FNE1143" s="17"/>
      <c r="FNF1143" s="17"/>
      <c r="FNG1143" s="17"/>
      <c r="FNH1143" s="17"/>
      <c r="FNI1143" s="17"/>
      <c r="FNJ1143" s="17"/>
      <c r="FNK1143" s="17"/>
      <c r="FNL1143" s="17"/>
      <c r="FNM1143" s="17"/>
      <c r="FNN1143" s="17"/>
      <c r="FNO1143" s="17"/>
      <c r="FNP1143" s="17"/>
      <c r="FNQ1143" s="17"/>
      <c r="FNR1143" s="17"/>
      <c r="FNS1143" s="17"/>
      <c r="FNT1143" s="17"/>
      <c r="FNU1143" s="17"/>
      <c r="FNV1143" s="17"/>
      <c r="FNW1143" s="17"/>
      <c r="FNX1143" s="17"/>
      <c r="FNY1143" s="17"/>
      <c r="FNZ1143" s="17"/>
      <c r="FOA1143" s="17"/>
      <c r="FOB1143" s="17"/>
      <c r="FOC1143" s="17"/>
      <c r="FOD1143" s="17"/>
      <c r="FOE1143" s="17"/>
      <c r="FOF1143" s="17"/>
      <c r="FOG1143" s="17"/>
      <c r="FOH1143" s="17"/>
      <c r="FOI1143" s="17"/>
      <c r="FOJ1143" s="17"/>
      <c r="FOK1143" s="17"/>
      <c r="FOL1143" s="17"/>
      <c r="FOM1143" s="17"/>
      <c r="FON1143" s="17"/>
      <c r="FOO1143" s="17"/>
      <c r="FOP1143" s="17"/>
      <c r="FOQ1143" s="17"/>
      <c r="FOR1143" s="17"/>
      <c r="FOS1143" s="17"/>
      <c r="FOT1143" s="17"/>
      <c r="FOU1143" s="17"/>
      <c r="FOV1143" s="17"/>
      <c r="FOW1143" s="17"/>
      <c r="FOX1143" s="17"/>
      <c r="FOY1143" s="17"/>
      <c r="FOZ1143" s="17"/>
      <c r="FPA1143" s="17"/>
      <c r="FPB1143" s="17"/>
      <c r="FPC1143" s="17"/>
      <c r="FPD1143" s="17"/>
      <c r="FPE1143" s="17"/>
      <c r="FPF1143" s="17"/>
      <c r="FPG1143" s="17"/>
      <c r="FPH1143" s="17"/>
      <c r="FPI1143" s="17"/>
      <c r="FPJ1143" s="17"/>
      <c r="FPK1143" s="17"/>
      <c r="FPL1143" s="17"/>
      <c r="FPM1143" s="17"/>
      <c r="FPN1143" s="17"/>
      <c r="FPO1143" s="17"/>
      <c r="FPP1143" s="17"/>
      <c r="FPQ1143" s="17"/>
      <c r="FPR1143" s="17"/>
      <c r="FPS1143" s="17"/>
      <c r="FPT1143" s="17"/>
      <c r="FPU1143" s="17"/>
      <c r="FPV1143" s="17"/>
      <c r="FPW1143" s="17"/>
      <c r="FPX1143" s="17"/>
      <c r="FPY1143" s="17"/>
      <c r="FPZ1143" s="17"/>
      <c r="FQA1143" s="17"/>
      <c r="FQB1143" s="17"/>
      <c r="FQC1143" s="17"/>
      <c r="FQD1143" s="17"/>
      <c r="FQE1143" s="17"/>
      <c r="FQF1143" s="17"/>
      <c r="FQG1143" s="17"/>
      <c r="FQH1143" s="17"/>
      <c r="FQI1143" s="17"/>
      <c r="FQJ1143" s="17"/>
      <c r="FQK1143" s="17"/>
      <c r="FQL1143" s="17"/>
      <c r="FQM1143" s="17"/>
      <c r="FQN1143" s="17"/>
      <c r="FQO1143" s="17"/>
      <c r="FQP1143" s="17"/>
      <c r="FQQ1143" s="17"/>
      <c r="FQR1143" s="17"/>
      <c r="FQS1143" s="17"/>
      <c r="FQT1143" s="17"/>
      <c r="FQU1143" s="17"/>
      <c r="FQV1143" s="17"/>
      <c r="FQW1143" s="17"/>
      <c r="FQX1143" s="17"/>
      <c r="FQY1143" s="17"/>
      <c r="FQZ1143" s="17"/>
      <c r="FRA1143" s="17"/>
      <c r="FRB1143" s="17"/>
      <c r="FRC1143" s="17"/>
      <c r="FRD1143" s="17"/>
      <c r="FRE1143" s="17"/>
      <c r="FRF1143" s="17"/>
      <c r="FRG1143" s="17"/>
      <c r="FRH1143" s="17"/>
      <c r="FRI1143" s="17"/>
      <c r="FRJ1143" s="17"/>
      <c r="FRK1143" s="17"/>
      <c r="FRL1143" s="17"/>
      <c r="FRM1143" s="17"/>
      <c r="FRN1143" s="17"/>
      <c r="FRO1143" s="17"/>
      <c r="FRP1143" s="17"/>
      <c r="FRQ1143" s="17"/>
      <c r="FRR1143" s="17"/>
      <c r="FRS1143" s="17"/>
      <c r="FRT1143" s="17"/>
      <c r="FRU1143" s="17"/>
      <c r="FRV1143" s="17"/>
      <c r="FRW1143" s="17"/>
      <c r="FRX1143" s="17"/>
      <c r="FRY1143" s="17"/>
      <c r="FRZ1143" s="17"/>
      <c r="FSA1143" s="17"/>
      <c r="FSB1143" s="17"/>
      <c r="FSC1143" s="17"/>
      <c r="FSD1143" s="17"/>
      <c r="FSE1143" s="17"/>
      <c r="FSF1143" s="17"/>
      <c r="FSG1143" s="17"/>
      <c r="FSH1143" s="17"/>
      <c r="FSI1143" s="17"/>
      <c r="FSJ1143" s="17"/>
      <c r="FSK1143" s="17"/>
      <c r="FSL1143" s="17"/>
      <c r="FSM1143" s="17"/>
      <c r="FSN1143" s="17"/>
      <c r="FSO1143" s="17"/>
      <c r="FSP1143" s="17"/>
      <c r="FSQ1143" s="17"/>
      <c r="FSR1143" s="17"/>
      <c r="FSS1143" s="17"/>
      <c r="FST1143" s="17"/>
      <c r="FSU1143" s="17"/>
      <c r="FSV1143" s="17"/>
      <c r="FSW1143" s="17"/>
      <c r="FSX1143" s="17"/>
      <c r="FSY1143" s="17"/>
      <c r="FSZ1143" s="17"/>
      <c r="FTA1143" s="17"/>
      <c r="FTB1143" s="17"/>
      <c r="FTC1143" s="17"/>
      <c r="FTD1143" s="17"/>
      <c r="FTE1143" s="17"/>
      <c r="FTF1143" s="17"/>
      <c r="FTG1143" s="17"/>
      <c r="FTH1143" s="17"/>
      <c r="FTI1143" s="17"/>
      <c r="FTJ1143" s="17"/>
      <c r="FTK1143" s="17"/>
      <c r="FTL1143" s="17"/>
      <c r="FTM1143" s="17"/>
      <c r="FTN1143" s="17"/>
      <c r="FTO1143" s="17"/>
      <c r="FTP1143" s="17"/>
      <c r="FTQ1143" s="17"/>
      <c r="FTR1143" s="17"/>
      <c r="FTS1143" s="17"/>
      <c r="FTT1143" s="17"/>
      <c r="FTU1143" s="17"/>
      <c r="FTV1143" s="17"/>
      <c r="FTW1143" s="17"/>
      <c r="FTX1143" s="17"/>
      <c r="FTY1143" s="17"/>
      <c r="FTZ1143" s="17"/>
      <c r="FUA1143" s="17"/>
      <c r="FUB1143" s="17"/>
      <c r="FUC1143" s="17"/>
      <c r="FUD1143" s="17"/>
      <c r="FUE1143" s="17"/>
      <c r="FUF1143" s="17"/>
      <c r="FUG1143" s="17"/>
      <c r="FUH1143" s="17"/>
      <c r="FUI1143" s="17"/>
      <c r="FUJ1143" s="17"/>
      <c r="FUK1143" s="17"/>
      <c r="FUL1143" s="17"/>
      <c r="FUM1143" s="17"/>
      <c r="FUN1143" s="17"/>
      <c r="FUO1143" s="17"/>
      <c r="FUP1143" s="17"/>
      <c r="FUQ1143" s="17"/>
      <c r="FUR1143" s="17"/>
      <c r="FUS1143" s="17"/>
      <c r="FUT1143" s="17"/>
      <c r="FUU1143" s="17"/>
      <c r="FUV1143" s="17"/>
      <c r="FUW1143" s="17"/>
      <c r="FUX1143" s="17"/>
      <c r="FUY1143" s="17"/>
      <c r="FUZ1143" s="17"/>
      <c r="FVA1143" s="17"/>
      <c r="FVB1143" s="17"/>
      <c r="FVC1143" s="17"/>
      <c r="FVD1143" s="17"/>
      <c r="FVE1143" s="17"/>
      <c r="FVF1143" s="17"/>
      <c r="FVG1143" s="17"/>
      <c r="FVH1143" s="17"/>
      <c r="FVI1143" s="17"/>
      <c r="FVJ1143" s="17"/>
      <c r="FVK1143" s="17"/>
      <c r="FVL1143" s="17"/>
      <c r="FVM1143" s="17"/>
      <c r="FVN1143" s="17"/>
      <c r="FVO1143" s="17"/>
      <c r="FVP1143" s="17"/>
      <c r="FVQ1143" s="17"/>
      <c r="FVR1143" s="17"/>
      <c r="FVS1143" s="17"/>
      <c r="FVT1143" s="17"/>
      <c r="FVU1143" s="17"/>
      <c r="FVV1143" s="17"/>
      <c r="FVW1143" s="17"/>
      <c r="FVX1143" s="17"/>
      <c r="FVY1143" s="17"/>
      <c r="FVZ1143" s="17"/>
      <c r="FWA1143" s="17"/>
      <c r="FWB1143" s="17"/>
      <c r="FWC1143" s="17"/>
      <c r="FWD1143" s="17"/>
      <c r="FWE1143" s="17"/>
      <c r="FWF1143" s="17"/>
      <c r="FWG1143" s="17"/>
      <c r="FWH1143" s="17"/>
      <c r="FWI1143" s="17"/>
      <c r="FWJ1143" s="17"/>
      <c r="FWK1143" s="17"/>
      <c r="FWL1143" s="17"/>
      <c r="FWM1143" s="17"/>
      <c r="FWN1143" s="17"/>
      <c r="FWO1143" s="17"/>
      <c r="FWP1143" s="17"/>
      <c r="FWQ1143" s="17"/>
      <c r="FWR1143" s="17"/>
      <c r="FWS1143" s="17"/>
      <c r="FWT1143" s="17"/>
      <c r="FWU1143" s="17"/>
      <c r="FWV1143" s="17"/>
      <c r="FWW1143" s="17"/>
      <c r="FWX1143" s="17"/>
      <c r="FWY1143" s="17"/>
      <c r="FWZ1143" s="17"/>
      <c r="FXA1143" s="17"/>
      <c r="FXB1143" s="17"/>
      <c r="FXC1143" s="17"/>
      <c r="FXD1143" s="17"/>
      <c r="FXE1143" s="17"/>
      <c r="FXF1143" s="17"/>
      <c r="FXG1143" s="17"/>
      <c r="FXH1143" s="17"/>
      <c r="FXI1143" s="17"/>
      <c r="FXJ1143" s="17"/>
      <c r="FXK1143" s="17"/>
      <c r="FXL1143" s="17"/>
      <c r="FXM1143" s="17"/>
      <c r="FXN1143" s="17"/>
      <c r="FXO1143" s="17"/>
      <c r="FXP1143" s="17"/>
      <c r="FXQ1143" s="17"/>
      <c r="FXR1143" s="17"/>
      <c r="FXS1143" s="17"/>
      <c r="FXT1143" s="17"/>
      <c r="FXU1143" s="17"/>
      <c r="FXV1143" s="17"/>
      <c r="FXW1143" s="17"/>
      <c r="FXX1143" s="17"/>
      <c r="FXY1143" s="17"/>
      <c r="FXZ1143" s="17"/>
      <c r="FYA1143" s="17"/>
      <c r="FYB1143" s="17"/>
      <c r="FYC1143" s="17"/>
      <c r="FYD1143" s="17"/>
      <c r="FYE1143" s="17"/>
      <c r="FYF1143" s="17"/>
      <c r="FYG1143" s="17"/>
      <c r="FYH1143" s="17"/>
      <c r="FYI1143" s="17"/>
      <c r="FYJ1143" s="17"/>
      <c r="FYK1143" s="17"/>
      <c r="FYL1143" s="17"/>
      <c r="FYM1143" s="17"/>
      <c r="FYN1143" s="17"/>
      <c r="FYO1143" s="17"/>
      <c r="FYP1143" s="17"/>
      <c r="FYQ1143" s="17"/>
      <c r="FYR1143" s="17"/>
      <c r="FYS1143" s="17"/>
      <c r="FYT1143" s="17"/>
      <c r="FYU1143" s="17"/>
      <c r="FYV1143" s="17"/>
      <c r="FYW1143" s="17"/>
      <c r="FYX1143" s="17"/>
      <c r="FYY1143" s="17"/>
      <c r="FYZ1143" s="17"/>
      <c r="FZA1143" s="17"/>
      <c r="FZB1143" s="17"/>
      <c r="FZC1143" s="17"/>
      <c r="FZD1143" s="17"/>
      <c r="FZE1143" s="17"/>
      <c r="FZF1143" s="17"/>
      <c r="FZG1143" s="17"/>
      <c r="FZH1143" s="17"/>
      <c r="FZI1143" s="17"/>
      <c r="FZJ1143" s="17"/>
      <c r="FZK1143" s="17"/>
      <c r="FZL1143" s="17"/>
      <c r="FZM1143" s="17"/>
      <c r="FZN1143" s="17"/>
      <c r="FZO1143" s="17"/>
      <c r="FZP1143" s="17"/>
      <c r="FZQ1143" s="17"/>
      <c r="FZR1143" s="17"/>
      <c r="FZS1143" s="17"/>
      <c r="FZT1143" s="17"/>
      <c r="FZU1143" s="17"/>
      <c r="FZV1143" s="17"/>
      <c r="FZW1143" s="17"/>
      <c r="FZX1143" s="17"/>
      <c r="FZY1143" s="17"/>
      <c r="FZZ1143" s="17"/>
      <c r="GAA1143" s="17"/>
      <c r="GAB1143" s="17"/>
      <c r="GAC1143" s="17"/>
      <c r="GAD1143" s="17"/>
      <c r="GAE1143" s="17"/>
      <c r="GAF1143" s="17"/>
      <c r="GAG1143" s="17"/>
      <c r="GAH1143" s="17"/>
      <c r="GAI1143" s="17"/>
      <c r="GAJ1143" s="17"/>
      <c r="GAK1143" s="17"/>
      <c r="GAL1143" s="17"/>
      <c r="GAM1143" s="17"/>
      <c r="GAN1143" s="17"/>
      <c r="GAO1143" s="17"/>
      <c r="GAP1143" s="17"/>
      <c r="GAQ1143" s="17"/>
      <c r="GAR1143" s="17"/>
      <c r="GAS1143" s="17"/>
      <c r="GAT1143" s="17"/>
      <c r="GAU1143" s="17"/>
      <c r="GAV1143" s="17"/>
      <c r="GAW1143" s="17"/>
      <c r="GAX1143" s="17"/>
      <c r="GAY1143" s="17"/>
      <c r="GAZ1143" s="17"/>
      <c r="GBA1143" s="17"/>
      <c r="GBB1143" s="17"/>
      <c r="GBC1143" s="17"/>
      <c r="GBD1143" s="17"/>
      <c r="GBE1143" s="17"/>
      <c r="GBF1143" s="17"/>
      <c r="GBG1143" s="17"/>
      <c r="GBH1143" s="17"/>
      <c r="GBI1143" s="17"/>
      <c r="GBJ1143" s="17"/>
      <c r="GBK1143" s="17"/>
      <c r="GBL1143" s="17"/>
      <c r="GBM1143" s="17"/>
      <c r="GBN1143" s="17"/>
      <c r="GBO1143" s="17"/>
      <c r="GBP1143" s="17"/>
      <c r="GBQ1143" s="17"/>
      <c r="GBR1143" s="17"/>
      <c r="GBS1143" s="17"/>
      <c r="GBT1143" s="17"/>
      <c r="GBU1143" s="17"/>
      <c r="GBV1143" s="17"/>
      <c r="GBW1143" s="17"/>
      <c r="GBX1143" s="17"/>
      <c r="GBY1143" s="17"/>
      <c r="GBZ1143" s="17"/>
      <c r="GCA1143" s="17"/>
      <c r="GCB1143" s="17"/>
      <c r="GCC1143" s="17"/>
      <c r="GCD1143" s="17"/>
      <c r="GCE1143" s="17"/>
      <c r="GCF1143" s="17"/>
      <c r="GCG1143" s="17"/>
      <c r="GCH1143" s="17"/>
      <c r="GCI1143" s="17"/>
      <c r="GCJ1143" s="17"/>
      <c r="GCK1143" s="17"/>
      <c r="GCL1143" s="17"/>
      <c r="GCM1143" s="17"/>
      <c r="GCN1143" s="17"/>
      <c r="GCO1143" s="17"/>
      <c r="GCP1143" s="17"/>
      <c r="GCQ1143" s="17"/>
      <c r="GCR1143" s="17"/>
      <c r="GCS1143" s="17"/>
      <c r="GCT1143" s="17"/>
      <c r="GCU1143" s="17"/>
      <c r="GCV1143" s="17"/>
      <c r="GCW1143" s="17"/>
      <c r="GCX1143" s="17"/>
      <c r="GCY1143" s="17"/>
      <c r="GCZ1143" s="17"/>
      <c r="GDA1143" s="17"/>
      <c r="GDB1143" s="17"/>
      <c r="GDC1143" s="17"/>
      <c r="GDD1143" s="17"/>
      <c r="GDE1143" s="17"/>
      <c r="GDF1143" s="17"/>
      <c r="GDG1143" s="17"/>
      <c r="GDH1143" s="17"/>
      <c r="GDI1143" s="17"/>
      <c r="GDJ1143" s="17"/>
      <c r="GDK1143" s="17"/>
      <c r="GDL1143" s="17"/>
      <c r="GDM1143" s="17"/>
      <c r="GDN1143" s="17"/>
      <c r="GDO1143" s="17"/>
      <c r="GDP1143" s="17"/>
      <c r="GDQ1143" s="17"/>
      <c r="GDR1143" s="17"/>
      <c r="GDS1143" s="17"/>
      <c r="GDT1143" s="17"/>
      <c r="GDU1143" s="17"/>
      <c r="GDV1143" s="17"/>
      <c r="GDW1143" s="17"/>
      <c r="GDX1143" s="17"/>
      <c r="GDY1143" s="17"/>
      <c r="GDZ1143" s="17"/>
      <c r="GEA1143" s="17"/>
      <c r="GEB1143" s="17"/>
      <c r="GEC1143" s="17"/>
      <c r="GED1143" s="17"/>
      <c r="GEE1143" s="17"/>
      <c r="GEF1143" s="17"/>
      <c r="GEG1143" s="17"/>
      <c r="GEH1143" s="17"/>
      <c r="GEI1143" s="17"/>
      <c r="GEJ1143" s="17"/>
      <c r="GEK1143" s="17"/>
      <c r="GEL1143" s="17"/>
      <c r="GEM1143" s="17"/>
      <c r="GEN1143" s="17"/>
      <c r="GEO1143" s="17"/>
      <c r="GEP1143" s="17"/>
      <c r="GEQ1143" s="17"/>
      <c r="GER1143" s="17"/>
      <c r="GES1143" s="17"/>
      <c r="GET1143" s="17"/>
      <c r="GEU1143" s="17"/>
      <c r="GEV1143" s="17"/>
      <c r="GEW1143" s="17"/>
      <c r="GEX1143" s="17"/>
      <c r="GEY1143" s="17"/>
      <c r="GEZ1143" s="17"/>
      <c r="GFA1143" s="17"/>
      <c r="GFB1143" s="17"/>
      <c r="GFC1143" s="17"/>
      <c r="GFD1143" s="17"/>
      <c r="GFE1143" s="17"/>
      <c r="GFF1143" s="17"/>
      <c r="GFG1143" s="17"/>
      <c r="GFH1143" s="17"/>
      <c r="GFI1143" s="17"/>
      <c r="GFJ1143" s="17"/>
      <c r="GFK1143" s="17"/>
      <c r="GFL1143" s="17"/>
      <c r="GFM1143" s="17"/>
      <c r="GFN1143" s="17"/>
      <c r="GFO1143" s="17"/>
      <c r="GFP1143" s="17"/>
      <c r="GFQ1143" s="17"/>
      <c r="GFR1143" s="17"/>
      <c r="GFS1143" s="17"/>
      <c r="GFT1143" s="17"/>
      <c r="GFU1143" s="17"/>
      <c r="GFV1143" s="17"/>
      <c r="GFW1143" s="17"/>
      <c r="GFX1143" s="17"/>
      <c r="GFY1143" s="17"/>
      <c r="GFZ1143" s="17"/>
      <c r="GGA1143" s="17"/>
      <c r="GGB1143" s="17"/>
      <c r="GGC1143" s="17"/>
      <c r="GGD1143" s="17"/>
      <c r="GGE1143" s="17"/>
      <c r="GGF1143" s="17"/>
      <c r="GGG1143" s="17"/>
      <c r="GGH1143" s="17"/>
      <c r="GGI1143" s="17"/>
      <c r="GGJ1143" s="17"/>
      <c r="GGK1143" s="17"/>
      <c r="GGL1143" s="17"/>
      <c r="GGM1143" s="17"/>
      <c r="GGN1143" s="17"/>
      <c r="GGO1143" s="17"/>
      <c r="GGP1143" s="17"/>
      <c r="GGQ1143" s="17"/>
      <c r="GGR1143" s="17"/>
      <c r="GGS1143" s="17"/>
      <c r="GGT1143" s="17"/>
      <c r="GGU1143" s="17"/>
      <c r="GGV1143" s="17"/>
      <c r="GGW1143" s="17"/>
      <c r="GGX1143" s="17"/>
      <c r="GGY1143" s="17"/>
      <c r="GGZ1143" s="17"/>
      <c r="GHA1143" s="17"/>
      <c r="GHB1143" s="17"/>
      <c r="GHC1143" s="17"/>
      <c r="GHD1143" s="17"/>
      <c r="GHE1143" s="17"/>
      <c r="GHF1143" s="17"/>
      <c r="GHG1143" s="17"/>
      <c r="GHH1143" s="17"/>
      <c r="GHI1143" s="17"/>
      <c r="GHJ1143" s="17"/>
      <c r="GHK1143" s="17"/>
      <c r="GHL1143" s="17"/>
      <c r="GHM1143" s="17"/>
      <c r="GHN1143" s="17"/>
      <c r="GHO1143" s="17"/>
      <c r="GHP1143" s="17"/>
      <c r="GHQ1143" s="17"/>
      <c r="GHR1143" s="17"/>
      <c r="GHS1143" s="17"/>
      <c r="GHT1143" s="17"/>
      <c r="GHU1143" s="17"/>
      <c r="GHV1143" s="17"/>
      <c r="GHW1143" s="17"/>
      <c r="GHX1143" s="17"/>
      <c r="GHY1143" s="17"/>
      <c r="GHZ1143" s="17"/>
      <c r="GIA1143" s="17"/>
      <c r="GIB1143" s="17"/>
      <c r="GIC1143" s="17"/>
      <c r="GID1143" s="17"/>
      <c r="GIE1143" s="17"/>
      <c r="GIF1143" s="17"/>
      <c r="GIG1143" s="17"/>
      <c r="GIH1143" s="17"/>
      <c r="GII1143" s="17"/>
      <c r="GIJ1143" s="17"/>
      <c r="GIK1143" s="17"/>
      <c r="GIL1143" s="17"/>
      <c r="GIM1143" s="17"/>
      <c r="GIN1143" s="17"/>
      <c r="GIO1143" s="17"/>
      <c r="GIP1143" s="17"/>
      <c r="GIQ1143" s="17"/>
      <c r="GIR1143" s="17"/>
      <c r="GIS1143" s="17"/>
      <c r="GIT1143" s="17"/>
      <c r="GIU1143" s="17"/>
      <c r="GIV1143" s="17"/>
      <c r="GIW1143" s="17"/>
      <c r="GIX1143" s="17"/>
      <c r="GIY1143" s="17"/>
      <c r="GIZ1143" s="17"/>
      <c r="GJA1143" s="17"/>
      <c r="GJB1143" s="17"/>
      <c r="GJC1143" s="17"/>
      <c r="GJD1143" s="17"/>
      <c r="GJE1143" s="17"/>
      <c r="GJF1143" s="17"/>
      <c r="GJG1143" s="17"/>
      <c r="GJH1143" s="17"/>
      <c r="GJI1143" s="17"/>
      <c r="GJJ1143" s="17"/>
      <c r="GJK1143" s="17"/>
      <c r="GJL1143" s="17"/>
      <c r="GJM1143" s="17"/>
      <c r="GJN1143" s="17"/>
      <c r="GJO1143" s="17"/>
      <c r="GJP1143" s="17"/>
      <c r="GJQ1143" s="17"/>
      <c r="GJR1143" s="17"/>
      <c r="GJS1143" s="17"/>
      <c r="GJT1143" s="17"/>
      <c r="GJU1143" s="17"/>
      <c r="GJV1143" s="17"/>
      <c r="GJW1143" s="17"/>
      <c r="GJX1143" s="17"/>
      <c r="GJY1143" s="17"/>
      <c r="GJZ1143" s="17"/>
      <c r="GKA1143" s="17"/>
      <c r="GKB1143" s="17"/>
      <c r="GKC1143" s="17"/>
      <c r="GKD1143" s="17"/>
      <c r="GKE1143" s="17"/>
      <c r="GKF1143" s="17"/>
      <c r="GKG1143" s="17"/>
      <c r="GKH1143" s="17"/>
      <c r="GKI1143" s="17"/>
      <c r="GKJ1143" s="17"/>
      <c r="GKK1143" s="17"/>
      <c r="GKL1143" s="17"/>
      <c r="GKM1143" s="17"/>
      <c r="GKN1143" s="17"/>
      <c r="GKO1143" s="17"/>
      <c r="GKP1143" s="17"/>
      <c r="GKQ1143" s="17"/>
      <c r="GKR1143" s="17"/>
      <c r="GKS1143" s="17"/>
      <c r="GKT1143" s="17"/>
      <c r="GKU1143" s="17"/>
      <c r="GKV1143" s="17"/>
      <c r="GKW1143" s="17"/>
      <c r="GKX1143" s="17"/>
      <c r="GKY1143" s="17"/>
      <c r="GKZ1143" s="17"/>
      <c r="GLA1143" s="17"/>
      <c r="GLB1143" s="17"/>
      <c r="GLC1143" s="17"/>
      <c r="GLD1143" s="17"/>
      <c r="GLE1143" s="17"/>
      <c r="GLF1143" s="17"/>
      <c r="GLG1143" s="17"/>
      <c r="GLH1143" s="17"/>
      <c r="GLI1143" s="17"/>
      <c r="GLJ1143" s="17"/>
      <c r="GLK1143" s="17"/>
      <c r="GLL1143" s="17"/>
      <c r="GLM1143" s="17"/>
      <c r="GLN1143" s="17"/>
      <c r="GLO1143" s="17"/>
      <c r="GLP1143" s="17"/>
      <c r="GLQ1143" s="17"/>
      <c r="GLR1143" s="17"/>
      <c r="GLS1143" s="17"/>
      <c r="GLT1143" s="17"/>
      <c r="GLU1143" s="17"/>
      <c r="GLV1143" s="17"/>
      <c r="GLW1143" s="17"/>
      <c r="GLX1143" s="17"/>
      <c r="GLY1143" s="17"/>
      <c r="GLZ1143" s="17"/>
      <c r="GMA1143" s="17"/>
      <c r="GMB1143" s="17"/>
      <c r="GMC1143" s="17"/>
      <c r="GMD1143" s="17"/>
      <c r="GME1143" s="17"/>
      <c r="GMF1143" s="17"/>
      <c r="GMG1143" s="17"/>
      <c r="GMH1143" s="17"/>
      <c r="GMI1143" s="17"/>
      <c r="GMJ1143" s="17"/>
      <c r="GMK1143" s="17"/>
      <c r="GML1143" s="17"/>
      <c r="GMM1143" s="17"/>
      <c r="GMN1143" s="17"/>
      <c r="GMO1143" s="17"/>
      <c r="GMP1143" s="17"/>
      <c r="GMQ1143" s="17"/>
      <c r="GMR1143" s="17"/>
      <c r="GMS1143" s="17"/>
      <c r="GMT1143" s="17"/>
      <c r="GMU1143" s="17"/>
      <c r="GMV1143" s="17"/>
      <c r="GMW1143" s="17"/>
      <c r="GMX1143" s="17"/>
      <c r="GMY1143" s="17"/>
      <c r="GMZ1143" s="17"/>
      <c r="GNA1143" s="17"/>
      <c r="GNB1143" s="17"/>
      <c r="GNC1143" s="17"/>
      <c r="GND1143" s="17"/>
      <c r="GNE1143" s="17"/>
      <c r="GNF1143" s="17"/>
      <c r="GNG1143" s="17"/>
      <c r="GNH1143" s="17"/>
      <c r="GNI1143" s="17"/>
      <c r="GNJ1143" s="17"/>
      <c r="GNK1143" s="17"/>
      <c r="GNL1143" s="17"/>
      <c r="GNM1143" s="17"/>
      <c r="GNN1143" s="17"/>
      <c r="GNO1143" s="17"/>
      <c r="GNP1143" s="17"/>
      <c r="GNQ1143" s="17"/>
      <c r="GNR1143" s="17"/>
      <c r="GNS1143" s="17"/>
      <c r="GNT1143" s="17"/>
      <c r="GNU1143" s="17"/>
      <c r="GNV1143" s="17"/>
      <c r="GNW1143" s="17"/>
      <c r="GNX1143" s="17"/>
      <c r="GNY1143" s="17"/>
      <c r="GNZ1143" s="17"/>
      <c r="GOA1143" s="17"/>
      <c r="GOB1143" s="17"/>
      <c r="GOC1143" s="17"/>
      <c r="GOD1143" s="17"/>
      <c r="GOE1143" s="17"/>
      <c r="GOF1143" s="17"/>
      <c r="GOG1143" s="17"/>
      <c r="GOH1143" s="17"/>
      <c r="GOI1143" s="17"/>
      <c r="GOJ1143" s="17"/>
      <c r="GOK1143" s="17"/>
      <c r="GOL1143" s="17"/>
      <c r="GOM1143" s="17"/>
      <c r="GON1143" s="17"/>
      <c r="GOO1143" s="17"/>
      <c r="GOP1143" s="17"/>
      <c r="GOQ1143" s="17"/>
      <c r="GOR1143" s="17"/>
      <c r="GOS1143" s="17"/>
      <c r="GOT1143" s="17"/>
      <c r="GOU1143" s="17"/>
      <c r="GOV1143" s="17"/>
      <c r="GOW1143" s="17"/>
      <c r="GOX1143" s="17"/>
      <c r="GOY1143" s="17"/>
      <c r="GOZ1143" s="17"/>
      <c r="GPA1143" s="17"/>
      <c r="GPB1143" s="17"/>
      <c r="GPC1143" s="17"/>
      <c r="GPD1143" s="17"/>
      <c r="GPE1143" s="17"/>
      <c r="GPF1143" s="17"/>
      <c r="GPG1143" s="17"/>
      <c r="GPH1143" s="17"/>
      <c r="GPI1143" s="17"/>
      <c r="GPJ1143" s="17"/>
      <c r="GPK1143" s="17"/>
      <c r="GPL1143" s="17"/>
      <c r="GPM1143" s="17"/>
      <c r="GPN1143" s="17"/>
      <c r="GPO1143" s="17"/>
      <c r="GPP1143" s="17"/>
      <c r="GPQ1143" s="17"/>
      <c r="GPR1143" s="17"/>
      <c r="GPS1143" s="17"/>
      <c r="GPT1143" s="17"/>
      <c r="GPU1143" s="17"/>
      <c r="GPV1143" s="17"/>
      <c r="GPW1143" s="17"/>
      <c r="GPX1143" s="17"/>
      <c r="GPY1143" s="17"/>
      <c r="GPZ1143" s="17"/>
      <c r="GQA1143" s="17"/>
      <c r="GQB1143" s="17"/>
      <c r="GQC1143" s="17"/>
      <c r="GQD1143" s="17"/>
      <c r="GQE1143" s="17"/>
      <c r="GQF1143" s="17"/>
      <c r="GQG1143" s="17"/>
      <c r="GQH1143" s="17"/>
      <c r="GQI1143" s="17"/>
      <c r="GQJ1143" s="17"/>
      <c r="GQK1143" s="17"/>
      <c r="GQL1143" s="17"/>
      <c r="GQM1143" s="17"/>
      <c r="GQN1143" s="17"/>
      <c r="GQO1143" s="17"/>
      <c r="GQP1143" s="17"/>
      <c r="GQQ1143" s="17"/>
      <c r="GQR1143" s="17"/>
      <c r="GQS1143" s="17"/>
      <c r="GQT1143" s="17"/>
      <c r="GQU1143" s="17"/>
      <c r="GQV1143" s="17"/>
      <c r="GQW1143" s="17"/>
      <c r="GQX1143" s="17"/>
      <c r="GQY1143" s="17"/>
      <c r="GQZ1143" s="17"/>
      <c r="GRA1143" s="17"/>
      <c r="GRB1143" s="17"/>
      <c r="GRC1143" s="17"/>
      <c r="GRD1143" s="17"/>
      <c r="GRE1143" s="17"/>
      <c r="GRF1143" s="17"/>
      <c r="GRG1143" s="17"/>
      <c r="GRH1143" s="17"/>
      <c r="GRI1143" s="17"/>
      <c r="GRJ1143" s="17"/>
      <c r="GRK1143" s="17"/>
      <c r="GRL1143" s="17"/>
      <c r="GRM1143" s="17"/>
      <c r="GRN1143" s="17"/>
      <c r="GRO1143" s="17"/>
      <c r="GRP1143" s="17"/>
      <c r="GRQ1143" s="17"/>
      <c r="GRR1143" s="17"/>
      <c r="GRS1143" s="17"/>
      <c r="GRT1143" s="17"/>
      <c r="GRU1143" s="17"/>
      <c r="GRV1143" s="17"/>
      <c r="GRW1143" s="17"/>
      <c r="GRX1143" s="17"/>
      <c r="GRY1143" s="17"/>
      <c r="GRZ1143" s="17"/>
      <c r="GSA1143" s="17"/>
      <c r="GSB1143" s="17"/>
      <c r="GSC1143" s="17"/>
      <c r="GSD1143" s="17"/>
      <c r="GSE1143" s="17"/>
      <c r="GSF1143" s="17"/>
      <c r="GSG1143" s="17"/>
      <c r="GSH1143" s="17"/>
      <c r="GSI1143" s="17"/>
      <c r="GSJ1143" s="17"/>
      <c r="GSK1143" s="17"/>
      <c r="GSL1143" s="17"/>
      <c r="GSM1143" s="17"/>
      <c r="GSN1143" s="17"/>
      <c r="GSO1143" s="17"/>
      <c r="GSP1143" s="17"/>
      <c r="GSQ1143" s="17"/>
      <c r="GSR1143" s="17"/>
      <c r="GSS1143" s="17"/>
      <c r="GST1143" s="17"/>
      <c r="GSU1143" s="17"/>
      <c r="GSV1143" s="17"/>
      <c r="GSW1143" s="17"/>
      <c r="GSX1143" s="17"/>
      <c r="GSY1143" s="17"/>
      <c r="GSZ1143" s="17"/>
      <c r="GTA1143" s="17"/>
      <c r="GTB1143" s="17"/>
      <c r="GTC1143" s="17"/>
      <c r="GTD1143" s="17"/>
      <c r="GTE1143" s="17"/>
      <c r="GTF1143" s="17"/>
      <c r="GTG1143" s="17"/>
      <c r="GTH1143" s="17"/>
      <c r="GTI1143" s="17"/>
      <c r="GTJ1143" s="17"/>
      <c r="GTK1143" s="17"/>
      <c r="GTL1143" s="17"/>
      <c r="GTM1143" s="17"/>
      <c r="GTN1143" s="17"/>
      <c r="GTO1143" s="17"/>
      <c r="GTP1143" s="17"/>
      <c r="GTQ1143" s="17"/>
      <c r="GTR1143" s="17"/>
      <c r="GTS1143" s="17"/>
      <c r="GTT1143" s="17"/>
      <c r="GTU1143" s="17"/>
      <c r="GTV1143" s="17"/>
      <c r="GTW1143" s="17"/>
      <c r="GTX1143" s="17"/>
      <c r="GTY1143" s="17"/>
      <c r="GTZ1143" s="17"/>
      <c r="GUA1143" s="17"/>
      <c r="GUB1143" s="17"/>
      <c r="GUC1143" s="17"/>
      <c r="GUD1143" s="17"/>
      <c r="GUE1143" s="17"/>
      <c r="GUF1143" s="17"/>
      <c r="GUG1143" s="17"/>
      <c r="GUH1143" s="17"/>
      <c r="GUI1143" s="17"/>
      <c r="GUJ1143" s="17"/>
      <c r="GUK1143" s="17"/>
      <c r="GUL1143" s="17"/>
      <c r="GUM1143" s="17"/>
      <c r="GUN1143" s="17"/>
      <c r="GUO1143" s="17"/>
      <c r="GUP1143" s="17"/>
      <c r="GUQ1143" s="17"/>
      <c r="GUR1143" s="17"/>
      <c r="GUS1143" s="17"/>
      <c r="GUT1143" s="17"/>
      <c r="GUU1143" s="17"/>
      <c r="GUV1143" s="17"/>
      <c r="GUW1143" s="17"/>
      <c r="GUX1143" s="17"/>
      <c r="GUY1143" s="17"/>
      <c r="GUZ1143" s="17"/>
      <c r="GVA1143" s="17"/>
      <c r="GVB1143" s="17"/>
      <c r="GVC1143" s="17"/>
      <c r="GVD1143" s="17"/>
      <c r="GVE1143" s="17"/>
      <c r="GVF1143" s="17"/>
      <c r="GVG1143" s="17"/>
      <c r="GVH1143" s="17"/>
      <c r="GVI1143" s="17"/>
      <c r="GVJ1143" s="17"/>
      <c r="GVK1143" s="17"/>
      <c r="GVL1143" s="17"/>
      <c r="GVM1143" s="17"/>
      <c r="GVN1143" s="17"/>
      <c r="GVO1143" s="17"/>
      <c r="GVP1143" s="17"/>
      <c r="GVQ1143" s="17"/>
      <c r="GVR1143" s="17"/>
      <c r="GVS1143" s="17"/>
      <c r="GVT1143" s="17"/>
      <c r="GVU1143" s="17"/>
      <c r="GVV1143" s="17"/>
      <c r="GVW1143" s="17"/>
      <c r="GVX1143" s="17"/>
      <c r="GVY1143" s="17"/>
      <c r="GVZ1143" s="17"/>
      <c r="GWA1143" s="17"/>
      <c r="GWB1143" s="17"/>
      <c r="GWC1143" s="17"/>
      <c r="GWD1143" s="17"/>
      <c r="GWE1143" s="17"/>
      <c r="GWF1143" s="17"/>
      <c r="GWG1143" s="17"/>
      <c r="GWH1143" s="17"/>
      <c r="GWI1143" s="17"/>
      <c r="GWJ1143" s="17"/>
      <c r="GWK1143" s="17"/>
      <c r="GWL1143" s="17"/>
      <c r="GWM1143" s="17"/>
      <c r="GWN1143" s="17"/>
      <c r="GWO1143" s="17"/>
      <c r="GWP1143" s="17"/>
      <c r="GWQ1143" s="17"/>
      <c r="GWR1143" s="17"/>
      <c r="GWS1143" s="17"/>
      <c r="GWT1143" s="17"/>
      <c r="GWU1143" s="17"/>
      <c r="GWV1143" s="17"/>
      <c r="GWW1143" s="17"/>
      <c r="GWX1143" s="17"/>
      <c r="GWY1143" s="17"/>
      <c r="GWZ1143" s="17"/>
      <c r="GXA1143" s="17"/>
      <c r="GXB1143" s="17"/>
      <c r="GXC1143" s="17"/>
      <c r="GXD1143" s="17"/>
      <c r="GXE1143" s="17"/>
      <c r="GXF1143" s="17"/>
      <c r="GXG1143" s="17"/>
      <c r="GXH1143" s="17"/>
      <c r="GXI1143" s="17"/>
      <c r="GXJ1143" s="17"/>
      <c r="GXK1143" s="17"/>
      <c r="GXL1143" s="17"/>
      <c r="GXM1143" s="17"/>
      <c r="GXN1143" s="17"/>
      <c r="GXO1143" s="17"/>
      <c r="GXP1143" s="17"/>
      <c r="GXQ1143" s="17"/>
      <c r="GXR1143" s="17"/>
      <c r="GXS1143" s="17"/>
      <c r="GXT1143" s="17"/>
      <c r="GXU1143" s="17"/>
      <c r="GXV1143" s="17"/>
      <c r="GXW1143" s="17"/>
      <c r="GXX1143" s="17"/>
      <c r="GXY1143" s="17"/>
      <c r="GXZ1143" s="17"/>
      <c r="GYA1143" s="17"/>
      <c r="GYB1143" s="17"/>
      <c r="GYC1143" s="17"/>
      <c r="GYD1143" s="17"/>
      <c r="GYE1143" s="17"/>
      <c r="GYF1143" s="17"/>
      <c r="GYG1143" s="17"/>
      <c r="GYH1143" s="17"/>
      <c r="GYI1143" s="17"/>
      <c r="GYJ1143" s="17"/>
      <c r="GYK1143" s="17"/>
      <c r="GYL1143" s="17"/>
      <c r="GYM1143" s="17"/>
      <c r="GYN1143" s="17"/>
      <c r="GYO1143" s="17"/>
      <c r="GYP1143" s="17"/>
      <c r="GYQ1143" s="17"/>
      <c r="GYR1143" s="17"/>
      <c r="GYS1143" s="17"/>
      <c r="GYT1143" s="17"/>
      <c r="GYU1143" s="17"/>
      <c r="GYV1143" s="17"/>
      <c r="GYW1143" s="17"/>
      <c r="GYX1143" s="17"/>
      <c r="GYY1143" s="17"/>
      <c r="GYZ1143" s="17"/>
      <c r="GZA1143" s="17"/>
      <c r="GZB1143" s="17"/>
      <c r="GZC1143" s="17"/>
      <c r="GZD1143" s="17"/>
      <c r="GZE1143" s="17"/>
      <c r="GZF1143" s="17"/>
      <c r="GZG1143" s="17"/>
      <c r="GZH1143" s="17"/>
      <c r="GZI1143" s="17"/>
      <c r="GZJ1143" s="17"/>
      <c r="GZK1143" s="17"/>
      <c r="GZL1143" s="17"/>
      <c r="GZM1143" s="17"/>
      <c r="GZN1143" s="17"/>
      <c r="GZO1143" s="17"/>
      <c r="GZP1143" s="17"/>
      <c r="GZQ1143" s="17"/>
      <c r="GZR1143" s="17"/>
      <c r="GZS1143" s="17"/>
      <c r="GZT1143" s="17"/>
      <c r="GZU1143" s="17"/>
      <c r="GZV1143" s="17"/>
      <c r="GZW1143" s="17"/>
      <c r="GZX1143" s="17"/>
      <c r="GZY1143" s="17"/>
      <c r="GZZ1143" s="17"/>
      <c r="HAA1143" s="17"/>
      <c r="HAB1143" s="17"/>
      <c r="HAC1143" s="17"/>
      <c r="HAD1143" s="17"/>
      <c r="HAE1143" s="17"/>
      <c r="HAF1143" s="17"/>
      <c r="HAG1143" s="17"/>
      <c r="HAH1143" s="17"/>
      <c r="HAI1143" s="17"/>
      <c r="HAJ1143" s="17"/>
      <c r="HAK1143" s="17"/>
      <c r="HAL1143" s="17"/>
      <c r="HAM1143" s="17"/>
      <c r="HAN1143" s="17"/>
      <c r="HAO1143" s="17"/>
      <c r="HAP1143" s="17"/>
      <c r="HAQ1143" s="17"/>
      <c r="HAR1143" s="17"/>
      <c r="HAS1143" s="17"/>
      <c r="HAT1143" s="17"/>
      <c r="HAU1143" s="17"/>
      <c r="HAV1143" s="17"/>
      <c r="HAW1143" s="17"/>
      <c r="HAX1143" s="17"/>
      <c r="HAY1143" s="17"/>
      <c r="HAZ1143" s="17"/>
      <c r="HBA1143" s="17"/>
      <c r="HBB1143" s="17"/>
      <c r="HBC1143" s="17"/>
      <c r="HBD1143" s="17"/>
      <c r="HBE1143" s="17"/>
      <c r="HBF1143" s="17"/>
      <c r="HBG1143" s="17"/>
      <c r="HBH1143" s="17"/>
      <c r="HBI1143" s="17"/>
      <c r="HBJ1143" s="17"/>
      <c r="HBK1143" s="17"/>
      <c r="HBL1143" s="17"/>
      <c r="HBM1143" s="17"/>
      <c r="HBN1143" s="17"/>
      <c r="HBO1143" s="17"/>
      <c r="HBP1143" s="17"/>
      <c r="HBQ1143" s="17"/>
      <c r="HBR1143" s="17"/>
      <c r="HBS1143" s="17"/>
      <c r="HBT1143" s="17"/>
      <c r="HBU1143" s="17"/>
      <c r="HBV1143" s="17"/>
      <c r="HBW1143" s="17"/>
      <c r="HBX1143" s="17"/>
      <c r="HBY1143" s="17"/>
      <c r="HBZ1143" s="17"/>
      <c r="HCA1143" s="17"/>
      <c r="HCB1143" s="17"/>
      <c r="HCC1143" s="17"/>
      <c r="HCD1143" s="17"/>
      <c r="HCE1143" s="17"/>
      <c r="HCF1143" s="17"/>
      <c r="HCG1143" s="17"/>
      <c r="HCH1143" s="17"/>
      <c r="HCI1143" s="17"/>
      <c r="HCJ1143" s="17"/>
      <c r="HCK1143" s="17"/>
      <c r="HCL1143" s="17"/>
      <c r="HCM1143" s="17"/>
      <c r="HCN1143" s="17"/>
      <c r="HCO1143" s="17"/>
      <c r="HCP1143" s="17"/>
      <c r="HCQ1143" s="17"/>
      <c r="HCR1143" s="17"/>
      <c r="HCS1143" s="17"/>
      <c r="HCT1143" s="17"/>
      <c r="HCU1143" s="17"/>
      <c r="HCV1143" s="17"/>
      <c r="HCW1143" s="17"/>
      <c r="HCX1143" s="17"/>
      <c r="HCY1143" s="17"/>
      <c r="HCZ1143" s="17"/>
      <c r="HDA1143" s="17"/>
      <c r="HDB1143" s="17"/>
      <c r="HDC1143" s="17"/>
      <c r="HDD1143" s="17"/>
      <c r="HDE1143" s="17"/>
      <c r="HDF1143" s="17"/>
      <c r="HDG1143" s="17"/>
      <c r="HDH1143" s="17"/>
      <c r="HDI1143" s="17"/>
      <c r="HDJ1143" s="17"/>
      <c r="HDK1143" s="17"/>
      <c r="HDL1143" s="17"/>
      <c r="HDM1143" s="17"/>
      <c r="HDN1143" s="17"/>
      <c r="HDO1143" s="17"/>
      <c r="HDP1143" s="17"/>
      <c r="HDQ1143" s="17"/>
      <c r="HDR1143" s="17"/>
      <c r="HDS1143" s="17"/>
      <c r="HDT1143" s="17"/>
      <c r="HDU1143" s="17"/>
      <c r="HDV1143" s="17"/>
      <c r="HDW1143" s="17"/>
      <c r="HDX1143" s="17"/>
      <c r="HDY1143" s="17"/>
      <c r="HDZ1143" s="17"/>
      <c r="HEA1143" s="17"/>
      <c r="HEB1143" s="17"/>
      <c r="HEC1143" s="17"/>
      <c r="HED1143" s="17"/>
      <c r="HEE1143" s="17"/>
      <c r="HEF1143" s="17"/>
      <c r="HEG1143" s="17"/>
      <c r="HEH1143" s="17"/>
      <c r="HEI1143" s="17"/>
      <c r="HEJ1143" s="17"/>
      <c r="HEK1143" s="17"/>
      <c r="HEL1143" s="17"/>
      <c r="HEM1143" s="17"/>
      <c r="HEN1143" s="17"/>
      <c r="HEO1143" s="17"/>
      <c r="HEP1143" s="17"/>
      <c r="HEQ1143" s="17"/>
      <c r="HER1143" s="17"/>
      <c r="HES1143" s="17"/>
      <c r="HET1143" s="17"/>
      <c r="HEU1143" s="17"/>
      <c r="HEV1143" s="17"/>
      <c r="HEW1143" s="17"/>
      <c r="HEX1143" s="17"/>
      <c r="HEY1143" s="17"/>
      <c r="HEZ1143" s="17"/>
      <c r="HFA1143" s="17"/>
      <c r="HFB1143" s="17"/>
      <c r="HFC1143" s="17"/>
      <c r="HFD1143" s="17"/>
      <c r="HFE1143" s="17"/>
      <c r="HFF1143" s="17"/>
      <c r="HFG1143" s="17"/>
      <c r="HFH1143" s="17"/>
      <c r="HFI1143" s="17"/>
      <c r="HFJ1143" s="17"/>
      <c r="HFK1143" s="17"/>
      <c r="HFL1143" s="17"/>
      <c r="HFM1143" s="17"/>
      <c r="HFN1143" s="17"/>
      <c r="HFO1143" s="17"/>
      <c r="HFP1143" s="17"/>
      <c r="HFQ1143" s="17"/>
      <c r="HFR1143" s="17"/>
      <c r="HFS1143" s="17"/>
      <c r="HFT1143" s="17"/>
      <c r="HFU1143" s="17"/>
      <c r="HFV1143" s="17"/>
      <c r="HFW1143" s="17"/>
      <c r="HFX1143" s="17"/>
      <c r="HFY1143" s="17"/>
      <c r="HFZ1143" s="17"/>
      <c r="HGA1143" s="17"/>
      <c r="HGB1143" s="17"/>
      <c r="HGC1143" s="17"/>
      <c r="HGD1143" s="17"/>
      <c r="HGE1143" s="17"/>
      <c r="HGF1143" s="17"/>
      <c r="HGG1143" s="17"/>
      <c r="HGH1143" s="17"/>
      <c r="HGI1143" s="17"/>
      <c r="HGJ1143" s="17"/>
      <c r="HGK1143" s="17"/>
      <c r="HGL1143" s="17"/>
      <c r="HGM1143" s="17"/>
      <c r="HGN1143" s="17"/>
      <c r="HGO1143" s="17"/>
      <c r="HGP1143" s="17"/>
      <c r="HGQ1143" s="17"/>
      <c r="HGR1143" s="17"/>
      <c r="HGS1143" s="17"/>
      <c r="HGT1143" s="17"/>
      <c r="HGU1143" s="17"/>
      <c r="HGV1143" s="17"/>
      <c r="HGW1143" s="17"/>
      <c r="HGX1143" s="17"/>
      <c r="HGY1143" s="17"/>
      <c r="HGZ1143" s="17"/>
      <c r="HHA1143" s="17"/>
      <c r="HHB1143" s="17"/>
      <c r="HHC1143" s="17"/>
      <c r="HHD1143" s="17"/>
      <c r="HHE1143" s="17"/>
      <c r="HHF1143" s="17"/>
      <c r="HHG1143" s="17"/>
      <c r="HHH1143" s="17"/>
      <c r="HHI1143" s="17"/>
      <c r="HHJ1143" s="17"/>
      <c r="HHK1143" s="17"/>
      <c r="HHL1143" s="17"/>
      <c r="HHM1143" s="17"/>
      <c r="HHN1143" s="17"/>
      <c r="HHO1143" s="17"/>
      <c r="HHP1143" s="17"/>
      <c r="HHQ1143" s="17"/>
      <c r="HHR1143" s="17"/>
      <c r="HHS1143" s="17"/>
      <c r="HHT1143" s="17"/>
      <c r="HHU1143" s="17"/>
      <c r="HHV1143" s="17"/>
      <c r="HHW1143" s="17"/>
      <c r="HHX1143" s="17"/>
      <c r="HHY1143" s="17"/>
      <c r="HHZ1143" s="17"/>
      <c r="HIA1143" s="17"/>
      <c r="HIB1143" s="17"/>
      <c r="HIC1143" s="17"/>
      <c r="HID1143" s="17"/>
      <c r="HIE1143" s="17"/>
      <c r="HIF1143" s="17"/>
      <c r="HIG1143" s="17"/>
      <c r="HIH1143" s="17"/>
      <c r="HII1143" s="17"/>
      <c r="HIJ1143" s="17"/>
      <c r="HIK1143" s="17"/>
      <c r="HIL1143" s="17"/>
      <c r="HIM1143" s="17"/>
      <c r="HIN1143" s="17"/>
      <c r="HIO1143" s="17"/>
      <c r="HIP1143" s="17"/>
      <c r="HIQ1143" s="17"/>
      <c r="HIR1143" s="17"/>
      <c r="HIS1143" s="17"/>
      <c r="HIT1143" s="17"/>
      <c r="HIU1143" s="17"/>
      <c r="HIV1143" s="17"/>
      <c r="HIW1143" s="17"/>
      <c r="HIX1143" s="17"/>
      <c r="HIY1143" s="17"/>
      <c r="HIZ1143" s="17"/>
      <c r="HJA1143" s="17"/>
      <c r="HJB1143" s="17"/>
      <c r="HJC1143" s="17"/>
      <c r="HJD1143" s="17"/>
      <c r="HJE1143" s="17"/>
      <c r="HJF1143" s="17"/>
      <c r="HJG1143" s="17"/>
      <c r="HJH1143" s="17"/>
      <c r="HJI1143" s="17"/>
      <c r="HJJ1143" s="17"/>
      <c r="HJK1143" s="17"/>
      <c r="HJL1143" s="17"/>
      <c r="HJM1143" s="17"/>
      <c r="HJN1143" s="17"/>
      <c r="HJO1143" s="17"/>
      <c r="HJP1143" s="17"/>
      <c r="HJQ1143" s="17"/>
      <c r="HJR1143" s="17"/>
      <c r="HJS1143" s="17"/>
      <c r="HJT1143" s="17"/>
      <c r="HJU1143" s="17"/>
      <c r="HJV1143" s="17"/>
      <c r="HJW1143" s="17"/>
      <c r="HJX1143" s="17"/>
      <c r="HJY1143" s="17"/>
      <c r="HJZ1143" s="17"/>
      <c r="HKA1143" s="17"/>
      <c r="HKB1143" s="17"/>
      <c r="HKC1143" s="17"/>
      <c r="HKD1143" s="17"/>
      <c r="HKE1143" s="17"/>
      <c r="HKF1143" s="17"/>
      <c r="HKG1143" s="17"/>
      <c r="HKH1143" s="17"/>
      <c r="HKI1143" s="17"/>
      <c r="HKJ1143" s="17"/>
      <c r="HKK1143" s="17"/>
      <c r="HKL1143" s="17"/>
      <c r="HKM1143" s="17"/>
      <c r="HKN1143" s="17"/>
      <c r="HKO1143" s="17"/>
      <c r="HKP1143" s="17"/>
      <c r="HKQ1143" s="17"/>
      <c r="HKR1143" s="17"/>
      <c r="HKS1143" s="17"/>
      <c r="HKT1143" s="17"/>
      <c r="HKU1143" s="17"/>
      <c r="HKV1143" s="17"/>
      <c r="HKW1143" s="17"/>
      <c r="HKX1143" s="17"/>
      <c r="HKY1143" s="17"/>
      <c r="HKZ1143" s="17"/>
      <c r="HLA1143" s="17"/>
      <c r="HLB1143" s="17"/>
      <c r="HLC1143" s="17"/>
      <c r="HLD1143" s="17"/>
      <c r="HLE1143" s="17"/>
      <c r="HLF1143" s="17"/>
      <c r="HLG1143" s="17"/>
      <c r="HLH1143" s="17"/>
      <c r="HLI1143" s="17"/>
      <c r="HLJ1143" s="17"/>
      <c r="HLK1143" s="17"/>
      <c r="HLL1143" s="17"/>
      <c r="HLM1143" s="17"/>
      <c r="HLN1143" s="17"/>
      <c r="HLO1143" s="17"/>
      <c r="HLP1143" s="17"/>
      <c r="HLQ1143" s="17"/>
      <c r="HLR1143" s="17"/>
      <c r="HLS1143" s="17"/>
      <c r="HLT1143" s="17"/>
      <c r="HLU1143" s="17"/>
      <c r="HLV1143" s="17"/>
      <c r="HLW1143" s="17"/>
      <c r="HLX1143" s="17"/>
      <c r="HLY1143" s="17"/>
      <c r="HLZ1143" s="17"/>
      <c r="HMA1143" s="17"/>
      <c r="HMB1143" s="17"/>
      <c r="HMC1143" s="17"/>
      <c r="HMD1143" s="17"/>
      <c r="HME1143" s="17"/>
      <c r="HMF1143" s="17"/>
      <c r="HMG1143" s="17"/>
      <c r="HMH1143" s="17"/>
      <c r="HMI1143" s="17"/>
      <c r="HMJ1143" s="17"/>
      <c r="HMK1143" s="17"/>
      <c r="HML1143" s="17"/>
      <c r="HMM1143" s="17"/>
      <c r="HMN1143" s="17"/>
      <c r="HMO1143" s="17"/>
      <c r="HMP1143" s="17"/>
      <c r="HMQ1143" s="17"/>
      <c r="HMR1143" s="17"/>
      <c r="HMS1143" s="17"/>
      <c r="HMT1143" s="17"/>
      <c r="HMU1143" s="17"/>
      <c r="HMV1143" s="17"/>
      <c r="HMW1143" s="17"/>
      <c r="HMX1143" s="17"/>
      <c r="HMY1143" s="17"/>
      <c r="HMZ1143" s="17"/>
      <c r="HNA1143" s="17"/>
      <c r="HNB1143" s="17"/>
      <c r="HNC1143" s="17"/>
      <c r="HND1143" s="17"/>
      <c r="HNE1143" s="17"/>
      <c r="HNF1143" s="17"/>
      <c r="HNG1143" s="17"/>
      <c r="HNH1143" s="17"/>
      <c r="HNI1143" s="17"/>
      <c r="HNJ1143" s="17"/>
      <c r="HNK1143" s="17"/>
      <c r="HNL1143" s="17"/>
      <c r="HNM1143" s="17"/>
      <c r="HNN1143" s="17"/>
      <c r="HNO1143" s="17"/>
      <c r="HNP1143" s="17"/>
      <c r="HNQ1143" s="17"/>
      <c r="HNR1143" s="17"/>
      <c r="HNS1143" s="17"/>
      <c r="HNT1143" s="17"/>
      <c r="HNU1143" s="17"/>
      <c r="HNV1143" s="17"/>
      <c r="HNW1143" s="17"/>
      <c r="HNX1143" s="17"/>
      <c r="HNY1143" s="17"/>
      <c r="HNZ1143" s="17"/>
      <c r="HOA1143" s="17"/>
      <c r="HOB1143" s="17"/>
      <c r="HOC1143" s="17"/>
      <c r="HOD1143" s="17"/>
      <c r="HOE1143" s="17"/>
      <c r="HOF1143" s="17"/>
      <c r="HOG1143" s="17"/>
      <c r="HOH1143" s="17"/>
      <c r="HOI1143" s="17"/>
      <c r="HOJ1143" s="17"/>
      <c r="HOK1143" s="17"/>
      <c r="HOL1143" s="17"/>
      <c r="HOM1143" s="17"/>
      <c r="HON1143" s="17"/>
      <c r="HOO1143" s="17"/>
      <c r="HOP1143" s="17"/>
      <c r="HOQ1143" s="17"/>
      <c r="HOR1143" s="17"/>
      <c r="HOS1143" s="17"/>
      <c r="HOT1143" s="17"/>
      <c r="HOU1143" s="17"/>
      <c r="HOV1143" s="17"/>
      <c r="HOW1143" s="17"/>
      <c r="HOX1143" s="17"/>
      <c r="HOY1143" s="17"/>
      <c r="HOZ1143" s="17"/>
      <c r="HPA1143" s="17"/>
      <c r="HPB1143" s="17"/>
      <c r="HPC1143" s="17"/>
      <c r="HPD1143" s="17"/>
      <c r="HPE1143" s="17"/>
      <c r="HPF1143" s="17"/>
      <c r="HPG1143" s="17"/>
      <c r="HPH1143" s="17"/>
      <c r="HPI1143" s="17"/>
      <c r="HPJ1143" s="17"/>
      <c r="HPK1143" s="17"/>
      <c r="HPL1143" s="17"/>
      <c r="HPM1143" s="17"/>
      <c r="HPN1143" s="17"/>
      <c r="HPO1143" s="17"/>
      <c r="HPP1143" s="17"/>
      <c r="HPQ1143" s="17"/>
      <c r="HPR1143" s="17"/>
      <c r="HPS1143" s="17"/>
      <c r="HPT1143" s="17"/>
      <c r="HPU1143" s="17"/>
      <c r="HPV1143" s="17"/>
      <c r="HPW1143" s="17"/>
      <c r="HPX1143" s="17"/>
      <c r="HPY1143" s="17"/>
      <c r="HPZ1143" s="17"/>
      <c r="HQA1143" s="17"/>
      <c r="HQB1143" s="17"/>
      <c r="HQC1143" s="17"/>
      <c r="HQD1143" s="17"/>
      <c r="HQE1143" s="17"/>
      <c r="HQF1143" s="17"/>
      <c r="HQG1143" s="17"/>
      <c r="HQH1143" s="17"/>
      <c r="HQI1143" s="17"/>
      <c r="HQJ1143" s="17"/>
      <c r="HQK1143" s="17"/>
      <c r="HQL1143" s="17"/>
      <c r="HQM1143" s="17"/>
      <c r="HQN1143" s="17"/>
      <c r="HQO1143" s="17"/>
      <c r="HQP1143" s="17"/>
      <c r="HQQ1143" s="17"/>
      <c r="HQR1143" s="17"/>
      <c r="HQS1143" s="17"/>
      <c r="HQT1143" s="17"/>
      <c r="HQU1143" s="17"/>
      <c r="HQV1143" s="17"/>
      <c r="HQW1143" s="17"/>
      <c r="HQX1143" s="17"/>
      <c r="HQY1143" s="17"/>
      <c r="HQZ1143" s="17"/>
      <c r="HRA1143" s="17"/>
      <c r="HRB1143" s="17"/>
      <c r="HRC1143" s="17"/>
      <c r="HRD1143" s="17"/>
      <c r="HRE1143" s="17"/>
      <c r="HRF1143" s="17"/>
      <c r="HRG1143" s="17"/>
      <c r="HRH1143" s="17"/>
      <c r="HRI1143" s="17"/>
      <c r="HRJ1143" s="17"/>
      <c r="HRK1143" s="17"/>
      <c r="HRL1143" s="17"/>
      <c r="HRM1143" s="17"/>
      <c r="HRN1143" s="17"/>
      <c r="HRO1143" s="17"/>
      <c r="HRP1143" s="17"/>
      <c r="HRQ1143" s="17"/>
      <c r="HRR1143" s="17"/>
      <c r="HRS1143" s="17"/>
      <c r="HRT1143" s="17"/>
      <c r="HRU1143" s="17"/>
      <c r="HRV1143" s="17"/>
      <c r="HRW1143" s="17"/>
      <c r="HRX1143" s="17"/>
      <c r="HRY1143" s="17"/>
      <c r="HRZ1143" s="17"/>
      <c r="HSA1143" s="17"/>
      <c r="HSB1143" s="17"/>
      <c r="HSC1143" s="17"/>
      <c r="HSD1143" s="17"/>
      <c r="HSE1143" s="17"/>
      <c r="HSF1143" s="17"/>
      <c r="HSG1143" s="17"/>
      <c r="HSH1143" s="17"/>
      <c r="HSI1143" s="17"/>
      <c r="HSJ1143" s="17"/>
      <c r="HSK1143" s="17"/>
      <c r="HSL1143" s="17"/>
      <c r="HSM1143" s="17"/>
      <c r="HSN1143" s="17"/>
      <c r="HSO1143" s="17"/>
      <c r="HSP1143" s="17"/>
      <c r="HSQ1143" s="17"/>
      <c r="HSR1143" s="17"/>
      <c r="HSS1143" s="17"/>
      <c r="HST1143" s="17"/>
      <c r="HSU1143" s="17"/>
      <c r="HSV1143" s="17"/>
      <c r="HSW1143" s="17"/>
      <c r="HSX1143" s="17"/>
      <c r="HSY1143" s="17"/>
      <c r="HSZ1143" s="17"/>
      <c r="HTA1143" s="17"/>
      <c r="HTB1143" s="17"/>
      <c r="HTC1143" s="17"/>
      <c r="HTD1143" s="17"/>
      <c r="HTE1143" s="17"/>
      <c r="HTF1143" s="17"/>
      <c r="HTG1143" s="17"/>
      <c r="HTH1143" s="17"/>
      <c r="HTI1143" s="17"/>
      <c r="HTJ1143" s="17"/>
      <c r="HTK1143" s="17"/>
      <c r="HTL1143" s="17"/>
      <c r="HTM1143" s="17"/>
      <c r="HTN1143" s="17"/>
      <c r="HTO1143" s="17"/>
      <c r="HTP1143" s="17"/>
      <c r="HTQ1143" s="17"/>
      <c r="HTR1143" s="17"/>
      <c r="HTS1143" s="17"/>
      <c r="HTT1143" s="17"/>
      <c r="HTU1143" s="17"/>
      <c r="HTV1143" s="17"/>
      <c r="HTW1143" s="17"/>
      <c r="HTX1143" s="17"/>
      <c r="HTY1143" s="17"/>
      <c r="HTZ1143" s="17"/>
      <c r="HUA1143" s="17"/>
      <c r="HUB1143" s="17"/>
      <c r="HUC1143" s="17"/>
      <c r="HUD1143" s="17"/>
      <c r="HUE1143" s="17"/>
      <c r="HUF1143" s="17"/>
      <c r="HUG1143" s="17"/>
      <c r="HUH1143" s="17"/>
      <c r="HUI1143" s="17"/>
      <c r="HUJ1143" s="17"/>
      <c r="HUK1143" s="17"/>
      <c r="HUL1143" s="17"/>
      <c r="HUM1143" s="17"/>
      <c r="HUN1143" s="17"/>
      <c r="HUO1143" s="17"/>
      <c r="HUP1143" s="17"/>
      <c r="HUQ1143" s="17"/>
      <c r="HUR1143" s="17"/>
      <c r="HUS1143" s="17"/>
      <c r="HUT1143" s="17"/>
      <c r="HUU1143" s="17"/>
      <c r="HUV1143" s="17"/>
      <c r="HUW1143" s="17"/>
      <c r="HUX1143" s="17"/>
      <c r="HUY1143" s="17"/>
      <c r="HUZ1143" s="17"/>
      <c r="HVA1143" s="17"/>
      <c r="HVB1143" s="17"/>
      <c r="HVC1143" s="17"/>
      <c r="HVD1143" s="17"/>
      <c r="HVE1143" s="17"/>
      <c r="HVF1143" s="17"/>
      <c r="HVG1143" s="17"/>
      <c r="HVH1143" s="17"/>
      <c r="HVI1143" s="17"/>
      <c r="HVJ1143" s="17"/>
      <c r="HVK1143" s="17"/>
      <c r="HVL1143" s="17"/>
      <c r="HVM1143" s="17"/>
      <c r="HVN1143" s="17"/>
      <c r="HVO1143" s="17"/>
      <c r="HVP1143" s="17"/>
      <c r="HVQ1143" s="17"/>
      <c r="HVR1143" s="17"/>
      <c r="HVS1143" s="17"/>
      <c r="HVT1143" s="17"/>
      <c r="HVU1143" s="17"/>
      <c r="HVV1143" s="17"/>
      <c r="HVW1143" s="17"/>
      <c r="HVX1143" s="17"/>
      <c r="HVY1143" s="17"/>
      <c r="HVZ1143" s="17"/>
      <c r="HWA1143" s="17"/>
      <c r="HWB1143" s="17"/>
      <c r="HWC1143" s="17"/>
      <c r="HWD1143" s="17"/>
      <c r="HWE1143" s="17"/>
      <c r="HWF1143" s="17"/>
      <c r="HWG1143" s="17"/>
      <c r="HWH1143" s="17"/>
      <c r="HWI1143" s="17"/>
      <c r="HWJ1143" s="17"/>
      <c r="HWK1143" s="17"/>
      <c r="HWL1143" s="17"/>
      <c r="HWM1143" s="17"/>
      <c r="HWN1143" s="17"/>
      <c r="HWO1143" s="17"/>
      <c r="HWP1143" s="17"/>
      <c r="HWQ1143" s="17"/>
      <c r="HWR1143" s="17"/>
      <c r="HWS1143" s="17"/>
      <c r="HWT1143" s="17"/>
      <c r="HWU1143" s="17"/>
      <c r="HWV1143" s="17"/>
      <c r="HWW1143" s="17"/>
      <c r="HWX1143" s="17"/>
      <c r="HWY1143" s="17"/>
      <c r="HWZ1143" s="17"/>
      <c r="HXA1143" s="17"/>
      <c r="HXB1143" s="17"/>
      <c r="HXC1143" s="17"/>
      <c r="HXD1143" s="17"/>
      <c r="HXE1143" s="17"/>
      <c r="HXF1143" s="17"/>
      <c r="HXG1143" s="17"/>
      <c r="HXH1143" s="17"/>
      <c r="HXI1143" s="17"/>
      <c r="HXJ1143" s="17"/>
      <c r="HXK1143" s="17"/>
      <c r="HXL1143" s="17"/>
      <c r="HXM1143" s="17"/>
      <c r="HXN1143" s="17"/>
      <c r="HXO1143" s="17"/>
      <c r="HXP1143" s="17"/>
      <c r="HXQ1143" s="17"/>
      <c r="HXR1143" s="17"/>
      <c r="HXS1143" s="17"/>
      <c r="HXT1143" s="17"/>
      <c r="HXU1143" s="17"/>
      <c r="HXV1143" s="17"/>
      <c r="HXW1143" s="17"/>
      <c r="HXX1143" s="17"/>
      <c r="HXY1143" s="17"/>
      <c r="HXZ1143" s="17"/>
      <c r="HYA1143" s="17"/>
      <c r="HYB1143" s="17"/>
      <c r="HYC1143" s="17"/>
      <c r="HYD1143" s="17"/>
      <c r="HYE1143" s="17"/>
      <c r="HYF1143" s="17"/>
      <c r="HYG1143" s="17"/>
      <c r="HYH1143" s="17"/>
      <c r="HYI1143" s="17"/>
      <c r="HYJ1143" s="17"/>
      <c r="HYK1143" s="17"/>
      <c r="HYL1143" s="17"/>
      <c r="HYM1143" s="17"/>
      <c r="HYN1143" s="17"/>
      <c r="HYO1143" s="17"/>
      <c r="HYP1143" s="17"/>
      <c r="HYQ1143" s="17"/>
      <c r="HYR1143" s="17"/>
      <c r="HYS1143" s="17"/>
      <c r="HYT1143" s="17"/>
      <c r="HYU1143" s="17"/>
      <c r="HYV1143" s="17"/>
      <c r="HYW1143" s="17"/>
      <c r="HYX1143" s="17"/>
      <c r="HYY1143" s="17"/>
      <c r="HYZ1143" s="17"/>
      <c r="HZA1143" s="17"/>
      <c r="HZB1143" s="17"/>
      <c r="HZC1143" s="17"/>
      <c r="HZD1143" s="17"/>
      <c r="HZE1143" s="17"/>
      <c r="HZF1143" s="17"/>
      <c r="HZG1143" s="17"/>
      <c r="HZH1143" s="17"/>
      <c r="HZI1143" s="17"/>
      <c r="HZJ1143" s="17"/>
      <c r="HZK1143" s="17"/>
      <c r="HZL1143" s="17"/>
      <c r="HZM1143" s="17"/>
      <c r="HZN1143" s="17"/>
      <c r="HZO1143" s="17"/>
      <c r="HZP1143" s="17"/>
      <c r="HZQ1143" s="17"/>
      <c r="HZR1143" s="17"/>
      <c r="HZS1143" s="17"/>
      <c r="HZT1143" s="17"/>
      <c r="HZU1143" s="17"/>
      <c r="HZV1143" s="17"/>
      <c r="HZW1143" s="17"/>
      <c r="HZX1143" s="17"/>
      <c r="HZY1143" s="17"/>
      <c r="HZZ1143" s="17"/>
      <c r="IAA1143" s="17"/>
      <c r="IAB1143" s="17"/>
      <c r="IAC1143" s="17"/>
      <c r="IAD1143" s="17"/>
      <c r="IAE1143" s="17"/>
      <c r="IAF1143" s="17"/>
      <c r="IAG1143" s="17"/>
      <c r="IAH1143" s="17"/>
      <c r="IAI1143" s="17"/>
      <c r="IAJ1143" s="17"/>
      <c r="IAK1143" s="17"/>
      <c r="IAL1143" s="17"/>
      <c r="IAM1143" s="17"/>
      <c r="IAN1143" s="17"/>
      <c r="IAO1143" s="17"/>
      <c r="IAP1143" s="17"/>
      <c r="IAQ1143" s="17"/>
      <c r="IAR1143" s="17"/>
      <c r="IAS1143" s="17"/>
      <c r="IAT1143" s="17"/>
      <c r="IAU1143" s="17"/>
      <c r="IAV1143" s="17"/>
      <c r="IAW1143" s="17"/>
      <c r="IAX1143" s="17"/>
      <c r="IAY1143" s="17"/>
      <c r="IAZ1143" s="17"/>
      <c r="IBA1143" s="17"/>
      <c r="IBB1143" s="17"/>
      <c r="IBC1143" s="17"/>
      <c r="IBD1143" s="17"/>
      <c r="IBE1143" s="17"/>
      <c r="IBF1143" s="17"/>
      <c r="IBG1143" s="17"/>
      <c r="IBH1143" s="17"/>
      <c r="IBI1143" s="17"/>
      <c r="IBJ1143" s="17"/>
      <c r="IBK1143" s="17"/>
      <c r="IBL1143" s="17"/>
      <c r="IBM1143" s="17"/>
      <c r="IBN1143" s="17"/>
      <c r="IBO1143" s="17"/>
      <c r="IBP1143" s="17"/>
      <c r="IBQ1143" s="17"/>
      <c r="IBR1143" s="17"/>
      <c r="IBS1143" s="17"/>
      <c r="IBT1143" s="17"/>
      <c r="IBU1143" s="17"/>
      <c r="IBV1143" s="17"/>
      <c r="IBW1143" s="17"/>
      <c r="IBX1143" s="17"/>
      <c r="IBY1143" s="17"/>
      <c r="IBZ1143" s="17"/>
      <c r="ICA1143" s="17"/>
      <c r="ICB1143" s="17"/>
      <c r="ICC1143" s="17"/>
      <c r="ICD1143" s="17"/>
      <c r="ICE1143" s="17"/>
      <c r="ICF1143" s="17"/>
      <c r="ICG1143" s="17"/>
      <c r="ICH1143" s="17"/>
      <c r="ICI1143" s="17"/>
      <c r="ICJ1143" s="17"/>
      <c r="ICK1143" s="17"/>
      <c r="ICL1143" s="17"/>
      <c r="ICM1143" s="17"/>
      <c r="ICN1143" s="17"/>
      <c r="ICO1143" s="17"/>
      <c r="ICP1143" s="17"/>
      <c r="ICQ1143" s="17"/>
      <c r="ICR1143" s="17"/>
      <c r="ICS1143" s="17"/>
      <c r="ICT1143" s="17"/>
      <c r="ICU1143" s="17"/>
      <c r="ICV1143" s="17"/>
      <c r="ICW1143" s="17"/>
      <c r="ICX1143" s="17"/>
      <c r="ICY1143" s="17"/>
      <c r="ICZ1143" s="17"/>
      <c r="IDA1143" s="17"/>
      <c r="IDB1143" s="17"/>
      <c r="IDC1143" s="17"/>
      <c r="IDD1143" s="17"/>
      <c r="IDE1143" s="17"/>
      <c r="IDF1143" s="17"/>
      <c r="IDG1143" s="17"/>
      <c r="IDH1143" s="17"/>
      <c r="IDI1143" s="17"/>
      <c r="IDJ1143" s="17"/>
      <c r="IDK1143" s="17"/>
      <c r="IDL1143" s="17"/>
      <c r="IDM1143" s="17"/>
      <c r="IDN1143" s="17"/>
      <c r="IDO1143" s="17"/>
      <c r="IDP1143" s="17"/>
      <c r="IDQ1143" s="17"/>
      <c r="IDR1143" s="17"/>
      <c r="IDS1143" s="17"/>
      <c r="IDT1143" s="17"/>
      <c r="IDU1143" s="17"/>
      <c r="IDV1143" s="17"/>
      <c r="IDW1143" s="17"/>
      <c r="IDX1143" s="17"/>
      <c r="IDY1143" s="17"/>
      <c r="IDZ1143" s="17"/>
      <c r="IEA1143" s="17"/>
      <c r="IEB1143" s="17"/>
      <c r="IEC1143" s="17"/>
      <c r="IED1143" s="17"/>
      <c r="IEE1143" s="17"/>
      <c r="IEF1143" s="17"/>
      <c r="IEG1143" s="17"/>
      <c r="IEH1143" s="17"/>
      <c r="IEI1143" s="17"/>
      <c r="IEJ1143" s="17"/>
      <c r="IEK1143" s="17"/>
      <c r="IEL1143" s="17"/>
      <c r="IEM1143" s="17"/>
      <c r="IEN1143" s="17"/>
      <c r="IEO1143" s="17"/>
      <c r="IEP1143" s="17"/>
      <c r="IEQ1143" s="17"/>
      <c r="IER1143" s="17"/>
      <c r="IES1143" s="17"/>
      <c r="IET1143" s="17"/>
      <c r="IEU1143" s="17"/>
      <c r="IEV1143" s="17"/>
      <c r="IEW1143" s="17"/>
      <c r="IEX1143" s="17"/>
      <c r="IEY1143" s="17"/>
      <c r="IEZ1143" s="17"/>
      <c r="IFA1143" s="17"/>
      <c r="IFB1143" s="17"/>
      <c r="IFC1143" s="17"/>
      <c r="IFD1143" s="17"/>
      <c r="IFE1143" s="17"/>
      <c r="IFF1143" s="17"/>
      <c r="IFG1143" s="17"/>
      <c r="IFH1143" s="17"/>
      <c r="IFI1143" s="17"/>
      <c r="IFJ1143" s="17"/>
      <c r="IFK1143" s="17"/>
      <c r="IFL1143" s="17"/>
      <c r="IFM1143" s="17"/>
      <c r="IFN1143" s="17"/>
      <c r="IFO1143" s="17"/>
      <c r="IFP1143" s="17"/>
      <c r="IFQ1143" s="17"/>
      <c r="IFR1143" s="17"/>
      <c r="IFS1143" s="17"/>
      <c r="IFT1143" s="17"/>
      <c r="IFU1143" s="17"/>
      <c r="IFV1143" s="17"/>
      <c r="IFW1143" s="17"/>
      <c r="IFX1143" s="17"/>
      <c r="IFY1143" s="17"/>
      <c r="IFZ1143" s="17"/>
      <c r="IGA1143" s="17"/>
      <c r="IGB1143" s="17"/>
      <c r="IGC1143" s="17"/>
      <c r="IGD1143" s="17"/>
      <c r="IGE1143" s="17"/>
      <c r="IGF1143" s="17"/>
      <c r="IGG1143" s="17"/>
      <c r="IGH1143" s="17"/>
      <c r="IGI1143" s="17"/>
      <c r="IGJ1143" s="17"/>
      <c r="IGK1143" s="17"/>
      <c r="IGL1143" s="17"/>
      <c r="IGM1143" s="17"/>
      <c r="IGN1143" s="17"/>
      <c r="IGO1143" s="17"/>
      <c r="IGP1143" s="17"/>
      <c r="IGQ1143" s="17"/>
      <c r="IGR1143" s="17"/>
      <c r="IGS1143" s="17"/>
      <c r="IGT1143" s="17"/>
      <c r="IGU1143" s="17"/>
      <c r="IGV1143" s="17"/>
      <c r="IGW1143" s="17"/>
      <c r="IGX1143" s="17"/>
      <c r="IGY1143" s="17"/>
      <c r="IGZ1143" s="17"/>
      <c r="IHA1143" s="17"/>
      <c r="IHB1143" s="17"/>
      <c r="IHC1143" s="17"/>
      <c r="IHD1143" s="17"/>
      <c r="IHE1143" s="17"/>
      <c r="IHF1143" s="17"/>
      <c r="IHG1143" s="17"/>
      <c r="IHH1143" s="17"/>
      <c r="IHI1143" s="17"/>
      <c r="IHJ1143" s="17"/>
      <c r="IHK1143" s="17"/>
      <c r="IHL1143" s="17"/>
      <c r="IHM1143" s="17"/>
      <c r="IHN1143" s="17"/>
      <c r="IHO1143" s="17"/>
      <c r="IHP1143" s="17"/>
      <c r="IHQ1143" s="17"/>
      <c r="IHR1143" s="17"/>
      <c r="IHS1143" s="17"/>
      <c r="IHT1143" s="17"/>
      <c r="IHU1143" s="17"/>
      <c r="IHV1143" s="17"/>
      <c r="IHW1143" s="17"/>
      <c r="IHX1143" s="17"/>
      <c r="IHY1143" s="17"/>
      <c r="IHZ1143" s="17"/>
      <c r="IIA1143" s="17"/>
      <c r="IIB1143" s="17"/>
      <c r="IIC1143" s="17"/>
      <c r="IID1143" s="17"/>
      <c r="IIE1143" s="17"/>
      <c r="IIF1143" s="17"/>
      <c r="IIG1143" s="17"/>
      <c r="IIH1143" s="17"/>
      <c r="III1143" s="17"/>
      <c r="IIJ1143" s="17"/>
      <c r="IIK1143" s="17"/>
      <c r="IIL1143" s="17"/>
      <c r="IIM1143" s="17"/>
      <c r="IIN1143" s="17"/>
      <c r="IIO1143" s="17"/>
      <c r="IIP1143" s="17"/>
      <c r="IIQ1143" s="17"/>
      <c r="IIR1143" s="17"/>
      <c r="IIS1143" s="17"/>
      <c r="IIT1143" s="17"/>
      <c r="IIU1143" s="17"/>
      <c r="IIV1143" s="17"/>
      <c r="IIW1143" s="17"/>
      <c r="IIX1143" s="17"/>
      <c r="IIY1143" s="17"/>
      <c r="IIZ1143" s="17"/>
      <c r="IJA1143" s="17"/>
      <c r="IJB1143" s="17"/>
      <c r="IJC1143" s="17"/>
      <c r="IJD1143" s="17"/>
      <c r="IJE1143" s="17"/>
      <c r="IJF1143" s="17"/>
      <c r="IJG1143" s="17"/>
      <c r="IJH1143" s="17"/>
      <c r="IJI1143" s="17"/>
      <c r="IJJ1143" s="17"/>
      <c r="IJK1143" s="17"/>
      <c r="IJL1143" s="17"/>
      <c r="IJM1143" s="17"/>
      <c r="IJN1143" s="17"/>
      <c r="IJO1143" s="17"/>
      <c r="IJP1143" s="17"/>
      <c r="IJQ1143" s="17"/>
      <c r="IJR1143" s="17"/>
      <c r="IJS1143" s="17"/>
      <c r="IJT1143" s="17"/>
      <c r="IJU1143" s="17"/>
      <c r="IJV1143" s="17"/>
      <c r="IJW1143" s="17"/>
      <c r="IJX1143" s="17"/>
      <c r="IJY1143" s="17"/>
      <c r="IJZ1143" s="17"/>
      <c r="IKA1143" s="17"/>
      <c r="IKB1143" s="17"/>
      <c r="IKC1143" s="17"/>
      <c r="IKD1143" s="17"/>
      <c r="IKE1143" s="17"/>
      <c r="IKF1143" s="17"/>
      <c r="IKG1143" s="17"/>
      <c r="IKH1143" s="17"/>
      <c r="IKI1143" s="17"/>
      <c r="IKJ1143" s="17"/>
      <c r="IKK1143" s="17"/>
      <c r="IKL1143" s="17"/>
      <c r="IKM1143" s="17"/>
      <c r="IKN1143" s="17"/>
      <c r="IKO1143" s="17"/>
      <c r="IKP1143" s="17"/>
      <c r="IKQ1143" s="17"/>
      <c r="IKR1143" s="17"/>
      <c r="IKS1143" s="17"/>
      <c r="IKT1143" s="17"/>
      <c r="IKU1143" s="17"/>
      <c r="IKV1143" s="17"/>
      <c r="IKW1143" s="17"/>
      <c r="IKX1143" s="17"/>
      <c r="IKY1143" s="17"/>
      <c r="IKZ1143" s="17"/>
      <c r="ILA1143" s="17"/>
      <c r="ILB1143" s="17"/>
      <c r="ILC1143" s="17"/>
      <c r="ILD1143" s="17"/>
      <c r="ILE1143" s="17"/>
      <c r="ILF1143" s="17"/>
      <c r="ILG1143" s="17"/>
      <c r="ILH1143" s="17"/>
      <c r="ILI1143" s="17"/>
      <c r="ILJ1143" s="17"/>
      <c r="ILK1143" s="17"/>
      <c r="ILL1143" s="17"/>
      <c r="ILM1143" s="17"/>
      <c r="ILN1143" s="17"/>
      <c r="ILO1143" s="17"/>
      <c r="ILP1143" s="17"/>
      <c r="ILQ1143" s="17"/>
      <c r="ILR1143" s="17"/>
      <c r="ILS1143" s="17"/>
      <c r="ILT1143" s="17"/>
      <c r="ILU1143" s="17"/>
      <c r="ILV1143" s="17"/>
      <c r="ILW1143" s="17"/>
      <c r="ILX1143" s="17"/>
      <c r="ILY1143" s="17"/>
      <c r="ILZ1143" s="17"/>
      <c r="IMA1143" s="17"/>
      <c r="IMB1143" s="17"/>
      <c r="IMC1143" s="17"/>
      <c r="IMD1143" s="17"/>
      <c r="IME1143" s="17"/>
      <c r="IMF1143" s="17"/>
      <c r="IMG1143" s="17"/>
      <c r="IMH1143" s="17"/>
      <c r="IMI1143" s="17"/>
      <c r="IMJ1143" s="17"/>
      <c r="IMK1143" s="17"/>
      <c r="IML1143" s="17"/>
      <c r="IMM1143" s="17"/>
      <c r="IMN1143" s="17"/>
      <c r="IMO1143" s="17"/>
      <c r="IMP1143" s="17"/>
      <c r="IMQ1143" s="17"/>
      <c r="IMR1143" s="17"/>
      <c r="IMS1143" s="17"/>
      <c r="IMT1143" s="17"/>
      <c r="IMU1143" s="17"/>
      <c r="IMV1143" s="17"/>
      <c r="IMW1143" s="17"/>
      <c r="IMX1143" s="17"/>
      <c r="IMY1143" s="17"/>
      <c r="IMZ1143" s="17"/>
      <c r="INA1143" s="17"/>
      <c r="INB1143" s="17"/>
      <c r="INC1143" s="17"/>
      <c r="IND1143" s="17"/>
      <c r="INE1143" s="17"/>
      <c r="INF1143" s="17"/>
      <c r="ING1143" s="17"/>
      <c r="INH1143" s="17"/>
      <c r="INI1143" s="17"/>
      <c r="INJ1143" s="17"/>
      <c r="INK1143" s="17"/>
      <c r="INL1143" s="17"/>
      <c r="INM1143" s="17"/>
      <c r="INN1143" s="17"/>
      <c r="INO1143" s="17"/>
      <c r="INP1143" s="17"/>
      <c r="INQ1143" s="17"/>
      <c r="INR1143" s="17"/>
      <c r="INS1143" s="17"/>
      <c r="INT1143" s="17"/>
      <c r="INU1143" s="17"/>
      <c r="INV1143" s="17"/>
      <c r="INW1143" s="17"/>
      <c r="INX1143" s="17"/>
      <c r="INY1143" s="17"/>
      <c r="INZ1143" s="17"/>
      <c r="IOA1143" s="17"/>
      <c r="IOB1143" s="17"/>
      <c r="IOC1143" s="17"/>
      <c r="IOD1143" s="17"/>
      <c r="IOE1143" s="17"/>
      <c r="IOF1143" s="17"/>
      <c r="IOG1143" s="17"/>
      <c r="IOH1143" s="17"/>
      <c r="IOI1143" s="17"/>
      <c r="IOJ1143" s="17"/>
      <c r="IOK1143" s="17"/>
      <c r="IOL1143" s="17"/>
      <c r="IOM1143" s="17"/>
      <c r="ION1143" s="17"/>
      <c r="IOO1143" s="17"/>
      <c r="IOP1143" s="17"/>
      <c r="IOQ1143" s="17"/>
      <c r="IOR1143" s="17"/>
      <c r="IOS1143" s="17"/>
      <c r="IOT1143" s="17"/>
      <c r="IOU1143" s="17"/>
      <c r="IOV1143" s="17"/>
      <c r="IOW1143" s="17"/>
      <c r="IOX1143" s="17"/>
      <c r="IOY1143" s="17"/>
      <c r="IOZ1143" s="17"/>
      <c r="IPA1143" s="17"/>
      <c r="IPB1143" s="17"/>
      <c r="IPC1143" s="17"/>
      <c r="IPD1143" s="17"/>
      <c r="IPE1143" s="17"/>
      <c r="IPF1143" s="17"/>
      <c r="IPG1143" s="17"/>
      <c r="IPH1143" s="17"/>
      <c r="IPI1143" s="17"/>
      <c r="IPJ1143" s="17"/>
      <c r="IPK1143" s="17"/>
      <c r="IPL1143" s="17"/>
      <c r="IPM1143" s="17"/>
      <c r="IPN1143" s="17"/>
      <c r="IPO1143" s="17"/>
      <c r="IPP1143" s="17"/>
      <c r="IPQ1143" s="17"/>
      <c r="IPR1143" s="17"/>
      <c r="IPS1143" s="17"/>
      <c r="IPT1143" s="17"/>
      <c r="IPU1143" s="17"/>
      <c r="IPV1143" s="17"/>
      <c r="IPW1143" s="17"/>
      <c r="IPX1143" s="17"/>
      <c r="IPY1143" s="17"/>
      <c r="IPZ1143" s="17"/>
      <c r="IQA1143" s="17"/>
      <c r="IQB1143" s="17"/>
      <c r="IQC1143" s="17"/>
      <c r="IQD1143" s="17"/>
      <c r="IQE1143" s="17"/>
      <c r="IQF1143" s="17"/>
      <c r="IQG1143" s="17"/>
      <c r="IQH1143" s="17"/>
      <c r="IQI1143" s="17"/>
      <c r="IQJ1143" s="17"/>
      <c r="IQK1143" s="17"/>
      <c r="IQL1143" s="17"/>
      <c r="IQM1143" s="17"/>
      <c r="IQN1143" s="17"/>
      <c r="IQO1143" s="17"/>
      <c r="IQP1143" s="17"/>
      <c r="IQQ1143" s="17"/>
      <c r="IQR1143" s="17"/>
      <c r="IQS1143" s="17"/>
      <c r="IQT1143" s="17"/>
      <c r="IQU1143" s="17"/>
      <c r="IQV1143" s="17"/>
      <c r="IQW1143" s="17"/>
      <c r="IQX1143" s="17"/>
      <c r="IQY1143" s="17"/>
      <c r="IQZ1143" s="17"/>
      <c r="IRA1143" s="17"/>
      <c r="IRB1143" s="17"/>
      <c r="IRC1143" s="17"/>
      <c r="IRD1143" s="17"/>
      <c r="IRE1143" s="17"/>
      <c r="IRF1143" s="17"/>
      <c r="IRG1143" s="17"/>
      <c r="IRH1143" s="17"/>
      <c r="IRI1143" s="17"/>
      <c r="IRJ1143" s="17"/>
      <c r="IRK1143" s="17"/>
      <c r="IRL1143" s="17"/>
      <c r="IRM1143" s="17"/>
      <c r="IRN1143" s="17"/>
      <c r="IRO1143" s="17"/>
      <c r="IRP1143" s="17"/>
      <c r="IRQ1143" s="17"/>
      <c r="IRR1143" s="17"/>
      <c r="IRS1143" s="17"/>
      <c r="IRT1143" s="17"/>
      <c r="IRU1143" s="17"/>
      <c r="IRV1143" s="17"/>
      <c r="IRW1143" s="17"/>
      <c r="IRX1143" s="17"/>
      <c r="IRY1143" s="17"/>
      <c r="IRZ1143" s="17"/>
      <c r="ISA1143" s="17"/>
      <c r="ISB1143" s="17"/>
      <c r="ISC1143" s="17"/>
      <c r="ISD1143" s="17"/>
      <c r="ISE1143" s="17"/>
      <c r="ISF1143" s="17"/>
      <c r="ISG1143" s="17"/>
      <c r="ISH1143" s="17"/>
      <c r="ISI1143" s="17"/>
      <c r="ISJ1143" s="17"/>
      <c r="ISK1143" s="17"/>
      <c r="ISL1143" s="17"/>
      <c r="ISM1143" s="17"/>
      <c r="ISN1143" s="17"/>
      <c r="ISO1143" s="17"/>
      <c r="ISP1143" s="17"/>
      <c r="ISQ1143" s="17"/>
      <c r="ISR1143" s="17"/>
      <c r="ISS1143" s="17"/>
      <c r="IST1143" s="17"/>
      <c r="ISU1143" s="17"/>
      <c r="ISV1143" s="17"/>
      <c r="ISW1143" s="17"/>
      <c r="ISX1143" s="17"/>
      <c r="ISY1143" s="17"/>
      <c r="ISZ1143" s="17"/>
      <c r="ITA1143" s="17"/>
      <c r="ITB1143" s="17"/>
      <c r="ITC1143" s="17"/>
      <c r="ITD1143" s="17"/>
      <c r="ITE1143" s="17"/>
      <c r="ITF1143" s="17"/>
      <c r="ITG1143" s="17"/>
      <c r="ITH1143" s="17"/>
      <c r="ITI1143" s="17"/>
      <c r="ITJ1143" s="17"/>
      <c r="ITK1143" s="17"/>
      <c r="ITL1143" s="17"/>
      <c r="ITM1143" s="17"/>
      <c r="ITN1143" s="17"/>
      <c r="ITO1143" s="17"/>
      <c r="ITP1143" s="17"/>
      <c r="ITQ1143" s="17"/>
      <c r="ITR1143" s="17"/>
      <c r="ITS1143" s="17"/>
      <c r="ITT1143" s="17"/>
      <c r="ITU1143" s="17"/>
      <c r="ITV1143" s="17"/>
      <c r="ITW1143" s="17"/>
      <c r="ITX1143" s="17"/>
      <c r="ITY1143" s="17"/>
      <c r="ITZ1143" s="17"/>
      <c r="IUA1143" s="17"/>
      <c r="IUB1143" s="17"/>
      <c r="IUC1143" s="17"/>
      <c r="IUD1143" s="17"/>
      <c r="IUE1143" s="17"/>
      <c r="IUF1143" s="17"/>
      <c r="IUG1143" s="17"/>
      <c r="IUH1143" s="17"/>
      <c r="IUI1143" s="17"/>
      <c r="IUJ1143" s="17"/>
      <c r="IUK1143" s="17"/>
      <c r="IUL1143" s="17"/>
      <c r="IUM1143" s="17"/>
      <c r="IUN1143" s="17"/>
      <c r="IUO1143" s="17"/>
      <c r="IUP1143" s="17"/>
      <c r="IUQ1143" s="17"/>
      <c r="IUR1143" s="17"/>
      <c r="IUS1143" s="17"/>
      <c r="IUT1143" s="17"/>
      <c r="IUU1143" s="17"/>
      <c r="IUV1143" s="17"/>
      <c r="IUW1143" s="17"/>
      <c r="IUX1143" s="17"/>
      <c r="IUY1143" s="17"/>
      <c r="IUZ1143" s="17"/>
      <c r="IVA1143" s="17"/>
      <c r="IVB1143" s="17"/>
      <c r="IVC1143" s="17"/>
      <c r="IVD1143" s="17"/>
      <c r="IVE1143" s="17"/>
      <c r="IVF1143" s="17"/>
      <c r="IVG1143" s="17"/>
      <c r="IVH1143" s="17"/>
      <c r="IVI1143" s="17"/>
      <c r="IVJ1143" s="17"/>
      <c r="IVK1143" s="17"/>
      <c r="IVL1143" s="17"/>
      <c r="IVM1143" s="17"/>
      <c r="IVN1143" s="17"/>
      <c r="IVO1143" s="17"/>
      <c r="IVP1143" s="17"/>
      <c r="IVQ1143" s="17"/>
      <c r="IVR1143" s="17"/>
      <c r="IVS1143" s="17"/>
      <c r="IVT1143" s="17"/>
      <c r="IVU1143" s="17"/>
      <c r="IVV1143" s="17"/>
      <c r="IVW1143" s="17"/>
      <c r="IVX1143" s="17"/>
      <c r="IVY1143" s="17"/>
      <c r="IVZ1143" s="17"/>
      <c r="IWA1143" s="17"/>
      <c r="IWB1143" s="17"/>
      <c r="IWC1143" s="17"/>
      <c r="IWD1143" s="17"/>
      <c r="IWE1143" s="17"/>
      <c r="IWF1143" s="17"/>
      <c r="IWG1143" s="17"/>
      <c r="IWH1143" s="17"/>
      <c r="IWI1143" s="17"/>
      <c r="IWJ1143" s="17"/>
      <c r="IWK1143" s="17"/>
      <c r="IWL1143" s="17"/>
      <c r="IWM1143" s="17"/>
      <c r="IWN1143" s="17"/>
      <c r="IWO1143" s="17"/>
      <c r="IWP1143" s="17"/>
      <c r="IWQ1143" s="17"/>
      <c r="IWR1143" s="17"/>
      <c r="IWS1143" s="17"/>
      <c r="IWT1143" s="17"/>
      <c r="IWU1143" s="17"/>
      <c r="IWV1143" s="17"/>
      <c r="IWW1143" s="17"/>
      <c r="IWX1143" s="17"/>
      <c r="IWY1143" s="17"/>
      <c r="IWZ1143" s="17"/>
      <c r="IXA1143" s="17"/>
      <c r="IXB1143" s="17"/>
      <c r="IXC1143" s="17"/>
      <c r="IXD1143" s="17"/>
      <c r="IXE1143" s="17"/>
      <c r="IXF1143" s="17"/>
      <c r="IXG1143" s="17"/>
      <c r="IXH1143" s="17"/>
      <c r="IXI1143" s="17"/>
      <c r="IXJ1143" s="17"/>
      <c r="IXK1143" s="17"/>
      <c r="IXL1143" s="17"/>
      <c r="IXM1143" s="17"/>
      <c r="IXN1143" s="17"/>
      <c r="IXO1143" s="17"/>
      <c r="IXP1143" s="17"/>
      <c r="IXQ1143" s="17"/>
      <c r="IXR1143" s="17"/>
      <c r="IXS1143" s="17"/>
      <c r="IXT1143" s="17"/>
      <c r="IXU1143" s="17"/>
      <c r="IXV1143" s="17"/>
      <c r="IXW1143" s="17"/>
      <c r="IXX1143" s="17"/>
      <c r="IXY1143" s="17"/>
      <c r="IXZ1143" s="17"/>
      <c r="IYA1143" s="17"/>
      <c r="IYB1143" s="17"/>
      <c r="IYC1143" s="17"/>
      <c r="IYD1143" s="17"/>
      <c r="IYE1143" s="17"/>
      <c r="IYF1143" s="17"/>
      <c r="IYG1143" s="17"/>
      <c r="IYH1143" s="17"/>
      <c r="IYI1143" s="17"/>
      <c r="IYJ1143" s="17"/>
      <c r="IYK1143" s="17"/>
      <c r="IYL1143" s="17"/>
      <c r="IYM1143" s="17"/>
      <c r="IYN1143" s="17"/>
      <c r="IYO1143" s="17"/>
      <c r="IYP1143" s="17"/>
      <c r="IYQ1143" s="17"/>
      <c r="IYR1143" s="17"/>
      <c r="IYS1143" s="17"/>
      <c r="IYT1143" s="17"/>
      <c r="IYU1143" s="17"/>
      <c r="IYV1143" s="17"/>
      <c r="IYW1143" s="17"/>
      <c r="IYX1143" s="17"/>
      <c r="IYY1143" s="17"/>
      <c r="IYZ1143" s="17"/>
      <c r="IZA1143" s="17"/>
      <c r="IZB1143" s="17"/>
      <c r="IZC1143" s="17"/>
      <c r="IZD1143" s="17"/>
      <c r="IZE1143" s="17"/>
      <c r="IZF1143" s="17"/>
      <c r="IZG1143" s="17"/>
      <c r="IZH1143" s="17"/>
      <c r="IZI1143" s="17"/>
      <c r="IZJ1143" s="17"/>
      <c r="IZK1143" s="17"/>
      <c r="IZL1143" s="17"/>
      <c r="IZM1143" s="17"/>
      <c r="IZN1143" s="17"/>
      <c r="IZO1143" s="17"/>
      <c r="IZP1143" s="17"/>
      <c r="IZQ1143" s="17"/>
      <c r="IZR1143" s="17"/>
      <c r="IZS1143" s="17"/>
      <c r="IZT1143" s="17"/>
      <c r="IZU1143" s="17"/>
      <c r="IZV1143" s="17"/>
      <c r="IZW1143" s="17"/>
      <c r="IZX1143" s="17"/>
      <c r="IZY1143" s="17"/>
      <c r="IZZ1143" s="17"/>
      <c r="JAA1143" s="17"/>
      <c r="JAB1143" s="17"/>
      <c r="JAC1143" s="17"/>
      <c r="JAD1143" s="17"/>
      <c r="JAE1143" s="17"/>
      <c r="JAF1143" s="17"/>
      <c r="JAG1143" s="17"/>
      <c r="JAH1143" s="17"/>
      <c r="JAI1143" s="17"/>
      <c r="JAJ1143" s="17"/>
      <c r="JAK1143" s="17"/>
      <c r="JAL1143" s="17"/>
      <c r="JAM1143" s="17"/>
      <c r="JAN1143" s="17"/>
      <c r="JAO1143" s="17"/>
      <c r="JAP1143" s="17"/>
      <c r="JAQ1143" s="17"/>
      <c r="JAR1143" s="17"/>
      <c r="JAS1143" s="17"/>
      <c r="JAT1143" s="17"/>
      <c r="JAU1143" s="17"/>
      <c r="JAV1143" s="17"/>
      <c r="JAW1143" s="17"/>
      <c r="JAX1143" s="17"/>
      <c r="JAY1143" s="17"/>
      <c r="JAZ1143" s="17"/>
      <c r="JBA1143" s="17"/>
      <c r="JBB1143" s="17"/>
      <c r="JBC1143" s="17"/>
      <c r="JBD1143" s="17"/>
      <c r="JBE1143" s="17"/>
      <c r="JBF1143" s="17"/>
      <c r="JBG1143" s="17"/>
      <c r="JBH1143" s="17"/>
      <c r="JBI1143" s="17"/>
      <c r="JBJ1143" s="17"/>
      <c r="JBK1143" s="17"/>
      <c r="JBL1143" s="17"/>
      <c r="JBM1143" s="17"/>
      <c r="JBN1143" s="17"/>
      <c r="JBO1143" s="17"/>
      <c r="JBP1143" s="17"/>
      <c r="JBQ1143" s="17"/>
      <c r="JBR1143" s="17"/>
      <c r="JBS1143" s="17"/>
      <c r="JBT1143" s="17"/>
      <c r="JBU1143" s="17"/>
      <c r="JBV1143" s="17"/>
      <c r="JBW1143" s="17"/>
      <c r="JBX1143" s="17"/>
      <c r="JBY1143" s="17"/>
      <c r="JBZ1143" s="17"/>
      <c r="JCA1143" s="17"/>
      <c r="JCB1143" s="17"/>
      <c r="JCC1143" s="17"/>
      <c r="JCD1143" s="17"/>
      <c r="JCE1143" s="17"/>
      <c r="JCF1143" s="17"/>
      <c r="JCG1143" s="17"/>
      <c r="JCH1143" s="17"/>
      <c r="JCI1143" s="17"/>
      <c r="JCJ1143" s="17"/>
      <c r="JCK1143" s="17"/>
      <c r="JCL1143" s="17"/>
      <c r="JCM1143" s="17"/>
      <c r="JCN1143" s="17"/>
      <c r="JCO1143" s="17"/>
      <c r="JCP1143" s="17"/>
      <c r="JCQ1143" s="17"/>
      <c r="JCR1143" s="17"/>
      <c r="JCS1143" s="17"/>
      <c r="JCT1143" s="17"/>
      <c r="JCU1143" s="17"/>
      <c r="JCV1143" s="17"/>
      <c r="JCW1143" s="17"/>
      <c r="JCX1143" s="17"/>
      <c r="JCY1143" s="17"/>
      <c r="JCZ1143" s="17"/>
      <c r="JDA1143" s="17"/>
      <c r="JDB1143" s="17"/>
      <c r="JDC1143" s="17"/>
      <c r="JDD1143" s="17"/>
      <c r="JDE1143" s="17"/>
      <c r="JDF1143" s="17"/>
      <c r="JDG1143" s="17"/>
      <c r="JDH1143" s="17"/>
      <c r="JDI1143" s="17"/>
      <c r="JDJ1143" s="17"/>
      <c r="JDK1143" s="17"/>
      <c r="JDL1143" s="17"/>
      <c r="JDM1143" s="17"/>
      <c r="JDN1143" s="17"/>
      <c r="JDO1143" s="17"/>
      <c r="JDP1143" s="17"/>
      <c r="JDQ1143" s="17"/>
      <c r="JDR1143" s="17"/>
      <c r="JDS1143" s="17"/>
      <c r="JDT1143" s="17"/>
      <c r="JDU1143" s="17"/>
      <c r="JDV1143" s="17"/>
      <c r="JDW1143" s="17"/>
      <c r="JDX1143" s="17"/>
      <c r="JDY1143" s="17"/>
      <c r="JDZ1143" s="17"/>
      <c r="JEA1143" s="17"/>
      <c r="JEB1143" s="17"/>
      <c r="JEC1143" s="17"/>
      <c r="JED1143" s="17"/>
      <c r="JEE1143" s="17"/>
      <c r="JEF1143" s="17"/>
      <c r="JEG1143" s="17"/>
      <c r="JEH1143" s="17"/>
      <c r="JEI1143" s="17"/>
      <c r="JEJ1143" s="17"/>
      <c r="JEK1143" s="17"/>
      <c r="JEL1143" s="17"/>
      <c r="JEM1143" s="17"/>
      <c r="JEN1143" s="17"/>
      <c r="JEO1143" s="17"/>
      <c r="JEP1143" s="17"/>
      <c r="JEQ1143" s="17"/>
      <c r="JER1143" s="17"/>
      <c r="JES1143" s="17"/>
      <c r="JET1143" s="17"/>
      <c r="JEU1143" s="17"/>
      <c r="JEV1143" s="17"/>
      <c r="JEW1143" s="17"/>
      <c r="JEX1143" s="17"/>
      <c r="JEY1143" s="17"/>
      <c r="JEZ1143" s="17"/>
      <c r="JFA1143" s="17"/>
      <c r="JFB1143" s="17"/>
      <c r="JFC1143" s="17"/>
      <c r="JFD1143" s="17"/>
      <c r="JFE1143" s="17"/>
      <c r="JFF1143" s="17"/>
      <c r="JFG1143" s="17"/>
      <c r="JFH1143" s="17"/>
      <c r="JFI1143" s="17"/>
      <c r="JFJ1143" s="17"/>
      <c r="JFK1143" s="17"/>
      <c r="JFL1143" s="17"/>
      <c r="JFM1143" s="17"/>
      <c r="JFN1143" s="17"/>
      <c r="JFO1143" s="17"/>
      <c r="JFP1143" s="17"/>
      <c r="JFQ1143" s="17"/>
      <c r="JFR1143" s="17"/>
      <c r="JFS1143" s="17"/>
      <c r="JFT1143" s="17"/>
      <c r="JFU1143" s="17"/>
      <c r="JFV1143" s="17"/>
      <c r="JFW1143" s="17"/>
      <c r="JFX1143" s="17"/>
      <c r="JFY1143" s="17"/>
      <c r="JFZ1143" s="17"/>
      <c r="JGA1143" s="17"/>
      <c r="JGB1143" s="17"/>
      <c r="JGC1143" s="17"/>
      <c r="JGD1143" s="17"/>
      <c r="JGE1143" s="17"/>
      <c r="JGF1143" s="17"/>
      <c r="JGG1143" s="17"/>
      <c r="JGH1143" s="17"/>
      <c r="JGI1143" s="17"/>
      <c r="JGJ1143" s="17"/>
      <c r="JGK1143" s="17"/>
      <c r="JGL1143" s="17"/>
      <c r="JGM1143" s="17"/>
      <c r="JGN1143" s="17"/>
      <c r="JGO1143" s="17"/>
      <c r="JGP1143" s="17"/>
      <c r="JGQ1143" s="17"/>
      <c r="JGR1143" s="17"/>
      <c r="JGS1143" s="17"/>
      <c r="JGT1143" s="17"/>
      <c r="JGU1143" s="17"/>
      <c r="JGV1143" s="17"/>
      <c r="JGW1143" s="17"/>
      <c r="JGX1143" s="17"/>
      <c r="JGY1143" s="17"/>
      <c r="JGZ1143" s="17"/>
      <c r="JHA1143" s="17"/>
      <c r="JHB1143" s="17"/>
      <c r="JHC1143" s="17"/>
      <c r="JHD1143" s="17"/>
      <c r="JHE1143" s="17"/>
      <c r="JHF1143" s="17"/>
      <c r="JHG1143" s="17"/>
      <c r="JHH1143" s="17"/>
      <c r="JHI1143" s="17"/>
      <c r="JHJ1143" s="17"/>
      <c r="JHK1143" s="17"/>
      <c r="JHL1143" s="17"/>
      <c r="JHM1143" s="17"/>
      <c r="JHN1143" s="17"/>
      <c r="JHO1143" s="17"/>
      <c r="JHP1143" s="17"/>
      <c r="JHQ1143" s="17"/>
      <c r="JHR1143" s="17"/>
      <c r="JHS1143" s="17"/>
      <c r="JHT1143" s="17"/>
      <c r="JHU1143" s="17"/>
      <c r="JHV1143" s="17"/>
      <c r="JHW1143" s="17"/>
      <c r="JHX1143" s="17"/>
      <c r="JHY1143" s="17"/>
      <c r="JHZ1143" s="17"/>
      <c r="JIA1143" s="17"/>
      <c r="JIB1143" s="17"/>
      <c r="JIC1143" s="17"/>
      <c r="JID1143" s="17"/>
      <c r="JIE1143" s="17"/>
      <c r="JIF1143" s="17"/>
      <c r="JIG1143" s="17"/>
      <c r="JIH1143" s="17"/>
      <c r="JII1143" s="17"/>
      <c r="JIJ1143" s="17"/>
      <c r="JIK1143" s="17"/>
      <c r="JIL1143" s="17"/>
      <c r="JIM1143" s="17"/>
      <c r="JIN1143" s="17"/>
      <c r="JIO1143" s="17"/>
      <c r="JIP1143" s="17"/>
      <c r="JIQ1143" s="17"/>
      <c r="JIR1143" s="17"/>
      <c r="JIS1143" s="17"/>
      <c r="JIT1143" s="17"/>
      <c r="JIU1143" s="17"/>
      <c r="JIV1143" s="17"/>
      <c r="JIW1143" s="17"/>
      <c r="JIX1143" s="17"/>
      <c r="JIY1143" s="17"/>
      <c r="JIZ1143" s="17"/>
      <c r="JJA1143" s="17"/>
      <c r="JJB1143" s="17"/>
      <c r="JJC1143" s="17"/>
      <c r="JJD1143" s="17"/>
      <c r="JJE1143" s="17"/>
      <c r="JJF1143" s="17"/>
      <c r="JJG1143" s="17"/>
      <c r="JJH1143" s="17"/>
      <c r="JJI1143" s="17"/>
      <c r="JJJ1143" s="17"/>
      <c r="JJK1143" s="17"/>
      <c r="JJL1143" s="17"/>
      <c r="JJM1143" s="17"/>
      <c r="JJN1143" s="17"/>
      <c r="JJO1143" s="17"/>
      <c r="JJP1143" s="17"/>
      <c r="JJQ1143" s="17"/>
      <c r="JJR1143" s="17"/>
      <c r="JJS1143" s="17"/>
      <c r="JJT1143" s="17"/>
      <c r="JJU1143" s="17"/>
      <c r="JJV1143" s="17"/>
      <c r="JJW1143" s="17"/>
      <c r="JJX1143" s="17"/>
      <c r="JJY1143" s="17"/>
      <c r="JJZ1143" s="17"/>
      <c r="JKA1143" s="17"/>
      <c r="JKB1143" s="17"/>
      <c r="JKC1143" s="17"/>
      <c r="JKD1143" s="17"/>
      <c r="JKE1143" s="17"/>
      <c r="JKF1143" s="17"/>
      <c r="JKG1143" s="17"/>
      <c r="JKH1143" s="17"/>
      <c r="JKI1143" s="17"/>
      <c r="JKJ1143" s="17"/>
      <c r="JKK1143" s="17"/>
      <c r="JKL1143" s="17"/>
      <c r="JKM1143" s="17"/>
      <c r="JKN1143" s="17"/>
      <c r="JKO1143" s="17"/>
      <c r="JKP1143" s="17"/>
      <c r="JKQ1143" s="17"/>
      <c r="JKR1143" s="17"/>
      <c r="JKS1143" s="17"/>
      <c r="JKT1143" s="17"/>
      <c r="JKU1143" s="17"/>
      <c r="JKV1143" s="17"/>
      <c r="JKW1143" s="17"/>
      <c r="JKX1143" s="17"/>
      <c r="JKY1143" s="17"/>
      <c r="JKZ1143" s="17"/>
      <c r="JLA1143" s="17"/>
      <c r="JLB1143" s="17"/>
      <c r="JLC1143" s="17"/>
      <c r="JLD1143" s="17"/>
      <c r="JLE1143" s="17"/>
      <c r="JLF1143" s="17"/>
      <c r="JLG1143" s="17"/>
      <c r="JLH1143" s="17"/>
      <c r="JLI1143" s="17"/>
      <c r="JLJ1143" s="17"/>
      <c r="JLK1143" s="17"/>
      <c r="JLL1143" s="17"/>
      <c r="JLM1143" s="17"/>
      <c r="JLN1143" s="17"/>
      <c r="JLO1143" s="17"/>
      <c r="JLP1143" s="17"/>
      <c r="JLQ1143" s="17"/>
      <c r="JLR1143" s="17"/>
      <c r="JLS1143" s="17"/>
      <c r="JLT1143" s="17"/>
      <c r="JLU1143" s="17"/>
      <c r="JLV1143" s="17"/>
      <c r="JLW1143" s="17"/>
      <c r="JLX1143" s="17"/>
      <c r="JLY1143" s="17"/>
      <c r="JLZ1143" s="17"/>
      <c r="JMA1143" s="17"/>
      <c r="JMB1143" s="17"/>
      <c r="JMC1143" s="17"/>
      <c r="JMD1143" s="17"/>
      <c r="JME1143" s="17"/>
      <c r="JMF1143" s="17"/>
      <c r="JMG1143" s="17"/>
      <c r="JMH1143" s="17"/>
      <c r="JMI1143" s="17"/>
      <c r="JMJ1143" s="17"/>
      <c r="JMK1143" s="17"/>
      <c r="JML1143" s="17"/>
      <c r="JMM1143" s="17"/>
      <c r="JMN1143" s="17"/>
      <c r="JMO1143" s="17"/>
      <c r="JMP1143" s="17"/>
      <c r="JMQ1143" s="17"/>
      <c r="JMR1143" s="17"/>
      <c r="JMS1143" s="17"/>
      <c r="JMT1143" s="17"/>
      <c r="JMU1143" s="17"/>
      <c r="JMV1143" s="17"/>
      <c r="JMW1143" s="17"/>
      <c r="JMX1143" s="17"/>
      <c r="JMY1143" s="17"/>
      <c r="JMZ1143" s="17"/>
      <c r="JNA1143" s="17"/>
      <c r="JNB1143" s="17"/>
      <c r="JNC1143" s="17"/>
      <c r="JND1143" s="17"/>
      <c r="JNE1143" s="17"/>
      <c r="JNF1143" s="17"/>
      <c r="JNG1143" s="17"/>
      <c r="JNH1143" s="17"/>
      <c r="JNI1143" s="17"/>
      <c r="JNJ1143" s="17"/>
      <c r="JNK1143" s="17"/>
      <c r="JNL1143" s="17"/>
      <c r="JNM1143" s="17"/>
      <c r="JNN1143" s="17"/>
      <c r="JNO1143" s="17"/>
      <c r="JNP1143" s="17"/>
      <c r="JNQ1143" s="17"/>
      <c r="JNR1143" s="17"/>
      <c r="JNS1143" s="17"/>
      <c r="JNT1143" s="17"/>
      <c r="JNU1143" s="17"/>
      <c r="JNV1143" s="17"/>
      <c r="JNW1143" s="17"/>
      <c r="JNX1143" s="17"/>
      <c r="JNY1143" s="17"/>
      <c r="JNZ1143" s="17"/>
      <c r="JOA1143" s="17"/>
      <c r="JOB1143" s="17"/>
      <c r="JOC1143" s="17"/>
      <c r="JOD1143" s="17"/>
      <c r="JOE1143" s="17"/>
      <c r="JOF1143" s="17"/>
      <c r="JOG1143" s="17"/>
      <c r="JOH1143" s="17"/>
      <c r="JOI1143" s="17"/>
      <c r="JOJ1143" s="17"/>
      <c r="JOK1143" s="17"/>
      <c r="JOL1143" s="17"/>
      <c r="JOM1143" s="17"/>
      <c r="JON1143" s="17"/>
      <c r="JOO1143" s="17"/>
      <c r="JOP1143" s="17"/>
      <c r="JOQ1143" s="17"/>
      <c r="JOR1143" s="17"/>
      <c r="JOS1143" s="17"/>
      <c r="JOT1143" s="17"/>
      <c r="JOU1143" s="17"/>
      <c r="JOV1143" s="17"/>
      <c r="JOW1143" s="17"/>
      <c r="JOX1143" s="17"/>
      <c r="JOY1143" s="17"/>
      <c r="JOZ1143" s="17"/>
      <c r="JPA1143" s="17"/>
      <c r="JPB1143" s="17"/>
      <c r="JPC1143" s="17"/>
      <c r="JPD1143" s="17"/>
      <c r="JPE1143" s="17"/>
      <c r="JPF1143" s="17"/>
      <c r="JPG1143" s="17"/>
      <c r="JPH1143" s="17"/>
      <c r="JPI1143" s="17"/>
      <c r="JPJ1143" s="17"/>
      <c r="JPK1143" s="17"/>
      <c r="JPL1143" s="17"/>
      <c r="JPM1143" s="17"/>
      <c r="JPN1143" s="17"/>
      <c r="JPO1143" s="17"/>
      <c r="JPP1143" s="17"/>
      <c r="JPQ1143" s="17"/>
      <c r="JPR1143" s="17"/>
      <c r="JPS1143" s="17"/>
      <c r="JPT1143" s="17"/>
      <c r="JPU1143" s="17"/>
      <c r="JPV1143" s="17"/>
      <c r="JPW1143" s="17"/>
      <c r="JPX1143" s="17"/>
      <c r="JPY1143" s="17"/>
      <c r="JPZ1143" s="17"/>
      <c r="JQA1143" s="17"/>
      <c r="JQB1143" s="17"/>
      <c r="JQC1143" s="17"/>
      <c r="JQD1143" s="17"/>
      <c r="JQE1143" s="17"/>
      <c r="JQF1143" s="17"/>
      <c r="JQG1143" s="17"/>
      <c r="JQH1143" s="17"/>
      <c r="JQI1143" s="17"/>
      <c r="JQJ1143" s="17"/>
      <c r="JQK1143" s="17"/>
      <c r="JQL1143" s="17"/>
      <c r="JQM1143" s="17"/>
      <c r="JQN1143" s="17"/>
      <c r="JQO1143" s="17"/>
      <c r="JQP1143" s="17"/>
      <c r="JQQ1143" s="17"/>
      <c r="JQR1143" s="17"/>
      <c r="JQS1143" s="17"/>
      <c r="JQT1143" s="17"/>
      <c r="JQU1143" s="17"/>
      <c r="JQV1143" s="17"/>
      <c r="JQW1143" s="17"/>
      <c r="JQX1143" s="17"/>
      <c r="JQY1143" s="17"/>
      <c r="JQZ1143" s="17"/>
      <c r="JRA1143" s="17"/>
      <c r="JRB1143" s="17"/>
      <c r="JRC1143" s="17"/>
      <c r="JRD1143" s="17"/>
      <c r="JRE1143" s="17"/>
      <c r="JRF1143" s="17"/>
      <c r="JRG1143" s="17"/>
      <c r="JRH1143" s="17"/>
      <c r="JRI1143" s="17"/>
      <c r="JRJ1143" s="17"/>
      <c r="JRK1143" s="17"/>
      <c r="JRL1143" s="17"/>
      <c r="JRM1143" s="17"/>
      <c r="JRN1143" s="17"/>
      <c r="JRO1143" s="17"/>
      <c r="JRP1143" s="17"/>
      <c r="JRQ1143" s="17"/>
      <c r="JRR1143" s="17"/>
      <c r="JRS1143" s="17"/>
      <c r="JRT1143" s="17"/>
      <c r="JRU1143" s="17"/>
      <c r="JRV1143" s="17"/>
      <c r="JRW1143" s="17"/>
      <c r="JRX1143" s="17"/>
      <c r="JRY1143" s="17"/>
      <c r="JRZ1143" s="17"/>
      <c r="JSA1143" s="17"/>
      <c r="JSB1143" s="17"/>
      <c r="JSC1143" s="17"/>
      <c r="JSD1143" s="17"/>
      <c r="JSE1143" s="17"/>
      <c r="JSF1143" s="17"/>
      <c r="JSG1143" s="17"/>
      <c r="JSH1143" s="17"/>
      <c r="JSI1143" s="17"/>
      <c r="JSJ1143" s="17"/>
      <c r="JSK1143" s="17"/>
      <c r="JSL1143" s="17"/>
      <c r="JSM1143" s="17"/>
      <c r="JSN1143" s="17"/>
      <c r="JSO1143" s="17"/>
      <c r="JSP1143" s="17"/>
      <c r="JSQ1143" s="17"/>
      <c r="JSR1143" s="17"/>
      <c r="JSS1143" s="17"/>
      <c r="JST1143" s="17"/>
      <c r="JSU1143" s="17"/>
      <c r="JSV1143" s="17"/>
      <c r="JSW1143" s="17"/>
      <c r="JSX1143" s="17"/>
      <c r="JSY1143" s="17"/>
      <c r="JSZ1143" s="17"/>
      <c r="JTA1143" s="17"/>
      <c r="JTB1143" s="17"/>
      <c r="JTC1143" s="17"/>
      <c r="JTD1143" s="17"/>
      <c r="JTE1143" s="17"/>
      <c r="JTF1143" s="17"/>
      <c r="JTG1143" s="17"/>
      <c r="JTH1143" s="17"/>
      <c r="JTI1143" s="17"/>
      <c r="JTJ1143" s="17"/>
      <c r="JTK1143" s="17"/>
      <c r="JTL1143" s="17"/>
      <c r="JTM1143" s="17"/>
      <c r="JTN1143" s="17"/>
      <c r="JTO1143" s="17"/>
      <c r="JTP1143" s="17"/>
      <c r="JTQ1143" s="17"/>
      <c r="JTR1143" s="17"/>
      <c r="JTS1143" s="17"/>
      <c r="JTT1143" s="17"/>
      <c r="JTU1143" s="17"/>
      <c r="JTV1143" s="17"/>
      <c r="JTW1143" s="17"/>
      <c r="JTX1143" s="17"/>
      <c r="JTY1143" s="17"/>
      <c r="JTZ1143" s="17"/>
      <c r="JUA1143" s="17"/>
      <c r="JUB1143" s="17"/>
      <c r="JUC1143" s="17"/>
      <c r="JUD1143" s="17"/>
      <c r="JUE1143" s="17"/>
      <c r="JUF1143" s="17"/>
      <c r="JUG1143" s="17"/>
      <c r="JUH1143" s="17"/>
      <c r="JUI1143" s="17"/>
      <c r="JUJ1143" s="17"/>
      <c r="JUK1143" s="17"/>
      <c r="JUL1143" s="17"/>
      <c r="JUM1143" s="17"/>
      <c r="JUN1143" s="17"/>
      <c r="JUO1143" s="17"/>
      <c r="JUP1143" s="17"/>
      <c r="JUQ1143" s="17"/>
      <c r="JUR1143" s="17"/>
      <c r="JUS1143" s="17"/>
      <c r="JUT1143" s="17"/>
      <c r="JUU1143" s="17"/>
      <c r="JUV1143" s="17"/>
      <c r="JUW1143" s="17"/>
      <c r="JUX1143" s="17"/>
      <c r="JUY1143" s="17"/>
      <c r="JUZ1143" s="17"/>
      <c r="JVA1143" s="17"/>
      <c r="JVB1143" s="17"/>
      <c r="JVC1143" s="17"/>
      <c r="JVD1143" s="17"/>
      <c r="JVE1143" s="17"/>
      <c r="JVF1143" s="17"/>
      <c r="JVG1143" s="17"/>
      <c r="JVH1143" s="17"/>
      <c r="JVI1143" s="17"/>
      <c r="JVJ1143" s="17"/>
      <c r="JVK1143" s="17"/>
      <c r="JVL1143" s="17"/>
      <c r="JVM1143" s="17"/>
      <c r="JVN1143" s="17"/>
      <c r="JVO1143" s="17"/>
      <c r="JVP1143" s="17"/>
      <c r="JVQ1143" s="17"/>
      <c r="JVR1143" s="17"/>
      <c r="JVS1143" s="17"/>
      <c r="JVT1143" s="17"/>
      <c r="JVU1143" s="17"/>
      <c r="JVV1143" s="17"/>
      <c r="JVW1143" s="17"/>
      <c r="JVX1143" s="17"/>
      <c r="JVY1143" s="17"/>
      <c r="JVZ1143" s="17"/>
      <c r="JWA1143" s="17"/>
      <c r="JWB1143" s="17"/>
      <c r="JWC1143" s="17"/>
      <c r="JWD1143" s="17"/>
      <c r="JWE1143" s="17"/>
      <c r="JWF1143" s="17"/>
      <c r="JWG1143" s="17"/>
      <c r="JWH1143" s="17"/>
      <c r="JWI1143" s="17"/>
      <c r="JWJ1143" s="17"/>
      <c r="JWK1143" s="17"/>
      <c r="JWL1143" s="17"/>
      <c r="JWM1143" s="17"/>
      <c r="JWN1143" s="17"/>
      <c r="JWO1143" s="17"/>
      <c r="JWP1143" s="17"/>
      <c r="JWQ1143" s="17"/>
      <c r="JWR1143" s="17"/>
      <c r="JWS1143" s="17"/>
      <c r="JWT1143" s="17"/>
      <c r="JWU1143" s="17"/>
      <c r="JWV1143" s="17"/>
      <c r="JWW1143" s="17"/>
      <c r="JWX1143" s="17"/>
      <c r="JWY1143" s="17"/>
      <c r="JWZ1143" s="17"/>
      <c r="JXA1143" s="17"/>
      <c r="JXB1143" s="17"/>
      <c r="JXC1143" s="17"/>
      <c r="JXD1143" s="17"/>
      <c r="JXE1143" s="17"/>
      <c r="JXF1143" s="17"/>
      <c r="JXG1143" s="17"/>
      <c r="JXH1143" s="17"/>
      <c r="JXI1143" s="17"/>
      <c r="JXJ1143" s="17"/>
      <c r="JXK1143" s="17"/>
      <c r="JXL1143" s="17"/>
      <c r="JXM1143" s="17"/>
      <c r="JXN1143" s="17"/>
      <c r="JXO1143" s="17"/>
      <c r="JXP1143" s="17"/>
      <c r="JXQ1143" s="17"/>
      <c r="JXR1143" s="17"/>
      <c r="JXS1143" s="17"/>
      <c r="JXT1143" s="17"/>
      <c r="JXU1143" s="17"/>
      <c r="JXV1143" s="17"/>
      <c r="JXW1143" s="17"/>
      <c r="JXX1143" s="17"/>
      <c r="JXY1143" s="17"/>
      <c r="JXZ1143" s="17"/>
      <c r="JYA1143" s="17"/>
      <c r="JYB1143" s="17"/>
      <c r="JYC1143" s="17"/>
      <c r="JYD1143" s="17"/>
      <c r="JYE1143" s="17"/>
      <c r="JYF1143" s="17"/>
      <c r="JYG1143" s="17"/>
      <c r="JYH1143" s="17"/>
      <c r="JYI1143" s="17"/>
      <c r="JYJ1143" s="17"/>
      <c r="JYK1143" s="17"/>
      <c r="JYL1143" s="17"/>
      <c r="JYM1143" s="17"/>
      <c r="JYN1143" s="17"/>
      <c r="JYO1143" s="17"/>
      <c r="JYP1143" s="17"/>
      <c r="JYQ1143" s="17"/>
      <c r="JYR1143" s="17"/>
      <c r="JYS1143" s="17"/>
      <c r="JYT1143" s="17"/>
      <c r="JYU1143" s="17"/>
      <c r="JYV1143" s="17"/>
      <c r="JYW1143" s="17"/>
      <c r="JYX1143" s="17"/>
      <c r="JYY1143" s="17"/>
      <c r="JYZ1143" s="17"/>
      <c r="JZA1143" s="17"/>
      <c r="JZB1143" s="17"/>
      <c r="JZC1143" s="17"/>
      <c r="JZD1143" s="17"/>
      <c r="JZE1143" s="17"/>
      <c r="JZF1143" s="17"/>
      <c r="JZG1143" s="17"/>
      <c r="JZH1143" s="17"/>
      <c r="JZI1143" s="17"/>
      <c r="JZJ1143" s="17"/>
      <c r="JZK1143" s="17"/>
      <c r="JZL1143" s="17"/>
      <c r="JZM1143" s="17"/>
      <c r="JZN1143" s="17"/>
      <c r="JZO1143" s="17"/>
      <c r="JZP1143" s="17"/>
      <c r="JZQ1143" s="17"/>
      <c r="JZR1143" s="17"/>
      <c r="JZS1143" s="17"/>
      <c r="JZT1143" s="17"/>
      <c r="JZU1143" s="17"/>
      <c r="JZV1143" s="17"/>
      <c r="JZW1143" s="17"/>
      <c r="JZX1143" s="17"/>
      <c r="JZY1143" s="17"/>
      <c r="JZZ1143" s="17"/>
      <c r="KAA1143" s="17"/>
      <c r="KAB1143" s="17"/>
      <c r="KAC1143" s="17"/>
      <c r="KAD1143" s="17"/>
      <c r="KAE1143" s="17"/>
      <c r="KAF1143" s="17"/>
      <c r="KAG1143" s="17"/>
      <c r="KAH1143" s="17"/>
      <c r="KAI1143" s="17"/>
      <c r="KAJ1143" s="17"/>
      <c r="KAK1143" s="17"/>
      <c r="KAL1143" s="17"/>
      <c r="KAM1143" s="17"/>
      <c r="KAN1143" s="17"/>
      <c r="KAO1143" s="17"/>
      <c r="KAP1143" s="17"/>
      <c r="KAQ1143" s="17"/>
      <c r="KAR1143" s="17"/>
      <c r="KAS1143" s="17"/>
      <c r="KAT1143" s="17"/>
      <c r="KAU1143" s="17"/>
      <c r="KAV1143" s="17"/>
      <c r="KAW1143" s="17"/>
      <c r="KAX1143" s="17"/>
      <c r="KAY1143" s="17"/>
      <c r="KAZ1143" s="17"/>
      <c r="KBA1143" s="17"/>
      <c r="KBB1143" s="17"/>
      <c r="KBC1143" s="17"/>
      <c r="KBD1143" s="17"/>
      <c r="KBE1143" s="17"/>
      <c r="KBF1143" s="17"/>
      <c r="KBG1143" s="17"/>
      <c r="KBH1143" s="17"/>
      <c r="KBI1143" s="17"/>
      <c r="KBJ1143" s="17"/>
      <c r="KBK1143" s="17"/>
      <c r="KBL1143" s="17"/>
      <c r="KBM1143" s="17"/>
      <c r="KBN1143" s="17"/>
      <c r="KBO1143" s="17"/>
      <c r="KBP1143" s="17"/>
      <c r="KBQ1143" s="17"/>
      <c r="KBR1143" s="17"/>
      <c r="KBS1143" s="17"/>
      <c r="KBT1143" s="17"/>
      <c r="KBU1143" s="17"/>
      <c r="KBV1143" s="17"/>
      <c r="KBW1143" s="17"/>
      <c r="KBX1143" s="17"/>
      <c r="KBY1143" s="17"/>
      <c r="KBZ1143" s="17"/>
      <c r="KCA1143" s="17"/>
      <c r="KCB1143" s="17"/>
      <c r="KCC1143" s="17"/>
      <c r="KCD1143" s="17"/>
      <c r="KCE1143" s="17"/>
      <c r="KCF1143" s="17"/>
      <c r="KCG1143" s="17"/>
      <c r="KCH1143" s="17"/>
      <c r="KCI1143" s="17"/>
      <c r="KCJ1143" s="17"/>
      <c r="KCK1143" s="17"/>
      <c r="KCL1143" s="17"/>
      <c r="KCM1143" s="17"/>
      <c r="KCN1143" s="17"/>
      <c r="KCO1143" s="17"/>
      <c r="KCP1143" s="17"/>
      <c r="KCQ1143" s="17"/>
      <c r="KCR1143" s="17"/>
      <c r="KCS1143" s="17"/>
      <c r="KCT1143" s="17"/>
      <c r="KCU1143" s="17"/>
      <c r="KCV1143" s="17"/>
      <c r="KCW1143" s="17"/>
      <c r="KCX1143" s="17"/>
      <c r="KCY1143" s="17"/>
      <c r="KCZ1143" s="17"/>
      <c r="KDA1143" s="17"/>
      <c r="KDB1143" s="17"/>
      <c r="KDC1143" s="17"/>
      <c r="KDD1143" s="17"/>
      <c r="KDE1143" s="17"/>
      <c r="KDF1143" s="17"/>
      <c r="KDG1143" s="17"/>
      <c r="KDH1143" s="17"/>
      <c r="KDI1143" s="17"/>
      <c r="KDJ1143" s="17"/>
      <c r="KDK1143" s="17"/>
      <c r="KDL1143" s="17"/>
      <c r="KDM1143" s="17"/>
      <c r="KDN1143" s="17"/>
      <c r="KDO1143" s="17"/>
      <c r="KDP1143" s="17"/>
      <c r="KDQ1143" s="17"/>
      <c r="KDR1143" s="17"/>
      <c r="KDS1143" s="17"/>
      <c r="KDT1143" s="17"/>
      <c r="KDU1143" s="17"/>
      <c r="KDV1143" s="17"/>
      <c r="KDW1143" s="17"/>
      <c r="KDX1143" s="17"/>
      <c r="KDY1143" s="17"/>
      <c r="KDZ1143" s="17"/>
      <c r="KEA1143" s="17"/>
      <c r="KEB1143" s="17"/>
      <c r="KEC1143" s="17"/>
      <c r="KED1143" s="17"/>
      <c r="KEE1143" s="17"/>
      <c r="KEF1143" s="17"/>
      <c r="KEG1143" s="17"/>
      <c r="KEH1143" s="17"/>
      <c r="KEI1143" s="17"/>
      <c r="KEJ1143" s="17"/>
      <c r="KEK1143" s="17"/>
      <c r="KEL1143" s="17"/>
      <c r="KEM1143" s="17"/>
      <c r="KEN1143" s="17"/>
      <c r="KEO1143" s="17"/>
      <c r="KEP1143" s="17"/>
      <c r="KEQ1143" s="17"/>
      <c r="KER1143" s="17"/>
      <c r="KES1143" s="17"/>
      <c r="KET1143" s="17"/>
      <c r="KEU1143" s="17"/>
      <c r="KEV1143" s="17"/>
      <c r="KEW1143" s="17"/>
      <c r="KEX1143" s="17"/>
      <c r="KEY1143" s="17"/>
      <c r="KEZ1143" s="17"/>
      <c r="KFA1143" s="17"/>
      <c r="KFB1143" s="17"/>
      <c r="KFC1143" s="17"/>
      <c r="KFD1143" s="17"/>
      <c r="KFE1143" s="17"/>
      <c r="KFF1143" s="17"/>
      <c r="KFG1143" s="17"/>
      <c r="KFH1143" s="17"/>
      <c r="KFI1143" s="17"/>
      <c r="KFJ1143" s="17"/>
      <c r="KFK1143" s="17"/>
      <c r="KFL1143" s="17"/>
      <c r="KFM1143" s="17"/>
      <c r="KFN1143" s="17"/>
      <c r="KFO1143" s="17"/>
      <c r="KFP1143" s="17"/>
      <c r="KFQ1143" s="17"/>
      <c r="KFR1143" s="17"/>
      <c r="KFS1143" s="17"/>
      <c r="KFT1143" s="17"/>
      <c r="KFU1143" s="17"/>
      <c r="KFV1143" s="17"/>
      <c r="KFW1143" s="17"/>
      <c r="KFX1143" s="17"/>
      <c r="KFY1143" s="17"/>
      <c r="KFZ1143" s="17"/>
      <c r="KGA1143" s="17"/>
      <c r="KGB1143" s="17"/>
      <c r="KGC1143" s="17"/>
      <c r="KGD1143" s="17"/>
      <c r="KGE1143" s="17"/>
      <c r="KGF1143" s="17"/>
      <c r="KGG1143" s="17"/>
      <c r="KGH1143" s="17"/>
      <c r="KGI1143" s="17"/>
      <c r="KGJ1143" s="17"/>
      <c r="KGK1143" s="17"/>
      <c r="KGL1143" s="17"/>
      <c r="KGM1143" s="17"/>
      <c r="KGN1143" s="17"/>
      <c r="KGO1143" s="17"/>
      <c r="KGP1143" s="17"/>
      <c r="KGQ1143" s="17"/>
      <c r="KGR1143" s="17"/>
      <c r="KGS1143" s="17"/>
      <c r="KGT1143" s="17"/>
      <c r="KGU1143" s="17"/>
      <c r="KGV1143" s="17"/>
      <c r="KGW1143" s="17"/>
      <c r="KGX1143" s="17"/>
      <c r="KGY1143" s="17"/>
      <c r="KGZ1143" s="17"/>
      <c r="KHA1143" s="17"/>
      <c r="KHB1143" s="17"/>
      <c r="KHC1143" s="17"/>
      <c r="KHD1143" s="17"/>
      <c r="KHE1143" s="17"/>
      <c r="KHF1143" s="17"/>
      <c r="KHG1143" s="17"/>
      <c r="KHH1143" s="17"/>
      <c r="KHI1143" s="17"/>
      <c r="KHJ1143" s="17"/>
      <c r="KHK1143" s="17"/>
      <c r="KHL1143" s="17"/>
      <c r="KHM1143" s="17"/>
      <c r="KHN1143" s="17"/>
      <c r="KHO1143" s="17"/>
      <c r="KHP1143" s="17"/>
      <c r="KHQ1143" s="17"/>
      <c r="KHR1143" s="17"/>
      <c r="KHS1143" s="17"/>
      <c r="KHT1143" s="17"/>
      <c r="KHU1143" s="17"/>
      <c r="KHV1143" s="17"/>
      <c r="KHW1143" s="17"/>
      <c r="KHX1143" s="17"/>
      <c r="KHY1143" s="17"/>
      <c r="KHZ1143" s="17"/>
      <c r="KIA1143" s="17"/>
      <c r="KIB1143" s="17"/>
      <c r="KIC1143" s="17"/>
      <c r="KID1143" s="17"/>
      <c r="KIE1143" s="17"/>
      <c r="KIF1143" s="17"/>
      <c r="KIG1143" s="17"/>
      <c r="KIH1143" s="17"/>
      <c r="KII1143" s="17"/>
      <c r="KIJ1143" s="17"/>
      <c r="KIK1143" s="17"/>
      <c r="KIL1143" s="17"/>
      <c r="KIM1143" s="17"/>
      <c r="KIN1143" s="17"/>
      <c r="KIO1143" s="17"/>
      <c r="KIP1143" s="17"/>
      <c r="KIQ1143" s="17"/>
      <c r="KIR1143" s="17"/>
      <c r="KIS1143" s="17"/>
      <c r="KIT1143" s="17"/>
      <c r="KIU1143" s="17"/>
      <c r="KIV1143" s="17"/>
      <c r="KIW1143" s="17"/>
      <c r="KIX1143" s="17"/>
      <c r="KIY1143" s="17"/>
      <c r="KIZ1143" s="17"/>
      <c r="KJA1143" s="17"/>
      <c r="KJB1143" s="17"/>
      <c r="KJC1143" s="17"/>
      <c r="KJD1143" s="17"/>
      <c r="KJE1143" s="17"/>
      <c r="KJF1143" s="17"/>
      <c r="KJG1143" s="17"/>
      <c r="KJH1143" s="17"/>
      <c r="KJI1143" s="17"/>
      <c r="KJJ1143" s="17"/>
      <c r="KJK1143" s="17"/>
      <c r="KJL1143" s="17"/>
      <c r="KJM1143" s="17"/>
      <c r="KJN1143" s="17"/>
      <c r="KJO1143" s="17"/>
      <c r="KJP1143" s="17"/>
      <c r="KJQ1143" s="17"/>
      <c r="KJR1143" s="17"/>
      <c r="KJS1143" s="17"/>
      <c r="KJT1143" s="17"/>
      <c r="KJU1143" s="17"/>
      <c r="KJV1143" s="17"/>
      <c r="KJW1143" s="17"/>
      <c r="KJX1143" s="17"/>
      <c r="KJY1143" s="17"/>
      <c r="KJZ1143" s="17"/>
      <c r="KKA1143" s="17"/>
      <c r="KKB1143" s="17"/>
      <c r="KKC1143" s="17"/>
      <c r="KKD1143" s="17"/>
      <c r="KKE1143" s="17"/>
      <c r="KKF1143" s="17"/>
      <c r="KKG1143" s="17"/>
      <c r="KKH1143" s="17"/>
      <c r="KKI1143" s="17"/>
      <c r="KKJ1143" s="17"/>
      <c r="KKK1143" s="17"/>
      <c r="KKL1143" s="17"/>
      <c r="KKM1143" s="17"/>
      <c r="KKN1143" s="17"/>
      <c r="KKO1143" s="17"/>
      <c r="KKP1143" s="17"/>
      <c r="KKQ1143" s="17"/>
      <c r="KKR1143" s="17"/>
      <c r="KKS1143" s="17"/>
      <c r="KKT1143" s="17"/>
      <c r="KKU1143" s="17"/>
      <c r="KKV1143" s="17"/>
      <c r="KKW1143" s="17"/>
      <c r="KKX1143" s="17"/>
      <c r="KKY1143" s="17"/>
      <c r="KKZ1143" s="17"/>
      <c r="KLA1143" s="17"/>
      <c r="KLB1143" s="17"/>
      <c r="KLC1143" s="17"/>
      <c r="KLD1143" s="17"/>
      <c r="KLE1143" s="17"/>
      <c r="KLF1143" s="17"/>
      <c r="KLG1143" s="17"/>
      <c r="KLH1143" s="17"/>
      <c r="KLI1143" s="17"/>
      <c r="KLJ1143" s="17"/>
      <c r="KLK1143" s="17"/>
      <c r="KLL1143" s="17"/>
      <c r="KLM1143" s="17"/>
      <c r="KLN1143" s="17"/>
      <c r="KLO1143" s="17"/>
      <c r="KLP1143" s="17"/>
      <c r="KLQ1143" s="17"/>
      <c r="KLR1143" s="17"/>
      <c r="KLS1143" s="17"/>
      <c r="KLT1143" s="17"/>
      <c r="KLU1143" s="17"/>
      <c r="KLV1143" s="17"/>
      <c r="KLW1143" s="17"/>
      <c r="KLX1143" s="17"/>
      <c r="KLY1143" s="17"/>
      <c r="KLZ1143" s="17"/>
      <c r="KMA1143" s="17"/>
      <c r="KMB1143" s="17"/>
      <c r="KMC1143" s="17"/>
      <c r="KMD1143" s="17"/>
      <c r="KME1143" s="17"/>
      <c r="KMF1143" s="17"/>
      <c r="KMG1143" s="17"/>
      <c r="KMH1143" s="17"/>
      <c r="KMI1143" s="17"/>
      <c r="KMJ1143" s="17"/>
      <c r="KMK1143" s="17"/>
      <c r="KML1143" s="17"/>
      <c r="KMM1143" s="17"/>
      <c r="KMN1143" s="17"/>
      <c r="KMO1143" s="17"/>
      <c r="KMP1143" s="17"/>
      <c r="KMQ1143" s="17"/>
      <c r="KMR1143" s="17"/>
      <c r="KMS1143" s="17"/>
      <c r="KMT1143" s="17"/>
      <c r="KMU1143" s="17"/>
      <c r="KMV1143" s="17"/>
      <c r="KMW1143" s="17"/>
      <c r="KMX1143" s="17"/>
      <c r="KMY1143" s="17"/>
      <c r="KMZ1143" s="17"/>
      <c r="KNA1143" s="17"/>
      <c r="KNB1143" s="17"/>
      <c r="KNC1143" s="17"/>
      <c r="KND1143" s="17"/>
      <c r="KNE1143" s="17"/>
      <c r="KNF1143" s="17"/>
      <c r="KNG1143" s="17"/>
      <c r="KNH1143" s="17"/>
      <c r="KNI1143" s="17"/>
      <c r="KNJ1143" s="17"/>
      <c r="KNK1143" s="17"/>
      <c r="KNL1143" s="17"/>
      <c r="KNM1143" s="17"/>
      <c r="KNN1143" s="17"/>
      <c r="KNO1143" s="17"/>
      <c r="KNP1143" s="17"/>
      <c r="KNQ1143" s="17"/>
      <c r="KNR1143" s="17"/>
      <c r="KNS1143" s="17"/>
      <c r="KNT1143" s="17"/>
      <c r="KNU1143" s="17"/>
      <c r="KNV1143" s="17"/>
      <c r="KNW1143" s="17"/>
      <c r="KNX1143" s="17"/>
      <c r="KNY1143" s="17"/>
      <c r="KNZ1143" s="17"/>
      <c r="KOA1143" s="17"/>
      <c r="KOB1143" s="17"/>
      <c r="KOC1143" s="17"/>
      <c r="KOD1143" s="17"/>
      <c r="KOE1143" s="17"/>
      <c r="KOF1143" s="17"/>
      <c r="KOG1143" s="17"/>
      <c r="KOH1143" s="17"/>
      <c r="KOI1143" s="17"/>
      <c r="KOJ1143" s="17"/>
      <c r="KOK1143" s="17"/>
      <c r="KOL1143" s="17"/>
      <c r="KOM1143" s="17"/>
      <c r="KON1143" s="17"/>
      <c r="KOO1143" s="17"/>
      <c r="KOP1143" s="17"/>
      <c r="KOQ1143" s="17"/>
      <c r="KOR1143" s="17"/>
      <c r="KOS1143" s="17"/>
      <c r="KOT1143" s="17"/>
      <c r="KOU1143" s="17"/>
      <c r="KOV1143" s="17"/>
      <c r="KOW1143" s="17"/>
      <c r="KOX1143" s="17"/>
      <c r="KOY1143" s="17"/>
      <c r="KOZ1143" s="17"/>
      <c r="KPA1143" s="17"/>
      <c r="KPB1143" s="17"/>
      <c r="KPC1143" s="17"/>
      <c r="KPD1143" s="17"/>
      <c r="KPE1143" s="17"/>
      <c r="KPF1143" s="17"/>
      <c r="KPG1143" s="17"/>
      <c r="KPH1143" s="17"/>
      <c r="KPI1143" s="17"/>
      <c r="KPJ1143" s="17"/>
      <c r="KPK1143" s="17"/>
      <c r="KPL1143" s="17"/>
      <c r="KPM1143" s="17"/>
      <c r="KPN1143" s="17"/>
      <c r="KPO1143" s="17"/>
      <c r="KPP1143" s="17"/>
      <c r="KPQ1143" s="17"/>
      <c r="KPR1143" s="17"/>
      <c r="KPS1143" s="17"/>
      <c r="KPT1143" s="17"/>
      <c r="KPU1143" s="17"/>
      <c r="KPV1143" s="17"/>
      <c r="KPW1143" s="17"/>
      <c r="KPX1143" s="17"/>
      <c r="KPY1143" s="17"/>
      <c r="KPZ1143" s="17"/>
      <c r="KQA1143" s="17"/>
      <c r="KQB1143" s="17"/>
      <c r="KQC1143" s="17"/>
      <c r="KQD1143" s="17"/>
      <c r="KQE1143" s="17"/>
      <c r="KQF1143" s="17"/>
      <c r="KQG1143" s="17"/>
      <c r="KQH1143" s="17"/>
      <c r="KQI1143" s="17"/>
      <c r="KQJ1143" s="17"/>
      <c r="KQK1143" s="17"/>
      <c r="KQL1143" s="17"/>
      <c r="KQM1143" s="17"/>
      <c r="KQN1143" s="17"/>
      <c r="KQO1143" s="17"/>
      <c r="KQP1143" s="17"/>
      <c r="KQQ1143" s="17"/>
      <c r="KQR1143" s="17"/>
      <c r="KQS1143" s="17"/>
      <c r="KQT1143" s="17"/>
      <c r="KQU1143" s="17"/>
      <c r="KQV1143" s="17"/>
      <c r="KQW1143" s="17"/>
      <c r="KQX1143" s="17"/>
      <c r="KQY1143" s="17"/>
      <c r="KQZ1143" s="17"/>
      <c r="KRA1143" s="17"/>
      <c r="KRB1143" s="17"/>
      <c r="KRC1143" s="17"/>
      <c r="KRD1143" s="17"/>
      <c r="KRE1143" s="17"/>
      <c r="KRF1143" s="17"/>
      <c r="KRG1143" s="17"/>
      <c r="KRH1143" s="17"/>
      <c r="KRI1143" s="17"/>
      <c r="KRJ1143" s="17"/>
      <c r="KRK1143" s="17"/>
      <c r="KRL1143" s="17"/>
      <c r="KRM1143" s="17"/>
      <c r="KRN1143" s="17"/>
      <c r="KRO1143" s="17"/>
      <c r="KRP1143" s="17"/>
      <c r="KRQ1143" s="17"/>
      <c r="KRR1143" s="17"/>
      <c r="KRS1143" s="17"/>
      <c r="KRT1143" s="17"/>
      <c r="KRU1143" s="17"/>
      <c r="KRV1143" s="17"/>
      <c r="KRW1143" s="17"/>
      <c r="KRX1143" s="17"/>
      <c r="KRY1143" s="17"/>
      <c r="KRZ1143" s="17"/>
      <c r="KSA1143" s="17"/>
      <c r="KSB1143" s="17"/>
      <c r="KSC1143" s="17"/>
      <c r="KSD1143" s="17"/>
      <c r="KSE1143" s="17"/>
      <c r="KSF1143" s="17"/>
      <c r="KSG1143" s="17"/>
      <c r="KSH1143" s="17"/>
      <c r="KSI1143" s="17"/>
      <c r="KSJ1143" s="17"/>
      <c r="KSK1143" s="17"/>
      <c r="KSL1143" s="17"/>
      <c r="KSM1143" s="17"/>
      <c r="KSN1143" s="17"/>
      <c r="KSO1143" s="17"/>
      <c r="KSP1143" s="17"/>
      <c r="KSQ1143" s="17"/>
      <c r="KSR1143" s="17"/>
      <c r="KSS1143" s="17"/>
      <c r="KST1143" s="17"/>
      <c r="KSU1143" s="17"/>
      <c r="KSV1143" s="17"/>
      <c r="KSW1143" s="17"/>
      <c r="KSX1143" s="17"/>
      <c r="KSY1143" s="17"/>
      <c r="KSZ1143" s="17"/>
      <c r="KTA1143" s="17"/>
      <c r="KTB1143" s="17"/>
      <c r="KTC1143" s="17"/>
      <c r="KTD1143" s="17"/>
      <c r="KTE1143" s="17"/>
      <c r="KTF1143" s="17"/>
      <c r="KTG1143" s="17"/>
      <c r="KTH1143" s="17"/>
      <c r="KTI1143" s="17"/>
      <c r="KTJ1143" s="17"/>
      <c r="KTK1143" s="17"/>
      <c r="KTL1143" s="17"/>
      <c r="KTM1143" s="17"/>
      <c r="KTN1143" s="17"/>
      <c r="KTO1143" s="17"/>
      <c r="KTP1143" s="17"/>
      <c r="KTQ1143" s="17"/>
      <c r="KTR1143" s="17"/>
      <c r="KTS1143" s="17"/>
      <c r="KTT1143" s="17"/>
      <c r="KTU1143" s="17"/>
      <c r="KTV1143" s="17"/>
      <c r="KTW1143" s="17"/>
      <c r="KTX1143" s="17"/>
      <c r="KTY1143" s="17"/>
      <c r="KTZ1143" s="17"/>
      <c r="KUA1143" s="17"/>
      <c r="KUB1143" s="17"/>
      <c r="KUC1143" s="17"/>
      <c r="KUD1143" s="17"/>
      <c r="KUE1143" s="17"/>
      <c r="KUF1143" s="17"/>
      <c r="KUG1143" s="17"/>
      <c r="KUH1143" s="17"/>
      <c r="KUI1143" s="17"/>
      <c r="KUJ1143" s="17"/>
      <c r="KUK1143" s="17"/>
      <c r="KUL1143" s="17"/>
      <c r="KUM1143" s="17"/>
      <c r="KUN1143" s="17"/>
      <c r="KUO1143" s="17"/>
      <c r="KUP1143" s="17"/>
      <c r="KUQ1143" s="17"/>
      <c r="KUR1143" s="17"/>
      <c r="KUS1143" s="17"/>
      <c r="KUT1143" s="17"/>
      <c r="KUU1143" s="17"/>
      <c r="KUV1143" s="17"/>
      <c r="KUW1143" s="17"/>
      <c r="KUX1143" s="17"/>
      <c r="KUY1143" s="17"/>
      <c r="KUZ1143" s="17"/>
      <c r="KVA1143" s="17"/>
      <c r="KVB1143" s="17"/>
      <c r="KVC1143" s="17"/>
      <c r="KVD1143" s="17"/>
      <c r="KVE1143" s="17"/>
      <c r="KVF1143" s="17"/>
      <c r="KVG1143" s="17"/>
      <c r="KVH1143" s="17"/>
      <c r="KVI1143" s="17"/>
      <c r="KVJ1143" s="17"/>
      <c r="KVK1143" s="17"/>
      <c r="KVL1143" s="17"/>
      <c r="KVM1143" s="17"/>
      <c r="KVN1143" s="17"/>
      <c r="KVO1143" s="17"/>
      <c r="KVP1143" s="17"/>
      <c r="KVQ1143" s="17"/>
      <c r="KVR1143" s="17"/>
      <c r="KVS1143" s="17"/>
      <c r="KVT1143" s="17"/>
      <c r="KVU1143" s="17"/>
      <c r="KVV1143" s="17"/>
      <c r="KVW1143" s="17"/>
      <c r="KVX1143" s="17"/>
      <c r="KVY1143" s="17"/>
      <c r="KVZ1143" s="17"/>
      <c r="KWA1143" s="17"/>
      <c r="KWB1143" s="17"/>
      <c r="KWC1143" s="17"/>
      <c r="KWD1143" s="17"/>
      <c r="KWE1143" s="17"/>
      <c r="KWF1143" s="17"/>
      <c r="KWG1143" s="17"/>
      <c r="KWH1143" s="17"/>
      <c r="KWI1143" s="17"/>
      <c r="KWJ1143" s="17"/>
      <c r="KWK1143" s="17"/>
      <c r="KWL1143" s="17"/>
      <c r="KWM1143" s="17"/>
      <c r="KWN1143" s="17"/>
      <c r="KWO1143" s="17"/>
      <c r="KWP1143" s="17"/>
      <c r="KWQ1143" s="17"/>
      <c r="KWR1143" s="17"/>
      <c r="KWS1143" s="17"/>
      <c r="KWT1143" s="17"/>
      <c r="KWU1143" s="17"/>
      <c r="KWV1143" s="17"/>
      <c r="KWW1143" s="17"/>
      <c r="KWX1143" s="17"/>
      <c r="KWY1143" s="17"/>
      <c r="KWZ1143" s="17"/>
      <c r="KXA1143" s="17"/>
      <c r="KXB1143" s="17"/>
      <c r="KXC1143" s="17"/>
      <c r="KXD1143" s="17"/>
      <c r="KXE1143" s="17"/>
      <c r="KXF1143" s="17"/>
      <c r="KXG1143" s="17"/>
      <c r="KXH1143" s="17"/>
      <c r="KXI1143" s="17"/>
      <c r="KXJ1143" s="17"/>
      <c r="KXK1143" s="17"/>
      <c r="KXL1143" s="17"/>
      <c r="KXM1143" s="17"/>
      <c r="KXN1143" s="17"/>
      <c r="KXO1143" s="17"/>
      <c r="KXP1143" s="17"/>
      <c r="KXQ1143" s="17"/>
      <c r="KXR1143" s="17"/>
      <c r="KXS1143" s="17"/>
      <c r="KXT1143" s="17"/>
      <c r="KXU1143" s="17"/>
      <c r="KXV1143" s="17"/>
      <c r="KXW1143" s="17"/>
      <c r="KXX1143" s="17"/>
      <c r="KXY1143" s="17"/>
      <c r="KXZ1143" s="17"/>
      <c r="KYA1143" s="17"/>
      <c r="KYB1143" s="17"/>
      <c r="KYC1143" s="17"/>
      <c r="KYD1143" s="17"/>
      <c r="KYE1143" s="17"/>
      <c r="KYF1143" s="17"/>
      <c r="KYG1143" s="17"/>
      <c r="KYH1143" s="17"/>
      <c r="KYI1143" s="17"/>
      <c r="KYJ1143" s="17"/>
      <c r="KYK1143" s="17"/>
      <c r="KYL1143" s="17"/>
      <c r="KYM1143" s="17"/>
      <c r="KYN1143" s="17"/>
      <c r="KYO1143" s="17"/>
      <c r="KYP1143" s="17"/>
      <c r="KYQ1143" s="17"/>
      <c r="KYR1143" s="17"/>
      <c r="KYS1143" s="17"/>
      <c r="KYT1143" s="17"/>
      <c r="KYU1143" s="17"/>
      <c r="KYV1143" s="17"/>
      <c r="KYW1143" s="17"/>
      <c r="KYX1143" s="17"/>
      <c r="KYY1143" s="17"/>
      <c r="KYZ1143" s="17"/>
      <c r="KZA1143" s="17"/>
      <c r="KZB1143" s="17"/>
      <c r="KZC1143" s="17"/>
      <c r="KZD1143" s="17"/>
      <c r="KZE1143" s="17"/>
      <c r="KZF1143" s="17"/>
      <c r="KZG1143" s="17"/>
      <c r="KZH1143" s="17"/>
      <c r="KZI1143" s="17"/>
      <c r="KZJ1143" s="17"/>
      <c r="KZK1143" s="17"/>
      <c r="KZL1143" s="17"/>
      <c r="KZM1143" s="17"/>
      <c r="KZN1143" s="17"/>
      <c r="KZO1143" s="17"/>
      <c r="KZP1143" s="17"/>
      <c r="KZQ1143" s="17"/>
      <c r="KZR1143" s="17"/>
      <c r="KZS1143" s="17"/>
      <c r="KZT1143" s="17"/>
      <c r="KZU1143" s="17"/>
      <c r="KZV1143" s="17"/>
      <c r="KZW1143" s="17"/>
      <c r="KZX1143" s="17"/>
      <c r="KZY1143" s="17"/>
      <c r="KZZ1143" s="17"/>
      <c r="LAA1143" s="17"/>
      <c r="LAB1143" s="17"/>
      <c r="LAC1143" s="17"/>
      <c r="LAD1143" s="17"/>
      <c r="LAE1143" s="17"/>
      <c r="LAF1143" s="17"/>
      <c r="LAG1143" s="17"/>
      <c r="LAH1143" s="17"/>
      <c r="LAI1143" s="17"/>
      <c r="LAJ1143" s="17"/>
      <c r="LAK1143" s="17"/>
      <c r="LAL1143" s="17"/>
      <c r="LAM1143" s="17"/>
      <c r="LAN1143" s="17"/>
      <c r="LAO1143" s="17"/>
      <c r="LAP1143" s="17"/>
      <c r="LAQ1143" s="17"/>
      <c r="LAR1143" s="17"/>
      <c r="LAS1143" s="17"/>
      <c r="LAT1143" s="17"/>
      <c r="LAU1143" s="17"/>
      <c r="LAV1143" s="17"/>
      <c r="LAW1143" s="17"/>
      <c r="LAX1143" s="17"/>
      <c r="LAY1143" s="17"/>
      <c r="LAZ1143" s="17"/>
      <c r="LBA1143" s="17"/>
      <c r="LBB1143" s="17"/>
      <c r="LBC1143" s="17"/>
      <c r="LBD1143" s="17"/>
      <c r="LBE1143" s="17"/>
      <c r="LBF1143" s="17"/>
      <c r="LBG1143" s="17"/>
      <c r="LBH1143" s="17"/>
      <c r="LBI1143" s="17"/>
      <c r="LBJ1143" s="17"/>
      <c r="LBK1143" s="17"/>
      <c r="LBL1143" s="17"/>
      <c r="LBM1143" s="17"/>
      <c r="LBN1143" s="17"/>
      <c r="LBO1143" s="17"/>
      <c r="LBP1143" s="17"/>
      <c r="LBQ1143" s="17"/>
      <c r="LBR1143" s="17"/>
      <c r="LBS1143" s="17"/>
      <c r="LBT1143" s="17"/>
      <c r="LBU1143" s="17"/>
      <c r="LBV1143" s="17"/>
      <c r="LBW1143" s="17"/>
      <c r="LBX1143" s="17"/>
      <c r="LBY1143" s="17"/>
      <c r="LBZ1143" s="17"/>
      <c r="LCA1143" s="17"/>
      <c r="LCB1143" s="17"/>
      <c r="LCC1143" s="17"/>
      <c r="LCD1143" s="17"/>
      <c r="LCE1143" s="17"/>
      <c r="LCF1143" s="17"/>
      <c r="LCG1143" s="17"/>
      <c r="LCH1143" s="17"/>
      <c r="LCI1143" s="17"/>
      <c r="LCJ1143" s="17"/>
      <c r="LCK1143" s="17"/>
      <c r="LCL1143" s="17"/>
      <c r="LCM1143" s="17"/>
      <c r="LCN1143" s="17"/>
      <c r="LCO1143" s="17"/>
      <c r="LCP1143" s="17"/>
      <c r="LCQ1143" s="17"/>
      <c r="LCR1143" s="17"/>
      <c r="LCS1143" s="17"/>
      <c r="LCT1143" s="17"/>
      <c r="LCU1143" s="17"/>
      <c r="LCV1143" s="17"/>
      <c r="LCW1143" s="17"/>
      <c r="LCX1143" s="17"/>
      <c r="LCY1143" s="17"/>
      <c r="LCZ1143" s="17"/>
      <c r="LDA1143" s="17"/>
      <c r="LDB1143" s="17"/>
      <c r="LDC1143" s="17"/>
      <c r="LDD1143" s="17"/>
      <c r="LDE1143" s="17"/>
      <c r="LDF1143" s="17"/>
      <c r="LDG1143" s="17"/>
      <c r="LDH1143" s="17"/>
      <c r="LDI1143" s="17"/>
      <c r="LDJ1143" s="17"/>
      <c r="LDK1143" s="17"/>
      <c r="LDL1143" s="17"/>
      <c r="LDM1143" s="17"/>
      <c r="LDN1143" s="17"/>
      <c r="LDO1143" s="17"/>
      <c r="LDP1143" s="17"/>
      <c r="LDQ1143" s="17"/>
      <c r="LDR1143" s="17"/>
      <c r="LDS1143" s="17"/>
      <c r="LDT1143" s="17"/>
      <c r="LDU1143" s="17"/>
      <c r="LDV1143" s="17"/>
      <c r="LDW1143" s="17"/>
      <c r="LDX1143" s="17"/>
      <c r="LDY1143" s="17"/>
      <c r="LDZ1143" s="17"/>
      <c r="LEA1143" s="17"/>
      <c r="LEB1143" s="17"/>
      <c r="LEC1143" s="17"/>
      <c r="LED1143" s="17"/>
      <c r="LEE1143" s="17"/>
      <c r="LEF1143" s="17"/>
      <c r="LEG1143" s="17"/>
      <c r="LEH1143" s="17"/>
      <c r="LEI1143" s="17"/>
      <c r="LEJ1143" s="17"/>
      <c r="LEK1143" s="17"/>
      <c r="LEL1143" s="17"/>
      <c r="LEM1143" s="17"/>
      <c r="LEN1143" s="17"/>
      <c r="LEO1143" s="17"/>
      <c r="LEP1143" s="17"/>
      <c r="LEQ1143" s="17"/>
      <c r="LER1143" s="17"/>
      <c r="LES1143" s="17"/>
      <c r="LET1143" s="17"/>
      <c r="LEU1143" s="17"/>
      <c r="LEV1143" s="17"/>
      <c r="LEW1143" s="17"/>
      <c r="LEX1143" s="17"/>
      <c r="LEY1143" s="17"/>
      <c r="LEZ1143" s="17"/>
      <c r="LFA1143" s="17"/>
      <c r="LFB1143" s="17"/>
      <c r="LFC1143" s="17"/>
      <c r="LFD1143" s="17"/>
      <c r="LFE1143" s="17"/>
      <c r="LFF1143" s="17"/>
      <c r="LFG1143" s="17"/>
      <c r="LFH1143" s="17"/>
      <c r="LFI1143" s="17"/>
      <c r="LFJ1143" s="17"/>
      <c r="LFK1143" s="17"/>
      <c r="LFL1143" s="17"/>
      <c r="LFM1143" s="17"/>
      <c r="LFN1143" s="17"/>
      <c r="LFO1143" s="17"/>
      <c r="LFP1143" s="17"/>
      <c r="LFQ1143" s="17"/>
      <c r="LFR1143" s="17"/>
      <c r="LFS1143" s="17"/>
      <c r="LFT1143" s="17"/>
      <c r="LFU1143" s="17"/>
      <c r="LFV1143" s="17"/>
      <c r="LFW1143" s="17"/>
      <c r="LFX1143" s="17"/>
      <c r="LFY1143" s="17"/>
      <c r="LFZ1143" s="17"/>
      <c r="LGA1143" s="17"/>
      <c r="LGB1143" s="17"/>
      <c r="LGC1143" s="17"/>
      <c r="LGD1143" s="17"/>
      <c r="LGE1143" s="17"/>
      <c r="LGF1143" s="17"/>
      <c r="LGG1143" s="17"/>
      <c r="LGH1143" s="17"/>
      <c r="LGI1143" s="17"/>
      <c r="LGJ1143" s="17"/>
      <c r="LGK1143" s="17"/>
      <c r="LGL1143" s="17"/>
      <c r="LGM1143" s="17"/>
      <c r="LGN1143" s="17"/>
      <c r="LGO1143" s="17"/>
      <c r="LGP1143" s="17"/>
      <c r="LGQ1143" s="17"/>
      <c r="LGR1143" s="17"/>
      <c r="LGS1143" s="17"/>
      <c r="LGT1143" s="17"/>
      <c r="LGU1143" s="17"/>
      <c r="LGV1143" s="17"/>
      <c r="LGW1143" s="17"/>
      <c r="LGX1143" s="17"/>
      <c r="LGY1143" s="17"/>
      <c r="LGZ1143" s="17"/>
      <c r="LHA1143" s="17"/>
      <c r="LHB1143" s="17"/>
      <c r="LHC1143" s="17"/>
      <c r="LHD1143" s="17"/>
      <c r="LHE1143" s="17"/>
      <c r="LHF1143" s="17"/>
      <c r="LHG1143" s="17"/>
      <c r="LHH1143" s="17"/>
      <c r="LHI1143" s="17"/>
      <c r="LHJ1143" s="17"/>
      <c r="LHK1143" s="17"/>
      <c r="LHL1143" s="17"/>
      <c r="LHM1143" s="17"/>
      <c r="LHN1143" s="17"/>
      <c r="LHO1143" s="17"/>
      <c r="LHP1143" s="17"/>
      <c r="LHQ1143" s="17"/>
      <c r="LHR1143" s="17"/>
      <c r="LHS1143" s="17"/>
      <c r="LHT1143" s="17"/>
      <c r="LHU1143" s="17"/>
      <c r="LHV1143" s="17"/>
      <c r="LHW1143" s="17"/>
      <c r="LHX1143" s="17"/>
      <c r="LHY1143" s="17"/>
      <c r="LHZ1143" s="17"/>
      <c r="LIA1143" s="17"/>
      <c r="LIB1143" s="17"/>
      <c r="LIC1143" s="17"/>
      <c r="LID1143" s="17"/>
      <c r="LIE1143" s="17"/>
      <c r="LIF1143" s="17"/>
      <c r="LIG1143" s="17"/>
      <c r="LIH1143" s="17"/>
      <c r="LII1143" s="17"/>
      <c r="LIJ1143" s="17"/>
      <c r="LIK1143" s="17"/>
      <c r="LIL1143" s="17"/>
      <c r="LIM1143" s="17"/>
      <c r="LIN1143" s="17"/>
      <c r="LIO1143" s="17"/>
      <c r="LIP1143" s="17"/>
      <c r="LIQ1143" s="17"/>
      <c r="LIR1143" s="17"/>
      <c r="LIS1143" s="17"/>
      <c r="LIT1143" s="17"/>
      <c r="LIU1143" s="17"/>
      <c r="LIV1143" s="17"/>
      <c r="LIW1143" s="17"/>
      <c r="LIX1143" s="17"/>
      <c r="LIY1143" s="17"/>
      <c r="LIZ1143" s="17"/>
      <c r="LJA1143" s="17"/>
      <c r="LJB1143" s="17"/>
      <c r="LJC1143" s="17"/>
      <c r="LJD1143" s="17"/>
      <c r="LJE1143" s="17"/>
      <c r="LJF1143" s="17"/>
      <c r="LJG1143" s="17"/>
      <c r="LJH1143" s="17"/>
      <c r="LJI1143" s="17"/>
      <c r="LJJ1143" s="17"/>
      <c r="LJK1143" s="17"/>
      <c r="LJL1143" s="17"/>
      <c r="LJM1143" s="17"/>
      <c r="LJN1143" s="17"/>
      <c r="LJO1143" s="17"/>
      <c r="LJP1143" s="17"/>
      <c r="LJQ1143" s="17"/>
      <c r="LJR1143" s="17"/>
      <c r="LJS1143" s="17"/>
      <c r="LJT1143" s="17"/>
      <c r="LJU1143" s="17"/>
      <c r="LJV1143" s="17"/>
      <c r="LJW1143" s="17"/>
      <c r="LJX1143" s="17"/>
      <c r="LJY1143" s="17"/>
      <c r="LJZ1143" s="17"/>
      <c r="LKA1143" s="17"/>
      <c r="LKB1143" s="17"/>
      <c r="LKC1143" s="17"/>
      <c r="LKD1143" s="17"/>
      <c r="LKE1143" s="17"/>
      <c r="LKF1143" s="17"/>
      <c r="LKG1143" s="17"/>
      <c r="LKH1143" s="17"/>
      <c r="LKI1143" s="17"/>
      <c r="LKJ1143" s="17"/>
      <c r="LKK1143" s="17"/>
      <c r="LKL1143" s="17"/>
      <c r="LKM1143" s="17"/>
      <c r="LKN1143" s="17"/>
      <c r="LKO1143" s="17"/>
      <c r="LKP1143" s="17"/>
      <c r="LKQ1143" s="17"/>
      <c r="LKR1143" s="17"/>
      <c r="LKS1143" s="17"/>
      <c r="LKT1143" s="17"/>
      <c r="LKU1143" s="17"/>
      <c r="LKV1143" s="17"/>
      <c r="LKW1143" s="17"/>
      <c r="LKX1143" s="17"/>
      <c r="LKY1143" s="17"/>
      <c r="LKZ1143" s="17"/>
      <c r="LLA1143" s="17"/>
      <c r="LLB1143" s="17"/>
      <c r="LLC1143" s="17"/>
      <c r="LLD1143" s="17"/>
      <c r="LLE1143" s="17"/>
      <c r="LLF1143" s="17"/>
      <c r="LLG1143" s="17"/>
      <c r="LLH1143" s="17"/>
      <c r="LLI1143" s="17"/>
      <c r="LLJ1143" s="17"/>
      <c r="LLK1143" s="17"/>
      <c r="LLL1143" s="17"/>
      <c r="LLM1143" s="17"/>
      <c r="LLN1143" s="17"/>
      <c r="LLO1143" s="17"/>
      <c r="LLP1143" s="17"/>
      <c r="LLQ1143" s="17"/>
      <c r="LLR1143" s="17"/>
      <c r="LLS1143" s="17"/>
      <c r="LLT1143" s="17"/>
      <c r="LLU1143" s="17"/>
      <c r="LLV1143" s="17"/>
      <c r="LLW1143" s="17"/>
      <c r="LLX1143" s="17"/>
      <c r="LLY1143" s="17"/>
      <c r="LLZ1143" s="17"/>
      <c r="LMA1143" s="17"/>
      <c r="LMB1143" s="17"/>
      <c r="LMC1143" s="17"/>
      <c r="LMD1143" s="17"/>
      <c r="LME1143" s="17"/>
      <c r="LMF1143" s="17"/>
      <c r="LMG1143" s="17"/>
      <c r="LMH1143" s="17"/>
      <c r="LMI1143" s="17"/>
      <c r="LMJ1143" s="17"/>
      <c r="LMK1143" s="17"/>
      <c r="LML1143" s="17"/>
      <c r="LMM1143" s="17"/>
      <c r="LMN1143" s="17"/>
      <c r="LMO1143" s="17"/>
      <c r="LMP1143" s="17"/>
      <c r="LMQ1143" s="17"/>
      <c r="LMR1143" s="17"/>
      <c r="LMS1143" s="17"/>
      <c r="LMT1143" s="17"/>
      <c r="LMU1143" s="17"/>
      <c r="LMV1143" s="17"/>
      <c r="LMW1143" s="17"/>
      <c r="LMX1143" s="17"/>
      <c r="LMY1143" s="17"/>
      <c r="LMZ1143" s="17"/>
      <c r="LNA1143" s="17"/>
      <c r="LNB1143" s="17"/>
      <c r="LNC1143" s="17"/>
      <c r="LND1143" s="17"/>
      <c r="LNE1143" s="17"/>
      <c r="LNF1143" s="17"/>
      <c r="LNG1143" s="17"/>
      <c r="LNH1143" s="17"/>
      <c r="LNI1143" s="17"/>
      <c r="LNJ1143" s="17"/>
      <c r="LNK1143" s="17"/>
      <c r="LNL1143" s="17"/>
      <c r="LNM1143" s="17"/>
      <c r="LNN1143" s="17"/>
      <c r="LNO1143" s="17"/>
      <c r="LNP1143" s="17"/>
      <c r="LNQ1143" s="17"/>
      <c r="LNR1143" s="17"/>
      <c r="LNS1143" s="17"/>
      <c r="LNT1143" s="17"/>
      <c r="LNU1143" s="17"/>
      <c r="LNV1143" s="17"/>
      <c r="LNW1143" s="17"/>
      <c r="LNX1143" s="17"/>
      <c r="LNY1143" s="17"/>
      <c r="LNZ1143" s="17"/>
      <c r="LOA1143" s="17"/>
      <c r="LOB1143" s="17"/>
      <c r="LOC1143" s="17"/>
      <c r="LOD1143" s="17"/>
      <c r="LOE1143" s="17"/>
      <c r="LOF1143" s="17"/>
      <c r="LOG1143" s="17"/>
      <c r="LOH1143" s="17"/>
      <c r="LOI1143" s="17"/>
      <c r="LOJ1143" s="17"/>
      <c r="LOK1143" s="17"/>
      <c r="LOL1143" s="17"/>
      <c r="LOM1143" s="17"/>
      <c r="LON1143" s="17"/>
      <c r="LOO1143" s="17"/>
      <c r="LOP1143" s="17"/>
      <c r="LOQ1143" s="17"/>
      <c r="LOR1143" s="17"/>
      <c r="LOS1143" s="17"/>
      <c r="LOT1143" s="17"/>
      <c r="LOU1143" s="17"/>
      <c r="LOV1143" s="17"/>
      <c r="LOW1143" s="17"/>
      <c r="LOX1143" s="17"/>
      <c r="LOY1143" s="17"/>
      <c r="LOZ1143" s="17"/>
      <c r="LPA1143" s="17"/>
      <c r="LPB1143" s="17"/>
      <c r="LPC1143" s="17"/>
      <c r="LPD1143" s="17"/>
      <c r="LPE1143" s="17"/>
      <c r="LPF1143" s="17"/>
      <c r="LPG1143" s="17"/>
      <c r="LPH1143" s="17"/>
      <c r="LPI1143" s="17"/>
      <c r="LPJ1143" s="17"/>
      <c r="LPK1143" s="17"/>
      <c r="LPL1143" s="17"/>
      <c r="LPM1143" s="17"/>
      <c r="LPN1143" s="17"/>
      <c r="LPO1143" s="17"/>
      <c r="LPP1143" s="17"/>
      <c r="LPQ1143" s="17"/>
      <c r="LPR1143" s="17"/>
      <c r="LPS1143" s="17"/>
      <c r="LPT1143" s="17"/>
      <c r="LPU1143" s="17"/>
      <c r="LPV1143" s="17"/>
      <c r="LPW1143" s="17"/>
      <c r="LPX1143" s="17"/>
      <c r="LPY1143" s="17"/>
      <c r="LPZ1143" s="17"/>
      <c r="LQA1143" s="17"/>
      <c r="LQB1143" s="17"/>
      <c r="LQC1143" s="17"/>
      <c r="LQD1143" s="17"/>
      <c r="LQE1143" s="17"/>
      <c r="LQF1143" s="17"/>
      <c r="LQG1143" s="17"/>
      <c r="LQH1143" s="17"/>
      <c r="LQI1143" s="17"/>
      <c r="LQJ1143" s="17"/>
      <c r="LQK1143" s="17"/>
      <c r="LQL1143" s="17"/>
      <c r="LQM1143" s="17"/>
      <c r="LQN1143" s="17"/>
      <c r="LQO1143" s="17"/>
      <c r="LQP1143" s="17"/>
      <c r="LQQ1143" s="17"/>
      <c r="LQR1143" s="17"/>
      <c r="LQS1143" s="17"/>
      <c r="LQT1143" s="17"/>
      <c r="LQU1143" s="17"/>
      <c r="LQV1143" s="17"/>
      <c r="LQW1143" s="17"/>
      <c r="LQX1143" s="17"/>
      <c r="LQY1143" s="17"/>
      <c r="LQZ1143" s="17"/>
      <c r="LRA1143" s="17"/>
      <c r="LRB1143" s="17"/>
      <c r="LRC1143" s="17"/>
      <c r="LRD1143" s="17"/>
      <c r="LRE1143" s="17"/>
      <c r="LRF1143" s="17"/>
      <c r="LRG1143" s="17"/>
      <c r="LRH1143" s="17"/>
      <c r="LRI1143" s="17"/>
      <c r="LRJ1143" s="17"/>
      <c r="LRK1143" s="17"/>
      <c r="LRL1143" s="17"/>
      <c r="LRM1143" s="17"/>
      <c r="LRN1143" s="17"/>
      <c r="LRO1143" s="17"/>
      <c r="LRP1143" s="17"/>
      <c r="LRQ1143" s="17"/>
      <c r="LRR1143" s="17"/>
      <c r="LRS1143" s="17"/>
      <c r="LRT1143" s="17"/>
      <c r="LRU1143" s="17"/>
      <c r="LRV1143" s="17"/>
      <c r="LRW1143" s="17"/>
      <c r="LRX1143" s="17"/>
      <c r="LRY1143" s="17"/>
      <c r="LRZ1143" s="17"/>
      <c r="LSA1143" s="17"/>
      <c r="LSB1143" s="17"/>
      <c r="LSC1143" s="17"/>
      <c r="LSD1143" s="17"/>
      <c r="LSE1143" s="17"/>
      <c r="LSF1143" s="17"/>
      <c r="LSG1143" s="17"/>
      <c r="LSH1143" s="17"/>
      <c r="LSI1143" s="17"/>
      <c r="LSJ1143" s="17"/>
      <c r="LSK1143" s="17"/>
      <c r="LSL1143" s="17"/>
      <c r="LSM1143" s="17"/>
      <c r="LSN1143" s="17"/>
      <c r="LSO1143" s="17"/>
      <c r="LSP1143" s="17"/>
      <c r="LSQ1143" s="17"/>
      <c r="LSR1143" s="17"/>
      <c r="LSS1143" s="17"/>
      <c r="LST1143" s="17"/>
      <c r="LSU1143" s="17"/>
      <c r="LSV1143" s="17"/>
      <c r="LSW1143" s="17"/>
      <c r="LSX1143" s="17"/>
      <c r="LSY1143" s="17"/>
      <c r="LSZ1143" s="17"/>
      <c r="LTA1143" s="17"/>
      <c r="LTB1143" s="17"/>
      <c r="LTC1143" s="17"/>
      <c r="LTD1143" s="17"/>
      <c r="LTE1143" s="17"/>
      <c r="LTF1143" s="17"/>
      <c r="LTG1143" s="17"/>
      <c r="LTH1143" s="17"/>
      <c r="LTI1143" s="17"/>
      <c r="LTJ1143" s="17"/>
      <c r="LTK1143" s="17"/>
      <c r="LTL1143" s="17"/>
      <c r="LTM1143" s="17"/>
      <c r="LTN1143" s="17"/>
      <c r="LTO1143" s="17"/>
      <c r="LTP1143" s="17"/>
      <c r="LTQ1143" s="17"/>
      <c r="LTR1143" s="17"/>
      <c r="LTS1143" s="17"/>
      <c r="LTT1143" s="17"/>
      <c r="LTU1143" s="17"/>
      <c r="LTV1143" s="17"/>
      <c r="LTW1143" s="17"/>
      <c r="LTX1143" s="17"/>
      <c r="LTY1143" s="17"/>
      <c r="LTZ1143" s="17"/>
      <c r="LUA1143" s="17"/>
      <c r="LUB1143" s="17"/>
      <c r="LUC1143" s="17"/>
      <c r="LUD1143" s="17"/>
      <c r="LUE1143" s="17"/>
      <c r="LUF1143" s="17"/>
      <c r="LUG1143" s="17"/>
      <c r="LUH1143" s="17"/>
      <c r="LUI1143" s="17"/>
      <c r="LUJ1143" s="17"/>
      <c r="LUK1143" s="17"/>
      <c r="LUL1143" s="17"/>
      <c r="LUM1143" s="17"/>
      <c r="LUN1143" s="17"/>
      <c r="LUO1143" s="17"/>
      <c r="LUP1143" s="17"/>
      <c r="LUQ1143" s="17"/>
      <c r="LUR1143" s="17"/>
      <c r="LUS1143" s="17"/>
      <c r="LUT1143" s="17"/>
      <c r="LUU1143" s="17"/>
      <c r="LUV1143" s="17"/>
      <c r="LUW1143" s="17"/>
      <c r="LUX1143" s="17"/>
      <c r="LUY1143" s="17"/>
      <c r="LUZ1143" s="17"/>
      <c r="LVA1143" s="17"/>
      <c r="LVB1143" s="17"/>
      <c r="LVC1143" s="17"/>
      <c r="LVD1143" s="17"/>
      <c r="LVE1143" s="17"/>
      <c r="LVF1143" s="17"/>
      <c r="LVG1143" s="17"/>
      <c r="LVH1143" s="17"/>
      <c r="LVI1143" s="17"/>
      <c r="LVJ1143" s="17"/>
      <c r="LVK1143" s="17"/>
      <c r="LVL1143" s="17"/>
      <c r="LVM1143" s="17"/>
      <c r="LVN1143" s="17"/>
      <c r="LVO1143" s="17"/>
      <c r="LVP1143" s="17"/>
      <c r="LVQ1143" s="17"/>
      <c r="LVR1143" s="17"/>
      <c r="LVS1143" s="17"/>
      <c r="LVT1143" s="17"/>
      <c r="LVU1143" s="17"/>
      <c r="LVV1143" s="17"/>
      <c r="LVW1143" s="17"/>
      <c r="LVX1143" s="17"/>
      <c r="LVY1143" s="17"/>
      <c r="LVZ1143" s="17"/>
      <c r="LWA1143" s="17"/>
      <c r="LWB1143" s="17"/>
      <c r="LWC1143" s="17"/>
      <c r="LWD1143" s="17"/>
      <c r="LWE1143" s="17"/>
      <c r="LWF1143" s="17"/>
      <c r="LWG1143" s="17"/>
      <c r="LWH1143" s="17"/>
      <c r="LWI1143" s="17"/>
      <c r="LWJ1143" s="17"/>
      <c r="LWK1143" s="17"/>
      <c r="LWL1143" s="17"/>
      <c r="LWM1143" s="17"/>
      <c r="LWN1143" s="17"/>
      <c r="LWO1143" s="17"/>
      <c r="LWP1143" s="17"/>
      <c r="LWQ1143" s="17"/>
      <c r="LWR1143" s="17"/>
      <c r="LWS1143" s="17"/>
      <c r="LWT1143" s="17"/>
      <c r="LWU1143" s="17"/>
      <c r="LWV1143" s="17"/>
      <c r="LWW1143" s="17"/>
      <c r="LWX1143" s="17"/>
      <c r="LWY1143" s="17"/>
      <c r="LWZ1143" s="17"/>
      <c r="LXA1143" s="17"/>
      <c r="LXB1143" s="17"/>
      <c r="LXC1143" s="17"/>
      <c r="LXD1143" s="17"/>
      <c r="LXE1143" s="17"/>
      <c r="LXF1143" s="17"/>
      <c r="LXG1143" s="17"/>
      <c r="LXH1143" s="17"/>
      <c r="LXI1143" s="17"/>
      <c r="LXJ1143" s="17"/>
      <c r="LXK1143" s="17"/>
      <c r="LXL1143" s="17"/>
      <c r="LXM1143" s="17"/>
      <c r="LXN1143" s="17"/>
      <c r="LXO1143" s="17"/>
      <c r="LXP1143" s="17"/>
      <c r="LXQ1143" s="17"/>
      <c r="LXR1143" s="17"/>
      <c r="LXS1143" s="17"/>
      <c r="LXT1143" s="17"/>
      <c r="LXU1143" s="17"/>
      <c r="LXV1143" s="17"/>
      <c r="LXW1143" s="17"/>
      <c r="LXX1143" s="17"/>
      <c r="LXY1143" s="17"/>
      <c r="LXZ1143" s="17"/>
      <c r="LYA1143" s="17"/>
      <c r="LYB1143" s="17"/>
      <c r="LYC1143" s="17"/>
      <c r="LYD1143" s="17"/>
      <c r="LYE1143" s="17"/>
      <c r="LYF1143" s="17"/>
      <c r="LYG1143" s="17"/>
      <c r="LYH1143" s="17"/>
      <c r="LYI1143" s="17"/>
      <c r="LYJ1143" s="17"/>
      <c r="LYK1143" s="17"/>
      <c r="LYL1143" s="17"/>
      <c r="LYM1143" s="17"/>
      <c r="LYN1143" s="17"/>
      <c r="LYO1143" s="17"/>
      <c r="LYP1143" s="17"/>
      <c r="LYQ1143" s="17"/>
      <c r="LYR1143" s="17"/>
      <c r="LYS1143" s="17"/>
      <c r="LYT1143" s="17"/>
      <c r="LYU1143" s="17"/>
      <c r="LYV1143" s="17"/>
      <c r="LYW1143" s="17"/>
      <c r="LYX1143" s="17"/>
      <c r="LYY1143" s="17"/>
      <c r="LYZ1143" s="17"/>
      <c r="LZA1143" s="17"/>
      <c r="LZB1143" s="17"/>
      <c r="LZC1143" s="17"/>
      <c r="LZD1143" s="17"/>
      <c r="LZE1143" s="17"/>
      <c r="LZF1143" s="17"/>
      <c r="LZG1143" s="17"/>
      <c r="LZH1143" s="17"/>
      <c r="LZI1143" s="17"/>
      <c r="LZJ1143" s="17"/>
      <c r="LZK1143" s="17"/>
      <c r="LZL1143" s="17"/>
      <c r="LZM1143" s="17"/>
      <c r="LZN1143" s="17"/>
      <c r="LZO1143" s="17"/>
      <c r="LZP1143" s="17"/>
      <c r="LZQ1143" s="17"/>
      <c r="LZR1143" s="17"/>
      <c r="LZS1143" s="17"/>
      <c r="LZT1143" s="17"/>
      <c r="LZU1143" s="17"/>
      <c r="LZV1143" s="17"/>
      <c r="LZW1143" s="17"/>
      <c r="LZX1143" s="17"/>
      <c r="LZY1143" s="17"/>
      <c r="LZZ1143" s="17"/>
      <c r="MAA1143" s="17"/>
      <c r="MAB1143" s="17"/>
      <c r="MAC1143" s="17"/>
      <c r="MAD1143" s="17"/>
      <c r="MAE1143" s="17"/>
      <c r="MAF1143" s="17"/>
      <c r="MAG1143" s="17"/>
      <c r="MAH1143" s="17"/>
      <c r="MAI1143" s="17"/>
      <c r="MAJ1143" s="17"/>
      <c r="MAK1143" s="17"/>
      <c r="MAL1143" s="17"/>
      <c r="MAM1143" s="17"/>
      <c r="MAN1143" s="17"/>
      <c r="MAO1143" s="17"/>
      <c r="MAP1143" s="17"/>
      <c r="MAQ1143" s="17"/>
      <c r="MAR1143" s="17"/>
      <c r="MAS1143" s="17"/>
      <c r="MAT1143" s="17"/>
      <c r="MAU1143" s="17"/>
      <c r="MAV1143" s="17"/>
      <c r="MAW1143" s="17"/>
      <c r="MAX1143" s="17"/>
      <c r="MAY1143" s="17"/>
      <c r="MAZ1143" s="17"/>
      <c r="MBA1143" s="17"/>
      <c r="MBB1143" s="17"/>
      <c r="MBC1143" s="17"/>
      <c r="MBD1143" s="17"/>
      <c r="MBE1143" s="17"/>
      <c r="MBF1143" s="17"/>
      <c r="MBG1143" s="17"/>
      <c r="MBH1143" s="17"/>
      <c r="MBI1143" s="17"/>
      <c r="MBJ1143" s="17"/>
      <c r="MBK1143" s="17"/>
      <c r="MBL1143" s="17"/>
      <c r="MBM1143" s="17"/>
      <c r="MBN1143" s="17"/>
      <c r="MBO1143" s="17"/>
      <c r="MBP1143" s="17"/>
      <c r="MBQ1143" s="17"/>
      <c r="MBR1143" s="17"/>
      <c r="MBS1143" s="17"/>
      <c r="MBT1143" s="17"/>
      <c r="MBU1143" s="17"/>
      <c r="MBV1143" s="17"/>
      <c r="MBW1143" s="17"/>
      <c r="MBX1143" s="17"/>
      <c r="MBY1143" s="17"/>
      <c r="MBZ1143" s="17"/>
      <c r="MCA1143" s="17"/>
      <c r="MCB1143" s="17"/>
      <c r="MCC1143" s="17"/>
      <c r="MCD1143" s="17"/>
      <c r="MCE1143" s="17"/>
      <c r="MCF1143" s="17"/>
      <c r="MCG1143" s="17"/>
      <c r="MCH1143" s="17"/>
      <c r="MCI1143" s="17"/>
      <c r="MCJ1143" s="17"/>
      <c r="MCK1143" s="17"/>
      <c r="MCL1143" s="17"/>
      <c r="MCM1143" s="17"/>
      <c r="MCN1143" s="17"/>
      <c r="MCO1143" s="17"/>
      <c r="MCP1143" s="17"/>
      <c r="MCQ1143" s="17"/>
      <c r="MCR1143" s="17"/>
      <c r="MCS1143" s="17"/>
      <c r="MCT1143" s="17"/>
      <c r="MCU1143" s="17"/>
      <c r="MCV1143" s="17"/>
      <c r="MCW1143" s="17"/>
      <c r="MCX1143" s="17"/>
      <c r="MCY1143" s="17"/>
      <c r="MCZ1143" s="17"/>
      <c r="MDA1143" s="17"/>
      <c r="MDB1143" s="17"/>
      <c r="MDC1143" s="17"/>
      <c r="MDD1143" s="17"/>
      <c r="MDE1143" s="17"/>
      <c r="MDF1143" s="17"/>
      <c r="MDG1143" s="17"/>
      <c r="MDH1143" s="17"/>
      <c r="MDI1143" s="17"/>
      <c r="MDJ1143" s="17"/>
      <c r="MDK1143" s="17"/>
      <c r="MDL1143" s="17"/>
      <c r="MDM1143" s="17"/>
      <c r="MDN1143" s="17"/>
      <c r="MDO1143" s="17"/>
      <c r="MDP1143" s="17"/>
      <c r="MDQ1143" s="17"/>
      <c r="MDR1143" s="17"/>
      <c r="MDS1143" s="17"/>
      <c r="MDT1143" s="17"/>
      <c r="MDU1143" s="17"/>
      <c r="MDV1143" s="17"/>
      <c r="MDW1143" s="17"/>
      <c r="MDX1143" s="17"/>
      <c r="MDY1143" s="17"/>
      <c r="MDZ1143" s="17"/>
      <c r="MEA1143" s="17"/>
      <c r="MEB1143" s="17"/>
      <c r="MEC1143" s="17"/>
      <c r="MED1143" s="17"/>
      <c r="MEE1143" s="17"/>
      <c r="MEF1143" s="17"/>
      <c r="MEG1143" s="17"/>
      <c r="MEH1143" s="17"/>
      <c r="MEI1143" s="17"/>
      <c r="MEJ1143" s="17"/>
      <c r="MEK1143" s="17"/>
      <c r="MEL1143" s="17"/>
      <c r="MEM1143" s="17"/>
      <c r="MEN1143" s="17"/>
      <c r="MEO1143" s="17"/>
      <c r="MEP1143" s="17"/>
      <c r="MEQ1143" s="17"/>
      <c r="MER1143" s="17"/>
      <c r="MES1143" s="17"/>
      <c r="MET1143" s="17"/>
      <c r="MEU1143" s="17"/>
      <c r="MEV1143" s="17"/>
      <c r="MEW1143" s="17"/>
      <c r="MEX1143" s="17"/>
      <c r="MEY1143" s="17"/>
      <c r="MEZ1143" s="17"/>
      <c r="MFA1143" s="17"/>
      <c r="MFB1143" s="17"/>
      <c r="MFC1143" s="17"/>
      <c r="MFD1143" s="17"/>
      <c r="MFE1143" s="17"/>
      <c r="MFF1143" s="17"/>
      <c r="MFG1143" s="17"/>
      <c r="MFH1143" s="17"/>
      <c r="MFI1143" s="17"/>
      <c r="MFJ1143" s="17"/>
      <c r="MFK1143" s="17"/>
      <c r="MFL1143" s="17"/>
      <c r="MFM1143" s="17"/>
      <c r="MFN1143" s="17"/>
      <c r="MFO1143" s="17"/>
      <c r="MFP1143" s="17"/>
      <c r="MFQ1143" s="17"/>
      <c r="MFR1143" s="17"/>
      <c r="MFS1143" s="17"/>
      <c r="MFT1143" s="17"/>
      <c r="MFU1143" s="17"/>
      <c r="MFV1143" s="17"/>
      <c r="MFW1143" s="17"/>
      <c r="MFX1143" s="17"/>
      <c r="MFY1143" s="17"/>
      <c r="MFZ1143" s="17"/>
      <c r="MGA1143" s="17"/>
      <c r="MGB1143" s="17"/>
      <c r="MGC1143" s="17"/>
      <c r="MGD1143" s="17"/>
      <c r="MGE1143" s="17"/>
      <c r="MGF1143" s="17"/>
      <c r="MGG1143" s="17"/>
      <c r="MGH1143" s="17"/>
      <c r="MGI1143" s="17"/>
      <c r="MGJ1143" s="17"/>
      <c r="MGK1143" s="17"/>
      <c r="MGL1143" s="17"/>
      <c r="MGM1143" s="17"/>
      <c r="MGN1143" s="17"/>
      <c r="MGO1143" s="17"/>
      <c r="MGP1143" s="17"/>
      <c r="MGQ1143" s="17"/>
      <c r="MGR1143" s="17"/>
      <c r="MGS1143" s="17"/>
      <c r="MGT1143" s="17"/>
      <c r="MGU1143" s="17"/>
      <c r="MGV1143" s="17"/>
      <c r="MGW1143" s="17"/>
      <c r="MGX1143" s="17"/>
      <c r="MGY1143" s="17"/>
      <c r="MGZ1143" s="17"/>
      <c r="MHA1143" s="17"/>
      <c r="MHB1143" s="17"/>
      <c r="MHC1143" s="17"/>
      <c r="MHD1143" s="17"/>
      <c r="MHE1143" s="17"/>
      <c r="MHF1143" s="17"/>
      <c r="MHG1143" s="17"/>
      <c r="MHH1143" s="17"/>
      <c r="MHI1143" s="17"/>
      <c r="MHJ1143" s="17"/>
      <c r="MHK1143" s="17"/>
      <c r="MHL1143" s="17"/>
      <c r="MHM1143" s="17"/>
      <c r="MHN1143" s="17"/>
      <c r="MHO1143" s="17"/>
      <c r="MHP1143" s="17"/>
      <c r="MHQ1143" s="17"/>
      <c r="MHR1143" s="17"/>
      <c r="MHS1143" s="17"/>
      <c r="MHT1143" s="17"/>
      <c r="MHU1143" s="17"/>
      <c r="MHV1143" s="17"/>
      <c r="MHW1143" s="17"/>
      <c r="MHX1143" s="17"/>
      <c r="MHY1143" s="17"/>
      <c r="MHZ1143" s="17"/>
      <c r="MIA1143" s="17"/>
      <c r="MIB1143" s="17"/>
      <c r="MIC1143" s="17"/>
      <c r="MID1143" s="17"/>
      <c r="MIE1143" s="17"/>
      <c r="MIF1143" s="17"/>
      <c r="MIG1143" s="17"/>
      <c r="MIH1143" s="17"/>
      <c r="MII1143" s="17"/>
      <c r="MIJ1143" s="17"/>
      <c r="MIK1143" s="17"/>
      <c r="MIL1143" s="17"/>
      <c r="MIM1143" s="17"/>
      <c r="MIN1143" s="17"/>
      <c r="MIO1143" s="17"/>
      <c r="MIP1143" s="17"/>
      <c r="MIQ1143" s="17"/>
      <c r="MIR1143" s="17"/>
      <c r="MIS1143" s="17"/>
      <c r="MIT1143" s="17"/>
      <c r="MIU1143" s="17"/>
      <c r="MIV1143" s="17"/>
      <c r="MIW1143" s="17"/>
      <c r="MIX1143" s="17"/>
      <c r="MIY1143" s="17"/>
      <c r="MIZ1143" s="17"/>
      <c r="MJA1143" s="17"/>
      <c r="MJB1143" s="17"/>
      <c r="MJC1143" s="17"/>
      <c r="MJD1143" s="17"/>
      <c r="MJE1143" s="17"/>
      <c r="MJF1143" s="17"/>
      <c r="MJG1143" s="17"/>
      <c r="MJH1143" s="17"/>
      <c r="MJI1143" s="17"/>
      <c r="MJJ1143" s="17"/>
      <c r="MJK1143" s="17"/>
      <c r="MJL1143" s="17"/>
      <c r="MJM1143" s="17"/>
      <c r="MJN1143" s="17"/>
      <c r="MJO1143" s="17"/>
      <c r="MJP1143" s="17"/>
      <c r="MJQ1143" s="17"/>
      <c r="MJR1143" s="17"/>
      <c r="MJS1143" s="17"/>
      <c r="MJT1143" s="17"/>
      <c r="MJU1143" s="17"/>
      <c r="MJV1143" s="17"/>
      <c r="MJW1143" s="17"/>
      <c r="MJX1143" s="17"/>
      <c r="MJY1143" s="17"/>
      <c r="MJZ1143" s="17"/>
      <c r="MKA1143" s="17"/>
      <c r="MKB1143" s="17"/>
      <c r="MKC1143" s="17"/>
      <c r="MKD1143" s="17"/>
      <c r="MKE1143" s="17"/>
      <c r="MKF1143" s="17"/>
      <c r="MKG1143" s="17"/>
      <c r="MKH1143" s="17"/>
      <c r="MKI1143" s="17"/>
      <c r="MKJ1143" s="17"/>
      <c r="MKK1143" s="17"/>
      <c r="MKL1143" s="17"/>
      <c r="MKM1143" s="17"/>
      <c r="MKN1143" s="17"/>
      <c r="MKO1143" s="17"/>
      <c r="MKP1143" s="17"/>
      <c r="MKQ1143" s="17"/>
      <c r="MKR1143" s="17"/>
      <c r="MKS1143" s="17"/>
      <c r="MKT1143" s="17"/>
      <c r="MKU1143" s="17"/>
      <c r="MKV1143" s="17"/>
      <c r="MKW1143" s="17"/>
      <c r="MKX1143" s="17"/>
      <c r="MKY1143" s="17"/>
      <c r="MKZ1143" s="17"/>
      <c r="MLA1143" s="17"/>
      <c r="MLB1143" s="17"/>
      <c r="MLC1143" s="17"/>
      <c r="MLD1143" s="17"/>
      <c r="MLE1143" s="17"/>
      <c r="MLF1143" s="17"/>
      <c r="MLG1143" s="17"/>
      <c r="MLH1143" s="17"/>
      <c r="MLI1143" s="17"/>
      <c r="MLJ1143" s="17"/>
      <c r="MLK1143" s="17"/>
      <c r="MLL1143" s="17"/>
      <c r="MLM1143" s="17"/>
      <c r="MLN1143" s="17"/>
      <c r="MLO1143" s="17"/>
      <c r="MLP1143" s="17"/>
      <c r="MLQ1143" s="17"/>
      <c r="MLR1143" s="17"/>
      <c r="MLS1143" s="17"/>
      <c r="MLT1143" s="17"/>
      <c r="MLU1143" s="17"/>
      <c r="MLV1143" s="17"/>
      <c r="MLW1143" s="17"/>
      <c r="MLX1143" s="17"/>
      <c r="MLY1143" s="17"/>
      <c r="MLZ1143" s="17"/>
      <c r="MMA1143" s="17"/>
      <c r="MMB1143" s="17"/>
      <c r="MMC1143" s="17"/>
      <c r="MMD1143" s="17"/>
      <c r="MME1143" s="17"/>
      <c r="MMF1143" s="17"/>
      <c r="MMG1143" s="17"/>
      <c r="MMH1143" s="17"/>
      <c r="MMI1143" s="17"/>
      <c r="MMJ1143" s="17"/>
      <c r="MMK1143" s="17"/>
      <c r="MML1143" s="17"/>
      <c r="MMM1143" s="17"/>
      <c r="MMN1143" s="17"/>
      <c r="MMO1143" s="17"/>
      <c r="MMP1143" s="17"/>
      <c r="MMQ1143" s="17"/>
      <c r="MMR1143" s="17"/>
      <c r="MMS1143" s="17"/>
      <c r="MMT1143" s="17"/>
      <c r="MMU1143" s="17"/>
      <c r="MMV1143" s="17"/>
      <c r="MMW1143" s="17"/>
      <c r="MMX1143" s="17"/>
      <c r="MMY1143" s="17"/>
      <c r="MMZ1143" s="17"/>
      <c r="MNA1143" s="17"/>
      <c r="MNB1143" s="17"/>
      <c r="MNC1143" s="17"/>
      <c r="MND1143" s="17"/>
      <c r="MNE1143" s="17"/>
      <c r="MNF1143" s="17"/>
      <c r="MNG1143" s="17"/>
      <c r="MNH1143" s="17"/>
      <c r="MNI1143" s="17"/>
      <c r="MNJ1143" s="17"/>
      <c r="MNK1143" s="17"/>
      <c r="MNL1143" s="17"/>
      <c r="MNM1143" s="17"/>
      <c r="MNN1143" s="17"/>
      <c r="MNO1143" s="17"/>
      <c r="MNP1143" s="17"/>
      <c r="MNQ1143" s="17"/>
      <c r="MNR1143" s="17"/>
      <c r="MNS1143" s="17"/>
      <c r="MNT1143" s="17"/>
      <c r="MNU1143" s="17"/>
      <c r="MNV1143" s="17"/>
      <c r="MNW1143" s="17"/>
      <c r="MNX1143" s="17"/>
      <c r="MNY1143" s="17"/>
      <c r="MNZ1143" s="17"/>
      <c r="MOA1143" s="17"/>
      <c r="MOB1143" s="17"/>
      <c r="MOC1143" s="17"/>
      <c r="MOD1143" s="17"/>
      <c r="MOE1143" s="17"/>
      <c r="MOF1143" s="17"/>
      <c r="MOG1143" s="17"/>
      <c r="MOH1143" s="17"/>
      <c r="MOI1143" s="17"/>
      <c r="MOJ1143" s="17"/>
      <c r="MOK1143" s="17"/>
      <c r="MOL1143" s="17"/>
      <c r="MOM1143" s="17"/>
      <c r="MON1143" s="17"/>
      <c r="MOO1143" s="17"/>
      <c r="MOP1143" s="17"/>
      <c r="MOQ1143" s="17"/>
      <c r="MOR1143" s="17"/>
      <c r="MOS1143" s="17"/>
      <c r="MOT1143" s="17"/>
      <c r="MOU1143" s="17"/>
      <c r="MOV1143" s="17"/>
      <c r="MOW1143" s="17"/>
      <c r="MOX1143" s="17"/>
      <c r="MOY1143" s="17"/>
      <c r="MOZ1143" s="17"/>
      <c r="MPA1143" s="17"/>
      <c r="MPB1143" s="17"/>
      <c r="MPC1143" s="17"/>
      <c r="MPD1143" s="17"/>
      <c r="MPE1143" s="17"/>
      <c r="MPF1143" s="17"/>
      <c r="MPG1143" s="17"/>
      <c r="MPH1143" s="17"/>
      <c r="MPI1143" s="17"/>
      <c r="MPJ1143" s="17"/>
      <c r="MPK1143" s="17"/>
      <c r="MPL1143" s="17"/>
      <c r="MPM1143" s="17"/>
      <c r="MPN1143" s="17"/>
      <c r="MPO1143" s="17"/>
      <c r="MPP1143" s="17"/>
      <c r="MPQ1143" s="17"/>
      <c r="MPR1143" s="17"/>
      <c r="MPS1143" s="17"/>
      <c r="MPT1143" s="17"/>
      <c r="MPU1143" s="17"/>
      <c r="MPV1143" s="17"/>
      <c r="MPW1143" s="17"/>
      <c r="MPX1143" s="17"/>
      <c r="MPY1143" s="17"/>
      <c r="MPZ1143" s="17"/>
      <c r="MQA1143" s="17"/>
      <c r="MQB1143" s="17"/>
      <c r="MQC1143" s="17"/>
      <c r="MQD1143" s="17"/>
      <c r="MQE1143" s="17"/>
      <c r="MQF1143" s="17"/>
      <c r="MQG1143" s="17"/>
      <c r="MQH1143" s="17"/>
      <c r="MQI1143" s="17"/>
      <c r="MQJ1143" s="17"/>
      <c r="MQK1143" s="17"/>
      <c r="MQL1143" s="17"/>
      <c r="MQM1143" s="17"/>
      <c r="MQN1143" s="17"/>
      <c r="MQO1143" s="17"/>
      <c r="MQP1143" s="17"/>
      <c r="MQQ1143" s="17"/>
      <c r="MQR1143" s="17"/>
      <c r="MQS1143" s="17"/>
      <c r="MQT1143" s="17"/>
      <c r="MQU1143" s="17"/>
      <c r="MQV1143" s="17"/>
      <c r="MQW1143" s="17"/>
      <c r="MQX1143" s="17"/>
      <c r="MQY1143" s="17"/>
      <c r="MQZ1143" s="17"/>
      <c r="MRA1143" s="17"/>
      <c r="MRB1143" s="17"/>
      <c r="MRC1143" s="17"/>
      <c r="MRD1143" s="17"/>
      <c r="MRE1143" s="17"/>
      <c r="MRF1143" s="17"/>
      <c r="MRG1143" s="17"/>
      <c r="MRH1143" s="17"/>
      <c r="MRI1143" s="17"/>
      <c r="MRJ1143" s="17"/>
      <c r="MRK1143" s="17"/>
      <c r="MRL1143" s="17"/>
      <c r="MRM1143" s="17"/>
      <c r="MRN1143" s="17"/>
      <c r="MRO1143" s="17"/>
      <c r="MRP1143" s="17"/>
      <c r="MRQ1143" s="17"/>
      <c r="MRR1143" s="17"/>
      <c r="MRS1143" s="17"/>
      <c r="MRT1143" s="17"/>
      <c r="MRU1143" s="17"/>
      <c r="MRV1143" s="17"/>
      <c r="MRW1143" s="17"/>
      <c r="MRX1143" s="17"/>
      <c r="MRY1143" s="17"/>
      <c r="MRZ1143" s="17"/>
      <c r="MSA1143" s="17"/>
      <c r="MSB1143" s="17"/>
      <c r="MSC1143" s="17"/>
      <c r="MSD1143" s="17"/>
      <c r="MSE1143" s="17"/>
      <c r="MSF1143" s="17"/>
      <c r="MSG1143" s="17"/>
      <c r="MSH1143" s="17"/>
      <c r="MSI1143" s="17"/>
      <c r="MSJ1143" s="17"/>
      <c r="MSK1143" s="17"/>
      <c r="MSL1143" s="17"/>
      <c r="MSM1143" s="17"/>
      <c r="MSN1143" s="17"/>
      <c r="MSO1143" s="17"/>
      <c r="MSP1143" s="17"/>
      <c r="MSQ1143" s="17"/>
      <c r="MSR1143" s="17"/>
      <c r="MSS1143" s="17"/>
      <c r="MST1143" s="17"/>
      <c r="MSU1143" s="17"/>
      <c r="MSV1143" s="17"/>
      <c r="MSW1143" s="17"/>
      <c r="MSX1143" s="17"/>
      <c r="MSY1143" s="17"/>
      <c r="MSZ1143" s="17"/>
      <c r="MTA1143" s="17"/>
      <c r="MTB1143" s="17"/>
      <c r="MTC1143" s="17"/>
      <c r="MTD1143" s="17"/>
      <c r="MTE1143" s="17"/>
      <c r="MTF1143" s="17"/>
      <c r="MTG1143" s="17"/>
      <c r="MTH1143" s="17"/>
      <c r="MTI1143" s="17"/>
      <c r="MTJ1143" s="17"/>
      <c r="MTK1143" s="17"/>
      <c r="MTL1143" s="17"/>
      <c r="MTM1143" s="17"/>
      <c r="MTN1143" s="17"/>
      <c r="MTO1143" s="17"/>
      <c r="MTP1143" s="17"/>
      <c r="MTQ1143" s="17"/>
      <c r="MTR1143" s="17"/>
      <c r="MTS1143" s="17"/>
      <c r="MTT1143" s="17"/>
      <c r="MTU1143" s="17"/>
      <c r="MTV1143" s="17"/>
      <c r="MTW1143" s="17"/>
      <c r="MTX1143" s="17"/>
      <c r="MTY1143" s="17"/>
      <c r="MTZ1143" s="17"/>
      <c r="MUA1143" s="17"/>
      <c r="MUB1143" s="17"/>
      <c r="MUC1143" s="17"/>
      <c r="MUD1143" s="17"/>
      <c r="MUE1143" s="17"/>
      <c r="MUF1143" s="17"/>
      <c r="MUG1143" s="17"/>
      <c r="MUH1143" s="17"/>
      <c r="MUI1143" s="17"/>
      <c r="MUJ1143" s="17"/>
      <c r="MUK1143" s="17"/>
      <c r="MUL1143" s="17"/>
      <c r="MUM1143" s="17"/>
      <c r="MUN1143" s="17"/>
      <c r="MUO1143" s="17"/>
      <c r="MUP1143" s="17"/>
      <c r="MUQ1143" s="17"/>
      <c r="MUR1143" s="17"/>
      <c r="MUS1143" s="17"/>
      <c r="MUT1143" s="17"/>
      <c r="MUU1143" s="17"/>
      <c r="MUV1143" s="17"/>
      <c r="MUW1143" s="17"/>
      <c r="MUX1143" s="17"/>
      <c r="MUY1143" s="17"/>
      <c r="MUZ1143" s="17"/>
      <c r="MVA1143" s="17"/>
      <c r="MVB1143" s="17"/>
      <c r="MVC1143" s="17"/>
      <c r="MVD1143" s="17"/>
      <c r="MVE1143" s="17"/>
      <c r="MVF1143" s="17"/>
      <c r="MVG1143" s="17"/>
      <c r="MVH1143" s="17"/>
      <c r="MVI1143" s="17"/>
      <c r="MVJ1143" s="17"/>
      <c r="MVK1143" s="17"/>
      <c r="MVL1143" s="17"/>
      <c r="MVM1143" s="17"/>
      <c r="MVN1143" s="17"/>
      <c r="MVO1143" s="17"/>
      <c r="MVP1143" s="17"/>
      <c r="MVQ1143" s="17"/>
      <c r="MVR1143" s="17"/>
      <c r="MVS1143" s="17"/>
      <c r="MVT1143" s="17"/>
      <c r="MVU1143" s="17"/>
      <c r="MVV1143" s="17"/>
      <c r="MVW1143" s="17"/>
      <c r="MVX1143" s="17"/>
      <c r="MVY1143" s="17"/>
      <c r="MVZ1143" s="17"/>
      <c r="MWA1143" s="17"/>
      <c r="MWB1143" s="17"/>
      <c r="MWC1143" s="17"/>
      <c r="MWD1143" s="17"/>
      <c r="MWE1143" s="17"/>
      <c r="MWF1143" s="17"/>
      <c r="MWG1143" s="17"/>
      <c r="MWH1143" s="17"/>
      <c r="MWI1143" s="17"/>
      <c r="MWJ1143" s="17"/>
      <c r="MWK1143" s="17"/>
      <c r="MWL1143" s="17"/>
      <c r="MWM1143" s="17"/>
      <c r="MWN1143" s="17"/>
      <c r="MWO1143" s="17"/>
      <c r="MWP1143" s="17"/>
      <c r="MWQ1143" s="17"/>
      <c r="MWR1143" s="17"/>
      <c r="MWS1143" s="17"/>
      <c r="MWT1143" s="17"/>
      <c r="MWU1143" s="17"/>
      <c r="MWV1143" s="17"/>
      <c r="MWW1143" s="17"/>
      <c r="MWX1143" s="17"/>
      <c r="MWY1143" s="17"/>
      <c r="MWZ1143" s="17"/>
      <c r="MXA1143" s="17"/>
      <c r="MXB1143" s="17"/>
      <c r="MXC1143" s="17"/>
      <c r="MXD1143" s="17"/>
      <c r="MXE1143" s="17"/>
      <c r="MXF1143" s="17"/>
      <c r="MXG1143" s="17"/>
      <c r="MXH1143" s="17"/>
      <c r="MXI1143" s="17"/>
      <c r="MXJ1143" s="17"/>
      <c r="MXK1143" s="17"/>
      <c r="MXL1143" s="17"/>
      <c r="MXM1143" s="17"/>
      <c r="MXN1143" s="17"/>
      <c r="MXO1143" s="17"/>
      <c r="MXP1143" s="17"/>
      <c r="MXQ1143" s="17"/>
      <c r="MXR1143" s="17"/>
      <c r="MXS1143" s="17"/>
      <c r="MXT1143" s="17"/>
      <c r="MXU1143" s="17"/>
      <c r="MXV1143" s="17"/>
      <c r="MXW1143" s="17"/>
      <c r="MXX1143" s="17"/>
      <c r="MXY1143" s="17"/>
      <c r="MXZ1143" s="17"/>
      <c r="MYA1143" s="17"/>
      <c r="MYB1143" s="17"/>
      <c r="MYC1143" s="17"/>
      <c r="MYD1143" s="17"/>
      <c r="MYE1143" s="17"/>
      <c r="MYF1143" s="17"/>
      <c r="MYG1143" s="17"/>
      <c r="MYH1143" s="17"/>
      <c r="MYI1143" s="17"/>
      <c r="MYJ1143" s="17"/>
      <c r="MYK1143" s="17"/>
      <c r="MYL1143" s="17"/>
      <c r="MYM1143" s="17"/>
      <c r="MYN1143" s="17"/>
      <c r="MYO1143" s="17"/>
      <c r="MYP1143" s="17"/>
      <c r="MYQ1143" s="17"/>
      <c r="MYR1143" s="17"/>
      <c r="MYS1143" s="17"/>
      <c r="MYT1143" s="17"/>
      <c r="MYU1143" s="17"/>
      <c r="MYV1143" s="17"/>
      <c r="MYW1143" s="17"/>
      <c r="MYX1143" s="17"/>
      <c r="MYY1143" s="17"/>
      <c r="MYZ1143" s="17"/>
      <c r="MZA1143" s="17"/>
      <c r="MZB1143" s="17"/>
      <c r="MZC1143" s="17"/>
      <c r="MZD1143" s="17"/>
      <c r="MZE1143" s="17"/>
      <c r="MZF1143" s="17"/>
      <c r="MZG1143" s="17"/>
      <c r="MZH1143" s="17"/>
      <c r="MZI1143" s="17"/>
      <c r="MZJ1143" s="17"/>
      <c r="MZK1143" s="17"/>
      <c r="MZL1143" s="17"/>
      <c r="MZM1143" s="17"/>
      <c r="MZN1143" s="17"/>
      <c r="MZO1143" s="17"/>
      <c r="MZP1143" s="17"/>
      <c r="MZQ1143" s="17"/>
      <c r="MZR1143" s="17"/>
      <c r="MZS1143" s="17"/>
      <c r="MZT1143" s="17"/>
      <c r="MZU1143" s="17"/>
      <c r="MZV1143" s="17"/>
      <c r="MZW1143" s="17"/>
      <c r="MZX1143" s="17"/>
      <c r="MZY1143" s="17"/>
      <c r="MZZ1143" s="17"/>
      <c r="NAA1143" s="17"/>
      <c r="NAB1143" s="17"/>
      <c r="NAC1143" s="17"/>
      <c r="NAD1143" s="17"/>
      <c r="NAE1143" s="17"/>
      <c r="NAF1143" s="17"/>
      <c r="NAG1143" s="17"/>
      <c r="NAH1143" s="17"/>
      <c r="NAI1143" s="17"/>
      <c r="NAJ1143" s="17"/>
      <c r="NAK1143" s="17"/>
      <c r="NAL1143" s="17"/>
      <c r="NAM1143" s="17"/>
      <c r="NAN1143" s="17"/>
      <c r="NAO1143" s="17"/>
      <c r="NAP1143" s="17"/>
      <c r="NAQ1143" s="17"/>
      <c r="NAR1143" s="17"/>
      <c r="NAS1143" s="17"/>
      <c r="NAT1143" s="17"/>
      <c r="NAU1143" s="17"/>
      <c r="NAV1143" s="17"/>
      <c r="NAW1143" s="17"/>
      <c r="NAX1143" s="17"/>
      <c r="NAY1143" s="17"/>
      <c r="NAZ1143" s="17"/>
      <c r="NBA1143" s="17"/>
      <c r="NBB1143" s="17"/>
      <c r="NBC1143" s="17"/>
      <c r="NBD1143" s="17"/>
      <c r="NBE1143" s="17"/>
      <c r="NBF1143" s="17"/>
      <c r="NBG1143" s="17"/>
      <c r="NBH1143" s="17"/>
      <c r="NBI1143" s="17"/>
      <c r="NBJ1143" s="17"/>
      <c r="NBK1143" s="17"/>
      <c r="NBL1143" s="17"/>
      <c r="NBM1143" s="17"/>
      <c r="NBN1143" s="17"/>
      <c r="NBO1143" s="17"/>
      <c r="NBP1143" s="17"/>
      <c r="NBQ1143" s="17"/>
      <c r="NBR1143" s="17"/>
      <c r="NBS1143" s="17"/>
      <c r="NBT1143" s="17"/>
      <c r="NBU1143" s="17"/>
      <c r="NBV1143" s="17"/>
      <c r="NBW1143" s="17"/>
      <c r="NBX1143" s="17"/>
      <c r="NBY1143" s="17"/>
      <c r="NBZ1143" s="17"/>
      <c r="NCA1143" s="17"/>
      <c r="NCB1143" s="17"/>
      <c r="NCC1143" s="17"/>
      <c r="NCD1143" s="17"/>
      <c r="NCE1143" s="17"/>
      <c r="NCF1143" s="17"/>
      <c r="NCG1143" s="17"/>
      <c r="NCH1143" s="17"/>
      <c r="NCI1143" s="17"/>
      <c r="NCJ1143" s="17"/>
      <c r="NCK1143" s="17"/>
      <c r="NCL1143" s="17"/>
      <c r="NCM1143" s="17"/>
      <c r="NCN1143" s="17"/>
      <c r="NCO1143" s="17"/>
      <c r="NCP1143" s="17"/>
      <c r="NCQ1143" s="17"/>
      <c r="NCR1143" s="17"/>
      <c r="NCS1143" s="17"/>
      <c r="NCT1143" s="17"/>
      <c r="NCU1143" s="17"/>
      <c r="NCV1143" s="17"/>
      <c r="NCW1143" s="17"/>
      <c r="NCX1143" s="17"/>
      <c r="NCY1143" s="17"/>
      <c r="NCZ1143" s="17"/>
      <c r="NDA1143" s="17"/>
      <c r="NDB1143" s="17"/>
      <c r="NDC1143" s="17"/>
      <c r="NDD1143" s="17"/>
      <c r="NDE1143" s="17"/>
      <c r="NDF1143" s="17"/>
      <c r="NDG1143" s="17"/>
      <c r="NDH1143" s="17"/>
      <c r="NDI1143" s="17"/>
      <c r="NDJ1143" s="17"/>
      <c r="NDK1143" s="17"/>
      <c r="NDL1143" s="17"/>
      <c r="NDM1143" s="17"/>
      <c r="NDN1143" s="17"/>
      <c r="NDO1143" s="17"/>
      <c r="NDP1143" s="17"/>
      <c r="NDQ1143" s="17"/>
      <c r="NDR1143" s="17"/>
      <c r="NDS1143" s="17"/>
      <c r="NDT1143" s="17"/>
      <c r="NDU1143" s="17"/>
      <c r="NDV1143" s="17"/>
      <c r="NDW1143" s="17"/>
      <c r="NDX1143" s="17"/>
      <c r="NDY1143" s="17"/>
      <c r="NDZ1143" s="17"/>
      <c r="NEA1143" s="17"/>
      <c r="NEB1143" s="17"/>
      <c r="NEC1143" s="17"/>
      <c r="NED1143" s="17"/>
      <c r="NEE1143" s="17"/>
      <c r="NEF1143" s="17"/>
      <c r="NEG1143" s="17"/>
      <c r="NEH1143" s="17"/>
      <c r="NEI1143" s="17"/>
      <c r="NEJ1143" s="17"/>
      <c r="NEK1143" s="17"/>
      <c r="NEL1143" s="17"/>
      <c r="NEM1143" s="17"/>
      <c r="NEN1143" s="17"/>
      <c r="NEO1143" s="17"/>
      <c r="NEP1143" s="17"/>
      <c r="NEQ1143" s="17"/>
      <c r="NER1143" s="17"/>
      <c r="NES1143" s="17"/>
      <c r="NET1143" s="17"/>
      <c r="NEU1143" s="17"/>
      <c r="NEV1143" s="17"/>
      <c r="NEW1143" s="17"/>
      <c r="NEX1143" s="17"/>
      <c r="NEY1143" s="17"/>
      <c r="NEZ1143" s="17"/>
      <c r="NFA1143" s="17"/>
      <c r="NFB1143" s="17"/>
      <c r="NFC1143" s="17"/>
      <c r="NFD1143" s="17"/>
      <c r="NFE1143" s="17"/>
      <c r="NFF1143" s="17"/>
      <c r="NFG1143" s="17"/>
      <c r="NFH1143" s="17"/>
      <c r="NFI1143" s="17"/>
      <c r="NFJ1143" s="17"/>
      <c r="NFK1143" s="17"/>
      <c r="NFL1143" s="17"/>
      <c r="NFM1143" s="17"/>
      <c r="NFN1143" s="17"/>
      <c r="NFO1143" s="17"/>
      <c r="NFP1143" s="17"/>
      <c r="NFQ1143" s="17"/>
      <c r="NFR1143" s="17"/>
      <c r="NFS1143" s="17"/>
      <c r="NFT1143" s="17"/>
      <c r="NFU1143" s="17"/>
      <c r="NFV1143" s="17"/>
      <c r="NFW1143" s="17"/>
      <c r="NFX1143" s="17"/>
      <c r="NFY1143" s="17"/>
      <c r="NFZ1143" s="17"/>
      <c r="NGA1143" s="17"/>
      <c r="NGB1143" s="17"/>
      <c r="NGC1143" s="17"/>
      <c r="NGD1143" s="17"/>
      <c r="NGE1143" s="17"/>
      <c r="NGF1143" s="17"/>
      <c r="NGG1143" s="17"/>
      <c r="NGH1143" s="17"/>
      <c r="NGI1143" s="17"/>
      <c r="NGJ1143" s="17"/>
      <c r="NGK1143" s="17"/>
      <c r="NGL1143" s="17"/>
      <c r="NGM1143" s="17"/>
      <c r="NGN1143" s="17"/>
      <c r="NGO1143" s="17"/>
      <c r="NGP1143" s="17"/>
      <c r="NGQ1143" s="17"/>
      <c r="NGR1143" s="17"/>
      <c r="NGS1143" s="17"/>
      <c r="NGT1143" s="17"/>
      <c r="NGU1143" s="17"/>
      <c r="NGV1143" s="17"/>
      <c r="NGW1143" s="17"/>
      <c r="NGX1143" s="17"/>
      <c r="NGY1143" s="17"/>
      <c r="NGZ1143" s="17"/>
      <c r="NHA1143" s="17"/>
      <c r="NHB1143" s="17"/>
      <c r="NHC1143" s="17"/>
      <c r="NHD1143" s="17"/>
      <c r="NHE1143" s="17"/>
      <c r="NHF1143" s="17"/>
      <c r="NHG1143" s="17"/>
      <c r="NHH1143" s="17"/>
      <c r="NHI1143" s="17"/>
      <c r="NHJ1143" s="17"/>
      <c r="NHK1143" s="17"/>
      <c r="NHL1143" s="17"/>
      <c r="NHM1143" s="17"/>
      <c r="NHN1143" s="17"/>
      <c r="NHO1143" s="17"/>
      <c r="NHP1143" s="17"/>
      <c r="NHQ1143" s="17"/>
      <c r="NHR1143" s="17"/>
      <c r="NHS1143" s="17"/>
      <c r="NHT1143" s="17"/>
      <c r="NHU1143" s="17"/>
      <c r="NHV1143" s="17"/>
      <c r="NHW1143" s="17"/>
      <c r="NHX1143" s="17"/>
      <c r="NHY1143" s="17"/>
      <c r="NHZ1143" s="17"/>
      <c r="NIA1143" s="17"/>
      <c r="NIB1143" s="17"/>
      <c r="NIC1143" s="17"/>
      <c r="NID1143" s="17"/>
      <c r="NIE1143" s="17"/>
      <c r="NIF1143" s="17"/>
      <c r="NIG1143" s="17"/>
      <c r="NIH1143" s="17"/>
      <c r="NII1143" s="17"/>
      <c r="NIJ1143" s="17"/>
      <c r="NIK1143" s="17"/>
      <c r="NIL1143" s="17"/>
      <c r="NIM1143" s="17"/>
      <c r="NIN1143" s="17"/>
      <c r="NIO1143" s="17"/>
      <c r="NIP1143" s="17"/>
      <c r="NIQ1143" s="17"/>
      <c r="NIR1143" s="17"/>
      <c r="NIS1143" s="17"/>
      <c r="NIT1143" s="17"/>
      <c r="NIU1143" s="17"/>
      <c r="NIV1143" s="17"/>
      <c r="NIW1143" s="17"/>
      <c r="NIX1143" s="17"/>
      <c r="NIY1143" s="17"/>
      <c r="NIZ1143" s="17"/>
      <c r="NJA1143" s="17"/>
      <c r="NJB1143" s="17"/>
      <c r="NJC1143" s="17"/>
      <c r="NJD1143" s="17"/>
      <c r="NJE1143" s="17"/>
      <c r="NJF1143" s="17"/>
      <c r="NJG1143" s="17"/>
      <c r="NJH1143" s="17"/>
      <c r="NJI1143" s="17"/>
      <c r="NJJ1143" s="17"/>
      <c r="NJK1143" s="17"/>
      <c r="NJL1143" s="17"/>
      <c r="NJM1143" s="17"/>
      <c r="NJN1143" s="17"/>
      <c r="NJO1143" s="17"/>
      <c r="NJP1143" s="17"/>
      <c r="NJQ1143" s="17"/>
      <c r="NJR1143" s="17"/>
      <c r="NJS1143" s="17"/>
      <c r="NJT1143" s="17"/>
      <c r="NJU1143" s="17"/>
      <c r="NJV1143" s="17"/>
      <c r="NJW1143" s="17"/>
      <c r="NJX1143" s="17"/>
      <c r="NJY1143" s="17"/>
      <c r="NJZ1143" s="17"/>
      <c r="NKA1143" s="17"/>
      <c r="NKB1143" s="17"/>
      <c r="NKC1143" s="17"/>
      <c r="NKD1143" s="17"/>
      <c r="NKE1143" s="17"/>
      <c r="NKF1143" s="17"/>
      <c r="NKG1143" s="17"/>
      <c r="NKH1143" s="17"/>
      <c r="NKI1143" s="17"/>
      <c r="NKJ1143" s="17"/>
      <c r="NKK1143" s="17"/>
      <c r="NKL1143" s="17"/>
      <c r="NKM1143" s="17"/>
      <c r="NKN1143" s="17"/>
      <c r="NKO1143" s="17"/>
      <c r="NKP1143" s="17"/>
      <c r="NKQ1143" s="17"/>
      <c r="NKR1143" s="17"/>
      <c r="NKS1143" s="17"/>
      <c r="NKT1143" s="17"/>
      <c r="NKU1143" s="17"/>
      <c r="NKV1143" s="17"/>
      <c r="NKW1143" s="17"/>
      <c r="NKX1143" s="17"/>
      <c r="NKY1143" s="17"/>
      <c r="NKZ1143" s="17"/>
      <c r="NLA1143" s="17"/>
      <c r="NLB1143" s="17"/>
      <c r="NLC1143" s="17"/>
      <c r="NLD1143" s="17"/>
      <c r="NLE1143" s="17"/>
      <c r="NLF1143" s="17"/>
      <c r="NLG1143" s="17"/>
      <c r="NLH1143" s="17"/>
      <c r="NLI1143" s="17"/>
      <c r="NLJ1143" s="17"/>
      <c r="NLK1143" s="17"/>
      <c r="NLL1143" s="17"/>
      <c r="NLM1143" s="17"/>
      <c r="NLN1143" s="17"/>
      <c r="NLO1143" s="17"/>
      <c r="NLP1143" s="17"/>
      <c r="NLQ1143" s="17"/>
      <c r="NLR1143" s="17"/>
      <c r="NLS1143" s="17"/>
      <c r="NLT1143" s="17"/>
      <c r="NLU1143" s="17"/>
      <c r="NLV1143" s="17"/>
      <c r="NLW1143" s="17"/>
      <c r="NLX1143" s="17"/>
      <c r="NLY1143" s="17"/>
      <c r="NLZ1143" s="17"/>
      <c r="NMA1143" s="17"/>
      <c r="NMB1143" s="17"/>
      <c r="NMC1143" s="17"/>
      <c r="NMD1143" s="17"/>
      <c r="NME1143" s="17"/>
      <c r="NMF1143" s="17"/>
      <c r="NMG1143" s="17"/>
      <c r="NMH1143" s="17"/>
      <c r="NMI1143" s="17"/>
      <c r="NMJ1143" s="17"/>
      <c r="NMK1143" s="17"/>
      <c r="NML1143" s="17"/>
      <c r="NMM1143" s="17"/>
      <c r="NMN1143" s="17"/>
      <c r="NMO1143" s="17"/>
      <c r="NMP1143" s="17"/>
      <c r="NMQ1143" s="17"/>
      <c r="NMR1143" s="17"/>
      <c r="NMS1143" s="17"/>
      <c r="NMT1143" s="17"/>
      <c r="NMU1143" s="17"/>
      <c r="NMV1143" s="17"/>
      <c r="NMW1143" s="17"/>
      <c r="NMX1143" s="17"/>
      <c r="NMY1143" s="17"/>
      <c r="NMZ1143" s="17"/>
      <c r="NNA1143" s="17"/>
      <c r="NNB1143" s="17"/>
      <c r="NNC1143" s="17"/>
      <c r="NND1143" s="17"/>
      <c r="NNE1143" s="17"/>
      <c r="NNF1143" s="17"/>
      <c r="NNG1143" s="17"/>
      <c r="NNH1143" s="17"/>
      <c r="NNI1143" s="17"/>
      <c r="NNJ1143" s="17"/>
      <c r="NNK1143" s="17"/>
      <c r="NNL1143" s="17"/>
      <c r="NNM1143" s="17"/>
      <c r="NNN1143" s="17"/>
      <c r="NNO1143" s="17"/>
      <c r="NNP1143" s="17"/>
      <c r="NNQ1143" s="17"/>
      <c r="NNR1143" s="17"/>
      <c r="NNS1143" s="17"/>
      <c r="NNT1143" s="17"/>
      <c r="NNU1143" s="17"/>
      <c r="NNV1143" s="17"/>
      <c r="NNW1143" s="17"/>
      <c r="NNX1143" s="17"/>
      <c r="NNY1143" s="17"/>
      <c r="NNZ1143" s="17"/>
      <c r="NOA1143" s="17"/>
      <c r="NOB1143" s="17"/>
      <c r="NOC1143" s="17"/>
      <c r="NOD1143" s="17"/>
      <c r="NOE1143" s="17"/>
      <c r="NOF1143" s="17"/>
      <c r="NOG1143" s="17"/>
      <c r="NOH1143" s="17"/>
      <c r="NOI1143" s="17"/>
      <c r="NOJ1143" s="17"/>
      <c r="NOK1143" s="17"/>
      <c r="NOL1143" s="17"/>
      <c r="NOM1143" s="17"/>
      <c r="NON1143" s="17"/>
      <c r="NOO1143" s="17"/>
      <c r="NOP1143" s="17"/>
      <c r="NOQ1143" s="17"/>
      <c r="NOR1143" s="17"/>
      <c r="NOS1143" s="17"/>
      <c r="NOT1143" s="17"/>
      <c r="NOU1143" s="17"/>
      <c r="NOV1143" s="17"/>
      <c r="NOW1143" s="17"/>
      <c r="NOX1143" s="17"/>
      <c r="NOY1143" s="17"/>
      <c r="NOZ1143" s="17"/>
      <c r="NPA1143" s="17"/>
      <c r="NPB1143" s="17"/>
      <c r="NPC1143" s="17"/>
      <c r="NPD1143" s="17"/>
      <c r="NPE1143" s="17"/>
      <c r="NPF1143" s="17"/>
      <c r="NPG1143" s="17"/>
      <c r="NPH1143" s="17"/>
      <c r="NPI1143" s="17"/>
      <c r="NPJ1143" s="17"/>
      <c r="NPK1143" s="17"/>
      <c r="NPL1143" s="17"/>
      <c r="NPM1143" s="17"/>
      <c r="NPN1143" s="17"/>
      <c r="NPO1143" s="17"/>
      <c r="NPP1143" s="17"/>
      <c r="NPQ1143" s="17"/>
      <c r="NPR1143" s="17"/>
      <c r="NPS1143" s="17"/>
      <c r="NPT1143" s="17"/>
      <c r="NPU1143" s="17"/>
      <c r="NPV1143" s="17"/>
      <c r="NPW1143" s="17"/>
      <c r="NPX1143" s="17"/>
      <c r="NPY1143" s="17"/>
      <c r="NPZ1143" s="17"/>
      <c r="NQA1143" s="17"/>
      <c r="NQB1143" s="17"/>
      <c r="NQC1143" s="17"/>
      <c r="NQD1143" s="17"/>
      <c r="NQE1143" s="17"/>
      <c r="NQF1143" s="17"/>
      <c r="NQG1143" s="17"/>
      <c r="NQH1143" s="17"/>
      <c r="NQI1143" s="17"/>
      <c r="NQJ1143" s="17"/>
      <c r="NQK1143" s="17"/>
      <c r="NQL1143" s="17"/>
      <c r="NQM1143" s="17"/>
      <c r="NQN1143" s="17"/>
      <c r="NQO1143" s="17"/>
      <c r="NQP1143" s="17"/>
      <c r="NQQ1143" s="17"/>
      <c r="NQR1143" s="17"/>
      <c r="NQS1143" s="17"/>
      <c r="NQT1143" s="17"/>
      <c r="NQU1143" s="17"/>
      <c r="NQV1143" s="17"/>
      <c r="NQW1143" s="17"/>
      <c r="NQX1143" s="17"/>
      <c r="NQY1143" s="17"/>
      <c r="NQZ1143" s="17"/>
      <c r="NRA1143" s="17"/>
      <c r="NRB1143" s="17"/>
      <c r="NRC1143" s="17"/>
      <c r="NRD1143" s="17"/>
      <c r="NRE1143" s="17"/>
      <c r="NRF1143" s="17"/>
      <c r="NRG1143" s="17"/>
      <c r="NRH1143" s="17"/>
      <c r="NRI1143" s="17"/>
      <c r="NRJ1143" s="17"/>
      <c r="NRK1143" s="17"/>
      <c r="NRL1143" s="17"/>
      <c r="NRM1143" s="17"/>
      <c r="NRN1143" s="17"/>
      <c r="NRO1143" s="17"/>
      <c r="NRP1143" s="17"/>
      <c r="NRQ1143" s="17"/>
      <c r="NRR1143" s="17"/>
      <c r="NRS1143" s="17"/>
      <c r="NRT1143" s="17"/>
      <c r="NRU1143" s="17"/>
      <c r="NRV1143" s="17"/>
      <c r="NRW1143" s="17"/>
      <c r="NRX1143" s="17"/>
      <c r="NRY1143" s="17"/>
      <c r="NRZ1143" s="17"/>
      <c r="NSA1143" s="17"/>
      <c r="NSB1143" s="17"/>
      <c r="NSC1143" s="17"/>
      <c r="NSD1143" s="17"/>
      <c r="NSE1143" s="17"/>
      <c r="NSF1143" s="17"/>
      <c r="NSG1143" s="17"/>
      <c r="NSH1143" s="17"/>
      <c r="NSI1143" s="17"/>
      <c r="NSJ1143" s="17"/>
      <c r="NSK1143" s="17"/>
      <c r="NSL1143" s="17"/>
      <c r="NSM1143" s="17"/>
      <c r="NSN1143" s="17"/>
      <c r="NSO1143" s="17"/>
      <c r="NSP1143" s="17"/>
      <c r="NSQ1143" s="17"/>
      <c r="NSR1143" s="17"/>
      <c r="NSS1143" s="17"/>
      <c r="NST1143" s="17"/>
      <c r="NSU1143" s="17"/>
      <c r="NSV1143" s="17"/>
      <c r="NSW1143" s="17"/>
      <c r="NSX1143" s="17"/>
      <c r="NSY1143" s="17"/>
      <c r="NSZ1143" s="17"/>
      <c r="NTA1143" s="17"/>
      <c r="NTB1143" s="17"/>
      <c r="NTC1143" s="17"/>
      <c r="NTD1143" s="17"/>
      <c r="NTE1143" s="17"/>
      <c r="NTF1143" s="17"/>
      <c r="NTG1143" s="17"/>
      <c r="NTH1143" s="17"/>
      <c r="NTI1143" s="17"/>
      <c r="NTJ1143" s="17"/>
      <c r="NTK1143" s="17"/>
      <c r="NTL1143" s="17"/>
      <c r="NTM1143" s="17"/>
      <c r="NTN1143" s="17"/>
      <c r="NTO1143" s="17"/>
      <c r="NTP1143" s="17"/>
      <c r="NTQ1143" s="17"/>
      <c r="NTR1143" s="17"/>
      <c r="NTS1143" s="17"/>
      <c r="NTT1143" s="17"/>
      <c r="NTU1143" s="17"/>
      <c r="NTV1143" s="17"/>
      <c r="NTW1143" s="17"/>
      <c r="NTX1143" s="17"/>
      <c r="NTY1143" s="17"/>
      <c r="NTZ1143" s="17"/>
      <c r="NUA1143" s="17"/>
      <c r="NUB1143" s="17"/>
      <c r="NUC1143" s="17"/>
      <c r="NUD1143" s="17"/>
      <c r="NUE1143" s="17"/>
      <c r="NUF1143" s="17"/>
      <c r="NUG1143" s="17"/>
      <c r="NUH1143" s="17"/>
      <c r="NUI1143" s="17"/>
      <c r="NUJ1143" s="17"/>
      <c r="NUK1143" s="17"/>
      <c r="NUL1143" s="17"/>
      <c r="NUM1143" s="17"/>
      <c r="NUN1143" s="17"/>
      <c r="NUO1143" s="17"/>
      <c r="NUP1143" s="17"/>
      <c r="NUQ1143" s="17"/>
      <c r="NUR1143" s="17"/>
      <c r="NUS1143" s="17"/>
      <c r="NUT1143" s="17"/>
      <c r="NUU1143" s="17"/>
      <c r="NUV1143" s="17"/>
      <c r="NUW1143" s="17"/>
      <c r="NUX1143" s="17"/>
      <c r="NUY1143" s="17"/>
      <c r="NUZ1143" s="17"/>
      <c r="NVA1143" s="17"/>
      <c r="NVB1143" s="17"/>
      <c r="NVC1143" s="17"/>
      <c r="NVD1143" s="17"/>
      <c r="NVE1143" s="17"/>
      <c r="NVF1143" s="17"/>
      <c r="NVG1143" s="17"/>
      <c r="NVH1143" s="17"/>
      <c r="NVI1143" s="17"/>
      <c r="NVJ1143" s="17"/>
      <c r="NVK1143" s="17"/>
      <c r="NVL1143" s="17"/>
      <c r="NVM1143" s="17"/>
      <c r="NVN1143" s="17"/>
      <c r="NVO1143" s="17"/>
      <c r="NVP1143" s="17"/>
      <c r="NVQ1143" s="17"/>
      <c r="NVR1143" s="17"/>
      <c r="NVS1143" s="17"/>
      <c r="NVT1143" s="17"/>
      <c r="NVU1143" s="17"/>
      <c r="NVV1143" s="17"/>
      <c r="NVW1143" s="17"/>
      <c r="NVX1143" s="17"/>
      <c r="NVY1143" s="17"/>
      <c r="NVZ1143" s="17"/>
      <c r="NWA1143" s="17"/>
      <c r="NWB1143" s="17"/>
      <c r="NWC1143" s="17"/>
      <c r="NWD1143" s="17"/>
      <c r="NWE1143" s="17"/>
      <c r="NWF1143" s="17"/>
      <c r="NWG1143" s="17"/>
      <c r="NWH1143" s="17"/>
      <c r="NWI1143" s="17"/>
      <c r="NWJ1143" s="17"/>
      <c r="NWK1143" s="17"/>
      <c r="NWL1143" s="17"/>
      <c r="NWM1143" s="17"/>
      <c r="NWN1143" s="17"/>
      <c r="NWO1143" s="17"/>
      <c r="NWP1143" s="17"/>
      <c r="NWQ1143" s="17"/>
      <c r="NWR1143" s="17"/>
      <c r="NWS1143" s="17"/>
      <c r="NWT1143" s="17"/>
      <c r="NWU1143" s="17"/>
      <c r="NWV1143" s="17"/>
      <c r="NWW1143" s="17"/>
      <c r="NWX1143" s="17"/>
      <c r="NWY1143" s="17"/>
      <c r="NWZ1143" s="17"/>
      <c r="NXA1143" s="17"/>
      <c r="NXB1143" s="17"/>
      <c r="NXC1143" s="17"/>
      <c r="NXD1143" s="17"/>
      <c r="NXE1143" s="17"/>
      <c r="NXF1143" s="17"/>
      <c r="NXG1143" s="17"/>
      <c r="NXH1143" s="17"/>
      <c r="NXI1143" s="17"/>
      <c r="NXJ1143" s="17"/>
      <c r="NXK1143" s="17"/>
      <c r="NXL1143" s="17"/>
      <c r="NXM1143" s="17"/>
      <c r="NXN1143" s="17"/>
      <c r="NXO1143" s="17"/>
      <c r="NXP1143" s="17"/>
      <c r="NXQ1143" s="17"/>
      <c r="NXR1143" s="17"/>
      <c r="NXS1143" s="17"/>
      <c r="NXT1143" s="17"/>
      <c r="NXU1143" s="17"/>
      <c r="NXV1143" s="17"/>
      <c r="NXW1143" s="17"/>
      <c r="NXX1143" s="17"/>
      <c r="NXY1143" s="17"/>
      <c r="NXZ1143" s="17"/>
      <c r="NYA1143" s="17"/>
      <c r="NYB1143" s="17"/>
      <c r="NYC1143" s="17"/>
      <c r="NYD1143" s="17"/>
      <c r="NYE1143" s="17"/>
      <c r="NYF1143" s="17"/>
      <c r="NYG1143" s="17"/>
      <c r="NYH1143" s="17"/>
      <c r="NYI1143" s="17"/>
      <c r="NYJ1143" s="17"/>
      <c r="NYK1143" s="17"/>
      <c r="NYL1143" s="17"/>
      <c r="NYM1143" s="17"/>
      <c r="NYN1143" s="17"/>
      <c r="NYO1143" s="17"/>
      <c r="NYP1143" s="17"/>
      <c r="NYQ1143" s="17"/>
      <c r="NYR1143" s="17"/>
      <c r="NYS1143" s="17"/>
      <c r="NYT1143" s="17"/>
      <c r="NYU1143" s="17"/>
      <c r="NYV1143" s="17"/>
      <c r="NYW1143" s="17"/>
      <c r="NYX1143" s="17"/>
      <c r="NYY1143" s="17"/>
      <c r="NYZ1143" s="17"/>
      <c r="NZA1143" s="17"/>
      <c r="NZB1143" s="17"/>
      <c r="NZC1143" s="17"/>
      <c r="NZD1143" s="17"/>
      <c r="NZE1143" s="17"/>
      <c r="NZF1143" s="17"/>
      <c r="NZG1143" s="17"/>
      <c r="NZH1143" s="17"/>
      <c r="NZI1143" s="17"/>
      <c r="NZJ1143" s="17"/>
      <c r="NZK1143" s="17"/>
      <c r="NZL1143" s="17"/>
      <c r="NZM1143" s="17"/>
      <c r="NZN1143" s="17"/>
      <c r="NZO1143" s="17"/>
      <c r="NZP1143" s="17"/>
      <c r="NZQ1143" s="17"/>
      <c r="NZR1143" s="17"/>
      <c r="NZS1143" s="17"/>
      <c r="NZT1143" s="17"/>
      <c r="NZU1143" s="17"/>
      <c r="NZV1143" s="17"/>
      <c r="NZW1143" s="17"/>
      <c r="NZX1143" s="17"/>
      <c r="NZY1143" s="17"/>
      <c r="NZZ1143" s="17"/>
      <c r="OAA1143" s="17"/>
      <c r="OAB1143" s="17"/>
      <c r="OAC1143" s="17"/>
      <c r="OAD1143" s="17"/>
      <c r="OAE1143" s="17"/>
      <c r="OAF1143" s="17"/>
      <c r="OAG1143" s="17"/>
      <c r="OAH1143" s="17"/>
      <c r="OAI1143" s="17"/>
      <c r="OAJ1143" s="17"/>
      <c r="OAK1143" s="17"/>
      <c r="OAL1143" s="17"/>
      <c r="OAM1143" s="17"/>
      <c r="OAN1143" s="17"/>
      <c r="OAO1143" s="17"/>
      <c r="OAP1143" s="17"/>
      <c r="OAQ1143" s="17"/>
      <c r="OAR1143" s="17"/>
      <c r="OAS1143" s="17"/>
      <c r="OAT1143" s="17"/>
      <c r="OAU1143" s="17"/>
      <c r="OAV1143" s="17"/>
      <c r="OAW1143" s="17"/>
      <c r="OAX1143" s="17"/>
      <c r="OAY1143" s="17"/>
      <c r="OAZ1143" s="17"/>
      <c r="OBA1143" s="17"/>
      <c r="OBB1143" s="17"/>
      <c r="OBC1143" s="17"/>
      <c r="OBD1143" s="17"/>
      <c r="OBE1143" s="17"/>
      <c r="OBF1143" s="17"/>
      <c r="OBG1143" s="17"/>
      <c r="OBH1143" s="17"/>
      <c r="OBI1143" s="17"/>
      <c r="OBJ1143" s="17"/>
      <c r="OBK1143" s="17"/>
      <c r="OBL1143" s="17"/>
      <c r="OBM1143" s="17"/>
      <c r="OBN1143" s="17"/>
      <c r="OBO1143" s="17"/>
      <c r="OBP1143" s="17"/>
      <c r="OBQ1143" s="17"/>
      <c r="OBR1143" s="17"/>
      <c r="OBS1143" s="17"/>
      <c r="OBT1143" s="17"/>
      <c r="OBU1143" s="17"/>
      <c r="OBV1143" s="17"/>
      <c r="OBW1143" s="17"/>
      <c r="OBX1143" s="17"/>
      <c r="OBY1143" s="17"/>
      <c r="OBZ1143" s="17"/>
      <c r="OCA1143" s="17"/>
      <c r="OCB1143" s="17"/>
      <c r="OCC1143" s="17"/>
      <c r="OCD1143" s="17"/>
      <c r="OCE1143" s="17"/>
      <c r="OCF1143" s="17"/>
      <c r="OCG1143" s="17"/>
      <c r="OCH1143" s="17"/>
      <c r="OCI1143" s="17"/>
      <c r="OCJ1143" s="17"/>
      <c r="OCK1143" s="17"/>
      <c r="OCL1143" s="17"/>
      <c r="OCM1143" s="17"/>
      <c r="OCN1143" s="17"/>
      <c r="OCO1143" s="17"/>
      <c r="OCP1143" s="17"/>
      <c r="OCQ1143" s="17"/>
      <c r="OCR1143" s="17"/>
      <c r="OCS1143" s="17"/>
      <c r="OCT1143" s="17"/>
      <c r="OCU1143" s="17"/>
      <c r="OCV1143" s="17"/>
      <c r="OCW1143" s="17"/>
      <c r="OCX1143" s="17"/>
      <c r="OCY1143" s="17"/>
      <c r="OCZ1143" s="17"/>
      <c r="ODA1143" s="17"/>
      <c r="ODB1143" s="17"/>
      <c r="ODC1143" s="17"/>
      <c r="ODD1143" s="17"/>
      <c r="ODE1143" s="17"/>
      <c r="ODF1143" s="17"/>
      <c r="ODG1143" s="17"/>
      <c r="ODH1143" s="17"/>
      <c r="ODI1143" s="17"/>
      <c r="ODJ1143" s="17"/>
      <c r="ODK1143" s="17"/>
      <c r="ODL1143" s="17"/>
      <c r="ODM1143" s="17"/>
      <c r="ODN1143" s="17"/>
      <c r="ODO1143" s="17"/>
      <c r="ODP1143" s="17"/>
      <c r="ODQ1143" s="17"/>
      <c r="ODR1143" s="17"/>
      <c r="ODS1143" s="17"/>
      <c r="ODT1143" s="17"/>
      <c r="ODU1143" s="17"/>
      <c r="ODV1143" s="17"/>
      <c r="ODW1143" s="17"/>
      <c r="ODX1143" s="17"/>
      <c r="ODY1143" s="17"/>
      <c r="ODZ1143" s="17"/>
      <c r="OEA1143" s="17"/>
      <c r="OEB1143" s="17"/>
      <c r="OEC1143" s="17"/>
      <c r="OED1143" s="17"/>
      <c r="OEE1143" s="17"/>
      <c r="OEF1143" s="17"/>
      <c r="OEG1143" s="17"/>
      <c r="OEH1143" s="17"/>
      <c r="OEI1143" s="17"/>
      <c r="OEJ1143" s="17"/>
      <c r="OEK1143" s="17"/>
      <c r="OEL1143" s="17"/>
      <c r="OEM1143" s="17"/>
      <c r="OEN1143" s="17"/>
      <c r="OEO1143" s="17"/>
      <c r="OEP1143" s="17"/>
      <c r="OEQ1143" s="17"/>
      <c r="OER1143" s="17"/>
      <c r="OES1143" s="17"/>
      <c r="OET1143" s="17"/>
      <c r="OEU1143" s="17"/>
      <c r="OEV1143" s="17"/>
      <c r="OEW1143" s="17"/>
      <c r="OEX1143" s="17"/>
      <c r="OEY1143" s="17"/>
      <c r="OEZ1143" s="17"/>
      <c r="OFA1143" s="17"/>
      <c r="OFB1143" s="17"/>
      <c r="OFC1143" s="17"/>
      <c r="OFD1143" s="17"/>
      <c r="OFE1143" s="17"/>
      <c r="OFF1143" s="17"/>
      <c r="OFG1143" s="17"/>
      <c r="OFH1143" s="17"/>
      <c r="OFI1143" s="17"/>
      <c r="OFJ1143" s="17"/>
      <c r="OFK1143" s="17"/>
      <c r="OFL1143" s="17"/>
      <c r="OFM1143" s="17"/>
      <c r="OFN1143" s="17"/>
      <c r="OFO1143" s="17"/>
      <c r="OFP1143" s="17"/>
      <c r="OFQ1143" s="17"/>
      <c r="OFR1143" s="17"/>
      <c r="OFS1143" s="17"/>
      <c r="OFT1143" s="17"/>
      <c r="OFU1143" s="17"/>
      <c r="OFV1143" s="17"/>
      <c r="OFW1143" s="17"/>
      <c r="OFX1143" s="17"/>
      <c r="OFY1143" s="17"/>
      <c r="OFZ1143" s="17"/>
      <c r="OGA1143" s="17"/>
      <c r="OGB1143" s="17"/>
      <c r="OGC1143" s="17"/>
      <c r="OGD1143" s="17"/>
      <c r="OGE1143" s="17"/>
      <c r="OGF1143" s="17"/>
      <c r="OGG1143" s="17"/>
      <c r="OGH1143" s="17"/>
      <c r="OGI1143" s="17"/>
      <c r="OGJ1143" s="17"/>
      <c r="OGK1143" s="17"/>
      <c r="OGL1143" s="17"/>
      <c r="OGM1143" s="17"/>
      <c r="OGN1143" s="17"/>
      <c r="OGO1143" s="17"/>
      <c r="OGP1143" s="17"/>
      <c r="OGQ1143" s="17"/>
      <c r="OGR1143" s="17"/>
      <c r="OGS1143" s="17"/>
      <c r="OGT1143" s="17"/>
      <c r="OGU1143" s="17"/>
      <c r="OGV1143" s="17"/>
      <c r="OGW1143" s="17"/>
      <c r="OGX1143" s="17"/>
      <c r="OGY1143" s="17"/>
      <c r="OGZ1143" s="17"/>
      <c r="OHA1143" s="17"/>
      <c r="OHB1143" s="17"/>
      <c r="OHC1143" s="17"/>
      <c r="OHD1143" s="17"/>
      <c r="OHE1143" s="17"/>
      <c r="OHF1143" s="17"/>
      <c r="OHG1143" s="17"/>
      <c r="OHH1143" s="17"/>
      <c r="OHI1143" s="17"/>
      <c r="OHJ1143" s="17"/>
      <c r="OHK1143" s="17"/>
      <c r="OHL1143" s="17"/>
      <c r="OHM1143" s="17"/>
      <c r="OHN1143" s="17"/>
      <c r="OHO1143" s="17"/>
      <c r="OHP1143" s="17"/>
      <c r="OHQ1143" s="17"/>
      <c r="OHR1143" s="17"/>
      <c r="OHS1143" s="17"/>
      <c r="OHT1143" s="17"/>
      <c r="OHU1143" s="17"/>
      <c r="OHV1143" s="17"/>
      <c r="OHW1143" s="17"/>
      <c r="OHX1143" s="17"/>
      <c r="OHY1143" s="17"/>
      <c r="OHZ1143" s="17"/>
      <c r="OIA1143" s="17"/>
      <c r="OIB1143" s="17"/>
      <c r="OIC1143" s="17"/>
      <c r="OID1143" s="17"/>
      <c r="OIE1143" s="17"/>
      <c r="OIF1143" s="17"/>
      <c r="OIG1143" s="17"/>
      <c r="OIH1143" s="17"/>
      <c r="OII1143" s="17"/>
      <c r="OIJ1143" s="17"/>
      <c r="OIK1143" s="17"/>
      <c r="OIL1143" s="17"/>
      <c r="OIM1143" s="17"/>
      <c r="OIN1143" s="17"/>
      <c r="OIO1143" s="17"/>
      <c r="OIP1143" s="17"/>
      <c r="OIQ1143" s="17"/>
      <c r="OIR1143" s="17"/>
      <c r="OIS1143" s="17"/>
      <c r="OIT1143" s="17"/>
      <c r="OIU1143" s="17"/>
      <c r="OIV1143" s="17"/>
      <c r="OIW1143" s="17"/>
      <c r="OIX1143" s="17"/>
      <c r="OIY1143" s="17"/>
      <c r="OIZ1143" s="17"/>
      <c r="OJA1143" s="17"/>
      <c r="OJB1143" s="17"/>
      <c r="OJC1143" s="17"/>
      <c r="OJD1143" s="17"/>
      <c r="OJE1143" s="17"/>
      <c r="OJF1143" s="17"/>
      <c r="OJG1143" s="17"/>
      <c r="OJH1143" s="17"/>
      <c r="OJI1143" s="17"/>
      <c r="OJJ1143" s="17"/>
      <c r="OJK1143" s="17"/>
      <c r="OJL1143" s="17"/>
      <c r="OJM1143" s="17"/>
      <c r="OJN1143" s="17"/>
      <c r="OJO1143" s="17"/>
      <c r="OJP1143" s="17"/>
      <c r="OJQ1143" s="17"/>
      <c r="OJR1143" s="17"/>
      <c r="OJS1143" s="17"/>
      <c r="OJT1143" s="17"/>
      <c r="OJU1143" s="17"/>
      <c r="OJV1143" s="17"/>
      <c r="OJW1143" s="17"/>
      <c r="OJX1143" s="17"/>
      <c r="OJY1143" s="17"/>
      <c r="OJZ1143" s="17"/>
      <c r="OKA1143" s="17"/>
      <c r="OKB1143" s="17"/>
      <c r="OKC1143" s="17"/>
      <c r="OKD1143" s="17"/>
      <c r="OKE1143" s="17"/>
      <c r="OKF1143" s="17"/>
      <c r="OKG1143" s="17"/>
      <c r="OKH1143" s="17"/>
      <c r="OKI1143" s="17"/>
      <c r="OKJ1143" s="17"/>
      <c r="OKK1143" s="17"/>
      <c r="OKL1143" s="17"/>
      <c r="OKM1143" s="17"/>
      <c r="OKN1143" s="17"/>
      <c r="OKO1143" s="17"/>
      <c r="OKP1143" s="17"/>
      <c r="OKQ1143" s="17"/>
      <c r="OKR1143" s="17"/>
      <c r="OKS1143" s="17"/>
      <c r="OKT1143" s="17"/>
      <c r="OKU1143" s="17"/>
      <c r="OKV1143" s="17"/>
      <c r="OKW1143" s="17"/>
      <c r="OKX1143" s="17"/>
      <c r="OKY1143" s="17"/>
      <c r="OKZ1143" s="17"/>
      <c r="OLA1143" s="17"/>
      <c r="OLB1143" s="17"/>
      <c r="OLC1143" s="17"/>
      <c r="OLD1143" s="17"/>
      <c r="OLE1143" s="17"/>
      <c r="OLF1143" s="17"/>
      <c r="OLG1143" s="17"/>
      <c r="OLH1143" s="17"/>
      <c r="OLI1143" s="17"/>
      <c r="OLJ1143" s="17"/>
      <c r="OLK1143" s="17"/>
      <c r="OLL1143" s="17"/>
      <c r="OLM1143" s="17"/>
      <c r="OLN1143" s="17"/>
      <c r="OLO1143" s="17"/>
      <c r="OLP1143" s="17"/>
      <c r="OLQ1143" s="17"/>
      <c r="OLR1143" s="17"/>
      <c r="OLS1143" s="17"/>
      <c r="OLT1143" s="17"/>
      <c r="OLU1143" s="17"/>
      <c r="OLV1143" s="17"/>
      <c r="OLW1143" s="17"/>
      <c r="OLX1143" s="17"/>
      <c r="OLY1143" s="17"/>
      <c r="OLZ1143" s="17"/>
      <c r="OMA1143" s="17"/>
      <c r="OMB1143" s="17"/>
      <c r="OMC1143" s="17"/>
      <c r="OMD1143" s="17"/>
      <c r="OME1143" s="17"/>
      <c r="OMF1143" s="17"/>
      <c r="OMG1143" s="17"/>
      <c r="OMH1143" s="17"/>
      <c r="OMI1143" s="17"/>
      <c r="OMJ1143" s="17"/>
      <c r="OMK1143" s="17"/>
      <c r="OML1143" s="17"/>
      <c r="OMM1143" s="17"/>
      <c r="OMN1143" s="17"/>
      <c r="OMO1143" s="17"/>
      <c r="OMP1143" s="17"/>
      <c r="OMQ1143" s="17"/>
      <c r="OMR1143" s="17"/>
      <c r="OMS1143" s="17"/>
      <c r="OMT1143" s="17"/>
      <c r="OMU1143" s="17"/>
      <c r="OMV1143" s="17"/>
      <c r="OMW1143" s="17"/>
      <c r="OMX1143" s="17"/>
      <c r="OMY1143" s="17"/>
      <c r="OMZ1143" s="17"/>
      <c r="ONA1143" s="17"/>
      <c r="ONB1143" s="17"/>
      <c r="ONC1143" s="17"/>
      <c r="OND1143" s="17"/>
      <c r="ONE1143" s="17"/>
      <c r="ONF1143" s="17"/>
      <c r="ONG1143" s="17"/>
      <c r="ONH1143" s="17"/>
      <c r="ONI1143" s="17"/>
      <c r="ONJ1143" s="17"/>
      <c r="ONK1143" s="17"/>
      <c r="ONL1143" s="17"/>
      <c r="ONM1143" s="17"/>
      <c r="ONN1143" s="17"/>
      <c r="ONO1143" s="17"/>
      <c r="ONP1143" s="17"/>
      <c r="ONQ1143" s="17"/>
      <c r="ONR1143" s="17"/>
      <c r="ONS1143" s="17"/>
      <c r="ONT1143" s="17"/>
      <c r="ONU1143" s="17"/>
      <c r="ONV1143" s="17"/>
      <c r="ONW1143" s="17"/>
      <c r="ONX1143" s="17"/>
      <c r="ONY1143" s="17"/>
      <c r="ONZ1143" s="17"/>
      <c r="OOA1143" s="17"/>
      <c r="OOB1143" s="17"/>
      <c r="OOC1143" s="17"/>
      <c r="OOD1143" s="17"/>
      <c r="OOE1143" s="17"/>
      <c r="OOF1143" s="17"/>
      <c r="OOG1143" s="17"/>
      <c r="OOH1143" s="17"/>
      <c r="OOI1143" s="17"/>
      <c r="OOJ1143" s="17"/>
      <c r="OOK1143" s="17"/>
      <c r="OOL1143" s="17"/>
      <c r="OOM1143" s="17"/>
      <c r="OON1143" s="17"/>
      <c r="OOO1143" s="17"/>
      <c r="OOP1143" s="17"/>
      <c r="OOQ1143" s="17"/>
      <c r="OOR1143" s="17"/>
      <c r="OOS1143" s="17"/>
      <c r="OOT1143" s="17"/>
      <c r="OOU1143" s="17"/>
      <c r="OOV1143" s="17"/>
      <c r="OOW1143" s="17"/>
      <c r="OOX1143" s="17"/>
      <c r="OOY1143" s="17"/>
      <c r="OOZ1143" s="17"/>
      <c r="OPA1143" s="17"/>
      <c r="OPB1143" s="17"/>
      <c r="OPC1143" s="17"/>
      <c r="OPD1143" s="17"/>
      <c r="OPE1143" s="17"/>
      <c r="OPF1143" s="17"/>
      <c r="OPG1143" s="17"/>
      <c r="OPH1143" s="17"/>
      <c r="OPI1143" s="17"/>
      <c r="OPJ1143" s="17"/>
      <c r="OPK1143" s="17"/>
      <c r="OPL1143" s="17"/>
      <c r="OPM1143" s="17"/>
      <c r="OPN1143" s="17"/>
      <c r="OPO1143" s="17"/>
      <c r="OPP1143" s="17"/>
      <c r="OPQ1143" s="17"/>
      <c r="OPR1143" s="17"/>
      <c r="OPS1143" s="17"/>
      <c r="OPT1143" s="17"/>
      <c r="OPU1143" s="17"/>
      <c r="OPV1143" s="17"/>
      <c r="OPW1143" s="17"/>
      <c r="OPX1143" s="17"/>
      <c r="OPY1143" s="17"/>
      <c r="OPZ1143" s="17"/>
      <c r="OQA1143" s="17"/>
      <c r="OQB1143" s="17"/>
      <c r="OQC1143" s="17"/>
      <c r="OQD1143" s="17"/>
      <c r="OQE1143" s="17"/>
      <c r="OQF1143" s="17"/>
      <c r="OQG1143" s="17"/>
      <c r="OQH1143" s="17"/>
      <c r="OQI1143" s="17"/>
      <c r="OQJ1143" s="17"/>
      <c r="OQK1143" s="17"/>
      <c r="OQL1143" s="17"/>
      <c r="OQM1143" s="17"/>
      <c r="OQN1143" s="17"/>
      <c r="OQO1143" s="17"/>
      <c r="OQP1143" s="17"/>
      <c r="OQQ1143" s="17"/>
      <c r="OQR1143" s="17"/>
      <c r="OQS1143" s="17"/>
      <c r="OQT1143" s="17"/>
      <c r="OQU1143" s="17"/>
      <c r="OQV1143" s="17"/>
      <c r="OQW1143" s="17"/>
      <c r="OQX1143" s="17"/>
      <c r="OQY1143" s="17"/>
      <c r="OQZ1143" s="17"/>
      <c r="ORA1143" s="17"/>
      <c r="ORB1143" s="17"/>
      <c r="ORC1143" s="17"/>
      <c r="ORD1143" s="17"/>
      <c r="ORE1143" s="17"/>
      <c r="ORF1143" s="17"/>
      <c r="ORG1143" s="17"/>
      <c r="ORH1143" s="17"/>
      <c r="ORI1143" s="17"/>
      <c r="ORJ1143" s="17"/>
      <c r="ORK1143" s="17"/>
      <c r="ORL1143" s="17"/>
      <c r="ORM1143" s="17"/>
      <c r="ORN1143" s="17"/>
      <c r="ORO1143" s="17"/>
      <c r="ORP1143" s="17"/>
      <c r="ORQ1143" s="17"/>
      <c r="ORR1143" s="17"/>
      <c r="ORS1143" s="17"/>
      <c r="ORT1143" s="17"/>
      <c r="ORU1143" s="17"/>
      <c r="ORV1143" s="17"/>
      <c r="ORW1143" s="17"/>
      <c r="ORX1143" s="17"/>
      <c r="ORY1143" s="17"/>
      <c r="ORZ1143" s="17"/>
      <c r="OSA1143" s="17"/>
      <c r="OSB1143" s="17"/>
      <c r="OSC1143" s="17"/>
      <c r="OSD1143" s="17"/>
      <c r="OSE1143" s="17"/>
      <c r="OSF1143" s="17"/>
      <c r="OSG1143" s="17"/>
      <c r="OSH1143" s="17"/>
      <c r="OSI1143" s="17"/>
      <c r="OSJ1143" s="17"/>
      <c r="OSK1143" s="17"/>
      <c r="OSL1143" s="17"/>
      <c r="OSM1143" s="17"/>
      <c r="OSN1143" s="17"/>
      <c r="OSO1143" s="17"/>
      <c r="OSP1143" s="17"/>
      <c r="OSQ1143" s="17"/>
      <c r="OSR1143" s="17"/>
      <c r="OSS1143" s="17"/>
      <c r="OST1143" s="17"/>
      <c r="OSU1143" s="17"/>
      <c r="OSV1143" s="17"/>
      <c r="OSW1143" s="17"/>
      <c r="OSX1143" s="17"/>
      <c r="OSY1143" s="17"/>
      <c r="OSZ1143" s="17"/>
      <c r="OTA1143" s="17"/>
      <c r="OTB1143" s="17"/>
      <c r="OTC1143" s="17"/>
      <c r="OTD1143" s="17"/>
      <c r="OTE1143" s="17"/>
      <c r="OTF1143" s="17"/>
      <c r="OTG1143" s="17"/>
      <c r="OTH1143" s="17"/>
      <c r="OTI1143" s="17"/>
      <c r="OTJ1143" s="17"/>
      <c r="OTK1143" s="17"/>
      <c r="OTL1143" s="17"/>
      <c r="OTM1143" s="17"/>
      <c r="OTN1143" s="17"/>
      <c r="OTO1143" s="17"/>
      <c r="OTP1143" s="17"/>
      <c r="OTQ1143" s="17"/>
      <c r="OTR1143" s="17"/>
      <c r="OTS1143" s="17"/>
      <c r="OTT1143" s="17"/>
      <c r="OTU1143" s="17"/>
      <c r="OTV1143" s="17"/>
      <c r="OTW1143" s="17"/>
      <c r="OTX1143" s="17"/>
      <c r="OTY1143" s="17"/>
      <c r="OTZ1143" s="17"/>
      <c r="OUA1143" s="17"/>
      <c r="OUB1143" s="17"/>
      <c r="OUC1143" s="17"/>
      <c r="OUD1143" s="17"/>
      <c r="OUE1143" s="17"/>
      <c r="OUF1143" s="17"/>
      <c r="OUG1143" s="17"/>
      <c r="OUH1143" s="17"/>
      <c r="OUI1143" s="17"/>
      <c r="OUJ1143" s="17"/>
      <c r="OUK1143" s="17"/>
      <c r="OUL1143" s="17"/>
      <c r="OUM1143" s="17"/>
      <c r="OUN1143" s="17"/>
      <c r="OUO1143" s="17"/>
      <c r="OUP1143" s="17"/>
      <c r="OUQ1143" s="17"/>
      <c r="OUR1143" s="17"/>
      <c r="OUS1143" s="17"/>
      <c r="OUT1143" s="17"/>
      <c r="OUU1143" s="17"/>
      <c r="OUV1143" s="17"/>
      <c r="OUW1143" s="17"/>
      <c r="OUX1143" s="17"/>
      <c r="OUY1143" s="17"/>
      <c r="OUZ1143" s="17"/>
      <c r="OVA1143" s="17"/>
      <c r="OVB1143" s="17"/>
      <c r="OVC1143" s="17"/>
      <c r="OVD1143" s="17"/>
      <c r="OVE1143" s="17"/>
      <c r="OVF1143" s="17"/>
      <c r="OVG1143" s="17"/>
      <c r="OVH1143" s="17"/>
      <c r="OVI1143" s="17"/>
      <c r="OVJ1143" s="17"/>
      <c r="OVK1143" s="17"/>
      <c r="OVL1143" s="17"/>
      <c r="OVM1143" s="17"/>
      <c r="OVN1143" s="17"/>
      <c r="OVO1143" s="17"/>
      <c r="OVP1143" s="17"/>
      <c r="OVQ1143" s="17"/>
      <c r="OVR1143" s="17"/>
      <c r="OVS1143" s="17"/>
      <c r="OVT1143" s="17"/>
      <c r="OVU1143" s="17"/>
      <c r="OVV1143" s="17"/>
      <c r="OVW1143" s="17"/>
      <c r="OVX1143" s="17"/>
      <c r="OVY1143" s="17"/>
      <c r="OVZ1143" s="17"/>
      <c r="OWA1143" s="17"/>
      <c r="OWB1143" s="17"/>
      <c r="OWC1143" s="17"/>
      <c r="OWD1143" s="17"/>
      <c r="OWE1143" s="17"/>
      <c r="OWF1143" s="17"/>
      <c r="OWG1143" s="17"/>
      <c r="OWH1143" s="17"/>
      <c r="OWI1143" s="17"/>
      <c r="OWJ1143" s="17"/>
      <c r="OWK1143" s="17"/>
      <c r="OWL1143" s="17"/>
      <c r="OWM1143" s="17"/>
      <c r="OWN1143" s="17"/>
      <c r="OWO1143" s="17"/>
      <c r="OWP1143" s="17"/>
      <c r="OWQ1143" s="17"/>
      <c r="OWR1143" s="17"/>
      <c r="OWS1143" s="17"/>
      <c r="OWT1143" s="17"/>
      <c r="OWU1143" s="17"/>
      <c r="OWV1143" s="17"/>
      <c r="OWW1143" s="17"/>
      <c r="OWX1143" s="17"/>
      <c r="OWY1143" s="17"/>
      <c r="OWZ1143" s="17"/>
      <c r="OXA1143" s="17"/>
      <c r="OXB1143" s="17"/>
      <c r="OXC1143" s="17"/>
      <c r="OXD1143" s="17"/>
      <c r="OXE1143" s="17"/>
      <c r="OXF1143" s="17"/>
      <c r="OXG1143" s="17"/>
      <c r="OXH1143" s="17"/>
      <c r="OXI1143" s="17"/>
      <c r="OXJ1143" s="17"/>
      <c r="OXK1143" s="17"/>
      <c r="OXL1143" s="17"/>
      <c r="OXM1143" s="17"/>
      <c r="OXN1143" s="17"/>
      <c r="OXO1143" s="17"/>
      <c r="OXP1143" s="17"/>
      <c r="OXQ1143" s="17"/>
      <c r="OXR1143" s="17"/>
      <c r="OXS1143" s="17"/>
      <c r="OXT1143" s="17"/>
      <c r="OXU1143" s="17"/>
      <c r="OXV1143" s="17"/>
      <c r="OXW1143" s="17"/>
      <c r="OXX1143" s="17"/>
      <c r="OXY1143" s="17"/>
      <c r="OXZ1143" s="17"/>
      <c r="OYA1143" s="17"/>
      <c r="OYB1143" s="17"/>
      <c r="OYC1143" s="17"/>
      <c r="OYD1143" s="17"/>
      <c r="OYE1143" s="17"/>
      <c r="OYF1143" s="17"/>
      <c r="OYG1143" s="17"/>
      <c r="OYH1143" s="17"/>
      <c r="OYI1143" s="17"/>
      <c r="OYJ1143" s="17"/>
      <c r="OYK1143" s="17"/>
      <c r="OYL1143" s="17"/>
      <c r="OYM1143" s="17"/>
      <c r="OYN1143" s="17"/>
      <c r="OYO1143" s="17"/>
      <c r="OYP1143" s="17"/>
      <c r="OYQ1143" s="17"/>
      <c r="OYR1143" s="17"/>
      <c r="OYS1143" s="17"/>
      <c r="OYT1143" s="17"/>
      <c r="OYU1143" s="17"/>
      <c r="OYV1143" s="17"/>
      <c r="OYW1143" s="17"/>
      <c r="OYX1143" s="17"/>
      <c r="OYY1143" s="17"/>
      <c r="OYZ1143" s="17"/>
      <c r="OZA1143" s="17"/>
      <c r="OZB1143" s="17"/>
      <c r="OZC1143" s="17"/>
      <c r="OZD1143" s="17"/>
      <c r="OZE1143" s="17"/>
      <c r="OZF1143" s="17"/>
      <c r="OZG1143" s="17"/>
      <c r="OZH1143" s="17"/>
      <c r="OZI1143" s="17"/>
      <c r="OZJ1143" s="17"/>
      <c r="OZK1143" s="17"/>
      <c r="OZL1143" s="17"/>
      <c r="OZM1143" s="17"/>
      <c r="OZN1143" s="17"/>
      <c r="OZO1143" s="17"/>
      <c r="OZP1143" s="17"/>
      <c r="OZQ1143" s="17"/>
      <c r="OZR1143" s="17"/>
      <c r="OZS1143" s="17"/>
      <c r="OZT1143" s="17"/>
      <c r="OZU1143" s="17"/>
      <c r="OZV1143" s="17"/>
      <c r="OZW1143" s="17"/>
      <c r="OZX1143" s="17"/>
      <c r="OZY1143" s="17"/>
      <c r="OZZ1143" s="17"/>
      <c r="PAA1143" s="17"/>
      <c r="PAB1143" s="17"/>
      <c r="PAC1143" s="17"/>
      <c r="PAD1143" s="17"/>
      <c r="PAE1143" s="17"/>
      <c r="PAF1143" s="17"/>
      <c r="PAG1143" s="17"/>
      <c r="PAH1143" s="17"/>
      <c r="PAI1143" s="17"/>
      <c r="PAJ1143" s="17"/>
      <c r="PAK1143" s="17"/>
      <c r="PAL1143" s="17"/>
      <c r="PAM1143" s="17"/>
      <c r="PAN1143" s="17"/>
      <c r="PAO1143" s="17"/>
      <c r="PAP1143" s="17"/>
      <c r="PAQ1143" s="17"/>
      <c r="PAR1143" s="17"/>
      <c r="PAS1143" s="17"/>
      <c r="PAT1143" s="17"/>
      <c r="PAU1143" s="17"/>
      <c r="PAV1143" s="17"/>
      <c r="PAW1143" s="17"/>
      <c r="PAX1143" s="17"/>
      <c r="PAY1143" s="17"/>
      <c r="PAZ1143" s="17"/>
      <c r="PBA1143" s="17"/>
      <c r="PBB1143" s="17"/>
      <c r="PBC1143" s="17"/>
      <c r="PBD1143" s="17"/>
      <c r="PBE1143" s="17"/>
      <c r="PBF1143" s="17"/>
      <c r="PBG1143" s="17"/>
      <c r="PBH1143" s="17"/>
      <c r="PBI1143" s="17"/>
      <c r="PBJ1143" s="17"/>
      <c r="PBK1143" s="17"/>
      <c r="PBL1143" s="17"/>
      <c r="PBM1143" s="17"/>
      <c r="PBN1143" s="17"/>
      <c r="PBO1143" s="17"/>
      <c r="PBP1143" s="17"/>
      <c r="PBQ1143" s="17"/>
      <c r="PBR1143" s="17"/>
      <c r="PBS1143" s="17"/>
      <c r="PBT1143" s="17"/>
      <c r="PBU1143" s="17"/>
      <c r="PBV1143" s="17"/>
      <c r="PBW1143" s="17"/>
      <c r="PBX1143" s="17"/>
      <c r="PBY1143" s="17"/>
      <c r="PBZ1143" s="17"/>
      <c r="PCA1143" s="17"/>
      <c r="PCB1143" s="17"/>
      <c r="PCC1143" s="17"/>
      <c r="PCD1143" s="17"/>
      <c r="PCE1143" s="17"/>
      <c r="PCF1143" s="17"/>
      <c r="PCG1143" s="17"/>
      <c r="PCH1143" s="17"/>
      <c r="PCI1143" s="17"/>
      <c r="PCJ1143" s="17"/>
      <c r="PCK1143" s="17"/>
      <c r="PCL1143" s="17"/>
      <c r="PCM1143" s="17"/>
      <c r="PCN1143" s="17"/>
      <c r="PCO1143" s="17"/>
      <c r="PCP1143" s="17"/>
      <c r="PCQ1143" s="17"/>
      <c r="PCR1143" s="17"/>
      <c r="PCS1143" s="17"/>
      <c r="PCT1143" s="17"/>
      <c r="PCU1143" s="17"/>
      <c r="PCV1143" s="17"/>
      <c r="PCW1143" s="17"/>
      <c r="PCX1143" s="17"/>
      <c r="PCY1143" s="17"/>
      <c r="PCZ1143" s="17"/>
      <c r="PDA1143" s="17"/>
      <c r="PDB1143" s="17"/>
      <c r="PDC1143" s="17"/>
      <c r="PDD1143" s="17"/>
      <c r="PDE1143" s="17"/>
      <c r="PDF1143" s="17"/>
      <c r="PDG1143" s="17"/>
      <c r="PDH1143" s="17"/>
      <c r="PDI1143" s="17"/>
      <c r="PDJ1143" s="17"/>
      <c r="PDK1143" s="17"/>
      <c r="PDL1143" s="17"/>
      <c r="PDM1143" s="17"/>
      <c r="PDN1143" s="17"/>
      <c r="PDO1143" s="17"/>
      <c r="PDP1143" s="17"/>
      <c r="PDQ1143" s="17"/>
      <c r="PDR1143" s="17"/>
      <c r="PDS1143" s="17"/>
      <c r="PDT1143" s="17"/>
      <c r="PDU1143" s="17"/>
      <c r="PDV1143" s="17"/>
      <c r="PDW1143" s="17"/>
      <c r="PDX1143" s="17"/>
      <c r="PDY1143" s="17"/>
      <c r="PDZ1143" s="17"/>
      <c r="PEA1143" s="17"/>
      <c r="PEB1143" s="17"/>
      <c r="PEC1143" s="17"/>
      <c r="PED1143" s="17"/>
      <c r="PEE1143" s="17"/>
      <c r="PEF1143" s="17"/>
      <c r="PEG1143" s="17"/>
      <c r="PEH1143" s="17"/>
      <c r="PEI1143" s="17"/>
      <c r="PEJ1143" s="17"/>
      <c r="PEK1143" s="17"/>
      <c r="PEL1143" s="17"/>
      <c r="PEM1143" s="17"/>
      <c r="PEN1143" s="17"/>
      <c r="PEO1143" s="17"/>
      <c r="PEP1143" s="17"/>
      <c r="PEQ1143" s="17"/>
      <c r="PER1143" s="17"/>
      <c r="PES1143" s="17"/>
      <c r="PET1143" s="17"/>
      <c r="PEU1143" s="17"/>
      <c r="PEV1143" s="17"/>
      <c r="PEW1143" s="17"/>
      <c r="PEX1143" s="17"/>
      <c r="PEY1143" s="17"/>
      <c r="PEZ1143" s="17"/>
      <c r="PFA1143" s="17"/>
      <c r="PFB1143" s="17"/>
      <c r="PFC1143" s="17"/>
      <c r="PFD1143" s="17"/>
      <c r="PFE1143" s="17"/>
      <c r="PFF1143" s="17"/>
      <c r="PFG1143" s="17"/>
      <c r="PFH1143" s="17"/>
      <c r="PFI1143" s="17"/>
      <c r="PFJ1143" s="17"/>
      <c r="PFK1143" s="17"/>
      <c r="PFL1143" s="17"/>
      <c r="PFM1143" s="17"/>
      <c r="PFN1143" s="17"/>
      <c r="PFO1143" s="17"/>
      <c r="PFP1143" s="17"/>
      <c r="PFQ1143" s="17"/>
      <c r="PFR1143" s="17"/>
      <c r="PFS1143" s="17"/>
      <c r="PFT1143" s="17"/>
      <c r="PFU1143" s="17"/>
      <c r="PFV1143" s="17"/>
      <c r="PFW1143" s="17"/>
      <c r="PFX1143" s="17"/>
      <c r="PFY1143" s="17"/>
      <c r="PFZ1143" s="17"/>
      <c r="PGA1143" s="17"/>
      <c r="PGB1143" s="17"/>
      <c r="PGC1143" s="17"/>
      <c r="PGD1143" s="17"/>
      <c r="PGE1143" s="17"/>
      <c r="PGF1143" s="17"/>
      <c r="PGG1143" s="17"/>
      <c r="PGH1143" s="17"/>
      <c r="PGI1143" s="17"/>
      <c r="PGJ1143" s="17"/>
      <c r="PGK1143" s="17"/>
      <c r="PGL1143" s="17"/>
      <c r="PGM1143" s="17"/>
      <c r="PGN1143" s="17"/>
      <c r="PGO1143" s="17"/>
      <c r="PGP1143" s="17"/>
      <c r="PGQ1143" s="17"/>
      <c r="PGR1143" s="17"/>
      <c r="PGS1143" s="17"/>
      <c r="PGT1143" s="17"/>
      <c r="PGU1143" s="17"/>
      <c r="PGV1143" s="17"/>
      <c r="PGW1143" s="17"/>
      <c r="PGX1143" s="17"/>
      <c r="PGY1143" s="17"/>
      <c r="PGZ1143" s="17"/>
      <c r="PHA1143" s="17"/>
      <c r="PHB1143" s="17"/>
      <c r="PHC1143" s="17"/>
      <c r="PHD1143" s="17"/>
      <c r="PHE1143" s="17"/>
      <c r="PHF1143" s="17"/>
      <c r="PHG1143" s="17"/>
      <c r="PHH1143" s="17"/>
      <c r="PHI1143" s="17"/>
      <c r="PHJ1143" s="17"/>
      <c r="PHK1143" s="17"/>
      <c r="PHL1143" s="17"/>
      <c r="PHM1143" s="17"/>
      <c r="PHN1143" s="17"/>
      <c r="PHO1143" s="17"/>
      <c r="PHP1143" s="17"/>
      <c r="PHQ1143" s="17"/>
      <c r="PHR1143" s="17"/>
      <c r="PHS1143" s="17"/>
      <c r="PHT1143" s="17"/>
      <c r="PHU1143" s="17"/>
      <c r="PHV1143" s="17"/>
      <c r="PHW1143" s="17"/>
      <c r="PHX1143" s="17"/>
      <c r="PHY1143" s="17"/>
      <c r="PHZ1143" s="17"/>
      <c r="PIA1143" s="17"/>
      <c r="PIB1143" s="17"/>
      <c r="PIC1143" s="17"/>
      <c r="PID1143" s="17"/>
      <c r="PIE1143" s="17"/>
      <c r="PIF1143" s="17"/>
      <c r="PIG1143" s="17"/>
      <c r="PIH1143" s="17"/>
      <c r="PII1143" s="17"/>
      <c r="PIJ1143" s="17"/>
      <c r="PIK1143" s="17"/>
      <c r="PIL1143" s="17"/>
      <c r="PIM1143" s="17"/>
      <c r="PIN1143" s="17"/>
      <c r="PIO1143" s="17"/>
      <c r="PIP1143" s="17"/>
      <c r="PIQ1143" s="17"/>
      <c r="PIR1143" s="17"/>
      <c r="PIS1143" s="17"/>
      <c r="PIT1143" s="17"/>
      <c r="PIU1143" s="17"/>
      <c r="PIV1143" s="17"/>
      <c r="PIW1143" s="17"/>
      <c r="PIX1143" s="17"/>
      <c r="PIY1143" s="17"/>
      <c r="PIZ1143" s="17"/>
      <c r="PJA1143" s="17"/>
      <c r="PJB1143" s="17"/>
      <c r="PJC1143" s="17"/>
      <c r="PJD1143" s="17"/>
      <c r="PJE1143" s="17"/>
      <c r="PJF1143" s="17"/>
      <c r="PJG1143" s="17"/>
      <c r="PJH1143" s="17"/>
      <c r="PJI1143" s="17"/>
      <c r="PJJ1143" s="17"/>
      <c r="PJK1143" s="17"/>
      <c r="PJL1143" s="17"/>
      <c r="PJM1143" s="17"/>
      <c r="PJN1143" s="17"/>
      <c r="PJO1143" s="17"/>
      <c r="PJP1143" s="17"/>
      <c r="PJQ1143" s="17"/>
      <c r="PJR1143" s="17"/>
      <c r="PJS1143" s="17"/>
      <c r="PJT1143" s="17"/>
      <c r="PJU1143" s="17"/>
      <c r="PJV1143" s="17"/>
      <c r="PJW1143" s="17"/>
      <c r="PJX1143" s="17"/>
      <c r="PJY1143" s="17"/>
      <c r="PJZ1143" s="17"/>
      <c r="PKA1143" s="17"/>
      <c r="PKB1143" s="17"/>
      <c r="PKC1143" s="17"/>
      <c r="PKD1143" s="17"/>
      <c r="PKE1143" s="17"/>
      <c r="PKF1143" s="17"/>
      <c r="PKG1143" s="17"/>
      <c r="PKH1143" s="17"/>
      <c r="PKI1143" s="17"/>
      <c r="PKJ1143" s="17"/>
      <c r="PKK1143" s="17"/>
      <c r="PKL1143" s="17"/>
      <c r="PKM1143" s="17"/>
      <c r="PKN1143" s="17"/>
      <c r="PKO1143" s="17"/>
      <c r="PKP1143" s="17"/>
      <c r="PKQ1143" s="17"/>
      <c r="PKR1143" s="17"/>
      <c r="PKS1143" s="17"/>
      <c r="PKT1143" s="17"/>
      <c r="PKU1143" s="17"/>
      <c r="PKV1143" s="17"/>
      <c r="PKW1143" s="17"/>
      <c r="PKX1143" s="17"/>
      <c r="PKY1143" s="17"/>
      <c r="PKZ1143" s="17"/>
      <c r="PLA1143" s="17"/>
      <c r="PLB1143" s="17"/>
      <c r="PLC1143" s="17"/>
      <c r="PLD1143" s="17"/>
      <c r="PLE1143" s="17"/>
      <c r="PLF1143" s="17"/>
      <c r="PLG1143" s="17"/>
      <c r="PLH1143" s="17"/>
      <c r="PLI1143" s="17"/>
      <c r="PLJ1143" s="17"/>
      <c r="PLK1143" s="17"/>
      <c r="PLL1143" s="17"/>
      <c r="PLM1143" s="17"/>
      <c r="PLN1143" s="17"/>
      <c r="PLO1143" s="17"/>
      <c r="PLP1143" s="17"/>
      <c r="PLQ1143" s="17"/>
      <c r="PLR1143" s="17"/>
      <c r="PLS1143" s="17"/>
      <c r="PLT1143" s="17"/>
      <c r="PLU1143" s="17"/>
      <c r="PLV1143" s="17"/>
      <c r="PLW1143" s="17"/>
      <c r="PLX1143" s="17"/>
      <c r="PLY1143" s="17"/>
      <c r="PLZ1143" s="17"/>
      <c r="PMA1143" s="17"/>
      <c r="PMB1143" s="17"/>
      <c r="PMC1143" s="17"/>
      <c r="PMD1143" s="17"/>
      <c r="PME1143" s="17"/>
      <c r="PMF1143" s="17"/>
      <c r="PMG1143" s="17"/>
      <c r="PMH1143" s="17"/>
      <c r="PMI1143" s="17"/>
      <c r="PMJ1143" s="17"/>
      <c r="PMK1143" s="17"/>
      <c r="PML1143" s="17"/>
      <c r="PMM1143" s="17"/>
      <c r="PMN1143" s="17"/>
      <c r="PMO1143" s="17"/>
      <c r="PMP1143" s="17"/>
      <c r="PMQ1143" s="17"/>
      <c r="PMR1143" s="17"/>
      <c r="PMS1143" s="17"/>
      <c r="PMT1143" s="17"/>
      <c r="PMU1143" s="17"/>
      <c r="PMV1143" s="17"/>
      <c r="PMW1143" s="17"/>
      <c r="PMX1143" s="17"/>
      <c r="PMY1143" s="17"/>
      <c r="PMZ1143" s="17"/>
      <c r="PNA1143" s="17"/>
      <c r="PNB1143" s="17"/>
      <c r="PNC1143" s="17"/>
      <c r="PND1143" s="17"/>
      <c r="PNE1143" s="17"/>
      <c r="PNF1143" s="17"/>
      <c r="PNG1143" s="17"/>
      <c r="PNH1143" s="17"/>
      <c r="PNI1143" s="17"/>
      <c r="PNJ1143" s="17"/>
      <c r="PNK1143" s="17"/>
      <c r="PNL1143" s="17"/>
      <c r="PNM1143" s="17"/>
      <c r="PNN1143" s="17"/>
      <c r="PNO1143" s="17"/>
      <c r="PNP1143" s="17"/>
      <c r="PNQ1143" s="17"/>
      <c r="PNR1143" s="17"/>
      <c r="PNS1143" s="17"/>
      <c r="PNT1143" s="17"/>
      <c r="PNU1143" s="17"/>
      <c r="PNV1143" s="17"/>
      <c r="PNW1143" s="17"/>
      <c r="PNX1143" s="17"/>
      <c r="PNY1143" s="17"/>
      <c r="PNZ1143" s="17"/>
      <c r="POA1143" s="17"/>
      <c r="POB1143" s="17"/>
      <c r="POC1143" s="17"/>
      <c r="POD1143" s="17"/>
      <c r="POE1143" s="17"/>
      <c r="POF1143" s="17"/>
      <c r="POG1143" s="17"/>
      <c r="POH1143" s="17"/>
      <c r="POI1143" s="17"/>
      <c r="POJ1143" s="17"/>
      <c r="POK1143" s="17"/>
      <c r="POL1143" s="17"/>
      <c r="POM1143" s="17"/>
      <c r="PON1143" s="17"/>
      <c r="POO1143" s="17"/>
      <c r="POP1143" s="17"/>
      <c r="POQ1143" s="17"/>
      <c r="POR1143" s="17"/>
      <c r="POS1143" s="17"/>
      <c r="POT1143" s="17"/>
      <c r="POU1143" s="17"/>
      <c r="POV1143" s="17"/>
      <c r="POW1143" s="17"/>
      <c r="POX1143" s="17"/>
      <c r="POY1143" s="17"/>
      <c r="POZ1143" s="17"/>
      <c r="PPA1143" s="17"/>
      <c r="PPB1143" s="17"/>
      <c r="PPC1143" s="17"/>
      <c r="PPD1143" s="17"/>
      <c r="PPE1143" s="17"/>
      <c r="PPF1143" s="17"/>
      <c r="PPG1143" s="17"/>
      <c r="PPH1143" s="17"/>
      <c r="PPI1143" s="17"/>
      <c r="PPJ1143" s="17"/>
      <c r="PPK1143" s="17"/>
      <c r="PPL1143" s="17"/>
      <c r="PPM1143" s="17"/>
      <c r="PPN1143" s="17"/>
      <c r="PPO1143" s="17"/>
      <c r="PPP1143" s="17"/>
      <c r="PPQ1143" s="17"/>
      <c r="PPR1143" s="17"/>
      <c r="PPS1143" s="17"/>
      <c r="PPT1143" s="17"/>
      <c r="PPU1143" s="17"/>
      <c r="PPV1143" s="17"/>
      <c r="PPW1143" s="17"/>
      <c r="PPX1143" s="17"/>
      <c r="PPY1143" s="17"/>
      <c r="PPZ1143" s="17"/>
      <c r="PQA1143" s="17"/>
      <c r="PQB1143" s="17"/>
      <c r="PQC1143" s="17"/>
      <c r="PQD1143" s="17"/>
      <c r="PQE1143" s="17"/>
      <c r="PQF1143" s="17"/>
      <c r="PQG1143" s="17"/>
      <c r="PQH1143" s="17"/>
      <c r="PQI1143" s="17"/>
      <c r="PQJ1143" s="17"/>
      <c r="PQK1143" s="17"/>
      <c r="PQL1143" s="17"/>
      <c r="PQM1143" s="17"/>
      <c r="PQN1143" s="17"/>
      <c r="PQO1143" s="17"/>
      <c r="PQP1143" s="17"/>
      <c r="PQQ1143" s="17"/>
      <c r="PQR1143" s="17"/>
      <c r="PQS1143" s="17"/>
      <c r="PQT1143" s="17"/>
      <c r="PQU1143" s="17"/>
      <c r="PQV1143" s="17"/>
      <c r="PQW1143" s="17"/>
      <c r="PQX1143" s="17"/>
      <c r="PQY1143" s="17"/>
      <c r="PQZ1143" s="17"/>
      <c r="PRA1143" s="17"/>
      <c r="PRB1143" s="17"/>
      <c r="PRC1143" s="17"/>
      <c r="PRD1143" s="17"/>
      <c r="PRE1143" s="17"/>
      <c r="PRF1143" s="17"/>
      <c r="PRG1143" s="17"/>
      <c r="PRH1143" s="17"/>
      <c r="PRI1143" s="17"/>
      <c r="PRJ1143" s="17"/>
      <c r="PRK1143" s="17"/>
      <c r="PRL1143" s="17"/>
      <c r="PRM1143" s="17"/>
      <c r="PRN1143" s="17"/>
      <c r="PRO1143" s="17"/>
      <c r="PRP1143" s="17"/>
      <c r="PRQ1143" s="17"/>
      <c r="PRR1143" s="17"/>
      <c r="PRS1143" s="17"/>
      <c r="PRT1143" s="17"/>
      <c r="PRU1143" s="17"/>
      <c r="PRV1143" s="17"/>
      <c r="PRW1143" s="17"/>
      <c r="PRX1143" s="17"/>
      <c r="PRY1143" s="17"/>
      <c r="PRZ1143" s="17"/>
      <c r="PSA1143" s="17"/>
      <c r="PSB1143" s="17"/>
      <c r="PSC1143" s="17"/>
      <c r="PSD1143" s="17"/>
      <c r="PSE1143" s="17"/>
      <c r="PSF1143" s="17"/>
      <c r="PSG1143" s="17"/>
      <c r="PSH1143" s="17"/>
      <c r="PSI1143" s="17"/>
      <c r="PSJ1143" s="17"/>
      <c r="PSK1143" s="17"/>
      <c r="PSL1143" s="17"/>
      <c r="PSM1143" s="17"/>
      <c r="PSN1143" s="17"/>
      <c r="PSO1143" s="17"/>
      <c r="PSP1143" s="17"/>
      <c r="PSQ1143" s="17"/>
      <c r="PSR1143" s="17"/>
      <c r="PSS1143" s="17"/>
      <c r="PST1143" s="17"/>
      <c r="PSU1143" s="17"/>
      <c r="PSV1143" s="17"/>
      <c r="PSW1143" s="17"/>
      <c r="PSX1143" s="17"/>
      <c r="PSY1143" s="17"/>
      <c r="PSZ1143" s="17"/>
      <c r="PTA1143" s="17"/>
      <c r="PTB1143" s="17"/>
      <c r="PTC1143" s="17"/>
      <c r="PTD1143" s="17"/>
      <c r="PTE1143" s="17"/>
      <c r="PTF1143" s="17"/>
      <c r="PTG1143" s="17"/>
      <c r="PTH1143" s="17"/>
      <c r="PTI1143" s="17"/>
      <c r="PTJ1143" s="17"/>
      <c r="PTK1143" s="17"/>
      <c r="PTL1143" s="17"/>
      <c r="PTM1143" s="17"/>
      <c r="PTN1143" s="17"/>
      <c r="PTO1143" s="17"/>
      <c r="PTP1143" s="17"/>
      <c r="PTQ1143" s="17"/>
      <c r="PTR1143" s="17"/>
      <c r="PTS1143" s="17"/>
      <c r="PTT1143" s="17"/>
      <c r="PTU1143" s="17"/>
      <c r="PTV1143" s="17"/>
      <c r="PTW1143" s="17"/>
      <c r="PTX1143" s="17"/>
      <c r="PTY1143" s="17"/>
      <c r="PTZ1143" s="17"/>
      <c r="PUA1143" s="17"/>
      <c r="PUB1143" s="17"/>
      <c r="PUC1143" s="17"/>
      <c r="PUD1143" s="17"/>
      <c r="PUE1143" s="17"/>
      <c r="PUF1143" s="17"/>
      <c r="PUG1143" s="17"/>
      <c r="PUH1143" s="17"/>
      <c r="PUI1143" s="17"/>
      <c r="PUJ1143" s="17"/>
      <c r="PUK1143" s="17"/>
      <c r="PUL1143" s="17"/>
      <c r="PUM1143" s="17"/>
      <c r="PUN1143" s="17"/>
      <c r="PUO1143" s="17"/>
      <c r="PUP1143" s="17"/>
      <c r="PUQ1143" s="17"/>
      <c r="PUR1143" s="17"/>
      <c r="PUS1143" s="17"/>
      <c r="PUT1143" s="17"/>
      <c r="PUU1143" s="17"/>
      <c r="PUV1143" s="17"/>
      <c r="PUW1143" s="17"/>
      <c r="PUX1143" s="17"/>
      <c r="PUY1143" s="17"/>
      <c r="PUZ1143" s="17"/>
      <c r="PVA1143" s="17"/>
      <c r="PVB1143" s="17"/>
      <c r="PVC1143" s="17"/>
      <c r="PVD1143" s="17"/>
      <c r="PVE1143" s="17"/>
      <c r="PVF1143" s="17"/>
      <c r="PVG1143" s="17"/>
      <c r="PVH1143" s="17"/>
      <c r="PVI1143" s="17"/>
      <c r="PVJ1143" s="17"/>
      <c r="PVK1143" s="17"/>
      <c r="PVL1143" s="17"/>
      <c r="PVM1143" s="17"/>
      <c r="PVN1143" s="17"/>
      <c r="PVO1143" s="17"/>
      <c r="PVP1143" s="17"/>
      <c r="PVQ1143" s="17"/>
      <c r="PVR1143" s="17"/>
      <c r="PVS1143" s="17"/>
      <c r="PVT1143" s="17"/>
      <c r="PVU1143" s="17"/>
      <c r="PVV1143" s="17"/>
      <c r="PVW1143" s="17"/>
      <c r="PVX1143" s="17"/>
      <c r="PVY1143" s="17"/>
      <c r="PVZ1143" s="17"/>
      <c r="PWA1143" s="17"/>
      <c r="PWB1143" s="17"/>
      <c r="PWC1143" s="17"/>
      <c r="PWD1143" s="17"/>
      <c r="PWE1143" s="17"/>
      <c r="PWF1143" s="17"/>
      <c r="PWG1143" s="17"/>
      <c r="PWH1143" s="17"/>
      <c r="PWI1143" s="17"/>
      <c r="PWJ1143" s="17"/>
      <c r="PWK1143" s="17"/>
      <c r="PWL1143" s="17"/>
      <c r="PWM1143" s="17"/>
      <c r="PWN1143" s="17"/>
      <c r="PWO1143" s="17"/>
      <c r="PWP1143" s="17"/>
      <c r="PWQ1143" s="17"/>
      <c r="PWR1143" s="17"/>
      <c r="PWS1143" s="17"/>
      <c r="PWT1143" s="17"/>
      <c r="PWU1143" s="17"/>
      <c r="PWV1143" s="17"/>
      <c r="PWW1143" s="17"/>
      <c r="PWX1143" s="17"/>
      <c r="PWY1143" s="17"/>
      <c r="PWZ1143" s="17"/>
      <c r="PXA1143" s="17"/>
      <c r="PXB1143" s="17"/>
      <c r="PXC1143" s="17"/>
      <c r="PXD1143" s="17"/>
      <c r="PXE1143" s="17"/>
      <c r="PXF1143" s="17"/>
      <c r="PXG1143" s="17"/>
      <c r="PXH1143" s="17"/>
      <c r="PXI1143" s="17"/>
      <c r="PXJ1143" s="17"/>
      <c r="PXK1143" s="17"/>
      <c r="PXL1143" s="17"/>
      <c r="PXM1143" s="17"/>
      <c r="PXN1143" s="17"/>
      <c r="PXO1143" s="17"/>
      <c r="PXP1143" s="17"/>
      <c r="PXQ1143" s="17"/>
      <c r="PXR1143" s="17"/>
      <c r="PXS1143" s="17"/>
      <c r="PXT1143" s="17"/>
      <c r="PXU1143" s="17"/>
      <c r="PXV1143" s="17"/>
      <c r="PXW1143" s="17"/>
      <c r="PXX1143" s="17"/>
      <c r="PXY1143" s="17"/>
      <c r="PXZ1143" s="17"/>
      <c r="PYA1143" s="17"/>
      <c r="PYB1143" s="17"/>
      <c r="PYC1143" s="17"/>
      <c r="PYD1143" s="17"/>
      <c r="PYE1143" s="17"/>
      <c r="PYF1143" s="17"/>
      <c r="PYG1143" s="17"/>
      <c r="PYH1143" s="17"/>
      <c r="PYI1143" s="17"/>
      <c r="PYJ1143" s="17"/>
      <c r="PYK1143" s="17"/>
      <c r="PYL1143" s="17"/>
      <c r="PYM1143" s="17"/>
      <c r="PYN1143" s="17"/>
      <c r="PYO1143" s="17"/>
      <c r="PYP1143" s="17"/>
      <c r="PYQ1143" s="17"/>
      <c r="PYR1143" s="17"/>
      <c r="PYS1143" s="17"/>
      <c r="PYT1143" s="17"/>
      <c r="PYU1143" s="17"/>
      <c r="PYV1143" s="17"/>
      <c r="PYW1143" s="17"/>
      <c r="PYX1143" s="17"/>
      <c r="PYY1143" s="17"/>
      <c r="PYZ1143" s="17"/>
      <c r="PZA1143" s="17"/>
      <c r="PZB1143" s="17"/>
      <c r="PZC1143" s="17"/>
      <c r="PZD1143" s="17"/>
      <c r="PZE1143" s="17"/>
      <c r="PZF1143" s="17"/>
      <c r="PZG1143" s="17"/>
      <c r="PZH1143" s="17"/>
      <c r="PZI1143" s="17"/>
      <c r="PZJ1143" s="17"/>
      <c r="PZK1143" s="17"/>
      <c r="PZL1143" s="17"/>
      <c r="PZM1143" s="17"/>
      <c r="PZN1143" s="17"/>
      <c r="PZO1143" s="17"/>
      <c r="PZP1143" s="17"/>
      <c r="PZQ1143" s="17"/>
      <c r="PZR1143" s="17"/>
      <c r="PZS1143" s="17"/>
      <c r="PZT1143" s="17"/>
      <c r="PZU1143" s="17"/>
      <c r="PZV1143" s="17"/>
      <c r="PZW1143" s="17"/>
      <c r="PZX1143" s="17"/>
      <c r="PZY1143" s="17"/>
      <c r="PZZ1143" s="17"/>
      <c r="QAA1143" s="17"/>
      <c r="QAB1143" s="17"/>
      <c r="QAC1143" s="17"/>
      <c r="QAD1143" s="17"/>
      <c r="QAE1143" s="17"/>
      <c r="QAF1143" s="17"/>
      <c r="QAG1143" s="17"/>
      <c r="QAH1143" s="17"/>
      <c r="QAI1143" s="17"/>
      <c r="QAJ1143" s="17"/>
      <c r="QAK1143" s="17"/>
      <c r="QAL1143" s="17"/>
      <c r="QAM1143" s="17"/>
      <c r="QAN1143" s="17"/>
      <c r="QAO1143" s="17"/>
      <c r="QAP1143" s="17"/>
      <c r="QAQ1143" s="17"/>
      <c r="QAR1143" s="17"/>
      <c r="QAS1143" s="17"/>
      <c r="QAT1143" s="17"/>
      <c r="QAU1143" s="17"/>
      <c r="QAV1143" s="17"/>
      <c r="QAW1143" s="17"/>
      <c r="QAX1143" s="17"/>
      <c r="QAY1143" s="17"/>
      <c r="QAZ1143" s="17"/>
      <c r="QBA1143" s="17"/>
      <c r="QBB1143" s="17"/>
      <c r="QBC1143" s="17"/>
      <c r="QBD1143" s="17"/>
      <c r="QBE1143" s="17"/>
      <c r="QBF1143" s="17"/>
      <c r="QBG1143" s="17"/>
      <c r="QBH1143" s="17"/>
      <c r="QBI1143" s="17"/>
      <c r="QBJ1143" s="17"/>
      <c r="QBK1143" s="17"/>
      <c r="QBL1143" s="17"/>
      <c r="QBM1143" s="17"/>
      <c r="QBN1143" s="17"/>
      <c r="QBO1143" s="17"/>
      <c r="QBP1143" s="17"/>
      <c r="QBQ1143" s="17"/>
      <c r="QBR1143" s="17"/>
      <c r="QBS1143" s="17"/>
      <c r="QBT1143" s="17"/>
      <c r="QBU1143" s="17"/>
      <c r="QBV1143" s="17"/>
      <c r="QBW1143" s="17"/>
      <c r="QBX1143" s="17"/>
      <c r="QBY1143" s="17"/>
      <c r="QBZ1143" s="17"/>
      <c r="QCA1143" s="17"/>
      <c r="QCB1143" s="17"/>
      <c r="QCC1143" s="17"/>
      <c r="QCD1143" s="17"/>
      <c r="QCE1143" s="17"/>
      <c r="QCF1143" s="17"/>
      <c r="QCG1143" s="17"/>
      <c r="QCH1143" s="17"/>
      <c r="QCI1143" s="17"/>
      <c r="QCJ1143" s="17"/>
      <c r="QCK1143" s="17"/>
      <c r="QCL1143" s="17"/>
      <c r="QCM1143" s="17"/>
      <c r="QCN1143" s="17"/>
      <c r="QCO1143" s="17"/>
      <c r="QCP1143" s="17"/>
      <c r="QCQ1143" s="17"/>
      <c r="QCR1143" s="17"/>
      <c r="QCS1143" s="17"/>
      <c r="QCT1143" s="17"/>
      <c r="QCU1143" s="17"/>
      <c r="QCV1143" s="17"/>
      <c r="QCW1143" s="17"/>
      <c r="QCX1143" s="17"/>
      <c r="QCY1143" s="17"/>
      <c r="QCZ1143" s="17"/>
      <c r="QDA1143" s="17"/>
      <c r="QDB1143" s="17"/>
      <c r="QDC1143" s="17"/>
      <c r="QDD1143" s="17"/>
      <c r="QDE1143" s="17"/>
      <c r="QDF1143" s="17"/>
      <c r="QDG1143" s="17"/>
      <c r="QDH1143" s="17"/>
      <c r="QDI1143" s="17"/>
      <c r="QDJ1143" s="17"/>
      <c r="QDK1143" s="17"/>
      <c r="QDL1143" s="17"/>
      <c r="QDM1143" s="17"/>
      <c r="QDN1143" s="17"/>
      <c r="QDO1143" s="17"/>
      <c r="QDP1143" s="17"/>
      <c r="QDQ1143" s="17"/>
      <c r="QDR1143" s="17"/>
      <c r="QDS1143" s="17"/>
      <c r="QDT1143" s="17"/>
      <c r="QDU1143" s="17"/>
      <c r="QDV1143" s="17"/>
      <c r="QDW1143" s="17"/>
      <c r="QDX1143" s="17"/>
      <c r="QDY1143" s="17"/>
      <c r="QDZ1143" s="17"/>
      <c r="QEA1143" s="17"/>
      <c r="QEB1143" s="17"/>
      <c r="QEC1143" s="17"/>
      <c r="QED1143" s="17"/>
      <c r="QEE1143" s="17"/>
      <c r="QEF1143" s="17"/>
      <c r="QEG1143" s="17"/>
      <c r="QEH1143" s="17"/>
      <c r="QEI1143" s="17"/>
      <c r="QEJ1143" s="17"/>
      <c r="QEK1143" s="17"/>
      <c r="QEL1143" s="17"/>
      <c r="QEM1143" s="17"/>
      <c r="QEN1143" s="17"/>
      <c r="QEO1143" s="17"/>
      <c r="QEP1143" s="17"/>
      <c r="QEQ1143" s="17"/>
      <c r="QER1143" s="17"/>
      <c r="QES1143" s="17"/>
      <c r="QET1143" s="17"/>
      <c r="QEU1143" s="17"/>
      <c r="QEV1143" s="17"/>
      <c r="QEW1143" s="17"/>
      <c r="QEX1143" s="17"/>
      <c r="QEY1143" s="17"/>
      <c r="QEZ1143" s="17"/>
      <c r="QFA1143" s="17"/>
      <c r="QFB1143" s="17"/>
      <c r="QFC1143" s="17"/>
      <c r="QFD1143" s="17"/>
      <c r="QFE1143" s="17"/>
      <c r="QFF1143" s="17"/>
      <c r="QFG1143" s="17"/>
      <c r="QFH1143" s="17"/>
      <c r="QFI1143" s="17"/>
      <c r="QFJ1143" s="17"/>
      <c r="QFK1143" s="17"/>
      <c r="QFL1143" s="17"/>
      <c r="QFM1143" s="17"/>
      <c r="QFN1143" s="17"/>
      <c r="QFO1143" s="17"/>
      <c r="QFP1143" s="17"/>
      <c r="QFQ1143" s="17"/>
      <c r="QFR1143" s="17"/>
      <c r="QFS1143" s="17"/>
      <c r="QFT1143" s="17"/>
      <c r="QFU1143" s="17"/>
      <c r="QFV1143" s="17"/>
      <c r="QFW1143" s="17"/>
      <c r="QFX1143" s="17"/>
      <c r="QFY1143" s="17"/>
      <c r="QFZ1143" s="17"/>
      <c r="QGA1143" s="17"/>
      <c r="QGB1143" s="17"/>
      <c r="QGC1143" s="17"/>
      <c r="QGD1143" s="17"/>
      <c r="QGE1143" s="17"/>
      <c r="QGF1143" s="17"/>
      <c r="QGG1143" s="17"/>
      <c r="QGH1143" s="17"/>
      <c r="QGI1143" s="17"/>
      <c r="QGJ1143" s="17"/>
      <c r="QGK1143" s="17"/>
      <c r="QGL1143" s="17"/>
      <c r="QGM1143" s="17"/>
      <c r="QGN1143" s="17"/>
      <c r="QGO1143" s="17"/>
      <c r="QGP1143" s="17"/>
      <c r="QGQ1143" s="17"/>
      <c r="QGR1143" s="17"/>
      <c r="QGS1143" s="17"/>
      <c r="QGT1143" s="17"/>
      <c r="QGU1143" s="17"/>
      <c r="QGV1143" s="17"/>
      <c r="QGW1143" s="17"/>
      <c r="QGX1143" s="17"/>
      <c r="QGY1143" s="17"/>
      <c r="QGZ1143" s="17"/>
      <c r="QHA1143" s="17"/>
      <c r="QHB1143" s="17"/>
      <c r="QHC1143" s="17"/>
      <c r="QHD1143" s="17"/>
      <c r="QHE1143" s="17"/>
      <c r="QHF1143" s="17"/>
      <c r="QHG1143" s="17"/>
      <c r="QHH1143" s="17"/>
      <c r="QHI1143" s="17"/>
      <c r="QHJ1143" s="17"/>
      <c r="QHK1143" s="17"/>
      <c r="QHL1143" s="17"/>
      <c r="QHM1143" s="17"/>
      <c r="QHN1143" s="17"/>
      <c r="QHO1143" s="17"/>
      <c r="QHP1143" s="17"/>
      <c r="QHQ1143" s="17"/>
      <c r="QHR1143" s="17"/>
      <c r="QHS1143" s="17"/>
      <c r="QHT1143" s="17"/>
      <c r="QHU1143" s="17"/>
      <c r="QHV1143" s="17"/>
      <c r="QHW1143" s="17"/>
      <c r="QHX1143" s="17"/>
      <c r="QHY1143" s="17"/>
      <c r="QHZ1143" s="17"/>
      <c r="QIA1143" s="17"/>
      <c r="QIB1143" s="17"/>
      <c r="QIC1143" s="17"/>
      <c r="QID1143" s="17"/>
      <c r="QIE1143" s="17"/>
      <c r="QIF1143" s="17"/>
      <c r="QIG1143" s="17"/>
      <c r="QIH1143" s="17"/>
      <c r="QII1143" s="17"/>
      <c r="QIJ1143" s="17"/>
      <c r="QIK1143" s="17"/>
      <c r="QIL1143" s="17"/>
      <c r="QIM1143" s="17"/>
      <c r="QIN1143" s="17"/>
      <c r="QIO1143" s="17"/>
      <c r="QIP1143" s="17"/>
      <c r="QIQ1143" s="17"/>
      <c r="QIR1143" s="17"/>
      <c r="QIS1143" s="17"/>
      <c r="QIT1143" s="17"/>
      <c r="QIU1143" s="17"/>
      <c r="QIV1143" s="17"/>
      <c r="QIW1143" s="17"/>
      <c r="QIX1143" s="17"/>
      <c r="QIY1143" s="17"/>
      <c r="QIZ1143" s="17"/>
      <c r="QJA1143" s="17"/>
      <c r="QJB1143" s="17"/>
      <c r="QJC1143" s="17"/>
      <c r="QJD1143" s="17"/>
      <c r="QJE1143" s="17"/>
      <c r="QJF1143" s="17"/>
      <c r="QJG1143" s="17"/>
      <c r="QJH1143" s="17"/>
      <c r="QJI1143" s="17"/>
      <c r="QJJ1143" s="17"/>
      <c r="QJK1143" s="17"/>
      <c r="QJL1143" s="17"/>
      <c r="QJM1143" s="17"/>
      <c r="QJN1143" s="17"/>
      <c r="QJO1143" s="17"/>
      <c r="QJP1143" s="17"/>
      <c r="QJQ1143" s="17"/>
      <c r="QJR1143" s="17"/>
      <c r="QJS1143" s="17"/>
      <c r="QJT1143" s="17"/>
      <c r="QJU1143" s="17"/>
      <c r="QJV1143" s="17"/>
      <c r="QJW1143" s="17"/>
      <c r="QJX1143" s="17"/>
      <c r="QJY1143" s="17"/>
      <c r="QJZ1143" s="17"/>
      <c r="QKA1143" s="17"/>
      <c r="QKB1143" s="17"/>
      <c r="QKC1143" s="17"/>
      <c r="QKD1143" s="17"/>
      <c r="QKE1143" s="17"/>
      <c r="QKF1143" s="17"/>
      <c r="QKG1143" s="17"/>
      <c r="QKH1143" s="17"/>
      <c r="QKI1143" s="17"/>
      <c r="QKJ1143" s="17"/>
      <c r="QKK1143" s="17"/>
      <c r="QKL1143" s="17"/>
      <c r="QKM1143" s="17"/>
      <c r="QKN1143" s="17"/>
      <c r="QKO1143" s="17"/>
      <c r="QKP1143" s="17"/>
      <c r="QKQ1143" s="17"/>
      <c r="QKR1143" s="17"/>
      <c r="QKS1143" s="17"/>
      <c r="QKT1143" s="17"/>
      <c r="QKU1143" s="17"/>
      <c r="QKV1143" s="17"/>
      <c r="QKW1143" s="17"/>
      <c r="QKX1143" s="17"/>
      <c r="QKY1143" s="17"/>
      <c r="QKZ1143" s="17"/>
      <c r="QLA1143" s="17"/>
      <c r="QLB1143" s="17"/>
      <c r="QLC1143" s="17"/>
      <c r="QLD1143" s="17"/>
      <c r="QLE1143" s="17"/>
      <c r="QLF1143" s="17"/>
      <c r="QLG1143" s="17"/>
      <c r="QLH1143" s="17"/>
      <c r="QLI1143" s="17"/>
      <c r="QLJ1143" s="17"/>
      <c r="QLK1143" s="17"/>
      <c r="QLL1143" s="17"/>
      <c r="QLM1143" s="17"/>
      <c r="QLN1143" s="17"/>
      <c r="QLO1143" s="17"/>
      <c r="QLP1143" s="17"/>
      <c r="QLQ1143" s="17"/>
      <c r="QLR1143" s="17"/>
      <c r="QLS1143" s="17"/>
      <c r="QLT1143" s="17"/>
      <c r="QLU1143" s="17"/>
      <c r="QLV1143" s="17"/>
      <c r="QLW1143" s="17"/>
      <c r="QLX1143" s="17"/>
      <c r="QLY1143" s="17"/>
      <c r="QLZ1143" s="17"/>
      <c r="QMA1143" s="17"/>
      <c r="QMB1143" s="17"/>
      <c r="QMC1143" s="17"/>
      <c r="QMD1143" s="17"/>
      <c r="QME1143" s="17"/>
      <c r="QMF1143" s="17"/>
      <c r="QMG1143" s="17"/>
      <c r="QMH1143" s="17"/>
      <c r="QMI1143" s="17"/>
      <c r="QMJ1143" s="17"/>
      <c r="QMK1143" s="17"/>
      <c r="QML1143" s="17"/>
      <c r="QMM1143" s="17"/>
      <c r="QMN1143" s="17"/>
      <c r="QMO1143" s="17"/>
      <c r="QMP1143" s="17"/>
      <c r="QMQ1143" s="17"/>
      <c r="QMR1143" s="17"/>
      <c r="QMS1143" s="17"/>
      <c r="QMT1143" s="17"/>
      <c r="QMU1143" s="17"/>
      <c r="QMV1143" s="17"/>
      <c r="QMW1143" s="17"/>
      <c r="QMX1143" s="17"/>
      <c r="QMY1143" s="17"/>
      <c r="QMZ1143" s="17"/>
      <c r="QNA1143" s="17"/>
      <c r="QNB1143" s="17"/>
      <c r="QNC1143" s="17"/>
      <c r="QND1143" s="17"/>
      <c r="QNE1143" s="17"/>
      <c r="QNF1143" s="17"/>
      <c r="QNG1143" s="17"/>
      <c r="QNH1143" s="17"/>
      <c r="QNI1143" s="17"/>
      <c r="QNJ1143" s="17"/>
      <c r="QNK1143" s="17"/>
      <c r="QNL1143" s="17"/>
      <c r="QNM1143" s="17"/>
      <c r="QNN1143" s="17"/>
      <c r="QNO1143" s="17"/>
      <c r="QNP1143" s="17"/>
      <c r="QNQ1143" s="17"/>
      <c r="QNR1143" s="17"/>
      <c r="QNS1143" s="17"/>
      <c r="QNT1143" s="17"/>
      <c r="QNU1143" s="17"/>
      <c r="QNV1143" s="17"/>
      <c r="QNW1143" s="17"/>
      <c r="QNX1143" s="17"/>
      <c r="QNY1143" s="17"/>
      <c r="QNZ1143" s="17"/>
      <c r="QOA1143" s="17"/>
      <c r="QOB1143" s="17"/>
      <c r="QOC1143" s="17"/>
      <c r="QOD1143" s="17"/>
      <c r="QOE1143" s="17"/>
      <c r="QOF1143" s="17"/>
      <c r="QOG1143" s="17"/>
      <c r="QOH1143" s="17"/>
      <c r="QOI1143" s="17"/>
      <c r="QOJ1143" s="17"/>
      <c r="QOK1143" s="17"/>
      <c r="QOL1143" s="17"/>
      <c r="QOM1143" s="17"/>
      <c r="QON1143" s="17"/>
      <c r="QOO1143" s="17"/>
      <c r="QOP1143" s="17"/>
      <c r="QOQ1143" s="17"/>
      <c r="QOR1143" s="17"/>
      <c r="QOS1143" s="17"/>
      <c r="QOT1143" s="17"/>
      <c r="QOU1143" s="17"/>
      <c r="QOV1143" s="17"/>
      <c r="QOW1143" s="17"/>
      <c r="QOX1143" s="17"/>
      <c r="QOY1143" s="17"/>
      <c r="QOZ1143" s="17"/>
      <c r="QPA1143" s="17"/>
      <c r="QPB1143" s="17"/>
      <c r="QPC1143" s="17"/>
      <c r="QPD1143" s="17"/>
      <c r="QPE1143" s="17"/>
      <c r="QPF1143" s="17"/>
      <c r="QPG1143" s="17"/>
      <c r="QPH1143" s="17"/>
      <c r="QPI1143" s="17"/>
      <c r="QPJ1143" s="17"/>
      <c r="QPK1143" s="17"/>
      <c r="QPL1143" s="17"/>
      <c r="QPM1143" s="17"/>
      <c r="QPN1143" s="17"/>
      <c r="QPO1143" s="17"/>
      <c r="QPP1143" s="17"/>
      <c r="QPQ1143" s="17"/>
      <c r="QPR1143" s="17"/>
      <c r="QPS1143" s="17"/>
      <c r="QPT1143" s="17"/>
      <c r="QPU1143" s="17"/>
      <c r="QPV1143" s="17"/>
      <c r="QPW1143" s="17"/>
      <c r="QPX1143" s="17"/>
      <c r="QPY1143" s="17"/>
      <c r="QPZ1143" s="17"/>
      <c r="QQA1143" s="17"/>
      <c r="QQB1143" s="17"/>
      <c r="QQC1143" s="17"/>
      <c r="QQD1143" s="17"/>
      <c r="QQE1143" s="17"/>
      <c r="QQF1143" s="17"/>
      <c r="QQG1143" s="17"/>
      <c r="QQH1143" s="17"/>
      <c r="QQI1143" s="17"/>
      <c r="QQJ1143" s="17"/>
      <c r="QQK1143" s="17"/>
      <c r="QQL1143" s="17"/>
      <c r="QQM1143" s="17"/>
      <c r="QQN1143" s="17"/>
      <c r="QQO1143" s="17"/>
      <c r="QQP1143" s="17"/>
      <c r="QQQ1143" s="17"/>
      <c r="QQR1143" s="17"/>
      <c r="QQS1143" s="17"/>
      <c r="QQT1143" s="17"/>
      <c r="QQU1143" s="17"/>
      <c r="QQV1143" s="17"/>
      <c r="QQW1143" s="17"/>
      <c r="QQX1143" s="17"/>
      <c r="QQY1143" s="17"/>
      <c r="QQZ1143" s="17"/>
      <c r="QRA1143" s="17"/>
      <c r="QRB1143" s="17"/>
      <c r="QRC1143" s="17"/>
      <c r="QRD1143" s="17"/>
      <c r="QRE1143" s="17"/>
      <c r="QRF1143" s="17"/>
      <c r="QRG1143" s="17"/>
      <c r="QRH1143" s="17"/>
      <c r="QRI1143" s="17"/>
      <c r="QRJ1143" s="17"/>
      <c r="QRK1143" s="17"/>
      <c r="QRL1143" s="17"/>
      <c r="QRM1143" s="17"/>
      <c r="QRN1143" s="17"/>
      <c r="QRO1143" s="17"/>
      <c r="QRP1143" s="17"/>
      <c r="QRQ1143" s="17"/>
      <c r="QRR1143" s="17"/>
      <c r="QRS1143" s="17"/>
      <c r="QRT1143" s="17"/>
      <c r="QRU1143" s="17"/>
      <c r="QRV1143" s="17"/>
      <c r="QRW1143" s="17"/>
      <c r="QRX1143" s="17"/>
      <c r="QRY1143" s="17"/>
      <c r="QRZ1143" s="17"/>
      <c r="QSA1143" s="17"/>
      <c r="QSB1143" s="17"/>
      <c r="QSC1143" s="17"/>
      <c r="QSD1143" s="17"/>
      <c r="QSE1143" s="17"/>
      <c r="QSF1143" s="17"/>
      <c r="QSG1143" s="17"/>
      <c r="QSH1143" s="17"/>
      <c r="QSI1143" s="17"/>
      <c r="QSJ1143" s="17"/>
      <c r="QSK1143" s="17"/>
      <c r="QSL1143" s="17"/>
      <c r="QSM1143" s="17"/>
      <c r="QSN1143" s="17"/>
      <c r="QSO1143" s="17"/>
      <c r="QSP1143" s="17"/>
      <c r="QSQ1143" s="17"/>
      <c r="QSR1143" s="17"/>
      <c r="QSS1143" s="17"/>
      <c r="QST1143" s="17"/>
      <c r="QSU1143" s="17"/>
      <c r="QSV1143" s="17"/>
      <c r="QSW1143" s="17"/>
      <c r="QSX1143" s="17"/>
      <c r="QSY1143" s="17"/>
      <c r="QSZ1143" s="17"/>
      <c r="QTA1143" s="17"/>
      <c r="QTB1143" s="17"/>
      <c r="QTC1143" s="17"/>
      <c r="QTD1143" s="17"/>
      <c r="QTE1143" s="17"/>
      <c r="QTF1143" s="17"/>
      <c r="QTG1143" s="17"/>
      <c r="QTH1143" s="17"/>
      <c r="QTI1143" s="17"/>
      <c r="QTJ1143" s="17"/>
      <c r="QTK1143" s="17"/>
      <c r="QTL1143" s="17"/>
      <c r="QTM1143" s="17"/>
      <c r="QTN1143" s="17"/>
      <c r="QTO1143" s="17"/>
      <c r="QTP1143" s="17"/>
      <c r="QTQ1143" s="17"/>
      <c r="QTR1143" s="17"/>
      <c r="QTS1143" s="17"/>
      <c r="QTT1143" s="17"/>
      <c r="QTU1143" s="17"/>
      <c r="QTV1143" s="17"/>
      <c r="QTW1143" s="17"/>
      <c r="QTX1143" s="17"/>
      <c r="QTY1143" s="17"/>
      <c r="QTZ1143" s="17"/>
      <c r="QUA1143" s="17"/>
      <c r="QUB1143" s="17"/>
      <c r="QUC1143" s="17"/>
      <c r="QUD1143" s="17"/>
      <c r="QUE1143" s="17"/>
      <c r="QUF1143" s="17"/>
      <c r="QUG1143" s="17"/>
      <c r="QUH1143" s="17"/>
      <c r="QUI1143" s="17"/>
      <c r="QUJ1143" s="17"/>
      <c r="QUK1143" s="17"/>
      <c r="QUL1143" s="17"/>
      <c r="QUM1143" s="17"/>
      <c r="QUN1143" s="17"/>
      <c r="QUO1143" s="17"/>
      <c r="QUP1143" s="17"/>
      <c r="QUQ1143" s="17"/>
      <c r="QUR1143" s="17"/>
      <c r="QUS1143" s="17"/>
      <c r="QUT1143" s="17"/>
      <c r="QUU1143" s="17"/>
      <c r="QUV1143" s="17"/>
      <c r="QUW1143" s="17"/>
      <c r="QUX1143" s="17"/>
      <c r="QUY1143" s="17"/>
      <c r="QUZ1143" s="17"/>
      <c r="QVA1143" s="17"/>
      <c r="QVB1143" s="17"/>
      <c r="QVC1143" s="17"/>
      <c r="QVD1143" s="17"/>
      <c r="QVE1143" s="17"/>
      <c r="QVF1143" s="17"/>
      <c r="QVG1143" s="17"/>
      <c r="QVH1143" s="17"/>
      <c r="QVI1143" s="17"/>
      <c r="QVJ1143" s="17"/>
      <c r="QVK1143" s="17"/>
      <c r="QVL1143" s="17"/>
      <c r="QVM1143" s="17"/>
      <c r="QVN1143" s="17"/>
      <c r="QVO1143" s="17"/>
      <c r="QVP1143" s="17"/>
      <c r="QVQ1143" s="17"/>
      <c r="QVR1143" s="17"/>
      <c r="QVS1143" s="17"/>
      <c r="QVT1143" s="17"/>
      <c r="QVU1143" s="17"/>
      <c r="QVV1143" s="17"/>
      <c r="QVW1143" s="17"/>
      <c r="QVX1143" s="17"/>
      <c r="QVY1143" s="17"/>
      <c r="QVZ1143" s="17"/>
      <c r="QWA1143" s="17"/>
      <c r="QWB1143" s="17"/>
      <c r="QWC1143" s="17"/>
      <c r="QWD1143" s="17"/>
      <c r="QWE1143" s="17"/>
      <c r="QWF1143" s="17"/>
      <c r="QWG1143" s="17"/>
      <c r="QWH1143" s="17"/>
      <c r="QWI1143" s="17"/>
      <c r="QWJ1143" s="17"/>
      <c r="QWK1143" s="17"/>
      <c r="QWL1143" s="17"/>
      <c r="QWM1143" s="17"/>
      <c r="QWN1143" s="17"/>
      <c r="QWO1143" s="17"/>
      <c r="QWP1143" s="17"/>
      <c r="QWQ1143" s="17"/>
      <c r="QWR1143" s="17"/>
      <c r="QWS1143" s="17"/>
      <c r="QWT1143" s="17"/>
      <c r="QWU1143" s="17"/>
      <c r="QWV1143" s="17"/>
      <c r="QWW1143" s="17"/>
      <c r="QWX1143" s="17"/>
      <c r="QWY1143" s="17"/>
      <c r="QWZ1143" s="17"/>
      <c r="QXA1143" s="17"/>
      <c r="QXB1143" s="17"/>
      <c r="QXC1143" s="17"/>
      <c r="QXD1143" s="17"/>
      <c r="QXE1143" s="17"/>
      <c r="QXF1143" s="17"/>
      <c r="QXG1143" s="17"/>
      <c r="QXH1143" s="17"/>
      <c r="QXI1143" s="17"/>
      <c r="QXJ1143" s="17"/>
      <c r="QXK1143" s="17"/>
      <c r="QXL1143" s="17"/>
      <c r="QXM1143" s="17"/>
      <c r="QXN1143" s="17"/>
      <c r="QXO1143" s="17"/>
      <c r="QXP1143" s="17"/>
      <c r="QXQ1143" s="17"/>
      <c r="QXR1143" s="17"/>
      <c r="QXS1143" s="17"/>
      <c r="QXT1143" s="17"/>
      <c r="QXU1143" s="17"/>
      <c r="QXV1143" s="17"/>
      <c r="QXW1143" s="17"/>
      <c r="QXX1143" s="17"/>
      <c r="QXY1143" s="17"/>
      <c r="QXZ1143" s="17"/>
      <c r="QYA1143" s="17"/>
      <c r="QYB1143" s="17"/>
      <c r="QYC1143" s="17"/>
      <c r="QYD1143" s="17"/>
      <c r="QYE1143" s="17"/>
      <c r="QYF1143" s="17"/>
      <c r="QYG1143" s="17"/>
      <c r="QYH1143" s="17"/>
      <c r="QYI1143" s="17"/>
      <c r="QYJ1143" s="17"/>
      <c r="QYK1143" s="17"/>
      <c r="QYL1143" s="17"/>
      <c r="QYM1143" s="17"/>
      <c r="QYN1143" s="17"/>
      <c r="QYO1143" s="17"/>
      <c r="QYP1143" s="17"/>
      <c r="QYQ1143" s="17"/>
      <c r="QYR1143" s="17"/>
      <c r="QYS1143" s="17"/>
      <c r="QYT1143" s="17"/>
      <c r="QYU1143" s="17"/>
      <c r="QYV1143" s="17"/>
      <c r="QYW1143" s="17"/>
      <c r="QYX1143" s="17"/>
      <c r="QYY1143" s="17"/>
      <c r="QYZ1143" s="17"/>
      <c r="QZA1143" s="17"/>
      <c r="QZB1143" s="17"/>
      <c r="QZC1143" s="17"/>
      <c r="QZD1143" s="17"/>
      <c r="QZE1143" s="17"/>
      <c r="QZF1143" s="17"/>
      <c r="QZG1143" s="17"/>
      <c r="QZH1143" s="17"/>
      <c r="QZI1143" s="17"/>
      <c r="QZJ1143" s="17"/>
      <c r="QZK1143" s="17"/>
      <c r="QZL1143" s="17"/>
      <c r="QZM1143" s="17"/>
      <c r="QZN1143" s="17"/>
      <c r="QZO1143" s="17"/>
      <c r="QZP1143" s="17"/>
      <c r="QZQ1143" s="17"/>
      <c r="QZR1143" s="17"/>
      <c r="QZS1143" s="17"/>
      <c r="QZT1143" s="17"/>
      <c r="QZU1143" s="17"/>
      <c r="QZV1143" s="17"/>
      <c r="QZW1143" s="17"/>
      <c r="QZX1143" s="17"/>
      <c r="QZY1143" s="17"/>
      <c r="QZZ1143" s="17"/>
      <c r="RAA1143" s="17"/>
      <c r="RAB1143" s="17"/>
      <c r="RAC1143" s="17"/>
      <c r="RAD1143" s="17"/>
      <c r="RAE1143" s="17"/>
      <c r="RAF1143" s="17"/>
      <c r="RAG1143" s="17"/>
      <c r="RAH1143" s="17"/>
      <c r="RAI1143" s="17"/>
      <c r="RAJ1143" s="17"/>
      <c r="RAK1143" s="17"/>
      <c r="RAL1143" s="17"/>
      <c r="RAM1143" s="17"/>
      <c r="RAN1143" s="17"/>
      <c r="RAO1143" s="17"/>
      <c r="RAP1143" s="17"/>
      <c r="RAQ1143" s="17"/>
      <c r="RAR1143" s="17"/>
      <c r="RAS1143" s="17"/>
      <c r="RAT1143" s="17"/>
      <c r="RAU1143" s="17"/>
      <c r="RAV1143" s="17"/>
      <c r="RAW1143" s="17"/>
      <c r="RAX1143" s="17"/>
      <c r="RAY1143" s="17"/>
      <c r="RAZ1143" s="17"/>
      <c r="RBA1143" s="17"/>
      <c r="RBB1143" s="17"/>
      <c r="RBC1143" s="17"/>
      <c r="RBD1143" s="17"/>
      <c r="RBE1143" s="17"/>
      <c r="RBF1143" s="17"/>
      <c r="RBG1143" s="17"/>
      <c r="RBH1143" s="17"/>
      <c r="RBI1143" s="17"/>
      <c r="RBJ1143" s="17"/>
      <c r="RBK1143" s="17"/>
      <c r="RBL1143" s="17"/>
      <c r="RBM1143" s="17"/>
      <c r="RBN1143" s="17"/>
      <c r="RBO1143" s="17"/>
      <c r="RBP1143" s="17"/>
      <c r="RBQ1143" s="17"/>
      <c r="RBR1143" s="17"/>
      <c r="RBS1143" s="17"/>
      <c r="RBT1143" s="17"/>
      <c r="RBU1143" s="17"/>
      <c r="RBV1143" s="17"/>
      <c r="RBW1143" s="17"/>
      <c r="RBX1143" s="17"/>
      <c r="RBY1143" s="17"/>
      <c r="RBZ1143" s="17"/>
      <c r="RCA1143" s="17"/>
      <c r="RCB1143" s="17"/>
      <c r="RCC1143" s="17"/>
      <c r="RCD1143" s="17"/>
      <c r="RCE1143" s="17"/>
      <c r="RCF1143" s="17"/>
      <c r="RCG1143" s="17"/>
      <c r="RCH1143" s="17"/>
      <c r="RCI1143" s="17"/>
      <c r="RCJ1143" s="17"/>
      <c r="RCK1143" s="17"/>
      <c r="RCL1143" s="17"/>
      <c r="RCM1143" s="17"/>
      <c r="RCN1143" s="17"/>
      <c r="RCO1143" s="17"/>
      <c r="RCP1143" s="17"/>
      <c r="RCQ1143" s="17"/>
      <c r="RCR1143" s="17"/>
      <c r="RCS1143" s="17"/>
      <c r="RCT1143" s="17"/>
      <c r="RCU1143" s="17"/>
      <c r="RCV1143" s="17"/>
      <c r="RCW1143" s="17"/>
      <c r="RCX1143" s="17"/>
      <c r="RCY1143" s="17"/>
      <c r="RCZ1143" s="17"/>
      <c r="RDA1143" s="17"/>
      <c r="RDB1143" s="17"/>
      <c r="RDC1143" s="17"/>
      <c r="RDD1143" s="17"/>
      <c r="RDE1143" s="17"/>
      <c r="RDF1143" s="17"/>
      <c r="RDG1143" s="17"/>
      <c r="RDH1143" s="17"/>
      <c r="RDI1143" s="17"/>
      <c r="RDJ1143" s="17"/>
      <c r="RDK1143" s="17"/>
      <c r="RDL1143" s="17"/>
      <c r="RDM1143" s="17"/>
      <c r="RDN1143" s="17"/>
      <c r="RDO1143" s="17"/>
      <c r="RDP1143" s="17"/>
      <c r="RDQ1143" s="17"/>
      <c r="RDR1143" s="17"/>
      <c r="RDS1143" s="17"/>
      <c r="RDT1143" s="17"/>
      <c r="RDU1143" s="17"/>
      <c r="RDV1143" s="17"/>
      <c r="RDW1143" s="17"/>
      <c r="RDX1143" s="17"/>
      <c r="RDY1143" s="17"/>
      <c r="RDZ1143" s="17"/>
      <c r="REA1143" s="17"/>
      <c r="REB1143" s="17"/>
      <c r="REC1143" s="17"/>
      <c r="RED1143" s="17"/>
      <c r="REE1143" s="17"/>
      <c r="REF1143" s="17"/>
      <c r="REG1143" s="17"/>
      <c r="REH1143" s="17"/>
      <c r="REI1143" s="17"/>
      <c r="REJ1143" s="17"/>
      <c r="REK1143" s="17"/>
      <c r="REL1143" s="17"/>
      <c r="REM1143" s="17"/>
      <c r="REN1143" s="17"/>
      <c r="REO1143" s="17"/>
      <c r="REP1143" s="17"/>
      <c r="REQ1143" s="17"/>
      <c r="RER1143" s="17"/>
      <c r="RES1143" s="17"/>
      <c r="RET1143" s="17"/>
      <c r="REU1143" s="17"/>
      <c r="REV1143" s="17"/>
      <c r="REW1143" s="17"/>
      <c r="REX1143" s="17"/>
      <c r="REY1143" s="17"/>
      <c r="REZ1143" s="17"/>
      <c r="RFA1143" s="17"/>
      <c r="RFB1143" s="17"/>
      <c r="RFC1143" s="17"/>
      <c r="RFD1143" s="17"/>
      <c r="RFE1143" s="17"/>
      <c r="RFF1143" s="17"/>
      <c r="RFG1143" s="17"/>
      <c r="RFH1143" s="17"/>
      <c r="RFI1143" s="17"/>
      <c r="RFJ1143" s="17"/>
      <c r="RFK1143" s="17"/>
      <c r="RFL1143" s="17"/>
      <c r="RFM1143" s="17"/>
      <c r="RFN1143" s="17"/>
      <c r="RFO1143" s="17"/>
      <c r="RFP1143" s="17"/>
      <c r="RFQ1143" s="17"/>
      <c r="RFR1143" s="17"/>
      <c r="RFS1143" s="17"/>
      <c r="RFT1143" s="17"/>
      <c r="RFU1143" s="17"/>
      <c r="RFV1143" s="17"/>
      <c r="RFW1143" s="17"/>
      <c r="RFX1143" s="17"/>
      <c r="RFY1143" s="17"/>
      <c r="RFZ1143" s="17"/>
      <c r="RGA1143" s="17"/>
      <c r="RGB1143" s="17"/>
      <c r="RGC1143" s="17"/>
      <c r="RGD1143" s="17"/>
      <c r="RGE1143" s="17"/>
      <c r="RGF1143" s="17"/>
      <c r="RGG1143" s="17"/>
      <c r="RGH1143" s="17"/>
      <c r="RGI1143" s="17"/>
      <c r="RGJ1143" s="17"/>
      <c r="RGK1143" s="17"/>
      <c r="RGL1143" s="17"/>
      <c r="RGM1143" s="17"/>
      <c r="RGN1143" s="17"/>
      <c r="RGO1143" s="17"/>
      <c r="RGP1143" s="17"/>
      <c r="RGQ1143" s="17"/>
      <c r="RGR1143" s="17"/>
      <c r="RGS1143" s="17"/>
      <c r="RGT1143" s="17"/>
      <c r="RGU1143" s="17"/>
      <c r="RGV1143" s="17"/>
      <c r="RGW1143" s="17"/>
      <c r="RGX1143" s="17"/>
      <c r="RGY1143" s="17"/>
      <c r="RGZ1143" s="17"/>
      <c r="RHA1143" s="17"/>
      <c r="RHB1143" s="17"/>
      <c r="RHC1143" s="17"/>
      <c r="RHD1143" s="17"/>
      <c r="RHE1143" s="17"/>
      <c r="RHF1143" s="17"/>
      <c r="RHG1143" s="17"/>
      <c r="RHH1143" s="17"/>
      <c r="RHI1143" s="17"/>
      <c r="RHJ1143" s="17"/>
      <c r="RHK1143" s="17"/>
      <c r="RHL1143" s="17"/>
      <c r="RHM1143" s="17"/>
      <c r="RHN1143" s="17"/>
      <c r="RHO1143" s="17"/>
      <c r="RHP1143" s="17"/>
      <c r="RHQ1143" s="17"/>
      <c r="RHR1143" s="17"/>
      <c r="RHS1143" s="17"/>
      <c r="RHT1143" s="17"/>
      <c r="RHU1143" s="17"/>
      <c r="RHV1143" s="17"/>
      <c r="RHW1143" s="17"/>
      <c r="RHX1143" s="17"/>
      <c r="RHY1143" s="17"/>
      <c r="RHZ1143" s="17"/>
      <c r="RIA1143" s="17"/>
      <c r="RIB1143" s="17"/>
      <c r="RIC1143" s="17"/>
      <c r="RID1143" s="17"/>
      <c r="RIE1143" s="17"/>
      <c r="RIF1143" s="17"/>
      <c r="RIG1143" s="17"/>
      <c r="RIH1143" s="17"/>
      <c r="RII1143" s="17"/>
      <c r="RIJ1143" s="17"/>
      <c r="RIK1143" s="17"/>
      <c r="RIL1143" s="17"/>
      <c r="RIM1143" s="17"/>
      <c r="RIN1143" s="17"/>
      <c r="RIO1143" s="17"/>
      <c r="RIP1143" s="17"/>
      <c r="RIQ1143" s="17"/>
      <c r="RIR1143" s="17"/>
      <c r="RIS1143" s="17"/>
      <c r="RIT1143" s="17"/>
      <c r="RIU1143" s="17"/>
      <c r="RIV1143" s="17"/>
      <c r="RIW1143" s="17"/>
      <c r="RIX1143" s="17"/>
      <c r="RIY1143" s="17"/>
      <c r="RIZ1143" s="17"/>
      <c r="RJA1143" s="17"/>
      <c r="RJB1143" s="17"/>
      <c r="RJC1143" s="17"/>
      <c r="RJD1143" s="17"/>
      <c r="RJE1143" s="17"/>
      <c r="RJF1143" s="17"/>
      <c r="RJG1143" s="17"/>
      <c r="RJH1143" s="17"/>
      <c r="RJI1143" s="17"/>
      <c r="RJJ1143" s="17"/>
      <c r="RJK1143" s="17"/>
      <c r="RJL1143" s="17"/>
      <c r="RJM1143" s="17"/>
      <c r="RJN1143" s="17"/>
      <c r="RJO1143" s="17"/>
      <c r="RJP1143" s="17"/>
      <c r="RJQ1143" s="17"/>
      <c r="RJR1143" s="17"/>
      <c r="RJS1143" s="17"/>
      <c r="RJT1143" s="17"/>
      <c r="RJU1143" s="17"/>
      <c r="RJV1143" s="17"/>
      <c r="RJW1143" s="17"/>
      <c r="RJX1143" s="17"/>
      <c r="RJY1143" s="17"/>
      <c r="RJZ1143" s="17"/>
      <c r="RKA1143" s="17"/>
      <c r="RKB1143" s="17"/>
      <c r="RKC1143" s="17"/>
      <c r="RKD1143" s="17"/>
      <c r="RKE1143" s="17"/>
      <c r="RKF1143" s="17"/>
      <c r="RKG1143" s="17"/>
      <c r="RKH1143" s="17"/>
      <c r="RKI1143" s="17"/>
      <c r="RKJ1143" s="17"/>
      <c r="RKK1143" s="17"/>
      <c r="RKL1143" s="17"/>
      <c r="RKM1143" s="17"/>
      <c r="RKN1143" s="17"/>
      <c r="RKO1143" s="17"/>
      <c r="RKP1143" s="17"/>
      <c r="RKQ1143" s="17"/>
      <c r="RKR1143" s="17"/>
      <c r="RKS1143" s="17"/>
      <c r="RKT1143" s="17"/>
      <c r="RKU1143" s="17"/>
      <c r="RKV1143" s="17"/>
      <c r="RKW1143" s="17"/>
      <c r="RKX1143" s="17"/>
      <c r="RKY1143" s="17"/>
      <c r="RKZ1143" s="17"/>
      <c r="RLA1143" s="17"/>
      <c r="RLB1143" s="17"/>
      <c r="RLC1143" s="17"/>
      <c r="RLD1143" s="17"/>
      <c r="RLE1143" s="17"/>
      <c r="RLF1143" s="17"/>
      <c r="RLG1143" s="17"/>
      <c r="RLH1143" s="17"/>
      <c r="RLI1143" s="17"/>
      <c r="RLJ1143" s="17"/>
      <c r="RLK1143" s="17"/>
      <c r="RLL1143" s="17"/>
      <c r="RLM1143" s="17"/>
      <c r="RLN1143" s="17"/>
      <c r="RLO1143" s="17"/>
      <c r="RLP1143" s="17"/>
      <c r="RLQ1143" s="17"/>
      <c r="RLR1143" s="17"/>
      <c r="RLS1143" s="17"/>
      <c r="RLT1143" s="17"/>
      <c r="RLU1143" s="17"/>
      <c r="RLV1143" s="17"/>
      <c r="RLW1143" s="17"/>
      <c r="RLX1143" s="17"/>
      <c r="RLY1143" s="17"/>
      <c r="RLZ1143" s="17"/>
      <c r="RMA1143" s="17"/>
      <c r="RMB1143" s="17"/>
      <c r="RMC1143" s="17"/>
      <c r="RMD1143" s="17"/>
      <c r="RME1143" s="17"/>
      <c r="RMF1143" s="17"/>
      <c r="RMG1143" s="17"/>
      <c r="RMH1143" s="17"/>
      <c r="RMI1143" s="17"/>
      <c r="RMJ1143" s="17"/>
      <c r="RMK1143" s="17"/>
      <c r="RML1143" s="17"/>
      <c r="RMM1143" s="17"/>
      <c r="RMN1143" s="17"/>
      <c r="RMO1143" s="17"/>
      <c r="RMP1143" s="17"/>
      <c r="RMQ1143" s="17"/>
      <c r="RMR1143" s="17"/>
      <c r="RMS1143" s="17"/>
      <c r="RMT1143" s="17"/>
      <c r="RMU1143" s="17"/>
      <c r="RMV1143" s="17"/>
      <c r="RMW1143" s="17"/>
      <c r="RMX1143" s="17"/>
      <c r="RMY1143" s="17"/>
      <c r="RMZ1143" s="17"/>
      <c r="RNA1143" s="17"/>
      <c r="RNB1143" s="17"/>
      <c r="RNC1143" s="17"/>
      <c r="RND1143" s="17"/>
      <c r="RNE1143" s="17"/>
      <c r="RNF1143" s="17"/>
      <c r="RNG1143" s="17"/>
      <c r="RNH1143" s="17"/>
      <c r="RNI1143" s="17"/>
      <c r="RNJ1143" s="17"/>
      <c r="RNK1143" s="17"/>
      <c r="RNL1143" s="17"/>
      <c r="RNM1143" s="17"/>
      <c r="RNN1143" s="17"/>
      <c r="RNO1143" s="17"/>
      <c r="RNP1143" s="17"/>
      <c r="RNQ1143" s="17"/>
      <c r="RNR1143" s="17"/>
      <c r="RNS1143" s="17"/>
      <c r="RNT1143" s="17"/>
      <c r="RNU1143" s="17"/>
      <c r="RNV1143" s="17"/>
      <c r="RNW1143" s="17"/>
      <c r="RNX1143" s="17"/>
      <c r="RNY1143" s="17"/>
      <c r="RNZ1143" s="17"/>
      <c r="ROA1143" s="17"/>
      <c r="ROB1143" s="17"/>
      <c r="ROC1143" s="17"/>
      <c r="ROD1143" s="17"/>
      <c r="ROE1143" s="17"/>
      <c r="ROF1143" s="17"/>
      <c r="ROG1143" s="17"/>
      <c r="ROH1143" s="17"/>
      <c r="ROI1143" s="17"/>
      <c r="ROJ1143" s="17"/>
      <c r="ROK1143" s="17"/>
      <c r="ROL1143" s="17"/>
      <c r="ROM1143" s="17"/>
      <c r="RON1143" s="17"/>
      <c r="ROO1143" s="17"/>
      <c r="ROP1143" s="17"/>
      <c r="ROQ1143" s="17"/>
      <c r="ROR1143" s="17"/>
      <c r="ROS1143" s="17"/>
      <c r="ROT1143" s="17"/>
      <c r="ROU1143" s="17"/>
      <c r="ROV1143" s="17"/>
      <c r="ROW1143" s="17"/>
      <c r="ROX1143" s="17"/>
      <c r="ROY1143" s="17"/>
      <c r="ROZ1143" s="17"/>
      <c r="RPA1143" s="17"/>
      <c r="RPB1143" s="17"/>
      <c r="RPC1143" s="17"/>
      <c r="RPD1143" s="17"/>
      <c r="RPE1143" s="17"/>
      <c r="RPF1143" s="17"/>
      <c r="RPG1143" s="17"/>
      <c r="RPH1143" s="17"/>
      <c r="RPI1143" s="17"/>
      <c r="RPJ1143" s="17"/>
      <c r="RPK1143" s="17"/>
      <c r="RPL1143" s="17"/>
      <c r="RPM1143" s="17"/>
      <c r="RPN1143" s="17"/>
      <c r="RPO1143" s="17"/>
      <c r="RPP1143" s="17"/>
      <c r="RPQ1143" s="17"/>
      <c r="RPR1143" s="17"/>
      <c r="RPS1143" s="17"/>
      <c r="RPT1143" s="17"/>
      <c r="RPU1143" s="17"/>
      <c r="RPV1143" s="17"/>
      <c r="RPW1143" s="17"/>
      <c r="RPX1143" s="17"/>
      <c r="RPY1143" s="17"/>
      <c r="RPZ1143" s="17"/>
      <c r="RQA1143" s="17"/>
      <c r="RQB1143" s="17"/>
      <c r="RQC1143" s="17"/>
      <c r="RQD1143" s="17"/>
      <c r="RQE1143" s="17"/>
      <c r="RQF1143" s="17"/>
      <c r="RQG1143" s="17"/>
      <c r="RQH1143" s="17"/>
      <c r="RQI1143" s="17"/>
      <c r="RQJ1143" s="17"/>
      <c r="RQK1143" s="17"/>
      <c r="RQL1143" s="17"/>
      <c r="RQM1143" s="17"/>
      <c r="RQN1143" s="17"/>
      <c r="RQO1143" s="17"/>
      <c r="RQP1143" s="17"/>
      <c r="RQQ1143" s="17"/>
      <c r="RQR1143" s="17"/>
      <c r="RQS1143" s="17"/>
      <c r="RQT1143" s="17"/>
      <c r="RQU1143" s="17"/>
      <c r="RQV1143" s="17"/>
      <c r="RQW1143" s="17"/>
      <c r="RQX1143" s="17"/>
      <c r="RQY1143" s="17"/>
      <c r="RQZ1143" s="17"/>
      <c r="RRA1143" s="17"/>
      <c r="RRB1143" s="17"/>
      <c r="RRC1143" s="17"/>
      <c r="RRD1143" s="17"/>
      <c r="RRE1143" s="17"/>
      <c r="RRF1143" s="17"/>
      <c r="RRG1143" s="17"/>
      <c r="RRH1143" s="17"/>
      <c r="RRI1143" s="17"/>
      <c r="RRJ1143" s="17"/>
      <c r="RRK1143" s="17"/>
      <c r="RRL1143" s="17"/>
      <c r="RRM1143" s="17"/>
      <c r="RRN1143" s="17"/>
      <c r="RRO1143" s="17"/>
      <c r="RRP1143" s="17"/>
      <c r="RRQ1143" s="17"/>
      <c r="RRR1143" s="17"/>
      <c r="RRS1143" s="17"/>
      <c r="RRT1143" s="17"/>
      <c r="RRU1143" s="17"/>
      <c r="RRV1143" s="17"/>
      <c r="RRW1143" s="17"/>
      <c r="RRX1143" s="17"/>
      <c r="RRY1143" s="17"/>
      <c r="RRZ1143" s="17"/>
      <c r="RSA1143" s="17"/>
      <c r="RSB1143" s="17"/>
      <c r="RSC1143" s="17"/>
      <c r="RSD1143" s="17"/>
      <c r="RSE1143" s="17"/>
      <c r="RSF1143" s="17"/>
      <c r="RSG1143" s="17"/>
      <c r="RSH1143" s="17"/>
      <c r="RSI1143" s="17"/>
      <c r="RSJ1143" s="17"/>
      <c r="RSK1143" s="17"/>
      <c r="RSL1143" s="17"/>
      <c r="RSM1143" s="17"/>
      <c r="RSN1143" s="17"/>
      <c r="RSO1143" s="17"/>
      <c r="RSP1143" s="17"/>
      <c r="RSQ1143" s="17"/>
      <c r="RSR1143" s="17"/>
      <c r="RSS1143" s="17"/>
      <c r="RST1143" s="17"/>
      <c r="RSU1143" s="17"/>
      <c r="RSV1143" s="17"/>
      <c r="RSW1143" s="17"/>
      <c r="RSX1143" s="17"/>
      <c r="RSY1143" s="17"/>
      <c r="RSZ1143" s="17"/>
      <c r="RTA1143" s="17"/>
      <c r="RTB1143" s="17"/>
      <c r="RTC1143" s="17"/>
      <c r="RTD1143" s="17"/>
      <c r="RTE1143" s="17"/>
      <c r="RTF1143" s="17"/>
      <c r="RTG1143" s="17"/>
      <c r="RTH1143" s="17"/>
      <c r="RTI1143" s="17"/>
      <c r="RTJ1143" s="17"/>
      <c r="RTK1143" s="17"/>
      <c r="RTL1143" s="17"/>
      <c r="RTM1143" s="17"/>
      <c r="RTN1143" s="17"/>
      <c r="RTO1143" s="17"/>
      <c r="RTP1143" s="17"/>
      <c r="RTQ1143" s="17"/>
      <c r="RTR1143" s="17"/>
      <c r="RTS1143" s="17"/>
      <c r="RTT1143" s="17"/>
      <c r="RTU1143" s="17"/>
      <c r="RTV1143" s="17"/>
      <c r="RTW1143" s="17"/>
      <c r="RTX1143" s="17"/>
      <c r="RTY1143" s="17"/>
      <c r="RTZ1143" s="17"/>
      <c r="RUA1143" s="17"/>
      <c r="RUB1143" s="17"/>
      <c r="RUC1143" s="17"/>
      <c r="RUD1143" s="17"/>
      <c r="RUE1143" s="17"/>
      <c r="RUF1143" s="17"/>
      <c r="RUG1143" s="17"/>
      <c r="RUH1143" s="17"/>
      <c r="RUI1143" s="17"/>
      <c r="RUJ1143" s="17"/>
      <c r="RUK1143" s="17"/>
      <c r="RUL1143" s="17"/>
      <c r="RUM1143" s="17"/>
      <c r="RUN1143" s="17"/>
      <c r="RUO1143" s="17"/>
      <c r="RUP1143" s="17"/>
      <c r="RUQ1143" s="17"/>
      <c r="RUR1143" s="17"/>
      <c r="RUS1143" s="17"/>
      <c r="RUT1143" s="17"/>
      <c r="RUU1143" s="17"/>
      <c r="RUV1143" s="17"/>
      <c r="RUW1143" s="17"/>
      <c r="RUX1143" s="17"/>
      <c r="RUY1143" s="17"/>
      <c r="RUZ1143" s="17"/>
      <c r="RVA1143" s="17"/>
      <c r="RVB1143" s="17"/>
      <c r="RVC1143" s="17"/>
      <c r="RVD1143" s="17"/>
      <c r="RVE1143" s="17"/>
      <c r="RVF1143" s="17"/>
      <c r="RVG1143" s="17"/>
      <c r="RVH1143" s="17"/>
      <c r="RVI1143" s="17"/>
      <c r="RVJ1143" s="17"/>
      <c r="RVK1143" s="17"/>
      <c r="RVL1143" s="17"/>
      <c r="RVM1143" s="17"/>
      <c r="RVN1143" s="17"/>
      <c r="RVO1143" s="17"/>
      <c r="RVP1143" s="17"/>
      <c r="RVQ1143" s="17"/>
      <c r="RVR1143" s="17"/>
      <c r="RVS1143" s="17"/>
      <c r="RVT1143" s="17"/>
      <c r="RVU1143" s="17"/>
      <c r="RVV1143" s="17"/>
      <c r="RVW1143" s="17"/>
      <c r="RVX1143" s="17"/>
      <c r="RVY1143" s="17"/>
      <c r="RVZ1143" s="17"/>
      <c r="RWA1143" s="17"/>
      <c r="RWB1143" s="17"/>
      <c r="RWC1143" s="17"/>
      <c r="RWD1143" s="17"/>
      <c r="RWE1143" s="17"/>
      <c r="RWF1143" s="17"/>
      <c r="RWG1143" s="17"/>
      <c r="RWH1143" s="17"/>
      <c r="RWI1143" s="17"/>
      <c r="RWJ1143" s="17"/>
      <c r="RWK1143" s="17"/>
      <c r="RWL1143" s="17"/>
      <c r="RWM1143" s="17"/>
      <c r="RWN1143" s="17"/>
      <c r="RWO1143" s="17"/>
      <c r="RWP1143" s="17"/>
      <c r="RWQ1143" s="17"/>
      <c r="RWR1143" s="17"/>
      <c r="RWS1143" s="17"/>
      <c r="RWT1143" s="17"/>
      <c r="RWU1143" s="17"/>
      <c r="RWV1143" s="17"/>
      <c r="RWW1143" s="17"/>
      <c r="RWX1143" s="17"/>
      <c r="RWY1143" s="17"/>
      <c r="RWZ1143" s="17"/>
      <c r="RXA1143" s="17"/>
      <c r="RXB1143" s="17"/>
      <c r="RXC1143" s="17"/>
      <c r="RXD1143" s="17"/>
      <c r="RXE1143" s="17"/>
      <c r="RXF1143" s="17"/>
      <c r="RXG1143" s="17"/>
      <c r="RXH1143" s="17"/>
      <c r="RXI1143" s="17"/>
      <c r="RXJ1143" s="17"/>
      <c r="RXK1143" s="17"/>
      <c r="RXL1143" s="17"/>
      <c r="RXM1143" s="17"/>
      <c r="RXN1143" s="17"/>
      <c r="RXO1143" s="17"/>
      <c r="RXP1143" s="17"/>
      <c r="RXQ1143" s="17"/>
      <c r="RXR1143" s="17"/>
      <c r="RXS1143" s="17"/>
      <c r="RXT1143" s="17"/>
      <c r="RXU1143" s="17"/>
      <c r="RXV1143" s="17"/>
      <c r="RXW1143" s="17"/>
      <c r="RXX1143" s="17"/>
      <c r="RXY1143" s="17"/>
      <c r="RXZ1143" s="17"/>
      <c r="RYA1143" s="17"/>
      <c r="RYB1143" s="17"/>
      <c r="RYC1143" s="17"/>
      <c r="RYD1143" s="17"/>
      <c r="RYE1143" s="17"/>
      <c r="RYF1143" s="17"/>
      <c r="RYG1143" s="17"/>
      <c r="RYH1143" s="17"/>
      <c r="RYI1143" s="17"/>
      <c r="RYJ1143" s="17"/>
      <c r="RYK1143" s="17"/>
      <c r="RYL1143" s="17"/>
      <c r="RYM1143" s="17"/>
      <c r="RYN1143" s="17"/>
      <c r="RYO1143" s="17"/>
      <c r="RYP1143" s="17"/>
      <c r="RYQ1143" s="17"/>
      <c r="RYR1143" s="17"/>
      <c r="RYS1143" s="17"/>
      <c r="RYT1143" s="17"/>
      <c r="RYU1143" s="17"/>
      <c r="RYV1143" s="17"/>
      <c r="RYW1143" s="17"/>
      <c r="RYX1143" s="17"/>
      <c r="RYY1143" s="17"/>
      <c r="RYZ1143" s="17"/>
      <c r="RZA1143" s="17"/>
      <c r="RZB1143" s="17"/>
      <c r="RZC1143" s="17"/>
      <c r="RZD1143" s="17"/>
      <c r="RZE1143" s="17"/>
      <c r="RZF1143" s="17"/>
      <c r="RZG1143" s="17"/>
      <c r="RZH1143" s="17"/>
      <c r="RZI1143" s="17"/>
      <c r="RZJ1143" s="17"/>
      <c r="RZK1143" s="17"/>
      <c r="RZL1143" s="17"/>
      <c r="RZM1143" s="17"/>
      <c r="RZN1143" s="17"/>
      <c r="RZO1143" s="17"/>
      <c r="RZP1143" s="17"/>
      <c r="RZQ1143" s="17"/>
      <c r="RZR1143" s="17"/>
      <c r="RZS1143" s="17"/>
      <c r="RZT1143" s="17"/>
      <c r="RZU1143" s="17"/>
      <c r="RZV1143" s="17"/>
      <c r="RZW1143" s="17"/>
      <c r="RZX1143" s="17"/>
      <c r="RZY1143" s="17"/>
      <c r="RZZ1143" s="17"/>
      <c r="SAA1143" s="17"/>
      <c r="SAB1143" s="17"/>
      <c r="SAC1143" s="17"/>
      <c r="SAD1143" s="17"/>
      <c r="SAE1143" s="17"/>
      <c r="SAF1143" s="17"/>
      <c r="SAG1143" s="17"/>
      <c r="SAH1143" s="17"/>
      <c r="SAI1143" s="17"/>
      <c r="SAJ1143" s="17"/>
      <c r="SAK1143" s="17"/>
      <c r="SAL1143" s="17"/>
      <c r="SAM1143" s="17"/>
      <c r="SAN1143" s="17"/>
      <c r="SAO1143" s="17"/>
      <c r="SAP1143" s="17"/>
      <c r="SAQ1143" s="17"/>
      <c r="SAR1143" s="17"/>
      <c r="SAS1143" s="17"/>
      <c r="SAT1143" s="17"/>
      <c r="SAU1143" s="17"/>
      <c r="SAV1143" s="17"/>
      <c r="SAW1143" s="17"/>
      <c r="SAX1143" s="17"/>
      <c r="SAY1143" s="17"/>
      <c r="SAZ1143" s="17"/>
      <c r="SBA1143" s="17"/>
      <c r="SBB1143" s="17"/>
      <c r="SBC1143" s="17"/>
      <c r="SBD1143" s="17"/>
      <c r="SBE1143" s="17"/>
      <c r="SBF1143" s="17"/>
      <c r="SBG1143" s="17"/>
      <c r="SBH1143" s="17"/>
      <c r="SBI1143" s="17"/>
      <c r="SBJ1143" s="17"/>
      <c r="SBK1143" s="17"/>
      <c r="SBL1143" s="17"/>
      <c r="SBM1143" s="17"/>
      <c r="SBN1143" s="17"/>
      <c r="SBO1143" s="17"/>
      <c r="SBP1143" s="17"/>
      <c r="SBQ1143" s="17"/>
      <c r="SBR1143" s="17"/>
      <c r="SBS1143" s="17"/>
      <c r="SBT1143" s="17"/>
      <c r="SBU1143" s="17"/>
      <c r="SBV1143" s="17"/>
      <c r="SBW1143" s="17"/>
      <c r="SBX1143" s="17"/>
      <c r="SBY1143" s="17"/>
      <c r="SBZ1143" s="17"/>
      <c r="SCA1143" s="17"/>
      <c r="SCB1143" s="17"/>
      <c r="SCC1143" s="17"/>
      <c r="SCD1143" s="17"/>
      <c r="SCE1143" s="17"/>
      <c r="SCF1143" s="17"/>
      <c r="SCG1143" s="17"/>
      <c r="SCH1143" s="17"/>
      <c r="SCI1143" s="17"/>
      <c r="SCJ1143" s="17"/>
      <c r="SCK1143" s="17"/>
      <c r="SCL1143" s="17"/>
      <c r="SCM1143" s="17"/>
      <c r="SCN1143" s="17"/>
      <c r="SCO1143" s="17"/>
      <c r="SCP1143" s="17"/>
      <c r="SCQ1143" s="17"/>
      <c r="SCR1143" s="17"/>
      <c r="SCS1143" s="17"/>
      <c r="SCT1143" s="17"/>
      <c r="SCU1143" s="17"/>
      <c r="SCV1143" s="17"/>
      <c r="SCW1143" s="17"/>
      <c r="SCX1143" s="17"/>
      <c r="SCY1143" s="17"/>
      <c r="SCZ1143" s="17"/>
      <c r="SDA1143" s="17"/>
      <c r="SDB1143" s="17"/>
      <c r="SDC1143" s="17"/>
      <c r="SDD1143" s="17"/>
      <c r="SDE1143" s="17"/>
      <c r="SDF1143" s="17"/>
      <c r="SDG1143" s="17"/>
      <c r="SDH1143" s="17"/>
      <c r="SDI1143" s="17"/>
      <c r="SDJ1143" s="17"/>
      <c r="SDK1143" s="17"/>
      <c r="SDL1143" s="17"/>
      <c r="SDM1143" s="17"/>
      <c r="SDN1143" s="17"/>
      <c r="SDO1143" s="17"/>
      <c r="SDP1143" s="17"/>
      <c r="SDQ1143" s="17"/>
      <c r="SDR1143" s="17"/>
      <c r="SDS1143" s="17"/>
      <c r="SDT1143" s="17"/>
      <c r="SDU1143" s="17"/>
      <c r="SDV1143" s="17"/>
      <c r="SDW1143" s="17"/>
      <c r="SDX1143" s="17"/>
      <c r="SDY1143" s="17"/>
      <c r="SDZ1143" s="17"/>
      <c r="SEA1143" s="17"/>
      <c r="SEB1143" s="17"/>
      <c r="SEC1143" s="17"/>
      <c r="SED1143" s="17"/>
      <c r="SEE1143" s="17"/>
      <c r="SEF1143" s="17"/>
      <c r="SEG1143" s="17"/>
      <c r="SEH1143" s="17"/>
      <c r="SEI1143" s="17"/>
      <c r="SEJ1143" s="17"/>
      <c r="SEK1143" s="17"/>
      <c r="SEL1143" s="17"/>
      <c r="SEM1143" s="17"/>
      <c r="SEN1143" s="17"/>
      <c r="SEO1143" s="17"/>
      <c r="SEP1143" s="17"/>
      <c r="SEQ1143" s="17"/>
      <c r="SER1143" s="17"/>
      <c r="SES1143" s="17"/>
      <c r="SET1143" s="17"/>
      <c r="SEU1143" s="17"/>
      <c r="SEV1143" s="17"/>
      <c r="SEW1143" s="17"/>
      <c r="SEX1143" s="17"/>
      <c r="SEY1143" s="17"/>
      <c r="SEZ1143" s="17"/>
      <c r="SFA1143" s="17"/>
      <c r="SFB1143" s="17"/>
      <c r="SFC1143" s="17"/>
      <c r="SFD1143" s="17"/>
      <c r="SFE1143" s="17"/>
      <c r="SFF1143" s="17"/>
      <c r="SFG1143" s="17"/>
      <c r="SFH1143" s="17"/>
      <c r="SFI1143" s="17"/>
      <c r="SFJ1143" s="17"/>
      <c r="SFK1143" s="17"/>
      <c r="SFL1143" s="17"/>
      <c r="SFM1143" s="17"/>
      <c r="SFN1143" s="17"/>
      <c r="SFO1143" s="17"/>
      <c r="SFP1143" s="17"/>
      <c r="SFQ1143" s="17"/>
      <c r="SFR1143" s="17"/>
      <c r="SFS1143" s="17"/>
      <c r="SFT1143" s="17"/>
      <c r="SFU1143" s="17"/>
      <c r="SFV1143" s="17"/>
      <c r="SFW1143" s="17"/>
      <c r="SFX1143" s="17"/>
      <c r="SFY1143" s="17"/>
      <c r="SFZ1143" s="17"/>
      <c r="SGA1143" s="17"/>
      <c r="SGB1143" s="17"/>
      <c r="SGC1143" s="17"/>
      <c r="SGD1143" s="17"/>
      <c r="SGE1143" s="17"/>
      <c r="SGF1143" s="17"/>
      <c r="SGG1143" s="17"/>
      <c r="SGH1143" s="17"/>
      <c r="SGI1143" s="17"/>
      <c r="SGJ1143" s="17"/>
      <c r="SGK1143" s="17"/>
      <c r="SGL1143" s="17"/>
      <c r="SGM1143" s="17"/>
      <c r="SGN1143" s="17"/>
      <c r="SGO1143" s="17"/>
      <c r="SGP1143" s="17"/>
      <c r="SGQ1143" s="17"/>
      <c r="SGR1143" s="17"/>
      <c r="SGS1143" s="17"/>
      <c r="SGT1143" s="17"/>
      <c r="SGU1143" s="17"/>
      <c r="SGV1143" s="17"/>
      <c r="SGW1143" s="17"/>
      <c r="SGX1143" s="17"/>
      <c r="SGY1143" s="17"/>
      <c r="SGZ1143" s="17"/>
      <c r="SHA1143" s="17"/>
      <c r="SHB1143" s="17"/>
      <c r="SHC1143" s="17"/>
      <c r="SHD1143" s="17"/>
      <c r="SHE1143" s="17"/>
      <c r="SHF1143" s="17"/>
      <c r="SHG1143" s="17"/>
      <c r="SHH1143" s="17"/>
      <c r="SHI1143" s="17"/>
      <c r="SHJ1143" s="17"/>
      <c r="SHK1143" s="17"/>
      <c r="SHL1143" s="17"/>
      <c r="SHM1143" s="17"/>
      <c r="SHN1143" s="17"/>
      <c r="SHO1143" s="17"/>
      <c r="SHP1143" s="17"/>
      <c r="SHQ1143" s="17"/>
      <c r="SHR1143" s="17"/>
      <c r="SHS1143" s="17"/>
      <c r="SHT1143" s="17"/>
      <c r="SHU1143" s="17"/>
      <c r="SHV1143" s="17"/>
      <c r="SHW1143" s="17"/>
      <c r="SHX1143" s="17"/>
      <c r="SHY1143" s="17"/>
      <c r="SHZ1143" s="17"/>
      <c r="SIA1143" s="17"/>
      <c r="SIB1143" s="17"/>
      <c r="SIC1143" s="17"/>
      <c r="SID1143" s="17"/>
      <c r="SIE1143" s="17"/>
      <c r="SIF1143" s="17"/>
      <c r="SIG1143" s="17"/>
      <c r="SIH1143" s="17"/>
      <c r="SII1143" s="17"/>
      <c r="SIJ1143" s="17"/>
      <c r="SIK1143" s="17"/>
      <c r="SIL1143" s="17"/>
      <c r="SIM1143" s="17"/>
      <c r="SIN1143" s="17"/>
      <c r="SIO1143" s="17"/>
      <c r="SIP1143" s="17"/>
      <c r="SIQ1143" s="17"/>
      <c r="SIR1143" s="17"/>
      <c r="SIS1143" s="17"/>
      <c r="SIT1143" s="17"/>
      <c r="SIU1143" s="17"/>
      <c r="SIV1143" s="17"/>
      <c r="SIW1143" s="17"/>
      <c r="SIX1143" s="17"/>
      <c r="SIY1143" s="17"/>
      <c r="SIZ1143" s="17"/>
      <c r="SJA1143" s="17"/>
      <c r="SJB1143" s="17"/>
      <c r="SJC1143" s="17"/>
      <c r="SJD1143" s="17"/>
      <c r="SJE1143" s="17"/>
      <c r="SJF1143" s="17"/>
      <c r="SJG1143" s="17"/>
      <c r="SJH1143" s="17"/>
      <c r="SJI1143" s="17"/>
      <c r="SJJ1143" s="17"/>
      <c r="SJK1143" s="17"/>
      <c r="SJL1143" s="17"/>
      <c r="SJM1143" s="17"/>
      <c r="SJN1143" s="17"/>
      <c r="SJO1143" s="17"/>
      <c r="SJP1143" s="17"/>
      <c r="SJQ1143" s="17"/>
      <c r="SJR1143" s="17"/>
      <c r="SJS1143" s="17"/>
      <c r="SJT1143" s="17"/>
      <c r="SJU1143" s="17"/>
      <c r="SJV1143" s="17"/>
      <c r="SJW1143" s="17"/>
      <c r="SJX1143" s="17"/>
      <c r="SJY1143" s="17"/>
      <c r="SJZ1143" s="17"/>
      <c r="SKA1143" s="17"/>
      <c r="SKB1143" s="17"/>
      <c r="SKC1143" s="17"/>
      <c r="SKD1143" s="17"/>
      <c r="SKE1143" s="17"/>
      <c r="SKF1143" s="17"/>
      <c r="SKG1143" s="17"/>
      <c r="SKH1143" s="17"/>
      <c r="SKI1143" s="17"/>
      <c r="SKJ1143" s="17"/>
      <c r="SKK1143" s="17"/>
      <c r="SKL1143" s="17"/>
      <c r="SKM1143" s="17"/>
      <c r="SKN1143" s="17"/>
      <c r="SKO1143" s="17"/>
      <c r="SKP1143" s="17"/>
      <c r="SKQ1143" s="17"/>
      <c r="SKR1143" s="17"/>
      <c r="SKS1143" s="17"/>
      <c r="SKT1143" s="17"/>
      <c r="SKU1143" s="17"/>
      <c r="SKV1143" s="17"/>
      <c r="SKW1143" s="17"/>
      <c r="SKX1143" s="17"/>
      <c r="SKY1143" s="17"/>
      <c r="SKZ1143" s="17"/>
      <c r="SLA1143" s="17"/>
      <c r="SLB1143" s="17"/>
      <c r="SLC1143" s="17"/>
      <c r="SLD1143" s="17"/>
      <c r="SLE1143" s="17"/>
      <c r="SLF1143" s="17"/>
      <c r="SLG1143" s="17"/>
      <c r="SLH1143" s="17"/>
      <c r="SLI1143" s="17"/>
      <c r="SLJ1143" s="17"/>
      <c r="SLK1143" s="17"/>
      <c r="SLL1143" s="17"/>
      <c r="SLM1143" s="17"/>
      <c r="SLN1143" s="17"/>
      <c r="SLO1143" s="17"/>
      <c r="SLP1143" s="17"/>
      <c r="SLQ1143" s="17"/>
      <c r="SLR1143" s="17"/>
      <c r="SLS1143" s="17"/>
      <c r="SLT1143" s="17"/>
      <c r="SLU1143" s="17"/>
      <c r="SLV1143" s="17"/>
      <c r="SLW1143" s="17"/>
      <c r="SLX1143" s="17"/>
      <c r="SLY1143" s="17"/>
      <c r="SLZ1143" s="17"/>
      <c r="SMA1143" s="17"/>
      <c r="SMB1143" s="17"/>
      <c r="SMC1143" s="17"/>
      <c r="SMD1143" s="17"/>
      <c r="SME1143" s="17"/>
      <c r="SMF1143" s="17"/>
      <c r="SMG1143" s="17"/>
      <c r="SMH1143" s="17"/>
      <c r="SMI1143" s="17"/>
      <c r="SMJ1143" s="17"/>
      <c r="SMK1143" s="17"/>
      <c r="SML1143" s="17"/>
      <c r="SMM1143" s="17"/>
      <c r="SMN1143" s="17"/>
      <c r="SMO1143" s="17"/>
      <c r="SMP1143" s="17"/>
      <c r="SMQ1143" s="17"/>
      <c r="SMR1143" s="17"/>
      <c r="SMS1143" s="17"/>
      <c r="SMT1143" s="17"/>
      <c r="SMU1143" s="17"/>
      <c r="SMV1143" s="17"/>
      <c r="SMW1143" s="17"/>
      <c r="SMX1143" s="17"/>
      <c r="SMY1143" s="17"/>
      <c r="SMZ1143" s="17"/>
      <c r="SNA1143" s="17"/>
      <c r="SNB1143" s="17"/>
      <c r="SNC1143" s="17"/>
      <c r="SND1143" s="17"/>
      <c r="SNE1143" s="17"/>
      <c r="SNF1143" s="17"/>
      <c r="SNG1143" s="17"/>
      <c r="SNH1143" s="17"/>
      <c r="SNI1143" s="17"/>
      <c r="SNJ1143" s="17"/>
      <c r="SNK1143" s="17"/>
      <c r="SNL1143" s="17"/>
      <c r="SNM1143" s="17"/>
      <c r="SNN1143" s="17"/>
      <c r="SNO1143" s="17"/>
      <c r="SNP1143" s="17"/>
      <c r="SNQ1143" s="17"/>
      <c r="SNR1143" s="17"/>
      <c r="SNS1143" s="17"/>
      <c r="SNT1143" s="17"/>
      <c r="SNU1143" s="17"/>
      <c r="SNV1143" s="17"/>
      <c r="SNW1143" s="17"/>
      <c r="SNX1143" s="17"/>
      <c r="SNY1143" s="17"/>
      <c r="SNZ1143" s="17"/>
      <c r="SOA1143" s="17"/>
      <c r="SOB1143" s="17"/>
      <c r="SOC1143" s="17"/>
      <c r="SOD1143" s="17"/>
      <c r="SOE1143" s="17"/>
      <c r="SOF1143" s="17"/>
      <c r="SOG1143" s="17"/>
      <c r="SOH1143" s="17"/>
      <c r="SOI1143" s="17"/>
      <c r="SOJ1143" s="17"/>
      <c r="SOK1143" s="17"/>
      <c r="SOL1143" s="17"/>
      <c r="SOM1143" s="17"/>
      <c r="SON1143" s="17"/>
      <c r="SOO1143" s="17"/>
      <c r="SOP1143" s="17"/>
      <c r="SOQ1143" s="17"/>
      <c r="SOR1143" s="17"/>
      <c r="SOS1143" s="17"/>
      <c r="SOT1143" s="17"/>
      <c r="SOU1143" s="17"/>
      <c r="SOV1143" s="17"/>
      <c r="SOW1143" s="17"/>
      <c r="SOX1143" s="17"/>
      <c r="SOY1143" s="17"/>
      <c r="SOZ1143" s="17"/>
      <c r="SPA1143" s="17"/>
      <c r="SPB1143" s="17"/>
      <c r="SPC1143" s="17"/>
      <c r="SPD1143" s="17"/>
      <c r="SPE1143" s="17"/>
      <c r="SPF1143" s="17"/>
      <c r="SPG1143" s="17"/>
      <c r="SPH1143" s="17"/>
      <c r="SPI1143" s="17"/>
      <c r="SPJ1143" s="17"/>
      <c r="SPK1143" s="17"/>
      <c r="SPL1143" s="17"/>
      <c r="SPM1143" s="17"/>
      <c r="SPN1143" s="17"/>
      <c r="SPO1143" s="17"/>
      <c r="SPP1143" s="17"/>
      <c r="SPQ1143" s="17"/>
      <c r="SPR1143" s="17"/>
      <c r="SPS1143" s="17"/>
      <c r="SPT1143" s="17"/>
      <c r="SPU1143" s="17"/>
      <c r="SPV1143" s="17"/>
      <c r="SPW1143" s="17"/>
      <c r="SPX1143" s="17"/>
      <c r="SPY1143" s="17"/>
      <c r="SPZ1143" s="17"/>
      <c r="SQA1143" s="17"/>
      <c r="SQB1143" s="17"/>
      <c r="SQC1143" s="17"/>
      <c r="SQD1143" s="17"/>
      <c r="SQE1143" s="17"/>
      <c r="SQF1143" s="17"/>
      <c r="SQG1143" s="17"/>
      <c r="SQH1143" s="17"/>
      <c r="SQI1143" s="17"/>
      <c r="SQJ1143" s="17"/>
      <c r="SQK1143" s="17"/>
      <c r="SQL1143" s="17"/>
      <c r="SQM1143" s="17"/>
      <c r="SQN1143" s="17"/>
      <c r="SQO1143" s="17"/>
      <c r="SQP1143" s="17"/>
      <c r="SQQ1143" s="17"/>
      <c r="SQR1143" s="17"/>
      <c r="SQS1143" s="17"/>
      <c r="SQT1143" s="17"/>
      <c r="SQU1143" s="17"/>
      <c r="SQV1143" s="17"/>
      <c r="SQW1143" s="17"/>
      <c r="SQX1143" s="17"/>
      <c r="SQY1143" s="17"/>
      <c r="SQZ1143" s="17"/>
      <c r="SRA1143" s="17"/>
      <c r="SRB1143" s="17"/>
      <c r="SRC1143" s="17"/>
      <c r="SRD1143" s="17"/>
      <c r="SRE1143" s="17"/>
      <c r="SRF1143" s="17"/>
      <c r="SRG1143" s="17"/>
      <c r="SRH1143" s="17"/>
      <c r="SRI1143" s="17"/>
      <c r="SRJ1143" s="17"/>
      <c r="SRK1143" s="17"/>
      <c r="SRL1143" s="17"/>
      <c r="SRM1143" s="17"/>
      <c r="SRN1143" s="17"/>
      <c r="SRO1143" s="17"/>
      <c r="SRP1143" s="17"/>
      <c r="SRQ1143" s="17"/>
      <c r="SRR1143" s="17"/>
      <c r="SRS1143" s="17"/>
      <c r="SRT1143" s="17"/>
      <c r="SRU1143" s="17"/>
      <c r="SRV1143" s="17"/>
      <c r="SRW1143" s="17"/>
      <c r="SRX1143" s="17"/>
      <c r="SRY1143" s="17"/>
      <c r="SRZ1143" s="17"/>
      <c r="SSA1143" s="17"/>
      <c r="SSB1143" s="17"/>
      <c r="SSC1143" s="17"/>
      <c r="SSD1143" s="17"/>
      <c r="SSE1143" s="17"/>
      <c r="SSF1143" s="17"/>
      <c r="SSG1143" s="17"/>
      <c r="SSH1143" s="17"/>
      <c r="SSI1143" s="17"/>
      <c r="SSJ1143" s="17"/>
      <c r="SSK1143" s="17"/>
      <c r="SSL1143" s="17"/>
      <c r="SSM1143" s="17"/>
      <c r="SSN1143" s="17"/>
      <c r="SSO1143" s="17"/>
      <c r="SSP1143" s="17"/>
      <c r="SSQ1143" s="17"/>
      <c r="SSR1143" s="17"/>
      <c r="SSS1143" s="17"/>
      <c r="SST1143" s="17"/>
      <c r="SSU1143" s="17"/>
      <c r="SSV1143" s="17"/>
      <c r="SSW1143" s="17"/>
      <c r="SSX1143" s="17"/>
      <c r="SSY1143" s="17"/>
      <c r="SSZ1143" s="17"/>
      <c r="STA1143" s="17"/>
      <c r="STB1143" s="17"/>
      <c r="STC1143" s="17"/>
      <c r="STD1143" s="17"/>
      <c r="STE1143" s="17"/>
      <c r="STF1143" s="17"/>
      <c r="STG1143" s="17"/>
      <c r="STH1143" s="17"/>
      <c r="STI1143" s="17"/>
      <c r="STJ1143" s="17"/>
      <c r="STK1143" s="17"/>
      <c r="STL1143" s="17"/>
      <c r="STM1143" s="17"/>
      <c r="STN1143" s="17"/>
      <c r="STO1143" s="17"/>
      <c r="STP1143" s="17"/>
      <c r="STQ1143" s="17"/>
      <c r="STR1143" s="17"/>
      <c r="STS1143" s="17"/>
      <c r="STT1143" s="17"/>
      <c r="STU1143" s="17"/>
      <c r="STV1143" s="17"/>
      <c r="STW1143" s="17"/>
      <c r="STX1143" s="17"/>
      <c r="STY1143" s="17"/>
      <c r="STZ1143" s="17"/>
      <c r="SUA1143" s="17"/>
      <c r="SUB1143" s="17"/>
      <c r="SUC1143" s="17"/>
      <c r="SUD1143" s="17"/>
      <c r="SUE1143" s="17"/>
      <c r="SUF1143" s="17"/>
      <c r="SUG1143" s="17"/>
      <c r="SUH1143" s="17"/>
      <c r="SUI1143" s="17"/>
      <c r="SUJ1143" s="17"/>
      <c r="SUK1143" s="17"/>
      <c r="SUL1143" s="17"/>
      <c r="SUM1143" s="17"/>
      <c r="SUN1143" s="17"/>
      <c r="SUO1143" s="17"/>
      <c r="SUP1143" s="17"/>
      <c r="SUQ1143" s="17"/>
      <c r="SUR1143" s="17"/>
      <c r="SUS1143" s="17"/>
      <c r="SUT1143" s="17"/>
      <c r="SUU1143" s="17"/>
      <c r="SUV1143" s="17"/>
      <c r="SUW1143" s="17"/>
      <c r="SUX1143" s="17"/>
      <c r="SUY1143" s="17"/>
      <c r="SUZ1143" s="17"/>
      <c r="SVA1143" s="17"/>
      <c r="SVB1143" s="17"/>
      <c r="SVC1143" s="17"/>
      <c r="SVD1143" s="17"/>
      <c r="SVE1143" s="17"/>
      <c r="SVF1143" s="17"/>
      <c r="SVG1143" s="17"/>
      <c r="SVH1143" s="17"/>
      <c r="SVI1143" s="17"/>
      <c r="SVJ1143" s="17"/>
      <c r="SVK1143" s="17"/>
      <c r="SVL1143" s="17"/>
      <c r="SVM1143" s="17"/>
      <c r="SVN1143" s="17"/>
      <c r="SVO1143" s="17"/>
      <c r="SVP1143" s="17"/>
      <c r="SVQ1143" s="17"/>
      <c r="SVR1143" s="17"/>
      <c r="SVS1143" s="17"/>
      <c r="SVT1143" s="17"/>
      <c r="SVU1143" s="17"/>
      <c r="SVV1143" s="17"/>
      <c r="SVW1143" s="17"/>
      <c r="SVX1143" s="17"/>
      <c r="SVY1143" s="17"/>
      <c r="SVZ1143" s="17"/>
      <c r="SWA1143" s="17"/>
      <c r="SWB1143" s="17"/>
      <c r="SWC1143" s="17"/>
      <c r="SWD1143" s="17"/>
      <c r="SWE1143" s="17"/>
      <c r="SWF1143" s="17"/>
      <c r="SWG1143" s="17"/>
      <c r="SWH1143" s="17"/>
      <c r="SWI1143" s="17"/>
      <c r="SWJ1143" s="17"/>
      <c r="SWK1143" s="17"/>
      <c r="SWL1143" s="17"/>
      <c r="SWM1143" s="17"/>
      <c r="SWN1143" s="17"/>
      <c r="SWO1143" s="17"/>
      <c r="SWP1143" s="17"/>
      <c r="SWQ1143" s="17"/>
      <c r="SWR1143" s="17"/>
      <c r="SWS1143" s="17"/>
      <c r="SWT1143" s="17"/>
      <c r="SWU1143" s="17"/>
      <c r="SWV1143" s="17"/>
      <c r="SWW1143" s="17"/>
      <c r="SWX1143" s="17"/>
      <c r="SWY1143" s="17"/>
      <c r="SWZ1143" s="17"/>
      <c r="SXA1143" s="17"/>
      <c r="SXB1143" s="17"/>
      <c r="SXC1143" s="17"/>
      <c r="SXD1143" s="17"/>
      <c r="SXE1143" s="17"/>
      <c r="SXF1143" s="17"/>
      <c r="SXG1143" s="17"/>
      <c r="SXH1143" s="17"/>
      <c r="SXI1143" s="17"/>
      <c r="SXJ1143" s="17"/>
      <c r="SXK1143" s="17"/>
      <c r="SXL1143" s="17"/>
      <c r="SXM1143" s="17"/>
      <c r="SXN1143" s="17"/>
      <c r="SXO1143" s="17"/>
      <c r="SXP1143" s="17"/>
      <c r="SXQ1143" s="17"/>
      <c r="SXR1143" s="17"/>
      <c r="SXS1143" s="17"/>
      <c r="SXT1143" s="17"/>
      <c r="SXU1143" s="17"/>
      <c r="SXV1143" s="17"/>
      <c r="SXW1143" s="17"/>
      <c r="SXX1143" s="17"/>
      <c r="SXY1143" s="17"/>
      <c r="SXZ1143" s="17"/>
      <c r="SYA1143" s="17"/>
      <c r="SYB1143" s="17"/>
      <c r="SYC1143" s="17"/>
      <c r="SYD1143" s="17"/>
      <c r="SYE1143" s="17"/>
      <c r="SYF1143" s="17"/>
      <c r="SYG1143" s="17"/>
      <c r="SYH1143" s="17"/>
      <c r="SYI1143" s="17"/>
      <c r="SYJ1143" s="17"/>
      <c r="SYK1143" s="17"/>
      <c r="SYL1143" s="17"/>
      <c r="SYM1143" s="17"/>
      <c r="SYN1143" s="17"/>
      <c r="SYO1143" s="17"/>
      <c r="SYP1143" s="17"/>
      <c r="SYQ1143" s="17"/>
      <c r="SYR1143" s="17"/>
      <c r="SYS1143" s="17"/>
      <c r="SYT1143" s="17"/>
      <c r="SYU1143" s="17"/>
      <c r="SYV1143" s="17"/>
      <c r="SYW1143" s="17"/>
      <c r="SYX1143" s="17"/>
      <c r="SYY1143" s="17"/>
      <c r="SYZ1143" s="17"/>
      <c r="SZA1143" s="17"/>
      <c r="SZB1143" s="17"/>
      <c r="SZC1143" s="17"/>
      <c r="SZD1143" s="17"/>
      <c r="SZE1143" s="17"/>
      <c r="SZF1143" s="17"/>
      <c r="SZG1143" s="17"/>
      <c r="SZH1143" s="17"/>
      <c r="SZI1143" s="17"/>
      <c r="SZJ1143" s="17"/>
      <c r="SZK1143" s="17"/>
      <c r="SZL1143" s="17"/>
      <c r="SZM1143" s="17"/>
      <c r="SZN1143" s="17"/>
      <c r="SZO1143" s="17"/>
      <c r="SZP1143" s="17"/>
      <c r="SZQ1143" s="17"/>
      <c r="SZR1143" s="17"/>
      <c r="SZS1143" s="17"/>
      <c r="SZT1143" s="17"/>
      <c r="SZU1143" s="17"/>
      <c r="SZV1143" s="17"/>
      <c r="SZW1143" s="17"/>
      <c r="SZX1143" s="17"/>
      <c r="SZY1143" s="17"/>
      <c r="SZZ1143" s="17"/>
      <c r="TAA1143" s="17"/>
      <c r="TAB1143" s="17"/>
      <c r="TAC1143" s="17"/>
      <c r="TAD1143" s="17"/>
      <c r="TAE1143" s="17"/>
      <c r="TAF1143" s="17"/>
      <c r="TAG1143" s="17"/>
      <c r="TAH1143" s="17"/>
      <c r="TAI1143" s="17"/>
      <c r="TAJ1143" s="17"/>
      <c r="TAK1143" s="17"/>
      <c r="TAL1143" s="17"/>
      <c r="TAM1143" s="17"/>
      <c r="TAN1143" s="17"/>
      <c r="TAO1143" s="17"/>
      <c r="TAP1143" s="17"/>
      <c r="TAQ1143" s="17"/>
      <c r="TAR1143" s="17"/>
      <c r="TAS1143" s="17"/>
      <c r="TAT1143" s="17"/>
      <c r="TAU1143" s="17"/>
      <c r="TAV1143" s="17"/>
      <c r="TAW1143" s="17"/>
      <c r="TAX1143" s="17"/>
      <c r="TAY1143" s="17"/>
      <c r="TAZ1143" s="17"/>
      <c r="TBA1143" s="17"/>
      <c r="TBB1143" s="17"/>
      <c r="TBC1143" s="17"/>
      <c r="TBD1143" s="17"/>
      <c r="TBE1143" s="17"/>
      <c r="TBF1143" s="17"/>
      <c r="TBG1143" s="17"/>
      <c r="TBH1143" s="17"/>
      <c r="TBI1143" s="17"/>
      <c r="TBJ1143" s="17"/>
      <c r="TBK1143" s="17"/>
      <c r="TBL1143" s="17"/>
      <c r="TBM1143" s="17"/>
      <c r="TBN1143" s="17"/>
      <c r="TBO1143" s="17"/>
      <c r="TBP1143" s="17"/>
      <c r="TBQ1143" s="17"/>
      <c r="TBR1143" s="17"/>
      <c r="TBS1143" s="17"/>
      <c r="TBT1143" s="17"/>
      <c r="TBU1143" s="17"/>
      <c r="TBV1143" s="17"/>
      <c r="TBW1143" s="17"/>
      <c r="TBX1143" s="17"/>
      <c r="TBY1143" s="17"/>
      <c r="TBZ1143" s="17"/>
      <c r="TCA1143" s="17"/>
      <c r="TCB1143" s="17"/>
      <c r="TCC1143" s="17"/>
      <c r="TCD1143" s="17"/>
      <c r="TCE1143" s="17"/>
      <c r="TCF1143" s="17"/>
      <c r="TCG1143" s="17"/>
      <c r="TCH1143" s="17"/>
      <c r="TCI1143" s="17"/>
      <c r="TCJ1143" s="17"/>
      <c r="TCK1143" s="17"/>
      <c r="TCL1143" s="17"/>
      <c r="TCM1143" s="17"/>
      <c r="TCN1143" s="17"/>
      <c r="TCO1143" s="17"/>
      <c r="TCP1143" s="17"/>
      <c r="TCQ1143" s="17"/>
      <c r="TCR1143" s="17"/>
      <c r="TCS1143" s="17"/>
      <c r="TCT1143" s="17"/>
      <c r="TCU1143" s="17"/>
      <c r="TCV1143" s="17"/>
      <c r="TCW1143" s="17"/>
      <c r="TCX1143" s="17"/>
      <c r="TCY1143" s="17"/>
      <c r="TCZ1143" s="17"/>
      <c r="TDA1143" s="17"/>
      <c r="TDB1143" s="17"/>
      <c r="TDC1143" s="17"/>
      <c r="TDD1143" s="17"/>
      <c r="TDE1143" s="17"/>
      <c r="TDF1143" s="17"/>
      <c r="TDG1143" s="17"/>
      <c r="TDH1143" s="17"/>
      <c r="TDI1143" s="17"/>
      <c r="TDJ1143" s="17"/>
      <c r="TDK1143" s="17"/>
      <c r="TDL1143" s="17"/>
      <c r="TDM1143" s="17"/>
      <c r="TDN1143" s="17"/>
      <c r="TDO1143" s="17"/>
      <c r="TDP1143" s="17"/>
      <c r="TDQ1143" s="17"/>
      <c r="TDR1143" s="17"/>
      <c r="TDS1143" s="17"/>
      <c r="TDT1143" s="17"/>
      <c r="TDU1143" s="17"/>
      <c r="TDV1143" s="17"/>
      <c r="TDW1143" s="17"/>
      <c r="TDX1143" s="17"/>
      <c r="TDY1143" s="17"/>
      <c r="TDZ1143" s="17"/>
      <c r="TEA1143" s="17"/>
      <c r="TEB1143" s="17"/>
      <c r="TEC1143" s="17"/>
      <c r="TED1143" s="17"/>
      <c r="TEE1143" s="17"/>
      <c r="TEF1143" s="17"/>
      <c r="TEG1143" s="17"/>
      <c r="TEH1143" s="17"/>
      <c r="TEI1143" s="17"/>
      <c r="TEJ1143" s="17"/>
      <c r="TEK1143" s="17"/>
      <c r="TEL1143" s="17"/>
      <c r="TEM1143" s="17"/>
      <c r="TEN1143" s="17"/>
      <c r="TEO1143" s="17"/>
      <c r="TEP1143" s="17"/>
      <c r="TEQ1143" s="17"/>
      <c r="TER1143" s="17"/>
      <c r="TES1143" s="17"/>
      <c r="TET1143" s="17"/>
      <c r="TEU1143" s="17"/>
      <c r="TEV1143" s="17"/>
      <c r="TEW1143" s="17"/>
      <c r="TEX1143" s="17"/>
      <c r="TEY1143" s="17"/>
      <c r="TEZ1143" s="17"/>
      <c r="TFA1143" s="17"/>
      <c r="TFB1143" s="17"/>
      <c r="TFC1143" s="17"/>
      <c r="TFD1143" s="17"/>
      <c r="TFE1143" s="17"/>
      <c r="TFF1143" s="17"/>
      <c r="TFG1143" s="17"/>
      <c r="TFH1143" s="17"/>
      <c r="TFI1143" s="17"/>
      <c r="TFJ1143" s="17"/>
      <c r="TFK1143" s="17"/>
      <c r="TFL1143" s="17"/>
      <c r="TFM1143" s="17"/>
      <c r="TFN1143" s="17"/>
      <c r="TFO1143" s="17"/>
      <c r="TFP1143" s="17"/>
      <c r="TFQ1143" s="17"/>
      <c r="TFR1143" s="17"/>
      <c r="TFS1143" s="17"/>
      <c r="TFT1143" s="17"/>
      <c r="TFU1143" s="17"/>
      <c r="TFV1143" s="17"/>
      <c r="TFW1143" s="17"/>
      <c r="TFX1143" s="17"/>
      <c r="TFY1143" s="17"/>
      <c r="TFZ1143" s="17"/>
      <c r="TGA1143" s="17"/>
      <c r="TGB1143" s="17"/>
      <c r="TGC1143" s="17"/>
      <c r="TGD1143" s="17"/>
      <c r="TGE1143" s="17"/>
      <c r="TGF1143" s="17"/>
      <c r="TGG1143" s="17"/>
      <c r="TGH1143" s="17"/>
      <c r="TGI1143" s="17"/>
      <c r="TGJ1143" s="17"/>
      <c r="TGK1143" s="17"/>
      <c r="TGL1143" s="17"/>
      <c r="TGM1143" s="17"/>
      <c r="TGN1143" s="17"/>
      <c r="TGO1143" s="17"/>
      <c r="TGP1143" s="17"/>
      <c r="TGQ1143" s="17"/>
      <c r="TGR1143" s="17"/>
      <c r="TGS1143" s="17"/>
      <c r="TGT1143" s="17"/>
      <c r="TGU1143" s="17"/>
      <c r="TGV1143" s="17"/>
      <c r="TGW1143" s="17"/>
      <c r="TGX1143" s="17"/>
      <c r="TGY1143" s="17"/>
      <c r="TGZ1143" s="17"/>
      <c r="THA1143" s="17"/>
      <c r="THB1143" s="17"/>
      <c r="THC1143" s="17"/>
      <c r="THD1143" s="17"/>
      <c r="THE1143" s="17"/>
      <c r="THF1143" s="17"/>
      <c r="THG1143" s="17"/>
      <c r="THH1143" s="17"/>
      <c r="THI1143" s="17"/>
      <c r="THJ1143" s="17"/>
      <c r="THK1143" s="17"/>
      <c r="THL1143" s="17"/>
      <c r="THM1143" s="17"/>
      <c r="THN1143" s="17"/>
      <c r="THO1143" s="17"/>
      <c r="THP1143" s="17"/>
      <c r="THQ1143" s="17"/>
      <c r="THR1143" s="17"/>
      <c r="THS1143" s="17"/>
      <c r="THT1143" s="17"/>
      <c r="THU1143" s="17"/>
      <c r="THV1143" s="17"/>
      <c r="THW1143" s="17"/>
      <c r="THX1143" s="17"/>
      <c r="THY1143" s="17"/>
      <c r="THZ1143" s="17"/>
      <c r="TIA1143" s="17"/>
      <c r="TIB1143" s="17"/>
      <c r="TIC1143" s="17"/>
      <c r="TID1143" s="17"/>
      <c r="TIE1143" s="17"/>
      <c r="TIF1143" s="17"/>
      <c r="TIG1143" s="17"/>
      <c r="TIH1143" s="17"/>
      <c r="TII1143" s="17"/>
      <c r="TIJ1143" s="17"/>
      <c r="TIK1143" s="17"/>
      <c r="TIL1143" s="17"/>
      <c r="TIM1143" s="17"/>
      <c r="TIN1143" s="17"/>
      <c r="TIO1143" s="17"/>
      <c r="TIP1143" s="17"/>
      <c r="TIQ1143" s="17"/>
      <c r="TIR1143" s="17"/>
      <c r="TIS1143" s="17"/>
      <c r="TIT1143" s="17"/>
      <c r="TIU1143" s="17"/>
      <c r="TIV1143" s="17"/>
      <c r="TIW1143" s="17"/>
      <c r="TIX1143" s="17"/>
      <c r="TIY1143" s="17"/>
      <c r="TIZ1143" s="17"/>
      <c r="TJA1143" s="17"/>
      <c r="TJB1143" s="17"/>
      <c r="TJC1143" s="17"/>
      <c r="TJD1143" s="17"/>
      <c r="TJE1143" s="17"/>
      <c r="TJF1143" s="17"/>
      <c r="TJG1143" s="17"/>
      <c r="TJH1143" s="17"/>
      <c r="TJI1143" s="17"/>
      <c r="TJJ1143" s="17"/>
      <c r="TJK1143" s="17"/>
      <c r="TJL1143" s="17"/>
      <c r="TJM1143" s="17"/>
      <c r="TJN1143" s="17"/>
      <c r="TJO1143" s="17"/>
      <c r="TJP1143" s="17"/>
      <c r="TJQ1143" s="17"/>
      <c r="TJR1143" s="17"/>
      <c r="TJS1143" s="17"/>
      <c r="TJT1143" s="17"/>
      <c r="TJU1143" s="17"/>
      <c r="TJV1143" s="17"/>
      <c r="TJW1143" s="17"/>
      <c r="TJX1143" s="17"/>
      <c r="TJY1143" s="17"/>
      <c r="TJZ1143" s="17"/>
      <c r="TKA1143" s="17"/>
      <c r="TKB1143" s="17"/>
      <c r="TKC1143" s="17"/>
      <c r="TKD1143" s="17"/>
      <c r="TKE1143" s="17"/>
      <c r="TKF1143" s="17"/>
      <c r="TKG1143" s="17"/>
      <c r="TKH1143" s="17"/>
      <c r="TKI1143" s="17"/>
      <c r="TKJ1143" s="17"/>
      <c r="TKK1143" s="17"/>
      <c r="TKL1143" s="17"/>
      <c r="TKM1143" s="17"/>
      <c r="TKN1143" s="17"/>
      <c r="TKO1143" s="17"/>
      <c r="TKP1143" s="17"/>
      <c r="TKQ1143" s="17"/>
      <c r="TKR1143" s="17"/>
      <c r="TKS1143" s="17"/>
      <c r="TKT1143" s="17"/>
      <c r="TKU1143" s="17"/>
      <c r="TKV1143" s="17"/>
      <c r="TKW1143" s="17"/>
      <c r="TKX1143" s="17"/>
      <c r="TKY1143" s="17"/>
      <c r="TKZ1143" s="17"/>
      <c r="TLA1143" s="17"/>
      <c r="TLB1143" s="17"/>
      <c r="TLC1143" s="17"/>
      <c r="TLD1143" s="17"/>
      <c r="TLE1143" s="17"/>
      <c r="TLF1143" s="17"/>
      <c r="TLG1143" s="17"/>
      <c r="TLH1143" s="17"/>
      <c r="TLI1143" s="17"/>
      <c r="TLJ1143" s="17"/>
      <c r="TLK1143" s="17"/>
      <c r="TLL1143" s="17"/>
      <c r="TLM1143" s="17"/>
      <c r="TLN1143" s="17"/>
      <c r="TLO1143" s="17"/>
      <c r="TLP1143" s="17"/>
      <c r="TLQ1143" s="17"/>
      <c r="TLR1143" s="17"/>
      <c r="TLS1143" s="17"/>
      <c r="TLT1143" s="17"/>
      <c r="TLU1143" s="17"/>
      <c r="TLV1143" s="17"/>
      <c r="TLW1143" s="17"/>
      <c r="TLX1143" s="17"/>
      <c r="TLY1143" s="17"/>
      <c r="TLZ1143" s="17"/>
      <c r="TMA1143" s="17"/>
      <c r="TMB1143" s="17"/>
      <c r="TMC1143" s="17"/>
      <c r="TMD1143" s="17"/>
      <c r="TME1143" s="17"/>
      <c r="TMF1143" s="17"/>
      <c r="TMG1143" s="17"/>
      <c r="TMH1143" s="17"/>
      <c r="TMI1143" s="17"/>
      <c r="TMJ1143" s="17"/>
      <c r="TMK1143" s="17"/>
      <c r="TML1143" s="17"/>
      <c r="TMM1143" s="17"/>
      <c r="TMN1143" s="17"/>
      <c r="TMO1143" s="17"/>
      <c r="TMP1143" s="17"/>
      <c r="TMQ1143" s="17"/>
      <c r="TMR1143" s="17"/>
      <c r="TMS1143" s="17"/>
      <c r="TMT1143" s="17"/>
      <c r="TMU1143" s="17"/>
      <c r="TMV1143" s="17"/>
      <c r="TMW1143" s="17"/>
      <c r="TMX1143" s="17"/>
      <c r="TMY1143" s="17"/>
      <c r="TMZ1143" s="17"/>
      <c r="TNA1143" s="17"/>
      <c r="TNB1143" s="17"/>
      <c r="TNC1143" s="17"/>
      <c r="TND1143" s="17"/>
      <c r="TNE1143" s="17"/>
      <c r="TNF1143" s="17"/>
      <c r="TNG1143" s="17"/>
      <c r="TNH1143" s="17"/>
      <c r="TNI1143" s="17"/>
      <c r="TNJ1143" s="17"/>
      <c r="TNK1143" s="17"/>
      <c r="TNL1143" s="17"/>
      <c r="TNM1143" s="17"/>
      <c r="TNN1143" s="17"/>
      <c r="TNO1143" s="17"/>
      <c r="TNP1143" s="17"/>
      <c r="TNQ1143" s="17"/>
      <c r="TNR1143" s="17"/>
      <c r="TNS1143" s="17"/>
      <c r="TNT1143" s="17"/>
      <c r="TNU1143" s="17"/>
      <c r="TNV1143" s="17"/>
      <c r="TNW1143" s="17"/>
      <c r="TNX1143" s="17"/>
      <c r="TNY1143" s="17"/>
      <c r="TNZ1143" s="17"/>
      <c r="TOA1143" s="17"/>
      <c r="TOB1143" s="17"/>
      <c r="TOC1143" s="17"/>
      <c r="TOD1143" s="17"/>
      <c r="TOE1143" s="17"/>
      <c r="TOF1143" s="17"/>
      <c r="TOG1143" s="17"/>
      <c r="TOH1143" s="17"/>
      <c r="TOI1143" s="17"/>
      <c r="TOJ1143" s="17"/>
      <c r="TOK1143" s="17"/>
      <c r="TOL1143" s="17"/>
      <c r="TOM1143" s="17"/>
      <c r="TON1143" s="17"/>
      <c r="TOO1143" s="17"/>
      <c r="TOP1143" s="17"/>
      <c r="TOQ1143" s="17"/>
      <c r="TOR1143" s="17"/>
      <c r="TOS1143" s="17"/>
      <c r="TOT1143" s="17"/>
      <c r="TOU1143" s="17"/>
      <c r="TOV1143" s="17"/>
      <c r="TOW1143" s="17"/>
      <c r="TOX1143" s="17"/>
      <c r="TOY1143" s="17"/>
      <c r="TOZ1143" s="17"/>
      <c r="TPA1143" s="17"/>
      <c r="TPB1143" s="17"/>
      <c r="TPC1143" s="17"/>
      <c r="TPD1143" s="17"/>
      <c r="TPE1143" s="17"/>
      <c r="TPF1143" s="17"/>
      <c r="TPG1143" s="17"/>
      <c r="TPH1143" s="17"/>
      <c r="TPI1143" s="17"/>
      <c r="TPJ1143" s="17"/>
      <c r="TPK1143" s="17"/>
      <c r="TPL1143" s="17"/>
      <c r="TPM1143" s="17"/>
      <c r="TPN1143" s="17"/>
      <c r="TPO1143" s="17"/>
      <c r="TPP1143" s="17"/>
      <c r="TPQ1143" s="17"/>
      <c r="TPR1143" s="17"/>
      <c r="TPS1143" s="17"/>
      <c r="TPT1143" s="17"/>
      <c r="TPU1143" s="17"/>
      <c r="TPV1143" s="17"/>
      <c r="TPW1143" s="17"/>
      <c r="TPX1143" s="17"/>
      <c r="TPY1143" s="17"/>
      <c r="TPZ1143" s="17"/>
      <c r="TQA1143" s="17"/>
      <c r="TQB1143" s="17"/>
      <c r="TQC1143" s="17"/>
      <c r="TQD1143" s="17"/>
      <c r="TQE1143" s="17"/>
      <c r="TQF1143" s="17"/>
      <c r="TQG1143" s="17"/>
      <c r="TQH1143" s="17"/>
      <c r="TQI1143" s="17"/>
      <c r="TQJ1143" s="17"/>
      <c r="TQK1143" s="17"/>
      <c r="TQL1143" s="17"/>
      <c r="TQM1143" s="17"/>
      <c r="TQN1143" s="17"/>
      <c r="TQO1143" s="17"/>
      <c r="TQP1143" s="17"/>
      <c r="TQQ1143" s="17"/>
      <c r="TQR1143" s="17"/>
      <c r="TQS1143" s="17"/>
      <c r="TQT1143" s="17"/>
      <c r="TQU1143" s="17"/>
      <c r="TQV1143" s="17"/>
      <c r="TQW1143" s="17"/>
      <c r="TQX1143" s="17"/>
      <c r="TQY1143" s="17"/>
      <c r="TQZ1143" s="17"/>
      <c r="TRA1143" s="17"/>
      <c r="TRB1143" s="17"/>
      <c r="TRC1143" s="17"/>
      <c r="TRD1143" s="17"/>
      <c r="TRE1143" s="17"/>
      <c r="TRF1143" s="17"/>
      <c r="TRG1143" s="17"/>
      <c r="TRH1143" s="17"/>
      <c r="TRI1143" s="17"/>
      <c r="TRJ1143" s="17"/>
      <c r="TRK1143" s="17"/>
      <c r="TRL1143" s="17"/>
      <c r="TRM1143" s="17"/>
      <c r="TRN1143" s="17"/>
      <c r="TRO1143" s="17"/>
      <c r="TRP1143" s="17"/>
      <c r="TRQ1143" s="17"/>
      <c r="TRR1143" s="17"/>
      <c r="TRS1143" s="17"/>
      <c r="TRT1143" s="17"/>
      <c r="TRU1143" s="17"/>
      <c r="TRV1143" s="17"/>
      <c r="TRW1143" s="17"/>
      <c r="TRX1143" s="17"/>
      <c r="TRY1143" s="17"/>
      <c r="TRZ1143" s="17"/>
      <c r="TSA1143" s="17"/>
      <c r="TSB1143" s="17"/>
      <c r="TSC1143" s="17"/>
      <c r="TSD1143" s="17"/>
      <c r="TSE1143" s="17"/>
      <c r="TSF1143" s="17"/>
      <c r="TSG1143" s="17"/>
      <c r="TSH1143" s="17"/>
      <c r="TSI1143" s="17"/>
      <c r="TSJ1143" s="17"/>
      <c r="TSK1143" s="17"/>
      <c r="TSL1143" s="17"/>
      <c r="TSM1143" s="17"/>
      <c r="TSN1143" s="17"/>
      <c r="TSO1143" s="17"/>
      <c r="TSP1143" s="17"/>
      <c r="TSQ1143" s="17"/>
      <c r="TSR1143" s="17"/>
      <c r="TSS1143" s="17"/>
      <c r="TST1143" s="17"/>
      <c r="TSU1143" s="17"/>
      <c r="TSV1143" s="17"/>
      <c r="TSW1143" s="17"/>
      <c r="TSX1143" s="17"/>
      <c r="TSY1143" s="17"/>
      <c r="TSZ1143" s="17"/>
      <c r="TTA1143" s="17"/>
      <c r="TTB1143" s="17"/>
      <c r="TTC1143" s="17"/>
      <c r="TTD1143" s="17"/>
      <c r="TTE1143" s="17"/>
      <c r="TTF1143" s="17"/>
      <c r="TTG1143" s="17"/>
      <c r="TTH1143" s="17"/>
      <c r="TTI1143" s="17"/>
      <c r="TTJ1143" s="17"/>
      <c r="TTK1143" s="17"/>
      <c r="TTL1143" s="17"/>
      <c r="TTM1143" s="17"/>
      <c r="TTN1143" s="17"/>
      <c r="TTO1143" s="17"/>
      <c r="TTP1143" s="17"/>
      <c r="TTQ1143" s="17"/>
      <c r="TTR1143" s="17"/>
      <c r="TTS1143" s="17"/>
      <c r="TTT1143" s="17"/>
      <c r="TTU1143" s="17"/>
      <c r="TTV1143" s="17"/>
      <c r="TTW1143" s="17"/>
      <c r="TTX1143" s="17"/>
      <c r="TTY1143" s="17"/>
      <c r="TTZ1143" s="17"/>
      <c r="TUA1143" s="17"/>
      <c r="TUB1143" s="17"/>
      <c r="TUC1143" s="17"/>
      <c r="TUD1143" s="17"/>
      <c r="TUE1143" s="17"/>
      <c r="TUF1143" s="17"/>
      <c r="TUG1143" s="17"/>
      <c r="TUH1143" s="17"/>
      <c r="TUI1143" s="17"/>
      <c r="TUJ1143" s="17"/>
      <c r="TUK1143" s="17"/>
      <c r="TUL1143" s="17"/>
      <c r="TUM1143" s="17"/>
      <c r="TUN1143" s="17"/>
      <c r="TUO1143" s="17"/>
      <c r="TUP1143" s="17"/>
      <c r="TUQ1143" s="17"/>
      <c r="TUR1143" s="17"/>
      <c r="TUS1143" s="17"/>
      <c r="TUT1143" s="17"/>
      <c r="TUU1143" s="17"/>
      <c r="TUV1143" s="17"/>
      <c r="TUW1143" s="17"/>
      <c r="TUX1143" s="17"/>
      <c r="TUY1143" s="17"/>
      <c r="TUZ1143" s="17"/>
      <c r="TVA1143" s="17"/>
      <c r="TVB1143" s="17"/>
      <c r="TVC1143" s="17"/>
      <c r="TVD1143" s="17"/>
      <c r="TVE1143" s="17"/>
      <c r="TVF1143" s="17"/>
      <c r="TVG1143" s="17"/>
      <c r="TVH1143" s="17"/>
      <c r="TVI1143" s="17"/>
      <c r="TVJ1143" s="17"/>
      <c r="TVK1143" s="17"/>
      <c r="TVL1143" s="17"/>
      <c r="TVM1143" s="17"/>
      <c r="TVN1143" s="17"/>
      <c r="TVO1143" s="17"/>
      <c r="TVP1143" s="17"/>
      <c r="TVQ1143" s="17"/>
      <c r="TVR1143" s="17"/>
      <c r="TVS1143" s="17"/>
      <c r="TVT1143" s="17"/>
      <c r="TVU1143" s="17"/>
      <c r="TVV1143" s="17"/>
      <c r="TVW1143" s="17"/>
      <c r="TVX1143" s="17"/>
      <c r="TVY1143" s="17"/>
      <c r="TVZ1143" s="17"/>
      <c r="TWA1143" s="17"/>
      <c r="TWB1143" s="17"/>
      <c r="TWC1143" s="17"/>
      <c r="TWD1143" s="17"/>
      <c r="TWE1143" s="17"/>
      <c r="TWF1143" s="17"/>
      <c r="TWG1143" s="17"/>
      <c r="TWH1143" s="17"/>
      <c r="TWI1143" s="17"/>
      <c r="TWJ1143" s="17"/>
      <c r="TWK1143" s="17"/>
      <c r="TWL1143" s="17"/>
      <c r="TWM1143" s="17"/>
      <c r="TWN1143" s="17"/>
      <c r="TWO1143" s="17"/>
      <c r="TWP1143" s="17"/>
      <c r="TWQ1143" s="17"/>
      <c r="TWR1143" s="17"/>
      <c r="TWS1143" s="17"/>
      <c r="TWT1143" s="17"/>
      <c r="TWU1143" s="17"/>
      <c r="TWV1143" s="17"/>
      <c r="TWW1143" s="17"/>
      <c r="TWX1143" s="17"/>
      <c r="TWY1143" s="17"/>
      <c r="TWZ1143" s="17"/>
      <c r="TXA1143" s="17"/>
      <c r="TXB1143" s="17"/>
      <c r="TXC1143" s="17"/>
      <c r="TXD1143" s="17"/>
      <c r="TXE1143" s="17"/>
      <c r="TXF1143" s="17"/>
      <c r="TXG1143" s="17"/>
      <c r="TXH1143" s="17"/>
      <c r="TXI1143" s="17"/>
      <c r="TXJ1143" s="17"/>
      <c r="TXK1143" s="17"/>
      <c r="TXL1143" s="17"/>
      <c r="TXM1143" s="17"/>
      <c r="TXN1143" s="17"/>
      <c r="TXO1143" s="17"/>
      <c r="TXP1143" s="17"/>
      <c r="TXQ1143" s="17"/>
      <c r="TXR1143" s="17"/>
      <c r="TXS1143" s="17"/>
      <c r="TXT1143" s="17"/>
      <c r="TXU1143" s="17"/>
      <c r="TXV1143" s="17"/>
      <c r="TXW1143" s="17"/>
      <c r="TXX1143" s="17"/>
      <c r="TXY1143" s="17"/>
      <c r="TXZ1143" s="17"/>
      <c r="TYA1143" s="17"/>
      <c r="TYB1143" s="17"/>
      <c r="TYC1143" s="17"/>
      <c r="TYD1143" s="17"/>
      <c r="TYE1143" s="17"/>
      <c r="TYF1143" s="17"/>
      <c r="TYG1143" s="17"/>
      <c r="TYH1143" s="17"/>
      <c r="TYI1143" s="17"/>
      <c r="TYJ1143" s="17"/>
      <c r="TYK1143" s="17"/>
      <c r="TYL1143" s="17"/>
      <c r="TYM1143" s="17"/>
      <c r="TYN1143" s="17"/>
      <c r="TYO1143" s="17"/>
      <c r="TYP1143" s="17"/>
      <c r="TYQ1143" s="17"/>
      <c r="TYR1143" s="17"/>
      <c r="TYS1143" s="17"/>
      <c r="TYT1143" s="17"/>
      <c r="TYU1143" s="17"/>
      <c r="TYV1143" s="17"/>
      <c r="TYW1143" s="17"/>
      <c r="TYX1143" s="17"/>
      <c r="TYY1143" s="17"/>
      <c r="TYZ1143" s="17"/>
      <c r="TZA1143" s="17"/>
      <c r="TZB1143" s="17"/>
      <c r="TZC1143" s="17"/>
      <c r="TZD1143" s="17"/>
      <c r="TZE1143" s="17"/>
      <c r="TZF1143" s="17"/>
      <c r="TZG1143" s="17"/>
      <c r="TZH1143" s="17"/>
      <c r="TZI1143" s="17"/>
      <c r="TZJ1143" s="17"/>
      <c r="TZK1143" s="17"/>
      <c r="TZL1143" s="17"/>
      <c r="TZM1143" s="17"/>
      <c r="TZN1143" s="17"/>
      <c r="TZO1143" s="17"/>
      <c r="TZP1143" s="17"/>
      <c r="TZQ1143" s="17"/>
      <c r="TZR1143" s="17"/>
      <c r="TZS1143" s="17"/>
      <c r="TZT1143" s="17"/>
      <c r="TZU1143" s="17"/>
      <c r="TZV1143" s="17"/>
      <c r="TZW1143" s="17"/>
      <c r="TZX1143" s="17"/>
      <c r="TZY1143" s="17"/>
      <c r="TZZ1143" s="17"/>
      <c r="UAA1143" s="17"/>
      <c r="UAB1143" s="17"/>
      <c r="UAC1143" s="17"/>
      <c r="UAD1143" s="17"/>
      <c r="UAE1143" s="17"/>
      <c r="UAF1143" s="17"/>
      <c r="UAG1143" s="17"/>
      <c r="UAH1143" s="17"/>
      <c r="UAI1143" s="17"/>
      <c r="UAJ1143" s="17"/>
      <c r="UAK1143" s="17"/>
      <c r="UAL1143" s="17"/>
      <c r="UAM1143" s="17"/>
      <c r="UAN1143" s="17"/>
      <c r="UAO1143" s="17"/>
      <c r="UAP1143" s="17"/>
      <c r="UAQ1143" s="17"/>
      <c r="UAR1143" s="17"/>
      <c r="UAS1143" s="17"/>
      <c r="UAT1143" s="17"/>
      <c r="UAU1143" s="17"/>
      <c r="UAV1143" s="17"/>
      <c r="UAW1143" s="17"/>
      <c r="UAX1143" s="17"/>
      <c r="UAY1143" s="17"/>
      <c r="UAZ1143" s="17"/>
      <c r="UBA1143" s="17"/>
      <c r="UBB1143" s="17"/>
      <c r="UBC1143" s="17"/>
      <c r="UBD1143" s="17"/>
      <c r="UBE1143" s="17"/>
      <c r="UBF1143" s="17"/>
      <c r="UBG1143" s="17"/>
      <c r="UBH1143" s="17"/>
      <c r="UBI1143" s="17"/>
      <c r="UBJ1143" s="17"/>
      <c r="UBK1143" s="17"/>
      <c r="UBL1143" s="17"/>
      <c r="UBM1143" s="17"/>
      <c r="UBN1143" s="17"/>
      <c r="UBO1143" s="17"/>
      <c r="UBP1143" s="17"/>
      <c r="UBQ1143" s="17"/>
      <c r="UBR1143" s="17"/>
      <c r="UBS1143" s="17"/>
      <c r="UBT1143" s="17"/>
      <c r="UBU1143" s="17"/>
      <c r="UBV1143" s="17"/>
      <c r="UBW1143" s="17"/>
      <c r="UBX1143" s="17"/>
      <c r="UBY1143" s="17"/>
      <c r="UBZ1143" s="17"/>
      <c r="UCA1143" s="17"/>
      <c r="UCB1143" s="17"/>
      <c r="UCC1143" s="17"/>
      <c r="UCD1143" s="17"/>
      <c r="UCE1143" s="17"/>
      <c r="UCF1143" s="17"/>
      <c r="UCG1143" s="17"/>
      <c r="UCH1143" s="17"/>
      <c r="UCI1143" s="17"/>
      <c r="UCJ1143" s="17"/>
      <c r="UCK1143" s="17"/>
      <c r="UCL1143" s="17"/>
      <c r="UCM1143" s="17"/>
      <c r="UCN1143" s="17"/>
      <c r="UCO1143" s="17"/>
      <c r="UCP1143" s="17"/>
      <c r="UCQ1143" s="17"/>
      <c r="UCR1143" s="17"/>
      <c r="UCS1143" s="17"/>
      <c r="UCT1143" s="17"/>
      <c r="UCU1143" s="17"/>
      <c r="UCV1143" s="17"/>
      <c r="UCW1143" s="17"/>
      <c r="UCX1143" s="17"/>
      <c r="UCY1143" s="17"/>
      <c r="UCZ1143" s="17"/>
      <c r="UDA1143" s="17"/>
      <c r="UDB1143" s="17"/>
      <c r="UDC1143" s="17"/>
      <c r="UDD1143" s="17"/>
      <c r="UDE1143" s="17"/>
      <c r="UDF1143" s="17"/>
      <c r="UDG1143" s="17"/>
      <c r="UDH1143" s="17"/>
      <c r="UDI1143" s="17"/>
      <c r="UDJ1143" s="17"/>
      <c r="UDK1143" s="17"/>
      <c r="UDL1143" s="17"/>
      <c r="UDM1143" s="17"/>
      <c r="UDN1143" s="17"/>
      <c r="UDO1143" s="17"/>
      <c r="UDP1143" s="17"/>
      <c r="UDQ1143" s="17"/>
      <c r="UDR1143" s="17"/>
      <c r="UDS1143" s="17"/>
      <c r="UDT1143" s="17"/>
      <c r="UDU1143" s="17"/>
      <c r="UDV1143" s="17"/>
      <c r="UDW1143" s="17"/>
      <c r="UDX1143" s="17"/>
      <c r="UDY1143" s="17"/>
      <c r="UDZ1143" s="17"/>
      <c r="UEA1143" s="17"/>
      <c r="UEB1143" s="17"/>
      <c r="UEC1143" s="17"/>
      <c r="UED1143" s="17"/>
      <c r="UEE1143" s="17"/>
      <c r="UEF1143" s="17"/>
      <c r="UEG1143" s="17"/>
      <c r="UEH1143" s="17"/>
      <c r="UEI1143" s="17"/>
      <c r="UEJ1143" s="17"/>
      <c r="UEK1143" s="17"/>
      <c r="UEL1143" s="17"/>
      <c r="UEM1143" s="17"/>
      <c r="UEN1143" s="17"/>
      <c r="UEO1143" s="17"/>
      <c r="UEP1143" s="17"/>
      <c r="UEQ1143" s="17"/>
      <c r="UER1143" s="17"/>
      <c r="UES1143" s="17"/>
      <c r="UET1143" s="17"/>
      <c r="UEU1143" s="17"/>
      <c r="UEV1143" s="17"/>
      <c r="UEW1143" s="17"/>
      <c r="UEX1143" s="17"/>
      <c r="UEY1143" s="17"/>
      <c r="UEZ1143" s="17"/>
      <c r="UFA1143" s="17"/>
      <c r="UFB1143" s="17"/>
      <c r="UFC1143" s="17"/>
      <c r="UFD1143" s="17"/>
      <c r="UFE1143" s="17"/>
      <c r="UFF1143" s="17"/>
      <c r="UFG1143" s="17"/>
      <c r="UFH1143" s="17"/>
      <c r="UFI1143" s="17"/>
      <c r="UFJ1143" s="17"/>
      <c r="UFK1143" s="17"/>
      <c r="UFL1143" s="17"/>
      <c r="UFM1143" s="17"/>
      <c r="UFN1143" s="17"/>
      <c r="UFO1143" s="17"/>
      <c r="UFP1143" s="17"/>
      <c r="UFQ1143" s="17"/>
      <c r="UFR1143" s="17"/>
      <c r="UFS1143" s="17"/>
      <c r="UFT1143" s="17"/>
      <c r="UFU1143" s="17"/>
      <c r="UFV1143" s="17"/>
      <c r="UFW1143" s="17"/>
      <c r="UFX1143" s="17"/>
      <c r="UFY1143" s="17"/>
      <c r="UFZ1143" s="17"/>
      <c r="UGA1143" s="17"/>
      <c r="UGB1143" s="17"/>
      <c r="UGC1143" s="17"/>
      <c r="UGD1143" s="17"/>
      <c r="UGE1143" s="17"/>
      <c r="UGF1143" s="17"/>
      <c r="UGG1143" s="17"/>
      <c r="UGH1143" s="17"/>
      <c r="UGI1143" s="17"/>
      <c r="UGJ1143" s="17"/>
      <c r="UGK1143" s="17"/>
      <c r="UGL1143" s="17"/>
      <c r="UGM1143" s="17"/>
      <c r="UGN1143" s="17"/>
      <c r="UGO1143" s="17"/>
      <c r="UGP1143" s="17"/>
      <c r="UGQ1143" s="17"/>
      <c r="UGR1143" s="17"/>
      <c r="UGS1143" s="17"/>
      <c r="UGT1143" s="17"/>
      <c r="UGU1143" s="17"/>
      <c r="UGV1143" s="17"/>
      <c r="UGW1143" s="17"/>
      <c r="UGX1143" s="17"/>
      <c r="UGY1143" s="17"/>
      <c r="UGZ1143" s="17"/>
      <c r="UHA1143" s="17"/>
      <c r="UHB1143" s="17"/>
      <c r="UHC1143" s="17"/>
      <c r="UHD1143" s="17"/>
      <c r="UHE1143" s="17"/>
      <c r="UHF1143" s="17"/>
      <c r="UHG1143" s="17"/>
      <c r="UHH1143" s="17"/>
      <c r="UHI1143" s="17"/>
      <c r="UHJ1143" s="17"/>
      <c r="UHK1143" s="17"/>
      <c r="UHL1143" s="17"/>
      <c r="UHM1143" s="17"/>
      <c r="UHN1143" s="17"/>
      <c r="UHO1143" s="17"/>
      <c r="UHP1143" s="17"/>
      <c r="UHQ1143" s="17"/>
      <c r="UHR1143" s="17"/>
      <c r="UHS1143" s="17"/>
      <c r="UHT1143" s="17"/>
      <c r="UHU1143" s="17"/>
      <c r="UHV1143" s="17"/>
      <c r="UHW1143" s="17"/>
      <c r="UHX1143" s="17"/>
      <c r="UHY1143" s="17"/>
      <c r="UHZ1143" s="17"/>
      <c r="UIA1143" s="17"/>
      <c r="UIB1143" s="17"/>
      <c r="UIC1143" s="17"/>
      <c r="UID1143" s="17"/>
      <c r="UIE1143" s="17"/>
      <c r="UIF1143" s="17"/>
      <c r="UIG1143" s="17"/>
      <c r="UIH1143" s="17"/>
      <c r="UII1143" s="17"/>
      <c r="UIJ1143" s="17"/>
      <c r="UIK1143" s="17"/>
      <c r="UIL1143" s="17"/>
      <c r="UIM1143" s="17"/>
      <c r="UIN1143" s="17"/>
      <c r="UIO1143" s="17"/>
      <c r="UIP1143" s="17"/>
      <c r="UIQ1143" s="17"/>
      <c r="UIR1143" s="17"/>
      <c r="UIS1143" s="17"/>
      <c r="UIT1143" s="17"/>
      <c r="UIU1143" s="17"/>
      <c r="UIV1143" s="17"/>
      <c r="UIW1143" s="17"/>
      <c r="UIX1143" s="17"/>
      <c r="UIY1143" s="17"/>
      <c r="UIZ1143" s="17"/>
      <c r="UJA1143" s="17"/>
      <c r="UJB1143" s="17"/>
      <c r="UJC1143" s="17"/>
      <c r="UJD1143" s="17"/>
      <c r="UJE1143" s="17"/>
      <c r="UJF1143" s="17"/>
      <c r="UJG1143" s="17"/>
      <c r="UJH1143" s="17"/>
      <c r="UJI1143" s="17"/>
      <c r="UJJ1143" s="17"/>
      <c r="UJK1143" s="17"/>
      <c r="UJL1143" s="17"/>
      <c r="UJM1143" s="17"/>
      <c r="UJN1143" s="17"/>
      <c r="UJO1143" s="17"/>
      <c r="UJP1143" s="17"/>
      <c r="UJQ1143" s="17"/>
      <c r="UJR1143" s="17"/>
      <c r="UJS1143" s="17"/>
      <c r="UJT1143" s="17"/>
      <c r="UJU1143" s="17"/>
      <c r="UJV1143" s="17"/>
      <c r="UJW1143" s="17"/>
      <c r="UJX1143" s="17"/>
      <c r="UJY1143" s="17"/>
      <c r="UJZ1143" s="17"/>
      <c r="UKA1143" s="17"/>
      <c r="UKB1143" s="17"/>
      <c r="UKC1143" s="17"/>
      <c r="UKD1143" s="17"/>
      <c r="UKE1143" s="17"/>
      <c r="UKF1143" s="17"/>
      <c r="UKG1143" s="17"/>
      <c r="UKH1143" s="17"/>
      <c r="UKI1143" s="17"/>
      <c r="UKJ1143" s="17"/>
      <c r="UKK1143" s="17"/>
      <c r="UKL1143" s="17"/>
      <c r="UKM1143" s="17"/>
      <c r="UKN1143" s="17"/>
      <c r="UKO1143" s="17"/>
      <c r="UKP1143" s="17"/>
      <c r="UKQ1143" s="17"/>
      <c r="UKR1143" s="17"/>
      <c r="UKS1143" s="17"/>
      <c r="UKT1143" s="17"/>
      <c r="UKU1143" s="17"/>
      <c r="UKV1143" s="17"/>
      <c r="UKW1143" s="17"/>
      <c r="UKX1143" s="17"/>
      <c r="UKY1143" s="17"/>
      <c r="UKZ1143" s="17"/>
      <c r="ULA1143" s="17"/>
      <c r="ULB1143" s="17"/>
      <c r="ULC1143" s="17"/>
      <c r="ULD1143" s="17"/>
      <c r="ULE1143" s="17"/>
      <c r="ULF1143" s="17"/>
      <c r="ULG1143" s="17"/>
      <c r="ULH1143" s="17"/>
      <c r="ULI1143" s="17"/>
      <c r="ULJ1143" s="17"/>
      <c r="ULK1143" s="17"/>
      <c r="ULL1143" s="17"/>
      <c r="ULM1143" s="17"/>
      <c r="ULN1143" s="17"/>
      <c r="ULO1143" s="17"/>
      <c r="ULP1143" s="17"/>
      <c r="ULQ1143" s="17"/>
      <c r="ULR1143" s="17"/>
      <c r="ULS1143" s="17"/>
      <c r="ULT1143" s="17"/>
      <c r="ULU1143" s="17"/>
      <c r="ULV1143" s="17"/>
      <c r="ULW1143" s="17"/>
      <c r="ULX1143" s="17"/>
      <c r="ULY1143" s="17"/>
      <c r="ULZ1143" s="17"/>
      <c r="UMA1143" s="17"/>
      <c r="UMB1143" s="17"/>
      <c r="UMC1143" s="17"/>
      <c r="UMD1143" s="17"/>
      <c r="UME1143" s="17"/>
      <c r="UMF1143" s="17"/>
      <c r="UMG1143" s="17"/>
      <c r="UMH1143" s="17"/>
      <c r="UMI1143" s="17"/>
      <c r="UMJ1143" s="17"/>
      <c r="UMK1143" s="17"/>
      <c r="UML1143" s="17"/>
      <c r="UMM1143" s="17"/>
      <c r="UMN1143" s="17"/>
      <c r="UMO1143" s="17"/>
      <c r="UMP1143" s="17"/>
      <c r="UMQ1143" s="17"/>
      <c r="UMR1143" s="17"/>
      <c r="UMS1143" s="17"/>
      <c r="UMT1143" s="17"/>
      <c r="UMU1143" s="17"/>
      <c r="UMV1143" s="17"/>
      <c r="UMW1143" s="17"/>
      <c r="UMX1143" s="17"/>
      <c r="UMY1143" s="17"/>
      <c r="UMZ1143" s="17"/>
      <c r="UNA1143" s="17"/>
      <c r="UNB1143" s="17"/>
      <c r="UNC1143" s="17"/>
      <c r="UND1143" s="17"/>
      <c r="UNE1143" s="17"/>
      <c r="UNF1143" s="17"/>
      <c r="UNG1143" s="17"/>
      <c r="UNH1143" s="17"/>
      <c r="UNI1143" s="17"/>
      <c r="UNJ1143" s="17"/>
      <c r="UNK1143" s="17"/>
      <c r="UNL1143" s="17"/>
      <c r="UNM1143" s="17"/>
      <c r="UNN1143" s="17"/>
      <c r="UNO1143" s="17"/>
      <c r="UNP1143" s="17"/>
      <c r="UNQ1143" s="17"/>
      <c r="UNR1143" s="17"/>
      <c r="UNS1143" s="17"/>
      <c r="UNT1143" s="17"/>
      <c r="UNU1143" s="17"/>
      <c r="UNV1143" s="17"/>
      <c r="UNW1143" s="17"/>
      <c r="UNX1143" s="17"/>
      <c r="UNY1143" s="17"/>
      <c r="UNZ1143" s="17"/>
      <c r="UOA1143" s="17"/>
      <c r="UOB1143" s="17"/>
      <c r="UOC1143" s="17"/>
      <c r="UOD1143" s="17"/>
      <c r="UOE1143" s="17"/>
      <c r="UOF1143" s="17"/>
      <c r="UOG1143" s="17"/>
      <c r="UOH1143" s="17"/>
      <c r="UOI1143" s="17"/>
      <c r="UOJ1143" s="17"/>
      <c r="UOK1143" s="17"/>
      <c r="UOL1143" s="17"/>
      <c r="UOM1143" s="17"/>
      <c r="UON1143" s="17"/>
      <c r="UOO1143" s="17"/>
      <c r="UOP1143" s="17"/>
      <c r="UOQ1143" s="17"/>
      <c r="UOR1143" s="17"/>
      <c r="UOS1143" s="17"/>
      <c r="UOT1143" s="17"/>
      <c r="UOU1143" s="17"/>
      <c r="UOV1143" s="17"/>
      <c r="UOW1143" s="17"/>
      <c r="UOX1143" s="17"/>
      <c r="UOY1143" s="17"/>
      <c r="UOZ1143" s="17"/>
      <c r="UPA1143" s="17"/>
      <c r="UPB1143" s="17"/>
      <c r="UPC1143" s="17"/>
      <c r="UPD1143" s="17"/>
      <c r="UPE1143" s="17"/>
      <c r="UPF1143" s="17"/>
      <c r="UPG1143" s="17"/>
      <c r="UPH1143" s="17"/>
      <c r="UPI1143" s="17"/>
      <c r="UPJ1143" s="17"/>
      <c r="UPK1143" s="17"/>
      <c r="UPL1143" s="17"/>
      <c r="UPM1143" s="17"/>
      <c r="UPN1143" s="17"/>
      <c r="UPO1143" s="17"/>
      <c r="UPP1143" s="17"/>
      <c r="UPQ1143" s="17"/>
      <c r="UPR1143" s="17"/>
      <c r="UPS1143" s="17"/>
      <c r="UPT1143" s="17"/>
      <c r="UPU1143" s="17"/>
      <c r="UPV1143" s="17"/>
      <c r="UPW1143" s="17"/>
      <c r="UPX1143" s="17"/>
      <c r="UPY1143" s="17"/>
      <c r="UPZ1143" s="17"/>
      <c r="UQA1143" s="17"/>
      <c r="UQB1143" s="17"/>
      <c r="UQC1143" s="17"/>
      <c r="UQD1143" s="17"/>
      <c r="UQE1143" s="17"/>
      <c r="UQF1143" s="17"/>
      <c r="UQG1143" s="17"/>
      <c r="UQH1143" s="17"/>
      <c r="UQI1143" s="17"/>
      <c r="UQJ1143" s="17"/>
      <c r="UQK1143" s="17"/>
      <c r="UQL1143" s="17"/>
      <c r="UQM1143" s="17"/>
      <c r="UQN1143" s="17"/>
      <c r="UQO1143" s="17"/>
      <c r="UQP1143" s="17"/>
      <c r="UQQ1143" s="17"/>
      <c r="UQR1143" s="17"/>
      <c r="UQS1143" s="17"/>
      <c r="UQT1143" s="17"/>
      <c r="UQU1143" s="17"/>
      <c r="UQV1143" s="17"/>
      <c r="UQW1143" s="17"/>
      <c r="UQX1143" s="17"/>
      <c r="UQY1143" s="17"/>
      <c r="UQZ1143" s="17"/>
      <c r="URA1143" s="17"/>
      <c r="URB1143" s="17"/>
      <c r="URC1143" s="17"/>
      <c r="URD1143" s="17"/>
      <c r="URE1143" s="17"/>
      <c r="URF1143" s="17"/>
      <c r="URG1143" s="17"/>
      <c r="URH1143" s="17"/>
      <c r="URI1143" s="17"/>
      <c r="URJ1143" s="17"/>
      <c r="URK1143" s="17"/>
      <c r="URL1143" s="17"/>
      <c r="URM1143" s="17"/>
      <c r="URN1143" s="17"/>
      <c r="URO1143" s="17"/>
      <c r="URP1143" s="17"/>
      <c r="URQ1143" s="17"/>
      <c r="URR1143" s="17"/>
      <c r="URS1143" s="17"/>
      <c r="URT1143" s="17"/>
      <c r="URU1143" s="17"/>
      <c r="URV1143" s="17"/>
      <c r="URW1143" s="17"/>
      <c r="URX1143" s="17"/>
      <c r="URY1143" s="17"/>
      <c r="URZ1143" s="17"/>
      <c r="USA1143" s="17"/>
      <c r="USB1143" s="17"/>
      <c r="USC1143" s="17"/>
      <c r="USD1143" s="17"/>
      <c r="USE1143" s="17"/>
      <c r="USF1143" s="17"/>
      <c r="USG1143" s="17"/>
      <c r="USH1143" s="17"/>
      <c r="USI1143" s="17"/>
      <c r="USJ1143" s="17"/>
      <c r="USK1143" s="17"/>
      <c r="USL1143" s="17"/>
      <c r="USM1143" s="17"/>
      <c r="USN1143" s="17"/>
      <c r="USO1143" s="17"/>
      <c r="USP1143" s="17"/>
      <c r="USQ1143" s="17"/>
      <c r="USR1143" s="17"/>
      <c r="USS1143" s="17"/>
      <c r="UST1143" s="17"/>
      <c r="USU1143" s="17"/>
      <c r="USV1143" s="17"/>
      <c r="USW1143" s="17"/>
      <c r="USX1143" s="17"/>
      <c r="USY1143" s="17"/>
      <c r="USZ1143" s="17"/>
      <c r="UTA1143" s="17"/>
      <c r="UTB1143" s="17"/>
      <c r="UTC1143" s="17"/>
      <c r="UTD1143" s="17"/>
      <c r="UTE1143" s="17"/>
      <c r="UTF1143" s="17"/>
      <c r="UTG1143" s="17"/>
      <c r="UTH1143" s="17"/>
      <c r="UTI1143" s="17"/>
      <c r="UTJ1143" s="17"/>
      <c r="UTK1143" s="17"/>
      <c r="UTL1143" s="17"/>
      <c r="UTM1143" s="17"/>
      <c r="UTN1143" s="17"/>
      <c r="UTO1143" s="17"/>
      <c r="UTP1143" s="17"/>
      <c r="UTQ1143" s="17"/>
      <c r="UTR1143" s="17"/>
      <c r="UTS1143" s="17"/>
      <c r="UTT1143" s="17"/>
      <c r="UTU1143" s="17"/>
      <c r="UTV1143" s="17"/>
      <c r="UTW1143" s="17"/>
      <c r="UTX1143" s="17"/>
      <c r="UTY1143" s="17"/>
      <c r="UTZ1143" s="17"/>
      <c r="UUA1143" s="17"/>
      <c r="UUB1143" s="17"/>
      <c r="UUC1143" s="17"/>
      <c r="UUD1143" s="17"/>
      <c r="UUE1143" s="17"/>
      <c r="UUF1143" s="17"/>
      <c r="UUG1143" s="17"/>
      <c r="UUH1143" s="17"/>
      <c r="UUI1143" s="17"/>
      <c r="UUJ1143" s="17"/>
      <c r="UUK1143" s="17"/>
      <c r="UUL1143" s="17"/>
      <c r="UUM1143" s="17"/>
      <c r="UUN1143" s="17"/>
      <c r="UUO1143" s="17"/>
      <c r="UUP1143" s="17"/>
      <c r="UUQ1143" s="17"/>
      <c r="UUR1143" s="17"/>
      <c r="UUS1143" s="17"/>
      <c r="UUT1143" s="17"/>
      <c r="UUU1143" s="17"/>
      <c r="UUV1143" s="17"/>
      <c r="UUW1143" s="17"/>
      <c r="UUX1143" s="17"/>
      <c r="UUY1143" s="17"/>
      <c r="UUZ1143" s="17"/>
      <c r="UVA1143" s="17"/>
      <c r="UVB1143" s="17"/>
      <c r="UVC1143" s="17"/>
      <c r="UVD1143" s="17"/>
      <c r="UVE1143" s="17"/>
      <c r="UVF1143" s="17"/>
      <c r="UVG1143" s="17"/>
      <c r="UVH1143" s="17"/>
      <c r="UVI1143" s="17"/>
      <c r="UVJ1143" s="17"/>
      <c r="UVK1143" s="17"/>
      <c r="UVL1143" s="17"/>
      <c r="UVM1143" s="17"/>
      <c r="UVN1143" s="17"/>
      <c r="UVO1143" s="17"/>
      <c r="UVP1143" s="17"/>
      <c r="UVQ1143" s="17"/>
      <c r="UVR1143" s="17"/>
      <c r="UVS1143" s="17"/>
      <c r="UVT1143" s="17"/>
      <c r="UVU1143" s="17"/>
      <c r="UVV1143" s="17"/>
      <c r="UVW1143" s="17"/>
      <c r="UVX1143" s="17"/>
      <c r="UVY1143" s="17"/>
      <c r="UVZ1143" s="17"/>
      <c r="UWA1143" s="17"/>
      <c r="UWB1143" s="17"/>
      <c r="UWC1143" s="17"/>
      <c r="UWD1143" s="17"/>
      <c r="UWE1143" s="17"/>
      <c r="UWF1143" s="17"/>
      <c r="UWG1143" s="17"/>
      <c r="UWH1143" s="17"/>
      <c r="UWI1143" s="17"/>
      <c r="UWJ1143" s="17"/>
      <c r="UWK1143" s="17"/>
      <c r="UWL1143" s="17"/>
      <c r="UWM1143" s="17"/>
      <c r="UWN1143" s="17"/>
      <c r="UWO1143" s="17"/>
      <c r="UWP1143" s="17"/>
      <c r="UWQ1143" s="17"/>
      <c r="UWR1143" s="17"/>
      <c r="UWS1143" s="17"/>
      <c r="UWT1143" s="17"/>
      <c r="UWU1143" s="17"/>
      <c r="UWV1143" s="17"/>
      <c r="UWW1143" s="17"/>
      <c r="UWX1143" s="17"/>
      <c r="UWY1143" s="17"/>
      <c r="UWZ1143" s="17"/>
      <c r="UXA1143" s="17"/>
      <c r="UXB1143" s="17"/>
      <c r="UXC1143" s="17"/>
      <c r="UXD1143" s="17"/>
      <c r="UXE1143" s="17"/>
      <c r="UXF1143" s="17"/>
      <c r="UXG1143" s="17"/>
      <c r="UXH1143" s="17"/>
      <c r="UXI1143" s="17"/>
      <c r="UXJ1143" s="17"/>
      <c r="UXK1143" s="17"/>
      <c r="UXL1143" s="17"/>
      <c r="UXM1143" s="17"/>
      <c r="UXN1143" s="17"/>
      <c r="UXO1143" s="17"/>
      <c r="UXP1143" s="17"/>
      <c r="UXQ1143" s="17"/>
      <c r="UXR1143" s="17"/>
      <c r="UXS1143" s="17"/>
      <c r="UXT1143" s="17"/>
      <c r="UXU1143" s="17"/>
      <c r="UXV1143" s="17"/>
      <c r="UXW1143" s="17"/>
      <c r="UXX1143" s="17"/>
      <c r="UXY1143" s="17"/>
      <c r="UXZ1143" s="17"/>
      <c r="UYA1143" s="17"/>
      <c r="UYB1143" s="17"/>
      <c r="UYC1143" s="17"/>
      <c r="UYD1143" s="17"/>
      <c r="UYE1143" s="17"/>
      <c r="UYF1143" s="17"/>
      <c r="UYG1143" s="17"/>
      <c r="UYH1143" s="17"/>
      <c r="UYI1143" s="17"/>
      <c r="UYJ1143" s="17"/>
      <c r="UYK1143" s="17"/>
      <c r="UYL1143" s="17"/>
      <c r="UYM1143" s="17"/>
      <c r="UYN1143" s="17"/>
      <c r="UYO1143" s="17"/>
      <c r="UYP1143" s="17"/>
      <c r="UYQ1143" s="17"/>
      <c r="UYR1143" s="17"/>
      <c r="UYS1143" s="17"/>
      <c r="UYT1143" s="17"/>
      <c r="UYU1143" s="17"/>
      <c r="UYV1143" s="17"/>
      <c r="UYW1143" s="17"/>
      <c r="UYX1143" s="17"/>
      <c r="UYY1143" s="17"/>
      <c r="UYZ1143" s="17"/>
      <c r="UZA1143" s="17"/>
      <c r="UZB1143" s="17"/>
      <c r="UZC1143" s="17"/>
      <c r="UZD1143" s="17"/>
      <c r="UZE1143" s="17"/>
      <c r="UZF1143" s="17"/>
      <c r="UZG1143" s="17"/>
      <c r="UZH1143" s="17"/>
      <c r="UZI1143" s="17"/>
      <c r="UZJ1143" s="17"/>
      <c r="UZK1143" s="17"/>
      <c r="UZL1143" s="17"/>
      <c r="UZM1143" s="17"/>
      <c r="UZN1143" s="17"/>
      <c r="UZO1143" s="17"/>
      <c r="UZP1143" s="17"/>
      <c r="UZQ1143" s="17"/>
      <c r="UZR1143" s="17"/>
      <c r="UZS1143" s="17"/>
      <c r="UZT1143" s="17"/>
      <c r="UZU1143" s="17"/>
      <c r="UZV1143" s="17"/>
      <c r="UZW1143" s="17"/>
      <c r="UZX1143" s="17"/>
      <c r="UZY1143" s="17"/>
      <c r="UZZ1143" s="17"/>
      <c r="VAA1143" s="17"/>
      <c r="VAB1143" s="17"/>
      <c r="VAC1143" s="17"/>
      <c r="VAD1143" s="17"/>
      <c r="VAE1143" s="17"/>
      <c r="VAF1143" s="17"/>
      <c r="VAG1143" s="17"/>
      <c r="VAH1143" s="17"/>
      <c r="VAI1143" s="17"/>
      <c r="VAJ1143" s="17"/>
      <c r="VAK1143" s="17"/>
      <c r="VAL1143" s="17"/>
      <c r="VAM1143" s="17"/>
      <c r="VAN1143" s="17"/>
      <c r="VAO1143" s="17"/>
      <c r="VAP1143" s="17"/>
      <c r="VAQ1143" s="17"/>
      <c r="VAR1143" s="17"/>
      <c r="VAS1143" s="17"/>
      <c r="VAT1143" s="17"/>
      <c r="VAU1143" s="17"/>
      <c r="VAV1143" s="17"/>
      <c r="VAW1143" s="17"/>
      <c r="VAX1143" s="17"/>
      <c r="VAY1143" s="17"/>
      <c r="VAZ1143" s="17"/>
      <c r="VBA1143" s="17"/>
      <c r="VBB1143" s="17"/>
      <c r="VBC1143" s="17"/>
      <c r="VBD1143" s="17"/>
      <c r="VBE1143" s="17"/>
      <c r="VBF1143" s="17"/>
      <c r="VBG1143" s="17"/>
      <c r="VBH1143" s="17"/>
      <c r="VBI1143" s="17"/>
      <c r="VBJ1143" s="17"/>
      <c r="VBK1143" s="17"/>
      <c r="VBL1143" s="17"/>
      <c r="VBM1143" s="17"/>
      <c r="VBN1143" s="17"/>
      <c r="VBO1143" s="17"/>
      <c r="VBP1143" s="17"/>
      <c r="VBQ1143" s="17"/>
      <c r="VBR1143" s="17"/>
      <c r="VBS1143" s="17"/>
      <c r="VBT1143" s="17"/>
      <c r="VBU1143" s="17"/>
      <c r="VBV1143" s="17"/>
      <c r="VBW1143" s="17"/>
      <c r="VBX1143" s="17"/>
      <c r="VBY1143" s="17"/>
      <c r="VBZ1143" s="17"/>
      <c r="VCA1143" s="17"/>
      <c r="VCB1143" s="17"/>
      <c r="VCC1143" s="17"/>
      <c r="VCD1143" s="17"/>
      <c r="VCE1143" s="17"/>
      <c r="VCF1143" s="17"/>
      <c r="VCG1143" s="17"/>
      <c r="VCH1143" s="17"/>
      <c r="VCI1143" s="17"/>
      <c r="VCJ1143" s="17"/>
      <c r="VCK1143" s="17"/>
      <c r="VCL1143" s="17"/>
      <c r="VCM1143" s="17"/>
      <c r="VCN1143" s="17"/>
      <c r="VCO1143" s="17"/>
      <c r="VCP1143" s="17"/>
      <c r="VCQ1143" s="17"/>
      <c r="VCR1143" s="17"/>
      <c r="VCS1143" s="17"/>
      <c r="VCT1143" s="17"/>
      <c r="VCU1143" s="17"/>
      <c r="VCV1143" s="17"/>
      <c r="VCW1143" s="17"/>
      <c r="VCX1143" s="17"/>
      <c r="VCY1143" s="17"/>
      <c r="VCZ1143" s="17"/>
      <c r="VDA1143" s="17"/>
      <c r="VDB1143" s="17"/>
      <c r="VDC1143" s="17"/>
      <c r="VDD1143" s="17"/>
      <c r="VDE1143" s="17"/>
      <c r="VDF1143" s="17"/>
      <c r="VDG1143" s="17"/>
      <c r="VDH1143" s="17"/>
      <c r="VDI1143" s="17"/>
      <c r="VDJ1143" s="17"/>
      <c r="VDK1143" s="17"/>
      <c r="VDL1143" s="17"/>
      <c r="VDM1143" s="17"/>
      <c r="VDN1143" s="17"/>
      <c r="VDO1143" s="17"/>
      <c r="VDP1143" s="17"/>
      <c r="VDQ1143" s="17"/>
      <c r="VDR1143" s="17"/>
      <c r="VDS1143" s="17"/>
      <c r="VDT1143" s="17"/>
      <c r="VDU1143" s="17"/>
      <c r="VDV1143" s="17"/>
      <c r="VDW1143" s="17"/>
      <c r="VDX1143" s="17"/>
      <c r="VDY1143" s="17"/>
      <c r="VDZ1143" s="17"/>
      <c r="VEA1143" s="17"/>
      <c r="VEB1143" s="17"/>
      <c r="VEC1143" s="17"/>
      <c r="VED1143" s="17"/>
      <c r="VEE1143" s="17"/>
      <c r="VEF1143" s="17"/>
      <c r="VEG1143" s="17"/>
      <c r="VEH1143" s="17"/>
      <c r="VEI1143" s="17"/>
      <c r="VEJ1143" s="17"/>
      <c r="VEK1143" s="17"/>
      <c r="VEL1143" s="17"/>
      <c r="VEM1143" s="17"/>
      <c r="VEN1143" s="17"/>
      <c r="VEO1143" s="17"/>
      <c r="VEP1143" s="17"/>
      <c r="VEQ1143" s="17"/>
      <c r="VER1143" s="17"/>
      <c r="VES1143" s="17"/>
      <c r="VET1143" s="17"/>
      <c r="VEU1143" s="17"/>
      <c r="VEV1143" s="17"/>
      <c r="VEW1143" s="17"/>
      <c r="VEX1143" s="17"/>
      <c r="VEY1143" s="17"/>
      <c r="VEZ1143" s="17"/>
      <c r="VFA1143" s="17"/>
      <c r="VFB1143" s="17"/>
      <c r="VFC1143" s="17"/>
      <c r="VFD1143" s="17"/>
      <c r="VFE1143" s="17"/>
      <c r="VFF1143" s="17"/>
      <c r="VFG1143" s="17"/>
      <c r="VFH1143" s="17"/>
      <c r="VFI1143" s="17"/>
      <c r="VFJ1143" s="17"/>
      <c r="VFK1143" s="17"/>
      <c r="VFL1143" s="17"/>
      <c r="VFM1143" s="17"/>
      <c r="VFN1143" s="17"/>
      <c r="VFO1143" s="17"/>
      <c r="VFP1143" s="17"/>
      <c r="VFQ1143" s="17"/>
      <c r="VFR1143" s="17"/>
      <c r="VFS1143" s="17"/>
      <c r="VFT1143" s="17"/>
      <c r="VFU1143" s="17"/>
      <c r="VFV1143" s="17"/>
      <c r="VFW1143" s="17"/>
      <c r="VFX1143" s="17"/>
      <c r="VFY1143" s="17"/>
      <c r="VFZ1143" s="17"/>
      <c r="VGA1143" s="17"/>
      <c r="VGB1143" s="17"/>
      <c r="VGC1143" s="17"/>
      <c r="VGD1143" s="17"/>
      <c r="VGE1143" s="17"/>
      <c r="VGF1143" s="17"/>
      <c r="VGG1143" s="17"/>
      <c r="VGH1143" s="17"/>
      <c r="VGI1143" s="17"/>
      <c r="VGJ1143" s="17"/>
      <c r="VGK1143" s="17"/>
      <c r="VGL1143" s="17"/>
      <c r="VGM1143" s="17"/>
      <c r="VGN1143" s="17"/>
      <c r="VGO1143" s="17"/>
      <c r="VGP1143" s="17"/>
      <c r="VGQ1143" s="17"/>
      <c r="VGR1143" s="17"/>
      <c r="VGS1143" s="17"/>
      <c r="VGT1143" s="17"/>
      <c r="VGU1143" s="17"/>
      <c r="VGV1143" s="17"/>
      <c r="VGW1143" s="17"/>
      <c r="VGX1143" s="17"/>
      <c r="VGY1143" s="17"/>
      <c r="VGZ1143" s="17"/>
      <c r="VHA1143" s="17"/>
      <c r="VHB1143" s="17"/>
      <c r="VHC1143" s="17"/>
      <c r="VHD1143" s="17"/>
      <c r="VHE1143" s="17"/>
      <c r="VHF1143" s="17"/>
      <c r="VHG1143" s="17"/>
      <c r="VHH1143" s="17"/>
      <c r="VHI1143" s="17"/>
      <c r="VHJ1143" s="17"/>
      <c r="VHK1143" s="17"/>
      <c r="VHL1143" s="17"/>
      <c r="VHM1143" s="17"/>
      <c r="VHN1143" s="17"/>
      <c r="VHO1143" s="17"/>
      <c r="VHP1143" s="17"/>
      <c r="VHQ1143" s="17"/>
      <c r="VHR1143" s="17"/>
      <c r="VHS1143" s="17"/>
      <c r="VHT1143" s="17"/>
      <c r="VHU1143" s="17"/>
      <c r="VHV1143" s="17"/>
      <c r="VHW1143" s="17"/>
      <c r="VHX1143" s="17"/>
      <c r="VHY1143" s="17"/>
      <c r="VHZ1143" s="17"/>
      <c r="VIA1143" s="17"/>
      <c r="VIB1143" s="17"/>
      <c r="VIC1143" s="17"/>
      <c r="VID1143" s="17"/>
      <c r="VIE1143" s="17"/>
      <c r="VIF1143" s="17"/>
      <c r="VIG1143" s="17"/>
      <c r="VIH1143" s="17"/>
      <c r="VII1143" s="17"/>
      <c r="VIJ1143" s="17"/>
      <c r="VIK1143" s="17"/>
      <c r="VIL1143" s="17"/>
      <c r="VIM1143" s="17"/>
      <c r="VIN1143" s="17"/>
      <c r="VIO1143" s="17"/>
      <c r="VIP1143" s="17"/>
      <c r="VIQ1143" s="17"/>
      <c r="VIR1143" s="17"/>
      <c r="VIS1143" s="17"/>
      <c r="VIT1143" s="17"/>
      <c r="VIU1143" s="17"/>
      <c r="VIV1143" s="17"/>
      <c r="VIW1143" s="17"/>
      <c r="VIX1143" s="17"/>
      <c r="VIY1143" s="17"/>
      <c r="VIZ1143" s="17"/>
      <c r="VJA1143" s="17"/>
      <c r="VJB1143" s="17"/>
      <c r="VJC1143" s="17"/>
      <c r="VJD1143" s="17"/>
      <c r="VJE1143" s="17"/>
      <c r="VJF1143" s="17"/>
      <c r="VJG1143" s="17"/>
      <c r="VJH1143" s="17"/>
      <c r="VJI1143" s="17"/>
      <c r="VJJ1143" s="17"/>
      <c r="VJK1143" s="17"/>
      <c r="VJL1143" s="17"/>
      <c r="VJM1143" s="17"/>
      <c r="VJN1143" s="17"/>
      <c r="VJO1143" s="17"/>
      <c r="VJP1143" s="17"/>
      <c r="VJQ1143" s="17"/>
      <c r="VJR1143" s="17"/>
      <c r="VJS1143" s="17"/>
      <c r="VJT1143" s="17"/>
      <c r="VJU1143" s="17"/>
      <c r="VJV1143" s="17"/>
      <c r="VJW1143" s="17"/>
      <c r="VJX1143" s="17"/>
      <c r="VJY1143" s="17"/>
      <c r="VJZ1143" s="17"/>
      <c r="VKA1143" s="17"/>
      <c r="VKB1143" s="17"/>
      <c r="VKC1143" s="17"/>
      <c r="VKD1143" s="17"/>
      <c r="VKE1143" s="17"/>
      <c r="VKF1143" s="17"/>
      <c r="VKG1143" s="17"/>
      <c r="VKH1143" s="17"/>
      <c r="VKI1143" s="17"/>
      <c r="VKJ1143" s="17"/>
      <c r="VKK1143" s="17"/>
      <c r="VKL1143" s="17"/>
      <c r="VKM1143" s="17"/>
      <c r="VKN1143" s="17"/>
      <c r="VKO1143" s="17"/>
      <c r="VKP1143" s="17"/>
      <c r="VKQ1143" s="17"/>
      <c r="VKR1143" s="17"/>
      <c r="VKS1143" s="17"/>
      <c r="VKT1143" s="17"/>
      <c r="VKU1143" s="17"/>
      <c r="VKV1143" s="17"/>
      <c r="VKW1143" s="17"/>
      <c r="VKX1143" s="17"/>
      <c r="VKY1143" s="17"/>
      <c r="VKZ1143" s="17"/>
      <c r="VLA1143" s="17"/>
      <c r="VLB1143" s="17"/>
      <c r="VLC1143" s="17"/>
      <c r="VLD1143" s="17"/>
      <c r="VLE1143" s="17"/>
      <c r="VLF1143" s="17"/>
      <c r="VLG1143" s="17"/>
      <c r="VLH1143" s="17"/>
      <c r="VLI1143" s="17"/>
      <c r="VLJ1143" s="17"/>
      <c r="VLK1143" s="17"/>
      <c r="VLL1143" s="17"/>
      <c r="VLM1143" s="17"/>
      <c r="VLN1143" s="17"/>
      <c r="VLO1143" s="17"/>
      <c r="VLP1143" s="17"/>
      <c r="VLQ1143" s="17"/>
      <c r="VLR1143" s="17"/>
      <c r="VLS1143" s="17"/>
      <c r="VLT1143" s="17"/>
      <c r="VLU1143" s="17"/>
      <c r="VLV1143" s="17"/>
      <c r="VLW1143" s="17"/>
      <c r="VLX1143" s="17"/>
      <c r="VLY1143" s="17"/>
      <c r="VLZ1143" s="17"/>
      <c r="VMA1143" s="17"/>
      <c r="VMB1143" s="17"/>
      <c r="VMC1143" s="17"/>
      <c r="VMD1143" s="17"/>
      <c r="VME1143" s="17"/>
      <c r="VMF1143" s="17"/>
      <c r="VMG1143" s="17"/>
      <c r="VMH1143" s="17"/>
      <c r="VMI1143" s="17"/>
      <c r="VMJ1143" s="17"/>
      <c r="VMK1143" s="17"/>
      <c r="VML1143" s="17"/>
      <c r="VMM1143" s="17"/>
      <c r="VMN1143" s="17"/>
      <c r="VMO1143" s="17"/>
      <c r="VMP1143" s="17"/>
      <c r="VMQ1143" s="17"/>
      <c r="VMR1143" s="17"/>
      <c r="VMS1143" s="17"/>
      <c r="VMT1143" s="17"/>
      <c r="VMU1143" s="17"/>
      <c r="VMV1143" s="17"/>
      <c r="VMW1143" s="17"/>
      <c r="VMX1143" s="17"/>
      <c r="VMY1143" s="17"/>
      <c r="VMZ1143" s="17"/>
      <c r="VNA1143" s="17"/>
      <c r="VNB1143" s="17"/>
      <c r="VNC1143" s="17"/>
      <c r="VND1143" s="17"/>
      <c r="VNE1143" s="17"/>
      <c r="VNF1143" s="17"/>
      <c r="VNG1143" s="17"/>
      <c r="VNH1143" s="17"/>
      <c r="VNI1143" s="17"/>
      <c r="VNJ1143" s="17"/>
      <c r="VNK1143" s="17"/>
      <c r="VNL1143" s="17"/>
      <c r="VNM1143" s="17"/>
      <c r="VNN1143" s="17"/>
      <c r="VNO1143" s="17"/>
      <c r="VNP1143" s="17"/>
      <c r="VNQ1143" s="17"/>
      <c r="VNR1143" s="17"/>
      <c r="VNS1143" s="17"/>
      <c r="VNT1143" s="17"/>
      <c r="VNU1143" s="17"/>
      <c r="VNV1143" s="17"/>
      <c r="VNW1143" s="17"/>
      <c r="VNX1143" s="17"/>
      <c r="VNY1143" s="17"/>
      <c r="VNZ1143" s="17"/>
      <c r="VOA1143" s="17"/>
      <c r="VOB1143" s="17"/>
      <c r="VOC1143" s="17"/>
      <c r="VOD1143" s="17"/>
      <c r="VOE1143" s="17"/>
      <c r="VOF1143" s="17"/>
      <c r="VOG1143" s="17"/>
      <c r="VOH1143" s="17"/>
      <c r="VOI1143" s="17"/>
      <c r="VOJ1143" s="17"/>
      <c r="VOK1143" s="17"/>
      <c r="VOL1143" s="17"/>
      <c r="VOM1143" s="17"/>
      <c r="VON1143" s="17"/>
      <c r="VOO1143" s="17"/>
      <c r="VOP1143" s="17"/>
      <c r="VOQ1143" s="17"/>
      <c r="VOR1143" s="17"/>
      <c r="VOS1143" s="17"/>
      <c r="VOT1143" s="17"/>
      <c r="VOU1143" s="17"/>
      <c r="VOV1143" s="17"/>
      <c r="VOW1143" s="17"/>
      <c r="VOX1143" s="17"/>
      <c r="VOY1143" s="17"/>
      <c r="VOZ1143" s="17"/>
      <c r="VPA1143" s="17"/>
      <c r="VPB1143" s="17"/>
      <c r="VPC1143" s="17"/>
      <c r="VPD1143" s="17"/>
      <c r="VPE1143" s="17"/>
      <c r="VPF1143" s="17"/>
      <c r="VPG1143" s="17"/>
      <c r="VPH1143" s="17"/>
      <c r="VPI1143" s="17"/>
      <c r="VPJ1143" s="17"/>
      <c r="VPK1143" s="17"/>
      <c r="VPL1143" s="17"/>
      <c r="VPM1143" s="17"/>
      <c r="VPN1143" s="17"/>
      <c r="VPO1143" s="17"/>
      <c r="VPP1143" s="17"/>
      <c r="VPQ1143" s="17"/>
      <c r="VPR1143" s="17"/>
      <c r="VPS1143" s="17"/>
      <c r="VPT1143" s="17"/>
      <c r="VPU1143" s="17"/>
      <c r="VPV1143" s="17"/>
      <c r="VPW1143" s="17"/>
      <c r="VPX1143" s="17"/>
      <c r="VPY1143" s="17"/>
      <c r="VPZ1143" s="17"/>
      <c r="VQA1143" s="17"/>
      <c r="VQB1143" s="17"/>
      <c r="VQC1143" s="17"/>
      <c r="VQD1143" s="17"/>
      <c r="VQE1143" s="17"/>
      <c r="VQF1143" s="17"/>
      <c r="VQG1143" s="17"/>
      <c r="VQH1143" s="17"/>
      <c r="VQI1143" s="17"/>
      <c r="VQJ1143" s="17"/>
      <c r="VQK1143" s="17"/>
      <c r="VQL1143" s="17"/>
      <c r="VQM1143" s="17"/>
      <c r="VQN1143" s="17"/>
      <c r="VQO1143" s="17"/>
      <c r="VQP1143" s="17"/>
      <c r="VQQ1143" s="17"/>
      <c r="VQR1143" s="17"/>
      <c r="VQS1143" s="17"/>
      <c r="VQT1143" s="17"/>
      <c r="VQU1143" s="17"/>
      <c r="VQV1143" s="17"/>
      <c r="VQW1143" s="17"/>
      <c r="VQX1143" s="17"/>
      <c r="VQY1143" s="17"/>
      <c r="VQZ1143" s="17"/>
      <c r="VRA1143" s="17"/>
      <c r="VRB1143" s="17"/>
      <c r="VRC1143" s="17"/>
      <c r="VRD1143" s="17"/>
      <c r="VRE1143" s="17"/>
      <c r="VRF1143" s="17"/>
      <c r="VRG1143" s="17"/>
      <c r="VRH1143" s="17"/>
      <c r="VRI1143" s="17"/>
      <c r="VRJ1143" s="17"/>
      <c r="VRK1143" s="17"/>
      <c r="VRL1143" s="17"/>
      <c r="VRM1143" s="17"/>
      <c r="VRN1143" s="17"/>
      <c r="VRO1143" s="17"/>
      <c r="VRP1143" s="17"/>
      <c r="VRQ1143" s="17"/>
      <c r="VRR1143" s="17"/>
      <c r="VRS1143" s="17"/>
      <c r="VRT1143" s="17"/>
      <c r="VRU1143" s="17"/>
      <c r="VRV1143" s="17"/>
      <c r="VRW1143" s="17"/>
      <c r="VRX1143" s="17"/>
      <c r="VRY1143" s="17"/>
      <c r="VRZ1143" s="17"/>
      <c r="VSA1143" s="17"/>
      <c r="VSB1143" s="17"/>
      <c r="VSC1143" s="17"/>
      <c r="VSD1143" s="17"/>
      <c r="VSE1143" s="17"/>
      <c r="VSF1143" s="17"/>
      <c r="VSG1143" s="17"/>
      <c r="VSH1143" s="17"/>
      <c r="VSI1143" s="17"/>
      <c r="VSJ1143" s="17"/>
      <c r="VSK1143" s="17"/>
      <c r="VSL1143" s="17"/>
      <c r="VSM1143" s="17"/>
      <c r="VSN1143" s="17"/>
      <c r="VSO1143" s="17"/>
      <c r="VSP1143" s="17"/>
      <c r="VSQ1143" s="17"/>
      <c r="VSR1143" s="17"/>
      <c r="VSS1143" s="17"/>
      <c r="VST1143" s="17"/>
      <c r="VSU1143" s="17"/>
      <c r="VSV1143" s="17"/>
      <c r="VSW1143" s="17"/>
      <c r="VSX1143" s="17"/>
      <c r="VSY1143" s="17"/>
      <c r="VSZ1143" s="17"/>
      <c r="VTA1143" s="17"/>
      <c r="VTB1143" s="17"/>
      <c r="VTC1143" s="17"/>
      <c r="VTD1143" s="17"/>
      <c r="VTE1143" s="17"/>
      <c r="VTF1143" s="17"/>
      <c r="VTG1143" s="17"/>
      <c r="VTH1143" s="17"/>
      <c r="VTI1143" s="17"/>
      <c r="VTJ1143" s="17"/>
      <c r="VTK1143" s="17"/>
      <c r="VTL1143" s="17"/>
      <c r="VTM1143" s="17"/>
      <c r="VTN1143" s="17"/>
      <c r="VTO1143" s="17"/>
      <c r="VTP1143" s="17"/>
      <c r="VTQ1143" s="17"/>
      <c r="VTR1143" s="17"/>
      <c r="VTS1143" s="17"/>
      <c r="VTT1143" s="17"/>
      <c r="VTU1143" s="17"/>
      <c r="VTV1143" s="17"/>
      <c r="VTW1143" s="17"/>
      <c r="VTX1143" s="17"/>
      <c r="VTY1143" s="17"/>
      <c r="VTZ1143" s="17"/>
      <c r="VUA1143" s="17"/>
      <c r="VUB1143" s="17"/>
      <c r="VUC1143" s="17"/>
      <c r="VUD1143" s="17"/>
      <c r="VUE1143" s="17"/>
      <c r="VUF1143" s="17"/>
      <c r="VUG1143" s="17"/>
      <c r="VUH1143" s="17"/>
      <c r="VUI1143" s="17"/>
      <c r="VUJ1143" s="17"/>
      <c r="VUK1143" s="17"/>
      <c r="VUL1143" s="17"/>
      <c r="VUM1143" s="17"/>
      <c r="VUN1143" s="17"/>
      <c r="VUO1143" s="17"/>
      <c r="VUP1143" s="17"/>
      <c r="VUQ1143" s="17"/>
      <c r="VUR1143" s="17"/>
      <c r="VUS1143" s="17"/>
      <c r="VUT1143" s="17"/>
      <c r="VUU1143" s="17"/>
      <c r="VUV1143" s="17"/>
      <c r="VUW1143" s="17"/>
      <c r="VUX1143" s="17"/>
      <c r="VUY1143" s="17"/>
      <c r="VUZ1143" s="17"/>
      <c r="VVA1143" s="17"/>
      <c r="VVB1143" s="17"/>
      <c r="VVC1143" s="17"/>
      <c r="VVD1143" s="17"/>
      <c r="VVE1143" s="17"/>
      <c r="VVF1143" s="17"/>
      <c r="VVG1143" s="17"/>
      <c r="VVH1143" s="17"/>
      <c r="VVI1143" s="17"/>
      <c r="VVJ1143" s="17"/>
      <c r="VVK1143" s="17"/>
      <c r="VVL1143" s="17"/>
      <c r="VVM1143" s="17"/>
      <c r="VVN1143" s="17"/>
      <c r="VVO1143" s="17"/>
      <c r="VVP1143" s="17"/>
      <c r="VVQ1143" s="17"/>
      <c r="VVR1143" s="17"/>
      <c r="VVS1143" s="17"/>
      <c r="VVT1143" s="17"/>
      <c r="VVU1143" s="17"/>
      <c r="VVV1143" s="17"/>
      <c r="VVW1143" s="17"/>
      <c r="VVX1143" s="17"/>
      <c r="VVY1143" s="17"/>
      <c r="VVZ1143" s="17"/>
      <c r="VWA1143" s="17"/>
      <c r="VWB1143" s="17"/>
      <c r="VWC1143" s="17"/>
      <c r="VWD1143" s="17"/>
      <c r="VWE1143" s="17"/>
      <c r="VWF1143" s="17"/>
      <c r="VWG1143" s="17"/>
      <c r="VWH1143" s="17"/>
      <c r="VWI1143" s="17"/>
      <c r="VWJ1143" s="17"/>
      <c r="VWK1143" s="17"/>
      <c r="VWL1143" s="17"/>
      <c r="VWM1143" s="17"/>
      <c r="VWN1143" s="17"/>
      <c r="VWO1143" s="17"/>
      <c r="VWP1143" s="17"/>
      <c r="VWQ1143" s="17"/>
      <c r="VWR1143" s="17"/>
      <c r="VWS1143" s="17"/>
      <c r="VWT1143" s="17"/>
      <c r="VWU1143" s="17"/>
      <c r="VWV1143" s="17"/>
      <c r="VWW1143" s="17"/>
      <c r="VWX1143" s="17"/>
      <c r="VWY1143" s="17"/>
      <c r="VWZ1143" s="17"/>
      <c r="VXA1143" s="17"/>
      <c r="VXB1143" s="17"/>
      <c r="VXC1143" s="17"/>
      <c r="VXD1143" s="17"/>
      <c r="VXE1143" s="17"/>
      <c r="VXF1143" s="17"/>
      <c r="VXG1143" s="17"/>
      <c r="VXH1143" s="17"/>
      <c r="VXI1143" s="17"/>
      <c r="VXJ1143" s="17"/>
      <c r="VXK1143" s="17"/>
      <c r="VXL1143" s="17"/>
      <c r="VXM1143" s="17"/>
      <c r="VXN1143" s="17"/>
      <c r="VXO1143" s="17"/>
      <c r="VXP1143" s="17"/>
      <c r="VXQ1143" s="17"/>
      <c r="VXR1143" s="17"/>
      <c r="VXS1143" s="17"/>
      <c r="VXT1143" s="17"/>
      <c r="VXU1143" s="17"/>
      <c r="VXV1143" s="17"/>
      <c r="VXW1143" s="17"/>
      <c r="VXX1143" s="17"/>
      <c r="VXY1143" s="17"/>
      <c r="VXZ1143" s="17"/>
      <c r="VYA1143" s="17"/>
      <c r="VYB1143" s="17"/>
      <c r="VYC1143" s="17"/>
      <c r="VYD1143" s="17"/>
      <c r="VYE1143" s="17"/>
      <c r="VYF1143" s="17"/>
      <c r="VYG1143" s="17"/>
      <c r="VYH1143" s="17"/>
      <c r="VYI1143" s="17"/>
      <c r="VYJ1143" s="17"/>
      <c r="VYK1143" s="17"/>
      <c r="VYL1143" s="17"/>
      <c r="VYM1143" s="17"/>
      <c r="VYN1143" s="17"/>
      <c r="VYO1143" s="17"/>
      <c r="VYP1143" s="17"/>
      <c r="VYQ1143" s="17"/>
      <c r="VYR1143" s="17"/>
      <c r="VYS1143" s="17"/>
      <c r="VYT1143" s="17"/>
      <c r="VYU1143" s="17"/>
      <c r="VYV1143" s="17"/>
      <c r="VYW1143" s="17"/>
      <c r="VYX1143" s="17"/>
      <c r="VYY1143" s="17"/>
      <c r="VYZ1143" s="17"/>
      <c r="VZA1143" s="17"/>
      <c r="VZB1143" s="17"/>
      <c r="VZC1143" s="17"/>
      <c r="VZD1143" s="17"/>
      <c r="VZE1143" s="17"/>
      <c r="VZF1143" s="17"/>
      <c r="VZG1143" s="17"/>
      <c r="VZH1143" s="17"/>
      <c r="VZI1143" s="17"/>
      <c r="VZJ1143" s="17"/>
      <c r="VZK1143" s="17"/>
      <c r="VZL1143" s="17"/>
      <c r="VZM1143" s="17"/>
      <c r="VZN1143" s="17"/>
      <c r="VZO1143" s="17"/>
      <c r="VZP1143" s="17"/>
      <c r="VZQ1143" s="17"/>
      <c r="VZR1143" s="17"/>
      <c r="VZS1143" s="17"/>
      <c r="VZT1143" s="17"/>
      <c r="VZU1143" s="17"/>
      <c r="VZV1143" s="17"/>
      <c r="VZW1143" s="17"/>
      <c r="VZX1143" s="17"/>
      <c r="VZY1143" s="17"/>
      <c r="VZZ1143" s="17"/>
      <c r="WAA1143" s="17"/>
      <c r="WAB1143" s="17"/>
      <c r="WAC1143" s="17"/>
      <c r="WAD1143" s="17"/>
      <c r="WAE1143" s="17"/>
      <c r="WAF1143" s="17"/>
      <c r="WAG1143" s="17"/>
      <c r="WAH1143" s="17"/>
      <c r="WAI1143" s="17"/>
      <c r="WAJ1143" s="17"/>
      <c r="WAK1143" s="17"/>
      <c r="WAL1143" s="17"/>
      <c r="WAM1143" s="17"/>
      <c r="WAN1143" s="17"/>
      <c r="WAO1143" s="17"/>
      <c r="WAP1143" s="17"/>
      <c r="WAQ1143" s="17"/>
      <c r="WAR1143" s="17"/>
      <c r="WAS1143" s="17"/>
      <c r="WAT1143" s="17"/>
      <c r="WAU1143" s="17"/>
      <c r="WAV1143" s="17"/>
      <c r="WAW1143" s="17"/>
      <c r="WAX1143" s="17"/>
      <c r="WAY1143" s="17"/>
      <c r="WAZ1143" s="17"/>
      <c r="WBA1143" s="17"/>
      <c r="WBB1143" s="17"/>
      <c r="WBC1143" s="17"/>
      <c r="WBD1143" s="17"/>
      <c r="WBE1143" s="17"/>
      <c r="WBF1143" s="17"/>
      <c r="WBG1143" s="17"/>
      <c r="WBH1143" s="17"/>
      <c r="WBI1143" s="17"/>
      <c r="WBJ1143" s="17"/>
      <c r="WBK1143" s="17"/>
      <c r="WBL1143" s="17"/>
      <c r="WBM1143" s="17"/>
      <c r="WBN1143" s="17"/>
      <c r="WBO1143" s="17"/>
      <c r="WBP1143" s="17"/>
      <c r="WBQ1143" s="17"/>
      <c r="WBR1143" s="17"/>
      <c r="WBS1143" s="17"/>
      <c r="WBT1143" s="17"/>
      <c r="WBU1143" s="17"/>
      <c r="WBV1143" s="17"/>
      <c r="WBW1143" s="17"/>
      <c r="WBX1143" s="17"/>
      <c r="WBY1143" s="17"/>
      <c r="WBZ1143" s="17"/>
      <c r="WCA1143" s="17"/>
      <c r="WCB1143" s="17"/>
      <c r="WCC1143" s="17"/>
      <c r="WCD1143" s="17"/>
      <c r="WCE1143" s="17"/>
      <c r="WCF1143" s="17"/>
      <c r="WCG1143" s="17"/>
      <c r="WCH1143" s="17"/>
      <c r="WCI1143" s="17"/>
      <c r="WCJ1143" s="17"/>
      <c r="WCK1143" s="17"/>
      <c r="WCL1143" s="17"/>
      <c r="WCM1143" s="17"/>
      <c r="WCN1143" s="17"/>
      <c r="WCO1143" s="17"/>
      <c r="WCP1143" s="17"/>
      <c r="WCQ1143" s="17"/>
      <c r="WCR1143" s="17"/>
      <c r="WCS1143" s="17"/>
      <c r="WCT1143" s="17"/>
      <c r="WCU1143" s="17"/>
      <c r="WCV1143" s="17"/>
      <c r="WCW1143" s="17"/>
      <c r="WCX1143" s="17"/>
      <c r="WCY1143" s="17"/>
      <c r="WCZ1143" s="17"/>
      <c r="WDA1143" s="17"/>
      <c r="WDB1143" s="17"/>
      <c r="WDC1143" s="17"/>
      <c r="WDD1143" s="17"/>
      <c r="WDE1143" s="17"/>
      <c r="WDF1143" s="17"/>
      <c r="WDG1143" s="17"/>
      <c r="WDH1143" s="17"/>
      <c r="WDI1143" s="17"/>
      <c r="WDJ1143" s="17"/>
      <c r="WDK1143" s="17"/>
      <c r="WDL1143" s="17"/>
      <c r="WDM1143" s="17"/>
      <c r="WDN1143" s="17"/>
      <c r="WDO1143" s="17"/>
      <c r="WDP1143" s="17"/>
      <c r="WDQ1143" s="17"/>
      <c r="WDR1143" s="17"/>
      <c r="WDS1143" s="17"/>
      <c r="WDT1143" s="17"/>
      <c r="WDU1143" s="17"/>
      <c r="WDV1143" s="17"/>
      <c r="WDW1143" s="17"/>
      <c r="WDX1143" s="17"/>
      <c r="WDY1143" s="17"/>
      <c r="WDZ1143" s="17"/>
      <c r="WEA1143" s="17"/>
      <c r="WEB1143" s="17"/>
      <c r="WEC1143" s="17"/>
      <c r="WED1143" s="17"/>
      <c r="WEE1143" s="17"/>
      <c r="WEF1143" s="17"/>
      <c r="WEG1143" s="17"/>
      <c r="WEH1143" s="17"/>
      <c r="WEI1143" s="17"/>
      <c r="WEJ1143" s="17"/>
      <c r="WEK1143" s="17"/>
      <c r="WEL1143" s="17"/>
      <c r="WEM1143" s="17"/>
      <c r="WEN1143" s="17"/>
      <c r="WEO1143" s="17"/>
      <c r="WEP1143" s="17"/>
      <c r="WEQ1143" s="17"/>
      <c r="WER1143" s="17"/>
      <c r="WES1143" s="17"/>
      <c r="WET1143" s="17"/>
      <c r="WEU1143" s="17"/>
      <c r="WEV1143" s="17"/>
      <c r="WEW1143" s="17"/>
      <c r="WEX1143" s="17"/>
      <c r="WEY1143" s="17"/>
      <c r="WEZ1143" s="17"/>
      <c r="WFA1143" s="17"/>
      <c r="WFB1143" s="17"/>
      <c r="WFC1143" s="17"/>
      <c r="WFD1143" s="17"/>
      <c r="WFE1143" s="17"/>
      <c r="WFF1143" s="17"/>
      <c r="WFG1143" s="17"/>
      <c r="WFH1143" s="17"/>
      <c r="WFI1143" s="17"/>
      <c r="WFJ1143" s="17"/>
      <c r="WFK1143" s="17"/>
      <c r="WFL1143" s="17"/>
      <c r="WFM1143" s="17"/>
      <c r="WFN1143" s="17"/>
      <c r="WFO1143" s="17"/>
      <c r="WFP1143" s="17"/>
      <c r="WFQ1143" s="17"/>
      <c r="WFR1143" s="17"/>
      <c r="WFS1143" s="17"/>
      <c r="WFT1143" s="17"/>
      <c r="WFU1143" s="17"/>
      <c r="WFV1143" s="17"/>
      <c r="WFW1143" s="17"/>
      <c r="WFX1143" s="17"/>
      <c r="WFY1143" s="17"/>
      <c r="WFZ1143" s="17"/>
      <c r="WGA1143" s="17"/>
      <c r="WGB1143" s="17"/>
      <c r="WGC1143" s="17"/>
      <c r="WGD1143" s="17"/>
      <c r="WGE1143" s="17"/>
      <c r="WGF1143" s="17"/>
      <c r="WGG1143" s="17"/>
      <c r="WGH1143" s="17"/>
      <c r="WGI1143" s="17"/>
      <c r="WGJ1143" s="17"/>
      <c r="WGK1143" s="17"/>
      <c r="WGL1143" s="17"/>
      <c r="WGM1143" s="17"/>
      <c r="WGN1143" s="17"/>
      <c r="WGO1143" s="17"/>
      <c r="WGP1143" s="17"/>
      <c r="WGQ1143" s="17"/>
      <c r="WGR1143" s="17"/>
      <c r="WGS1143" s="17"/>
      <c r="WGT1143" s="17"/>
      <c r="WGU1143" s="17"/>
      <c r="WGV1143" s="17"/>
      <c r="WGW1143" s="17"/>
      <c r="WGX1143" s="17"/>
      <c r="WGY1143" s="17"/>
      <c r="WGZ1143" s="17"/>
      <c r="WHA1143" s="17"/>
      <c r="WHB1143" s="17"/>
      <c r="WHC1143" s="17"/>
      <c r="WHD1143" s="17"/>
      <c r="WHE1143" s="17"/>
      <c r="WHF1143" s="17"/>
      <c r="WHG1143" s="17"/>
      <c r="WHH1143" s="17"/>
      <c r="WHI1143" s="17"/>
      <c r="WHJ1143" s="17"/>
      <c r="WHK1143" s="17"/>
      <c r="WHL1143" s="17"/>
      <c r="WHM1143" s="17"/>
      <c r="WHN1143" s="17"/>
      <c r="WHO1143" s="17"/>
      <c r="WHP1143" s="17"/>
      <c r="WHQ1143" s="17"/>
      <c r="WHR1143" s="17"/>
      <c r="WHS1143" s="17"/>
      <c r="WHT1143" s="17"/>
      <c r="WHU1143" s="17"/>
      <c r="WHV1143" s="17"/>
      <c r="WHW1143" s="17"/>
      <c r="WHX1143" s="17"/>
      <c r="WHY1143" s="17"/>
      <c r="WHZ1143" s="17"/>
      <c r="WIA1143" s="17"/>
      <c r="WIB1143" s="17"/>
      <c r="WIC1143" s="17"/>
      <c r="WID1143" s="17"/>
      <c r="WIE1143" s="17"/>
      <c r="WIF1143" s="17"/>
      <c r="WIG1143" s="17"/>
      <c r="WIH1143" s="17"/>
      <c r="WII1143" s="17"/>
      <c r="WIJ1143" s="17"/>
      <c r="WIK1143" s="17"/>
      <c r="WIL1143" s="17"/>
      <c r="WIM1143" s="17"/>
      <c r="WIN1143" s="17"/>
      <c r="WIO1143" s="17"/>
      <c r="WIP1143" s="17"/>
      <c r="WIQ1143" s="17"/>
      <c r="WIR1143" s="17"/>
      <c r="WIS1143" s="17"/>
      <c r="WIT1143" s="17"/>
      <c r="WIU1143" s="17"/>
      <c r="WIV1143" s="17"/>
      <c r="WIW1143" s="17"/>
      <c r="WIX1143" s="17"/>
      <c r="WIY1143" s="17"/>
      <c r="WIZ1143" s="17"/>
      <c r="WJA1143" s="17"/>
      <c r="WJB1143" s="17"/>
      <c r="WJC1143" s="17"/>
      <c r="WJD1143" s="17"/>
      <c r="WJE1143" s="17"/>
      <c r="WJF1143" s="17"/>
      <c r="WJG1143" s="17"/>
      <c r="WJH1143" s="17"/>
      <c r="WJI1143" s="17"/>
      <c r="WJJ1143" s="17"/>
      <c r="WJK1143" s="17"/>
      <c r="WJL1143" s="17"/>
      <c r="WJM1143" s="17"/>
      <c r="WJN1143" s="17"/>
      <c r="WJO1143" s="17"/>
      <c r="WJP1143" s="17"/>
      <c r="WJQ1143" s="17"/>
      <c r="WJR1143" s="17"/>
      <c r="WJS1143" s="17"/>
      <c r="WJT1143" s="17"/>
      <c r="WJU1143" s="17"/>
      <c r="WJV1143" s="17"/>
      <c r="WJW1143" s="17"/>
      <c r="WJX1143" s="17"/>
      <c r="WJY1143" s="17"/>
      <c r="WJZ1143" s="17"/>
      <c r="WKA1143" s="17"/>
      <c r="WKB1143" s="17"/>
      <c r="WKC1143" s="17"/>
      <c r="WKD1143" s="17"/>
      <c r="WKE1143" s="17"/>
      <c r="WKF1143" s="17"/>
      <c r="WKG1143" s="17"/>
      <c r="WKH1143" s="17"/>
      <c r="WKI1143" s="17"/>
      <c r="WKJ1143" s="17"/>
      <c r="WKK1143" s="17"/>
      <c r="WKL1143" s="17"/>
      <c r="WKM1143" s="17"/>
      <c r="WKN1143" s="17"/>
      <c r="WKO1143" s="17"/>
      <c r="WKP1143" s="17"/>
      <c r="WKQ1143" s="17"/>
      <c r="WKR1143" s="17"/>
      <c r="WKS1143" s="17"/>
      <c r="WKT1143" s="17"/>
      <c r="WKU1143" s="17"/>
      <c r="WKV1143" s="17"/>
      <c r="WKW1143" s="17"/>
      <c r="WKX1143" s="17"/>
      <c r="WKY1143" s="17"/>
      <c r="WKZ1143" s="17"/>
      <c r="WLA1143" s="17"/>
      <c r="WLB1143" s="17"/>
      <c r="WLC1143" s="17"/>
      <c r="WLD1143" s="17"/>
      <c r="WLE1143" s="17"/>
      <c r="WLF1143" s="17"/>
      <c r="WLG1143" s="17"/>
      <c r="WLH1143" s="17"/>
      <c r="WLI1143" s="17"/>
      <c r="WLJ1143" s="17"/>
      <c r="WLK1143" s="17"/>
      <c r="WLL1143" s="17"/>
      <c r="WLM1143" s="17"/>
      <c r="WLN1143" s="17"/>
      <c r="WLO1143" s="17"/>
      <c r="WLP1143" s="17"/>
      <c r="WLQ1143" s="17"/>
      <c r="WLR1143" s="17"/>
      <c r="WLS1143" s="17"/>
      <c r="WLT1143" s="17"/>
      <c r="WLU1143" s="17"/>
      <c r="WLV1143" s="17"/>
      <c r="WLW1143" s="17"/>
      <c r="WLX1143" s="17"/>
      <c r="WLY1143" s="17"/>
      <c r="WLZ1143" s="17"/>
      <c r="WMA1143" s="17"/>
      <c r="WMB1143" s="17"/>
      <c r="WMC1143" s="17"/>
      <c r="WMD1143" s="17"/>
      <c r="WME1143" s="17"/>
      <c r="WMF1143" s="17"/>
      <c r="WMG1143" s="17"/>
      <c r="WMH1143" s="17"/>
      <c r="WMI1143" s="17"/>
      <c r="WMJ1143" s="17"/>
      <c r="WMK1143" s="17"/>
      <c r="WML1143" s="17"/>
      <c r="WMM1143" s="17"/>
      <c r="WMN1143" s="17"/>
      <c r="WMO1143" s="17"/>
      <c r="WMP1143" s="17"/>
      <c r="WMQ1143" s="17"/>
      <c r="WMR1143" s="17"/>
      <c r="WMS1143" s="17"/>
      <c r="WMT1143" s="17"/>
      <c r="WMU1143" s="17"/>
      <c r="WMV1143" s="17"/>
      <c r="WMW1143" s="17"/>
      <c r="WMX1143" s="17"/>
      <c r="WMY1143" s="17"/>
      <c r="WMZ1143" s="17"/>
      <c r="WNA1143" s="17"/>
      <c r="WNB1143" s="17"/>
      <c r="WNC1143" s="17"/>
      <c r="WND1143" s="17"/>
      <c r="WNE1143" s="17"/>
      <c r="WNF1143" s="17"/>
      <c r="WNG1143" s="17"/>
      <c r="WNH1143" s="17"/>
      <c r="WNI1143" s="17"/>
      <c r="WNJ1143" s="17"/>
      <c r="WNK1143" s="17"/>
      <c r="WNL1143" s="17"/>
      <c r="WNM1143" s="17"/>
      <c r="WNN1143" s="17"/>
      <c r="WNO1143" s="17"/>
      <c r="WNP1143" s="17"/>
      <c r="WNQ1143" s="17"/>
      <c r="WNR1143" s="17"/>
      <c r="WNS1143" s="17"/>
      <c r="WNT1143" s="17"/>
      <c r="WNU1143" s="17"/>
      <c r="WNV1143" s="17"/>
      <c r="WNW1143" s="17"/>
      <c r="WNX1143" s="17"/>
      <c r="WNY1143" s="17"/>
      <c r="WNZ1143" s="17"/>
      <c r="WOA1143" s="17"/>
      <c r="WOB1143" s="17"/>
      <c r="WOC1143" s="17"/>
      <c r="WOD1143" s="17"/>
      <c r="WOE1143" s="17"/>
      <c r="WOF1143" s="17"/>
      <c r="WOG1143" s="17"/>
      <c r="WOH1143" s="17"/>
      <c r="WOI1143" s="17"/>
      <c r="WOJ1143" s="17"/>
      <c r="WOK1143" s="17"/>
      <c r="WOL1143" s="17"/>
      <c r="WOM1143" s="17"/>
      <c r="WON1143" s="17"/>
      <c r="WOO1143" s="17"/>
      <c r="WOP1143" s="17"/>
      <c r="WOQ1143" s="17"/>
      <c r="WOR1143" s="17"/>
      <c r="WOS1143" s="17"/>
      <c r="WOT1143" s="17"/>
      <c r="WOU1143" s="17"/>
      <c r="WOV1143" s="17"/>
      <c r="WOW1143" s="17"/>
      <c r="WOX1143" s="17"/>
      <c r="WOY1143" s="17"/>
      <c r="WOZ1143" s="17"/>
      <c r="WPA1143" s="17"/>
      <c r="WPB1143" s="17"/>
      <c r="WPC1143" s="17"/>
      <c r="WPD1143" s="17"/>
      <c r="WPE1143" s="17"/>
      <c r="WPF1143" s="17"/>
      <c r="WPG1143" s="17"/>
      <c r="WPH1143" s="17"/>
      <c r="WPI1143" s="17"/>
      <c r="WPJ1143" s="17"/>
      <c r="WPK1143" s="17"/>
      <c r="WPL1143" s="17"/>
      <c r="WPM1143" s="17"/>
      <c r="WPN1143" s="17"/>
      <c r="WPO1143" s="17"/>
      <c r="WPP1143" s="17"/>
      <c r="WPQ1143" s="17"/>
      <c r="WPR1143" s="17"/>
      <c r="WPS1143" s="17"/>
      <c r="WPT1143" s="17"/>
      <c r="WPU1143" s="17"/>
      <c r="WPV1143" s="17"/>
      <c r="WPW1143" s="17"/>
      <c r="WPX1143" s="17"/>
      <c r="WPY1143" s="17"/>
      <c r="WPZ1143" s="17"/>
      <c r="WQA1143" s="17"/>
      <c r="WQB1143" s="17"/>
      <c r="WQC1143" s="17"/>
      <c r="WQD1143" s="17"/>
      <c r="WQE1143" s="17"/>
      <c r="WQF1143" s="17"/>
      <c r="WQG1143" s="17"/>
      <c r="WQH1143" s="17"/>
      <c r="WQI1143" s="17"/>
      <c r="WQJ1143" s="17"/>
      <c r="WQK1143" s="17"/>
      <c r="WQL1143" s="17"/>
      <c r="WQM1143" s="17"/>
      <c r="WQN1143" s="17"/>
      <c r="WQO1143" s="17"/>
      <c r="WQP1143" s="17"/>
      <c r="WQQ1143" s="17"/>
      <c r="WQR1143" s="17"/>
      <c r="WQS1143" s="17"/>
      <c r="WQT1143" s="17"/>
      <c r="WQU1143" s="17"/>
      <c r="WQV1143" s="17"/>
      <c r="WQW1143" s="17"/>
      <c r="WQX1143" s="17"/>
      <c r="WQY1143" s="17"/>
      <c r="WQZ1143" s="17"/>
      <c r="WRA1143" s="17"/>
      <c r="WRB1143" s="17"/>
      <c r="WRC1143" s="17"/>
      <c r="WRD1143" s="17"/>
      <c r="WRE1143" s="17"/>
      <c r="WRF1143" s="17"/>
      <c r="WRG1143" s="17"/>
      <c r="WRH1143" s="17"/>
      <c r="WRI1143" s="17"/>
      <c r="WRJ1143" s="17"/>
      <c r="WRK1143" s="17"/>
      <c r="WRL1143" s="17"/>
      <c r="WRM1143" s="17"/>
      <c r="WRN1143" s="17"/>
      <c r="WRO1143" s="17"/>
      <c r="WRP1143" s="17"/>
      <c r="WRQ1143" s="17"/>
      <c r="WRR1143" s="17"/>
      <c r="WRS1143" s="17"/>
      <c r="WRT1143" s="17"/>
      <c r="WRU1143" s="17"/>
      <c r="WRV1143" s="17"/>
      <c r="WRW1143" s="17"/>
      <c r="WRX1143" s="17"/>
      <c r="WRY1143" s="17"/>
      <c r="WRZ1143" s="17"/>
      <c r="WSA1143" s="17"/>
      <c r="WSB1143" s="17"/>
      <c r="WSC1143" s="17"/>
      <c r="WSD1143" s="17"/>
      <c r="WSE1143" s="17"/>
      <c r="WSF1143" s="17"/>
      <c r="WSG1143" s="17"/>
      <c r="WSH1143" s="17"/>
      <c r="WSI1143" s="17"/>
      <c r="WSJ1143" s="17"/>
      <c r="WSK1143" s="17"/>
      <c r="WSL1143" s="17"/>
      <c r="WSM1143" s="17"/>
      <c r="WSN1143" s="17"/>
      <c r="WSO1143" s="17"/>
      <c r="WSP1143" s="17"/>
      <c r="WSQ1143" s="17"/>
      <c r="WSR1143" s="17"/>
      <c r="WSS1143" s="17"/>
      <c r="WST1143" s="17"/>
      <c r="WSU1143" s="17"/>
      <c r="WSV1143" s="17"/>
      <c r="WSW1143" s="17"/>
      <c r="WSX1143" s="17"/>
      <c r="WSY1143" s="17"/>
      <c r="WSZ1143" s="17"/>
      <c r="WTA1143" s="17"/>
      <c r="WTB1143" s="17"/>
      <c r="WTC1143" s="17"/>
      <c r="WTD1143" s="17"/>
      <c r="WTE1143" s="17"/>
      <c r="WTF1143" s="17"/>
      <c r="WTG1143" s="17"/>
      <c r="WTH1143" s="17"/>
      <c r="WTI1143" s="17"/>
      <c r="WTJ1143" s="17"/>
      <c r="WTK1143" s="17"/>
      <c r="WTL1143" s="17"/>
      <c r="WTM1143" s="17"/>
      <c r="WTN1143" s="17"/>
      <c r="WTO1143" s="17"/>
      <c r="WTP1143" s="17"/>
      <c r="WTQ1143" s="17"/>
      <c r="WTR1143" s="17"/>
      <c r="WTS1143" s="17"/>
      <c r="WTT1143" s="17"/>
      <c r="WTU1143" s="17"/>
      <c r="WTV1143" s="17"/>
      <c r="WTW1143" s="17"/>
      <c r="WTX1143" s="17"/>
      <c r="WTY1143" s="17"/>
      <c r="WTZ1143" s="17"/>
      <c r="WUA1143" s="17"/>
      <c r="WUB1143" s="17"/>
      <c r="WUC1143" s="17"/>
      <c r="WUD1143" s="17"/>
      <c r="WUE1143" s="17"/>
      <c r="WUF1143" s="17"/>
      <c r="WUG1143" s="17"/>
      <c r="WUH1143" s="17"/>
      <c r="WUI1143" s="17"/>
      <c r="WUJ1143" s="17"/>
      <c r="WUK1143" s="17"/>
      <c r="WUL1143" s="17"/>
      <c r="WUM1143" s="17"/>
      <c r="WUN1143" s="17"/>
      <c r="WUO1143" s="17"/>
      <c r="WUP1143" s="17"/>
      <c r="WUQ1143" s="17"/>
      <c r="WUR1143" s="17"/>
      <c r="WUS1143" s="17"/>
      <c r="WUT1143" s="17"/>
      <c r="WUU1143" s="17"/>
      <c r="WUV1143" s="17"/>
      <c r="WUW1143" s="17"/>
      <c r="WUX1143" s="17"/>
      <c r="WUY1143" s="17"/>
      <c r="WUZ1143" s="17"/>
      <c r="WVA1143" s="17"/>
      <c r="WVB1143" s="17"/>
      <c r="WVC1143" s="17"/>
      <c r="WVD1143" s="17"/>
      <c r="WVE1143" s="17"/>
      <c r="WVF1143" s="17"/>
      <c r="WVG1143" s="17"/>
      <c r="WVH1143" s="17"/>
      <c r="WVI1143" s="17"/>
      <c r="WVJ1143" s="17"/>
      <c r="WVK1143" s="17"/>
      <c r="WVL1143" s="17"/>
      <c r="WVM1143" s="17"/>
      <c r="WVN1143" s="17"/>
      <c r="WVO1143" s="17"/>
      <c r="WVP1143" s="17"/>
      <c r="WVQ1143" s="17"/>
      <c r="WVR1143" s="17"/>
      <c r="WVS1143" s="17"/>
      <c r="WVT1143" s="17"/>
      <c r="WVU1143" s="17"/>
      <c r="WVV1143" s="17"/>
      <c r="WVW1143" s="17"/>
      <c r="WVX1143" s="17"/>
      <c r="WVY1143" s="17"/>
      <c r="WVZ1143" s="17"/>
      <c r="WWA1143" s="17"/>
      <c r="WWB1143" s="17"/>
      <c r="WWC1143" s="17"/>
      <c r="WWD1143" s="17"/>
      <c r="WWE1143" s="17"/>
      <c r="WWF1143" s="17"/>
      <c r="WWG1143" s="17"/>
      <c r="WWH1143" s="17"/>
      <c r="WWI1143" s="17"/>
      <c r="WWJ1143" s="17"/>
      <c r="WWK1143" s="17"/>
      <c r="WWL1143" s="17"/>
      <c r="WWM1143" s="17"/>
      <c r="WWN1143" s="17"/>
      <c r="WWO1143" s="17"/>
      <c r="WWP1143" s="17"/>
      <c r="WWQ1143" s="17"/>
      <c r="WWR1143" s="17"/>
      <c r="WWS1143" s="17"/>
      <c r="WWT1143" s="17"/>
      <c r="WWU1143" s="17"/>
      <c r="WWV1143" s="17"/>
      <c r="WWW1143" s="17"/>
      <c r="WWX1143" s="17"/>
      <c r="WWY1143" s="17"/>
      <c r="WWZ1143" s="17"/>
      <c r="WXA1143" s="17"/>
      <c r="WXB1143" s="17"/>
      <c r="WXC1143" s="17"/>
      <c r="WXD1143" s="17"/>
      <c r="WXE1143" s="17"/>
      <c r="WXF1143" s="17"/>
      <c r="WXG1143" s="17"/>
      <c r="WXH1143" s="17"/>
      <c r="WXI1143" s="17"/>
      <c r="WXJ1143" s="17"/>
      <c r="WXK1143" s="17"/>
      <c r="WXL1143" s="17"/>
      <c r="WXM1143" s="17"/>
      <c r="WXN1143" s="17"/>
      <c r="WXO1143" s="17"/>
      <c r="WXP1143" s="17"/>
      <c r="WXQ1143" s="17"/>
      <c r="WXR1143" s="17"/>
      <c r="WXS1143" s="17"/>
      <c r="WXT1143" s="17"/>
      <c r="WXU1143" s="17"/>
      <c r="WXV1143" s="17"/>
      <c r="WXW1143" s="17"/>
      <c r="WXX1143" s="17"/>
      <c r="WXY1143" s="17"/>
      <c r="WXZ1143" s="17"/>
      <c r="WYA1143" s="17"/>
      <c r="WYB1143" s="17"/>
      <c r="WYC1143" s="17"/>
      <c r="WYD1143" s="17"/>
      <c r="WYE1143" s="17"/>
      <c r="WYF1143" s="17"/>
      <c r="WYG1143" s="17"/>
      <c r="WYI1143" s="17"/>
      <c r="WYJ1143" s="17"/>
      <c r="WYK1143" s="17"/>
      <c r="WYL1143" s="17"/>
      <c r="WYM1143" s="17"/>
      <c r="WYN1143" s="17"/>
      <c r="WYO1143" s="17"/>
      <c r="WYP1143" s="17"/>
      <c r="WYQ1143" s="17"/>
      <c r="WYR1143" s="17"/>
      <c r="WYS1143" s="17"/>
      <c r="WYT1143" s="17"/>
      <c r="WYU1143" s="17"/>
      <c r="WYV1143" s="17"/>
      <c r="WYW1143" s="17"/>
      <c r="WYX1143" s="17"/>
      <c r="WYY1143" s="17"/>
      <c r="WYZ1143" s="17"/>
      <c r="WZA1143" s="17"/>
      <c r="WZB1143" s="17"/>
      <c r="WZC1143" s="17"/>
      <c r="WZD1143" s="17"/>
      <c r="WZE1143" s="17"/>
      <c r="WZF1143" s="17"/>
      <c r="WZG1143" s="17"/>
      <c r="WZH1143" s="17"/>
      <c r="WZI1143" s="17"/>
      <c r="WZJ1143" s="17"/>
      <c r="WZK1143" s="17"/>
      <c r="WZL1143" s="17"/>
      <c r="WZM1143" s="17"/>
      <c r="WZN1143" s="17"/>
      <c r="WZO1143" s="17"/>
      <c r="WZP1143" s="17"/>
      <c r="WZQ1143" s="17"/>
      <c r="WZR1143" s="17"/>
      <c r="WZS1143" s="17"/>
      <c r="WZT1143" s="17"/>
      <c r="WZU1143" s="17"/>
      <c r="WZV1143" s="17"/>
      <c r="WZW1143" s="17"/>
      <c r="WZX1143" s="17"/>
      <c r="WZY1143" s="17"/>
      <c r="WZZ1143" s="17"/>
      <c r="XAA1143" s="17"/>
      <c r="XAB1143" s="17"/>
      <c r="XAC1143" s="17"/>
      <c r="XAD1143" s="17"/>
      <c r="XAE1143" s="17"/>
      <c r="XAF1143" s="17"/>
      <c r="XAG1143" s="17"/>
      <c r="XAH1143" s="17"/>
      <c r="XAI1143" s="17"/>
      <c r="XAJ1143" s="17"/>
      <c r="XAK1143" s="17"/>
      <c r="XAL1143" s="17"/>
      <c r="XAM1143" s="17"/>
      <c r="XAN1143" s="17"/>
      <c r="XAO1143" s="17"/>
      <c r="XAP1143" s="17"/>
      <c r="XAQ1143" s="17"/>
      <c r="XAR1143" s="17"/>
      <c r="XAS1143" s="17"/>
      <c r="XAT1143" s="17"/>
      <c r="XAU1143" s="17"/>
      <c r="XAV1143" s="17"/>
      <c r="XAW1143" s="17"/>
      <c r="XAX1143" s="17"/>
      <c r="XAY1143" s="17"/>
      <c r="XAZ1143" s="17"/>
      <c r="XBA1143" s="17"/>
      <c r="XBB1143" s="17"/>
      <c r="XBC1143" s="17"/>
      <c r="XBD1143" s="17"/>
      <c r="XBE1143" s="17"/>
      <c r="XBF1143" s="17"/>
      <c r="XBG1143" s="17"/>
      <c r="XBH1143" s="17"/>
      <c r="XBI1143" s="17"/>
      <c r="XBJ1143" s="17"/>
      <c r="XBK1143" s="17"/>
      <c r="XBL1143" s="17"/>
      <c r="XBM1143" s="17"/>
      <c r="XBN1143" s="17"/>
      <c r="XBO1143" s="17"/>
      <c r="XBP1143" s="17"/>
      <c r="XBQ1143" s="17"/>
      <c r="XBR1143" s="17"/>
      <c r="XBS1143" s="17"/>
      <c r="XBT1143" s="17"/>
      <c r="XBU1143" s="17"/>
      <c r="XBV1143" s="17"/>
      <c r="XBW1143" s="17"/>
      <c r="XBX1143" s="17"/>
      <c r="XBY1143" s="17"/>
      <c r="XBZ1143" s="17"/>
      <c r="XCA1143" s="17"/>
      <c r="XCB1143" s="17"/>
      <c r="XCC1143" s="17"/>
      <c r="XCD1143" s="17"/>
      <c r="XCE1143" s="17"/>
      <c r="XCF1143" s="17"/>
      <c r="XCG1143" s="17"/>
      <c r="XCH1143" s="17"/>
      <c r="XCI1143" s="17"/>
      <c r="XCJ1143" s="17"/>
      <c r="XCK1143" s="17"/>
      <c r="XCL1143" s="17"/>
      <c r="XCM1143" s="17"/>
      <c r="XCN1143" s="17"/>
      <c r="XCO1143" s="17"/>
      <c r="XCP1143" s="17"/>
      <c r="XCQ1143" s="17"/>
      <c r="XCR1143" s="17"/>
      <c r="XCS1143" s="17"/>
      <c r="XCT1143" s="17"/>
      <c r="XCU1143" s="17"/>
      <c r="XCV1143" s="17"/>
      <c r="XCW1143" s="17"/>
      <c r="XCX1143" s="17"/>
      <c r="XCY1143" s="17"/>
      <c r="XCZ1143" s="17"/>
      <c r="XDA1143" s="17"/>
      <c r="XDB1143" s="17"/>
      <c r="XDC1143" s="17"/>
      <c r="XDD1143" s="17"/>
      <c r="XDE1143" s="17"/>
      <c r="XDF1143" s="17"/>
      <c r="XDG1143" s="17"/>
      <c r="XDH1143" s="17"/>
      <c r="XDI1143" s="17"/>
      <c r="XDJ1143" s="17"/>
      <c r="XDK1143" s="17"/>
      <c r="XDL1143" s="17"/>
      <c r="XDM1143" s="17"/>
      <c r="XDN1143" s="17"/>
      <c r="XDO1143" s="17"/>
      <c r="XDP1143" s="17"/>
      <c r="XDQ1143" s="17"/>
      <c r="XDR1143" s="17"/>
      <c r="XDS1143" s="17"/>
      <c r="XDT1143" s="17"/>
    </row>
    <row r="1144" spans="1:16348" s="101" customFormat="1" ht="50.1" customHeight="1" outlineLevel="1" x14ac:dyDescent="0.3">
      <c r="A1144" s="132" t="s">
        <v>1095</v>
      </c>
      <c r="B1144" s="133"/>
      <c r="C1144" s="134" t="s">
        <v>94</v>
      </c>
      <c r="D1144" s="81">
        <f t="shared" ref="D1144:V1144" si="265">SUBTOTAL(9,D1143:D1143)</f>
        <v>1965.04</v>
      </c>
      <c r="E1144" s="81">
        <f t="shared" si="265"/>
        <v>1558.48</v>
      </c>
      <c r="F1144" s="81">
        <f t="shared" si="265"/>
        <v>406.56</v>
      </c>
      <c r="G1144" s="81">
        <f t="shared" si="265"/>
        <v>0</v>
      </c>
      <c r="H1144" s="81">
        <f t="shared" si="265"/>
        <v>0</v>
      </c>
      <c r="I1144" s="81">
        <f t="shared" si="265"/>
        <v>0</v>
      </c>
      <c r="J1144" s="81">
        <f t="shared" si="265"/>
        <v>0</v>
      </c>
      <c r="K1144" s="81">
        <f t="shared" si="265"/>
        <v>0</v>
      </c>
      <c r="L1144" s="81">
        <f t="shared" si="265"/>
        <v>0</v>
      </c>
      <c r="M1144" s="81">
        <f t="shared" si="265"/>
        <v>0</v>
      </c>
      <c r="N1144" s="81">
        <f t="shared" si="265"/>
        <v>0</v>
      </c>
      <c r="O1144" s="81">
        <f t="shared" si="265"/>
        <v>0</v>
      </c>
      <c r="P1144" s="81">
        <f t="shared" si="265"/>
        <v>0</v>
      </c>
      <c r="Q1144" s="81">
        <f t="shared" si="265"/>
        <v>0</v>
      </c>
      <c r="R1144" s="81">
        <f t="shared" si="265"/>
        <v>0</v>
      </c>
      <c r="S1144" s="81">
        <f t="shared" si="265"/>
        <v>0</v>
      </c>
      <c r="T1144" s="81">
        <f t="shared" si="265"/>
        <v>0</v>
      </c>
      <c r="U1144" s="81">
        <f t="shared" si="265"/>
        <v>0</v>
      </c>
      <c r="V1144" s="81">
        <f t="shared" si="265"/>
        <v>0</v>
      </c>
      <c r="W1144" s="81">
        <f t="shared" ref="W1144:AR1144" si="266">SUBTOTAL(9,W1143:W1143)</f>
        <v>0</v>
      </c>
      <c r="X1144" s="81">
        <f t="shared" si="266"/>
        <v>0</v>
      </c>
      <c r="Y1144" s="81">
        <f t="shared" si="266"/>
        <v>0</v>
      </c>
      <c r="Z1144" s="81">
        <f t="shared" si="266"/>
        <v>0</v>
      </c>
      <c r="AA1144" s="81">
        <f t="shared" si="266"/>
        <v>0</v>
      </c>
      <c r="AB1144" s="81">
        <f t="shared" si="266"/>
        <v>0</v>
      </c>
      <c r="AC1144" s="81">
        <f t="shared" si="266"/>
        <v>0</v>
      </c>
      <c r="AD1144" s="81">
        <f t="shared" si="266"/>
        <v>0</v>
      </c>
      <c r="AE1144" s="81">
        <f t="shared" si="266"/>
        <v>0</v>
      </c>
      <c r="AF1144" s="81">
        <f t="shared" si="266"/>
        <v>0</v>
      </c>
      <c r="AG1144" s="81">
        <f t="shared" si="266"/>
        <v>0</v>
      </c>
      <c r="AH1144" s="81">
        <f t="shared" si="266"/>
        <v>0</v>
      </c>
      <c r="AI1144" s="81">
        <f t="shared" si="266"/>
        <v>0</v>
      </c>
      <c r="AJ1144" s="81">
        <f t="shared" si="266"/>
        <v>1558.48</v>
      </c>
      <c r="AK1144" s="81">
        <f t="shared" si="266"/>
        <v>406.56</v>
      </c>
      <c r="AL1144" s="81">
        <f t="shared" si="266"/>
        <v>0</v>
      </c>
      <c r="AM1144" s="81">
        <f t="shared" si="266"/>
        <v>0</v>
      </c>
      <c r="AN1144" s="81">
        <f t="shared" si="266"/>
        <v>0</v>
      </c>
      <c r="AO1144" s="81">
        <f t="shared" si="266"/>
        <v>0</v>
      </c>
      <c r="AP1144" s="81">
        <f t="shared" si="266"/>
        <v>0</v>
      </c>
      <c r="AQ1144" s="81">
        <f t="shared" si="266"/>
        <v>0</v>
      </c>
      <c r="AR1144" s="81">
        <f t="shared" si="266"/>
        <v>0</v>
      </c>
      <c r="AS1144" s="81">
        <f t="shared" ref="AS1144:BW1144" si="267">SUBTOTAL(9,AS1143:AS1143)</f>
        <v>0</v>
      </c>
      <c r="AT1144" s="81">
        <f t="shared" si="267"/>
        <v>0</v>
      </c>
      <c r="AU1144" s="81">
        <f t="shared" si="267"/>
        <v>0</v>
      </c>
      <c r="AV1144" s="81">
        <f t="shared" si="267"/>
        <v>0</v>
      </c>
      <c r="AW1144" s="81">
        <f t="shared" si="267"/>
        <v>0</v>
      </c>
      <c r="AX1144" s="81">
        <f t="shared" si="267"/>
        <v>0</v>
      </c>
      <c r="AY1144" s="81">
        <f t="shared" si="267"/>
        <v>0</v>
      </c>
      <c r="AZ1144" s="81">
        <f t="shared" si="267"/>
        <v>0</v>
      </c>
      <c r="BA1144" s="81">
        <f t="shared" si="267"/>
        <v>0</v>
      </c>
      <c r="BB1144" s="81">
        <f t="shared" si="267"/>
        <v>0</v>
      </c>
      <c r="BC1144" s="81">
        <f t="shared" si="267"/>
        <v>0</v>
      </c>
      <c r="BD1144" s="81">
        <f t="shared" si="267"/>
        <v>0</v>
      </c>
      <c r="BE1144" s="81">
        <f t="shared" si="267"/>
        <v>0</v>
      </c>
      <c r="BF1144" s="81">
        <f t="shared" si="267"/>
        <v>0</v>
      </c>
      <c r="BG1144" s="81">
        <f t="shared" si="267"/>
        <v>0</v>
      </c>
      <c r="BH1144" s="81">
        <f t="shared" si="267"/>
        <v>0</v>
      </c>
      <c r="BI1144" s="81">
        <f t="shared" si="267"/>
        <v>0</v>
      </c>
      <c r="BJ1144" s="81">
        <f t="shared" si="267"/>
        <v>0</v>
      </c>
      <c r="BK1144" s="81">
        <f t="shared" si="267"/>
        <v>0</v>
      </c>
      <c r="BL1144" s="81">
        <f t="shared" si="267"/>
        <v>0</v>
      </c>
      <c r="BM1144" s="81">
        <f t="shared" si="267"/>
        <v>0</v>
      </c>
      <c r="BN1144" s="81">
        <f t="shared" si="267"/>
        <v>0</v>
      </c>
      <c r="BO1144" s="81">
        <f t="shared" si="267"/>
        <v>0</v>
      </c>
      <c r="BP1144" s="81">
        <f t="shared" si="267"/>
        <v>0</v>
      </c>
      <c r="BQ1144" s="81">
        <f t="shared" si="267"/>
        <v>0</v>
      </c>
      <c r="BR1144" s="81">
        <f t="shared" si="267"/>
        <v>0</v>
      </c>
      <c r="BS1144" s="81">
        <f t="shared" si="267"/>
        <v>0</v>
      </c>
      <c r="BT1144" s="81">
        <f t="shared" si="267"/>
        <v>0</v>
      </c>
      <c r="BU1144" s="81">
        <f t="shared" si="267"/>
        <v>0</v>
      </c>
      <c r="BV1144" s="81">
        <f t="shared" si="267"/>
        <v>0</v>
      </c>
      <c r="BW1144" s="81">
        <f t="shared" si="267"/>
        <v>0</v>
      </c>
      <c r="BX1144" s="81">
        <f>SUBTOTAL(9,BX1143:BX1143)</f>
        <v>0</v>
      </c>
      <c r="BY1144" s="81">
        <f>SUBTOTAL(9,BY1143:BY1143)</f>
        <v>0</v>
      </c>
      <c r="BZ1144" s="81">
        <f>SUBTOTAL(9,BZ1143:BZ1143)</f>
        <v>0</v>
      </c>
      <c r="CA1144" s="81">
        <f>SUBTOTAL(9,CA1143:CA1143)</f>
        <v>0</v>
      </c>
      <c r="CB1144" s="176"/>
      <c r="CC1144" s="176"/>
      <c r="CD1144" s="176"/>
      <c r="CE1144" s="176"/>
      <c r="CF1144" s="176"/>
      <c r="CG1144" s="176"/>
      <c r="CH1144" s="176"/>
      <c r="CI1144" s="176"/>
      <c r="CJ1144" s="176"/>
      <c r="CK1144" s="176"/>
      <c r="CL1144" s="176"/>
      <c r="CM1144" s="176"/>
      <c r="CN1144" s="176"/>
      <c r="CO1144" s="176"/>
      <c r="CP1144" s="176"/>
      <c r="CQ1144" s="176"/>
      <c r="CR1144" s="176"/>
      <c r="CS1144" s="176"/>
      <c r="CT1144" s="176"/>
      <c r="CU1144" s="176"/>
      <c r="CV1144" s="176"/>
      <c r="CW1144" s="176"/>
      <c r="CX1144" s="176"/>
      <c r="CY1144" s="176"/>
      <c r="CZ1144" s="176"/>
      <c r="DA1144" s="176"/>
      <c r="DB1144" s="176"/>
      <c r="DC1144" s="176"/>
      <c r="DD1144" s="176"/>
      <c r="DE1144" s="176"/>
      <c r="DF1144" s="176"/>
      <c r="DG1144" s="176"/>
      <c r="DH1144" s="176"/>
      <c r="DI1144" s="176"/>
      <c r="DJ1144" s="176"/>
      <c r="DK1144" s="176"/>
      <c r="DL1144" s="176"/>
      <c r="DM1144" s="176"/>
      <c r="DN1144" s="176"/>
      <c r="DO1144" s="176"/>
      <c r="DP1144" s="176"/>
      <c r="DQ1144" s="176"/>
      <c r="DR1144" s="176"/>
      <c r="DS1144" s="176"/>
      <c r="DT1144" s="176"/>
      <c r="DU1144" s="176"/>
      <c r="DV1144" s="176"/>
      <c r="DW1144" s="176"/>
      <c r="DX1144" s="176"/>
      <c r="DY1144" s="176"/>
      <c r="DZ1144" s="176"/>
      <c r="EA1144" s="176"/>
      <c r="EB1144" s="176"/>
      <c r="EC1144" s="176"/>
      <c r="ED1144" s="176"/>
      <c r="EE1144" s="176"/>
      <c r="EF1144" s="176"/>
      <c r="EG1144" s="176"/>
      <c r="EH1144" s="176"/>
      <c r="EI1144" s="176"/>
      <c r="EJ1144" s="176"/>
      <c r="EK1144" s="176"/>
      <c r="EL1144" s="176"/>
      <c r="EM1144" s="176"/>
      <c r="EN1144" s="176"/>
      <c r="EO1144" s="176"/>
      <c r="EP1144" s="176"/>
      <c r="EQ1144" s="176"/>
      <c r="ER1144" s="176"/>
      <c r="ES1144" s="176"/>
      <c r="ET1144" s="176"/>
      <c r="EU1144" s="176"/>
      <c r="EV1144" s="176"/>
      <c r="EW1144" s="176"/>
      <c r="EX1144" s="176"/>
      <c r="EY1144" s="176"/>
      <c r="EZ1144" s="176"/>
      <c r="FA1144" s="176"/>
      <c r="FB1144" s="176"/>
      <c r="FC1144" s="176"/>
      <c r="FD1144" s="176"/>
      <c r="FE1144" s="176"/>
      <c r="FF1144" s="176"/>
      <c r="FG1144" s="176"/>
      <c r="FH1144" s="176"/>
      <c r="FI1144" s="176"/>
      <c r="FJ1144" s="176"/>
      <c r="FK1144" s="176"/>
      <c r="FL1144" s="176"/>
      <c r="FM1144" s="176"/>
      <c r="FN1144" s="176"/>
      <c r="FO1144" s="176"/>
      <c r="FP1144" s="176"/>
      <c r="FQ1144" s="176"/>
      <c r="FR1144" s="176"/>
      <c r="FS1144" s="176"/>
      <c r="FT1144" s="176"/>
      <c r="FU1144" s="176"/>
      <c r="FV1144" s="176"/>
      <c r="FW1144" s="176"/>
      <c r="FX1144" s="176"/>
      <c r="FY1144" s="176"/>
      <c r="FZ1144" s="176"/>
      <c r="GA1144" s="176"/>
      <c r="GB1144" s="176"/>
      <c r="GC1144" s="176"/>
      <c r="GD1144" s="176"/>
      <c r="GE1144" s="176"/>
      <c r="GF1144" s="176"/>
      <c r="GG1144" s="176"/>
      <c r="GH1144" s="176"/>
      <c r="GI1144" s="176"/>
      <c r="GJ1144" s="176"/>
      <c r="GK1144" s="176"/>
      <c r="GL1144" s="176"/>
      <c r="GM1144" s="176"/>
      <c r="GN1144" s="176"/>
      <c r="GO1144" s="176"/>
      <c r="GP1144" s="176"/>
      <c r="GQ1144" s="176"/>
      <c r="GR1144" s="176"/>
      <c r="GS1144" s="176"/>
      <c r="GT1144" s="176"/>
      <c r="GU1144" s="176"/>
      <c r="GV1144" s="176"/>
      <c r="GW1144" s="176"/>
      <c r="GX1144" s="176"/>
      <c r="GY1144" s="176"/>
      <c r="GZ1144" s="176"/>
      <c r="HA1144" s="176"/>
      <c r="HB1144" s="176"/>
      <c r="HC1144" s="176"/>
      <c r="HD1144" s="176"/>
      <c r="HE1144" s="176"/>
      <c r="HF1144" s="176"/>
      <c r="HG1144" s="176"/>
      <c r="HH1144" s="176"/>
      <c r="HI1144" s="176"/>
      <c r="HJ1144" s="176"/>
      <c r="HK1144" s="176"/>
      <c r="HL1144" s="176"/>
      <c r="HM1144" s="176"/>
      <c r="HN1144" s="176"/>
      <c r="HO1144" s="176"/>
      <c r="HP1144" s="176"/>
      <c r="HQ1144" s="176"/>
      <c r="HR1144" s="176"/>
      <c r="HS1144" s="176"/>
      <c r="HT1144" s="176"/>
      <c r="HU1144" s="176"/>
      <c r="HV1144" s="176"/>
      <c r="HW1144" s="176"/>
      <c r="HX1144" s="176"/>
      <c r="HY1144" s="176"/>
      <c r="HZ1144" s="176"/>
      <c r="IA1144" s="176"/>
      <c r="IB1144" s="176"/>
      <c r="IC1144" s="176"/>
      <c r="ID1144" s="176"/>
      <c r="IE1144" s="176"/>
      <c r="IF1144" s="176"/>
      <c r="IG1144" s="176"/>
      <c r="IH1144" s="176"/>
      <c r="II1144" s="176"/>
      <c r="IJ1144" s="176"/>
      <c r="IK1144" s="176"/>
      <c r="IL1144" s="176"/>
      <c r="IM1144" s="176"/>
      <c r="IN1144" s="176"/>
      <c r="IO1144" s="176"/>
      <c r="IP1144" s="176"/>
      <c r="IQ1144" s="176"/>
      <c r="IR1144" s="176"/>
      <c r="IS1144" s="176"/>
      <c r="IT1144" s="176"/>
      <c r="IU1144" s="176"/>
      <c r="IV1144" s="176"/>
      <c r="IW1144" s="176"/>
      <c r="IX1144" s="176"/>
      <c r="IY1144" s="176"/>
      <c r="IZ1144" s="176"/>
      <c r="JA1144" s="176"/>
      <c r="JB1144" s="176"/>
      <c r="JC1144" s="176"/>
      <c r="JD1144" s="176"/>
      <c r="JE1144" s="176"/>
      <c r="JF1144" s="176"/>
      <c r="JG1144" s="176"/>
      <c r="JH1144" s="176"/>
      <c r="JI1144" s="176"/>
      <c r="JJ1144" s="176"/>
      <c r="JK1144" s="176"/>
      <c r="JL1144" s="176"/>
      <c r="JM1144" s="176"/>
      <c r="JN1144" s="176"/>
      <c r="JO1144" s="176"/>
      <c r="JP1144" s="176"/>
      <c r="JQ1144" s="176"/>
      <c r="JR1144" s="176"/>
      <c r="JS1144" s="176"/>
      <c r="JT1144" s="176"/>
      <c r="JU1144" s="176"/>
      <c r="JV1144" s="176"/>
      <c r="JW1144" s="131"/>
      <c r="JX1144" s="131"/>
      <c r="JY1144" s="131"/>
      <c r="JZ1144" s="131"/>
      <c r="KA1144" s="131"/>
      <c r="KB1144" s="131"/>
      <c r="KC1144" s="131"/>
      <c r="KD1144" s="131"/>
      <c r="KE1144" s="131"/>
      <c r="KF1144" s="131"/>
      <c r="KG1144" s="131"/>
      <c r="KH1144" s="131"/>
      <c r="KI1144" s="131"/>
      <c r="KJ1144" s="131"/>
      <c r="KK1144" s="131"/>
      <c r="KL1144" s="131"/>
      <c r="KM1144" s="131"/>
      <c r="KN1144" s="131"/>
      <c r="KO1144" s="131"/>
      <c r="KP1144" s="131"/>
      <c r="KQ1144" s="131"/>
      <c r="KR1144" s="131"/>
      <c r="KS1144" s="131"/>
      <c r="KT1144" s="131"/>
      <c r="KU1144" s="131"/>
      <c r="KV1144" s="131"/>
      <c r="KW1144" s="131"/>
      <c r="KX1144" s="131"/>
      <c r="KY1144" s="131"/>
      <c r="KZ1144" s="131"/>
      <c r="LA1144" s="131"/>
      <c r="LB1144" s="131"/>
      <c r="LC1144" s="131"/>
      <c r="LD1144" s="131"/>
      <c r="LE1144" s="131"/>
      <c r="LF1144" s="131"/>
      <c r="LG1144" s="131"/>
      <c r="LH1144" s="131"/>
      <c r="LI1144" s="131"/>
      <c r="LJ1144" s="131"/>
      <c r="LK1144" s="131"/>
      <c r="LL1144" s="131"/>
      <c r="LM1144" s="131"/>
      <c r="LN1144" s="131"/>
      <c r="LO1144" s="131"/>
      <c r="LP1144" s="131"/>
      <c r="LQ1144" s="131"/>
      <c r="LR1144" s="131"/>
      <c r="LS1144" s="131"/>
      <c r="LT1144" s="131"/>
      <c r="LU1144" s="131"/>
      <c r="LV1144" s="131"/>
      <c r="LW1144" s="131"/>
      <c r="LX1144" s="131"/>
      <c r="LY1144" s="131"/>
      <c r="LZ1144" s="131"/>
      <c r="MA1144" s="131"/>
      <c r="MB1144" s="131"/>
      <c r="MC1144" s="131"/>
      <c r="MD1144" s="131"/>
      <c r="ME1144" s="131"/>
      <c r="MF1144" s="131"/>
      <c r="MG1144" s="131"/>
      <c r="MH1144" s="131"/>
      <c r="MI1144" s="131"/>
      <c r="MJ1144" s="131"/>
      <c r="MK1144" s="131"/>
      <c r="ML1144" s="131"/>
      <c r="MM1144" s="131"/>
      <c r="MN1144" s="131"/>
      <c r="MO1144" s="131"/>
      <c r="MP1144" s="131"/>
      <c r="MQ1144" s="131"/>
      <c r="MR1144" s="131"/>
      <c r="MS1144" s="131"/>
      <c r="MT1144" s="131"/>
      <c r="MU1144" s="131"/>
      <c r="MV1144" s="131"/>
      <c r="MW1144" s="131"/>
      <c r="MX1144" s="131"/>
      <c r="MY1144" s="131"/>
      <c r="MZ1144" s="131"/>
      <c r="NA1144" s="131"/>
      <c r="NB1144" s="131"/>
      <c r="NC1144" s="131"/>
      <c r="ND1144" s="131"/>
      <c r="NE1144" s="131"/>
      <c r="NF1144" s="131"/>
      <c r="NG1144" s="131"/>
      <c r="NH1144" s="131"/>
      <c r="NI1144" s="131"/>
      <c r="NJ1144" s="131"/>
      <c r="NK1144" s="131"/>
      <c r="NL1144" s="131"/>
      <c r="NM1144" s="131"/>
      <c r="NN1144" s="131"/>
      <c r="NO1144" s="131"/>
      <c r="NP1144" s="131"/>
      <c r="NQ1144" s="131"/>
      <c r="NR1144" s="131"/>
      <c r="NS1144" s="131"/>
      <c r="NT1144" s="131"/>
      <c r="NU1144" s="131"/>
      <c r="NV1144" s="131"/>
      <c r="NW1144" s="131"/>
      <c r="NX1144" s="131"/>
      <c r="NY1144" s="131"/>
      <c r="NZ1144" s="131"/>
      <c r="OA1144" s="131"/>
      <c r="OB1144" s="131"/>
      <c r="OC1144" s="131"/>
      <c r="OD1144" s="131"/>
      <c r="OE1144" s="131"/>
      <c r="OF1144" s="131"/>
      <c r="OG1144" s="131"/>
      <c r="OH1144" s="131"/>
      <c r="OI1144" s="131"/>
      <c r="OJ1144" s="131"/>
      <c r="OK1144" s="131"/>
      <c r="OL1144" s="131"/>
      <c r="OM1144" s="131"/>
      <c r="ON1144" s="131"/>
      <c r="OO1144" s="131"/>
      <c r="OP1144" s="131"/>
      <c r="OQ1144" s="131"/>
      <c r="OR1144" s="131"/>
      <c r="OS1144" s="131"/>
      <c r="OT1144" s="131"/>
      <c r="OU1144" s="131"/>
      <c r="OV1144" s="131"/>
      <c r="OW1144" s="131"/>
      <c r="OX1144" s="131"/>
      <c r="OY1144" s="131"/>
      <c r="OZ1144" s="131"/>
      <c r="PA1144" s="131"/>
      <c r="PB1144" s="131"/>
      <c r="PC1144" s="131"/>
      <c r="PD1144" s="131"/>
      <c r="PE1144" s="131"/>
      <c r="PF1144" s="131"/>
      <c r="PG1144" s="131"/>
      <c r="PH1144" s="131"/>
      <c r="PI1144" s="131"/>
      <c r="PJ1144" s="131"/>
      <c r="PK1144" s="131"/>
      <c r="PL1144" s="131"/>
      <c r="PM1144" s="131"/>
      <c r="PN1144" s="131"/>
      <c r="PO1144" s="131"/>
      <c r="PP1144" s="131"/>
      <c r="PQ1144" s="131"/>
      <c r="PR1144" s="131"/>
      <c r="PS1144" s="131"/>
      <c r="PT1144" s="131"/>
      <c r="PU1144" s="131"/>
      <c r="PV1144" s="131"/>
      <c r="PW1144" s="131"/>
      <c r="PX1144" s="131"/>
      <c r="PY1144" s="131"/>
      <c r="PZ1144" s="131"/>
      <c r="QA1144" s="131"/>
      <c r="QB1144" s="131"/>
      <c r="QC1144" s="131"/>
      <c r="QD1144" s="131"/>
      <c r="QE1144" s="131"/>
      <c r="QF1144" s="131"/>
      <c r="QG1144" s="131"/>
      <c r="QH1144" s="131"/>
      <c r="QI1144" s="131"/>
      <c r="QJ1144" s="131"/>
      <c r="QK1144" s="131"/>
      <c r="QL1144" s="131"/>
      <c r="QM1144" s="131"/>
      <c r="QN1144" s="131"/>
      <c r="QO1144" s="131"/>
      <c r="QP1144" s="131"/>
      <c r="QQ1144" s="131"/>
      <c r="QR1144" s="131"/>
      <c r="QS1144" s="131"/>
      <c r="QT1144" s="131"/>
      <c r="QU1144" s="131"/>
      <c r="QV1144" s="131"/>
      <c r="QW1144" s="131"/>
      <c r="QX1144" s="131"/>
      <c r="QY1144" s="131"/>
      <c r="QZ1144" s="131"/>
      <c r="RA1144" s="131"/>
      <c r="RB1144" s="131"/>
      <c r="RC1144" s="131"/>
      <c r="RD1144" s="131"/>
      <c r="RE1144" s="131"/>
      <c r="RF1144" s="131"/>
      <c r="RG1144" s="131"/>
      <c r="RH1144" s="131"/>
      <c r="RI1144" s="131"/>
      <c r="RJ1144" s="131"/>
      <c r="RK1144" s="131"/>
      <c r="RL1144" s="131"/>
      <c r="RM1144" s="131"/>
      <c r="RN1144" s="131"/>
      <c r="RO1144" s="131"/>
      <c r="RP1144" s="131"/>
      <c r="RQ1144" s="131"/>
      <c r="RR1144" s="131"/>
      <c r="RS1144" s="131"/>
      <c r="RT1144" s="131"/>
      <c r="RU1144" s="131"/>
      <c r="RV1144" s="131"/>
      <c r="RW1144" s="131"/>
      <c r="RX1144" s="131"/>
      <c r="RY1144" s="131"/>
      <c r="RZ1144" s="131"/>
      <c r="SA1144" s="131"/>
      <c r="SB1144" s="131"/>
      <c r="SC1144" s="131"/>
      <c r="SD1144" s="131"/>
      <c r="SE1144" s="131"/>
      <c r="SF1144" s="131"/>
      <c r="SG1144" s="131"/>
      <c r="SH1144" s="131"/>
      <c r="SI1144" s="131"/>
      <c r="SJ1144" s="131"/>
      <c r="SK1144" s="131"/>
      <c r="SL1144" s="131"/>
      <c r="SM1144" s="131"/>
      <c r="SN1144" s="131"/>
      <c r="SO1144" s="131"/>
      <c r="SP1144" s="131"/>
      <c r="SQ1144" s="131"/>
      <c r="SR1144" s="131"/>
      <c r="SS1144" s="131"/>
      <c r="ST1144" s="131"/>
      <c r="SU1144" s="131"/>
      <c r="SV1144" s="131"/>
      <c r="SW1144" s="131"/>
      <c r="SX1144" s="131"/>
      <c r="SY1144" s="131"/>
      <c r="SZ1144" s="131"/>
      <c r="TA1144" s="131"/>
      <c r="TB1144" s="131"/>
      <c r="TC1144" s="131"/>
      <c r="TD1144" s="131"/>
      <c r="TE1144" s="131"/>
      <c r="TF1144" s="131"/>
      <c r="TG1144" s="131"/>
      <c r="TH1144" s="131"/>
      <c r="TI1144" s="131"/>
      <c r="TJ1144" s="131"/>
      <c r="TK1144" s="131"/>
      <c r="TL1144" s="131"/>
      <c r="TM1144" s="131"/>
      <c r="TN1144" s="131"/>
      <c r="TO1144" s="131"/>
      <c r="TP1144" s="131"/>
      <c r="TQ1144" s="131"/>
      <c r="TR1144" s="131"/>
      <c r="TS1144" s="131"/>
      <c r="TT1144" s="131"/>
      <c r="TU1144" s="131"/>
      <c r="TV1144" s="131"/>
      <c r="TW1144" s="131"/>
      <c r="TX1144" s="131"/>
      <c r="TY1144" s="131"/>
      <c r="TZ1144" s="131"/>
      <c r="UA1144" s="131"/>
      <c r="UB1144" s="131"/>
      <c r="UC1144" s="131"/>
      <c r="UD1144" s="131"/>
      <c r="UE1144" s="131"/>
      <c r="UF1144" s="131"/>
      <c r="UG1144" s="131"/>
      <c r="UH1144" s="131"/>
      <c r="UI1144" s="131"/>
      <c r="UJ1144" s="131"/>
      <c r="UK1144" s="131"/>
      <c r="UL1144" s="131"/>
      <c r="UM1144" s="131"/>
      <c r="UN1144" s="131"/>
      <c r="UO1144" s="131"/>
      <c r="UP1144" s="131"/>
      <c r="UQ1144" s="131"/>
      <c r="UR1144" s="131"/>
      <c r="US1144" s="131"/>
      <c r="UT1144" s="131"/>
      <c r="UU1144" s="131"/>
      <c r="UV1144" s="131"/>
      <c r="UW1144" s="131"/>
      <c r="UX1144" s="131"/>
      <c r="UY1144" s="131"/>
      <c r="UZ1144" s="131"/>
      <c r="VA1144" s="131"/>
      <c r="VB1144" s="131"/>
      <c r="VC1144" s="131"/>
      <c r="VD1144" s="131"/>
      <c r="VE1144" s="131"/>
      <c r="VF1144" s="131"/>
      <c r="VG1144" s="131"/>
      <c r="VH1144" s="131"/>
      <c r="VI1144" s="131"/>
      <c r="VJ1144" s="131"/>
      <c r="VK1144" s="131"/>
      <c r="VL1144" s="131"/>
      <c r="VM1144" s="131"/>
      <c r="VN1144" s="131"/>
      <c r="VO1144" s="131"/>
      <c r="VP1144" s="131"/>
      <c r="VQ1144" s="131"/>
      <c r="VR1144" s="131"/>
      <c r="VS1144" s="131"/>
      <c r="VT1144" s="131"/>
      <c r="VU1144" s="131"/>
      <c r="VV1144" s="131"/>
      <c r="VW1144" s="131"/>
      <c r="VX1144" s="131"/>
      <c r="VY1144" s="131"/>
      <c r="VZ1144" s="131"/>
      <c r="WA1144" s="131"/>
      <c r="WB1144" s="131"/>
      <c r="WC1144" s="131"/>
      <c r="WD1144" s="131"/>
      <c r="WE1144" s="131"/>
      <c r="WF1144" s="131"/>
      <c r="WG1144" s="131"/>
      <c r="WH1144" s="131"/>
      <c r="WI1144" s="131"/>
      <c r="WJ1144" s="131"/>
      <c r="WK1144" s="131"/>
      <c r="WL1144" s="131"/>
      <c r="WM1144" s="131"/>
      <c r="WN1144" s="131"/>
      <c r="WO1144" s="131"/>
      <c r="WP1144" s="131"/>
      <c r="WQ1144" s="131"/>
      <c r="WR1144" s="131"/>
      <c r="WS1144" s="131"/>
      <c r="WT1144" s="131"/>
      <c r="WU1144" s="131"/>
      <c r="WV1144" s="131"/>
      <c r="WW1144" s="131"/>
      <c r="WX1144" s="131"/>
      <c r="WY1144" s="131"/>
      <c r="WZ1144" s="131"/>
      <c r="XA1144" s="131"/>
      <c r="XB1144" s="131"/>
      <c r="XC1144" s="131"/>
      <c r="XD1144" s="131"/>
      <c r="XE1144" s="131"/>
      <c r="XF1144" s="131"/>
      <c r="XG1144" s="131"/>
      <c r="XH1144" s="131"/>
      <c r="XI1144" s="131"/>
      <c r="XJ1144" s="131"/>
      <c r="XK1144" s="131"/>
      <c r="XL1144" s="131"/>
      <c r="XM1144" s="131"/>
      <c r="XN1144" s="131"/>
      <c r="XO1144" s="131"/>
      <c r="XP1144" s="131"/>
      <c r="XQ1144" s="131"/>
      <c r="XR1144" s="131"/>
      <c r="XS1144" s="131"/>
      <c r="XT1144" s="131"/>
      <c r="XU1144" s="131"/>
      <c r="XV1144" s="131"/>
      <c r="XW1144" s="131"/>
      <c r="XX1144" s="131"/>
      <c r="XY1144" s="131"/>
      <c r="XZ1144" s="131"/>
      <c r="YA1144" s="131"/>
      <c r="YB1144" s="131"/>
      <c r="YC1144" s="131"/>
      <c r="YD1144" s="131"/>
      <c r="YE1144" s="131"/>
      <c r="YF1144" s="131"/>
      <c r="YG1144" s="131"/>
      <c r="YH1144" s="131"/>
      <c r="YI1144" s="131"/>
      <c r="YJ1144" s="131"/>
      <c r="YK1144" s="131"/>
      <c r="YL1144" s="131"/>
      <c r="YM1144" s="131"/>
      <c r="YN1144" s="131"/>
      <c r="YO1144" s="131"/>
      <c r="YP1144" s="131"/>
      <c r="YQ1144" s="131"/>
      <c r="YR1144" s="131"/>
      <c r="YS1144" s="131"/>
      <c r="YT1144" s="131"/>
      <c r="YU1144" s="131"/>
      <c r="YV1144" s="131"/>
      <c r="YW1144" s="131"/>
      <c r="YX1144" s="131"/>
      <c r="YY1144" s="131"/>
      <c r="YZ1144" s="131"/>
      <c r="ZA1144" s="131"/>
      <c r="ZB1144" s="131"/>
      <c r="ZC1144" s="131"/>
      <c r="ZD1144" s="131"/>
      <c r="ZE1144" s="131"/>
      <c r="ZF1144" s="131"/>
      <c r="ZG1144" s="131"/>
      <c r="ZH1144" s="131"/>
      <c r="ZI1144" s="131"/>
      <c r="ZJ1144" s="131"/>
      <c r="ZK1144" s="131"/>
      <c r="ZL1144" s="131"/>
      <c r="ZM1144" s="131"/>
      <c r="ZN1144" s="131"/>
      <c r="ZO1144" s="131"/>
      <c r="ZP1144" s="131"/>
      <c r="ZQ1144" s="131"/>
      <c r="ZR1144" s="131"/>
      <c r="ZS1144" s="131"/>
      <c r="ZT1144" s="131"/>
      <c r="ZU1144" s="131"/>
      <c r="ZV1144" s="131"/>
      <c r="ZW1144" s="131"/>
      <c r="ZX1144" s="131"/>
      <c r="ZY1144" s="131"/>
      <c r="ZZ1144" s="131"/>
      <c r="AAA1144" s="131"/>
      <c r="AAB1144" s="131"/>
      <c r="AAC1144" s="131"/>
      <c r="AAD1144" s="131"/>
      <c r="AAE1144" s="131"/>
      <c r="AAF1144" s="131"/>
      <c r="AAG1144" s="131"/>
      <c r="AAH1144" s="131"/>
      <c r="AAI1144" s="131"/>
      <c r="AAJ1144" s="131"/>
      <c r="AAK1144" s="131"/>
      <c r="AAL1144" s="131"/>
      <c r="AAM1144" s="131"/>
      <c r="AAN1144" s="131"/>
      <c r="AAO1144" s="131"/>
      <c r="AAP1144" s="131"/>
      <c r="AAQ1144" s="131"/>
      <c r="AAR1144" s="131"/>
      <c r="AAS1144" s="131"/>
      <c r="AAT1144" s="131"/>
      <c r="AAU1144" s="131"/>
      <c r="AAV1144" s="131"/>
      <c r="AAW1144" s="131"/>
      <c r="AAX1144" s="131"/>
      <c r="AAY1144" s="131"/>
      <c r="AAZ1144" s="131"/>
      <c r="ABA1144" s="131"/>
      <c r="ABB1144" s="131"/>
      <c r="ABC1144" s="131"/>
      <c r="ABD1144" s="131"/>
      <c r="ABE1144" s="131"/>
      <c r="ABF1144" s="131"/>
      <c r="ABG1144" s="131"/>
      <c r="ABH1144" s="131"/>
      <c r="ABI1144" s="131"/>
      <c r="ABJ1144" s="131"/>
      <c r="ABK1144" s="131"/>
      <c r="ABL1144" s="131"/>
      <c r="ABM1144" s="131"/>
      <c r="ABN1144" s="131"/>
      <c r="ABO1144" s="131"/>
      <c r="ABP1144" s="131"/>
      <c r="ABQ1144" s="131"/>
      <c r="ABR1144" s="131"/>
      <c r="ABS1144" s="131"/>
      <c r="ABT1144" s="131"/>
      <c r="ABU1144" s="131"/>
      <c r="ABV1144" s="131"/>
      <c r="ABW1144" s="131"/>
      <c r="ABX1144" s="131"/>
      <c r="ABY1144" s="131"/>
      <c r="ABZ1144" s="131"/>
      <c r="ACA1144" s="131"/>
      <c r="ACB1144" s="131"/>
      <c r="ACC1144" s="131"/>
      <c r="ACD1144" s="131"/>
      <c r="ACE1144" s="131"/>
      <c r="ACF1144" s="131"/>
      <c r="ACG1144" s="131"/>
      <c r="ACH1144" s="131"/>
      <c r="ACI1144" s="131"/>
      <c r="ACJ1144" s="131"/>
      <c r="ACK1144" s="131"/>
      <c r="ACL1144" s="131"/>
      <c r="ACM1144" s="131"/>
      <c r="ACN1144" s="131"/>
      <c r="ACO1144" s="131"/>
      <c r="ACP1144" s="131"/>
      <c r="ACQ1144" s="131"/>
      <c r="ACR1144" s="131"/>
      <c r="ACS1144" s="131"/>
      <c r="ACT1144" s="131"/>
      <c r="ACU1144" s="131"/>
      <c r="ACV1144" s="131"/>
      <c r="ACW1144" s="131"/>
      <c r="ACX1144" s="131"/>
      <c r="ACY1144" s="131"/>
      <c r="ACZ1144" s="131"/>
      <c r="ADA1144" s="131"/>
      <c r="ADB1144" s="131"/>
      <c r="ADC1144" s="131"/>
      <c r="ADD1144" s="131"/>
      <c r="ADE1144" s="131"/>
      <c r="ADF1144" s="131"/>
      <c r="ADG1144" s="131"/>
      <c r="ADH1144" s="131"/>
      <c r="ADI1144" s="131"/>
      <c r="ADJ1144" s="131"/>
      <c r="ADK1144" s="131"/>
      <c r="ADL1144" s="131"/>
      <c r="ADM1144" s="131"/>
      <c r="ADN1144" s="131"/>
      <c r="ADO1144" s="131"/>
      <c r="ADP1144" s="131"/>
      <c r="ADQ1144" s="131"/>
      <c r="ADR1144" s="131"/>
      <c r="ADS1144" s="131"/>
      <c r="ADT1144" s="131"/>
      <c r="ADU1144" s="131"/>
      <c r="ADV1144" s="131"/>
      <c r="ADW1144" s="131"/>
      <c r="ADX1144" s="131"/>
      <c r="ADY1144" s="131"/>
      <c r="ADZ1144" s="131"/>
      <c r="AEA1144" s="131"/>
      <c r="AEB1144" s="131"/>
      <c r="AEC1144" s="131"/>
      <c r="AED1144" s="131"/>
      <c r="AEE1144" s="131"/>
      <c r="AEF1144" s="131"/>
      <c r="AEG1144" s="131"/>
      <c r="AEH1144" s="131"/>
      <c r="AEI1144" s="131"/>
      <c r="AEJ1144" s="131"/>
      <c r="AEK1144" s="131"/>
      <c r="AEL1144" s="131"/>
      <c r="AEM1144" s="131"/>
      <c r="AEN1144" s="131"/>
      <c r="AEO1144" s="131"/>
      <c r="AEP1144" s="131"/>
      <c r="AEQ1144" s="131"/>
      <c r="AER1144" s="131"/>
      <c r="AES1144" s="131"/>
      <c r="AET1144" s="131"/>
      <c r="AEU1144" s="131"/>
      <c r="AEV1144" s="131"/>
      <c r="AEW1144" s="131"/>
      <c r="AEX1144" s="131"/>
      <c r="AEY1144" s="131"/>
      <c r="AEZ1144" s="131"/>
      <c r="AFA1144" s="131"/>
      <c r="AFB1144" s="131"/>
      <c r="AFC1144" s="131"/>
      <c r="AFD1144" s="131"/>
      <c r="AFE1144" s="131"/>
      <c r="AFF1144" s="131"/>
      <c r="AFG1144" s="131"/>
      <c r="AFH1144" s="131"/>
      <c r="AFI1144" s="131"/>
      <c r="AFJ1144" s="131"/>
      <c r="AFK1144" s="131"/>
      <c r="AFL1144" s="131"/>
      <c r="AFM1144" s="131"/>
      <c r="AFN1144" s="131"/>
      <c r="AFO1144" s="131"/>
      <c r="AFP1144" s="131"/>
      <c r="AFQ1144" s="131"/>
      <c r="AFR1144" s="131"/>
      <c r="AFS1144" s="131"/>
      <c r="AFT1144" s="131"/>
      <c r="AFU1144" s="131"/>
      <c r="AFV1144" s="131"/>
      <c r="AFW1144" s="131"/>
      <c r="AFX1144" s="131"/>
      <c r="AFY1144" s="131"/>
      <c r="AFZ1144" s="131"/>
      <c r="AGA1144" s="131"/>
      <c r="AGB1144" s="131"/>
      <c r="AGC1144" s="131"/>
      <c r="AGD1144" s="131"/>
      <c r="AGE1144" s="131"/>
      <c r="AGF1144" s="131"/>
      <c r="AGG1144" s="131"/>
      <c r="AGH1144" s="131"/>
      <c r="AGI1144" s="131"/>
      <c r="AGJ1144" s="131"/>
      <c r="AGK1144" s="131"/>
      <c r="AGL1144" s="131"/>
      <c r="AGM1144" s="131"/>
      <c r="AGN1144" s="131"/>
      <c r="AGO1144" s="131"/>
      <c r="AGP1144" s="131"/>
      <c r="AGQ1144" s="131"/>
      <c r="AGR1144" s="131"/>
      <c r="AGS1144" s="131"/>
      <c r="AGT1144" s="131"/>
      <c r="AGU1144" s="131"/>
      <c r="AGV1144" s="131"/>
      <c r="AGW1144" s="131"/>
      <c r="AGX1144" s="131"/>
      <c r="AGY1144" s="131"/>
      <c r="AGZ1144" s="131"/>
      <c r="AHA1144" s="131"/>
      <c r="AHB1144" s="131"/>
      <c r="AHC1144" s="131"/>
      <c r="AHD1144" s="131"/>
      <c r="AHE1144" s="131"/>
      <c r="AHF1144" s="131"/>
      <c r="AHG1144" s="131"/>
      <c r="AHH1144" s="131"/>
      <c r="AHI1144" s="131"/>
      <c r="AHJ1144" s="131"/>
      <c r="AHK1144" s="131"/>
      <c r="AHL1144" s="131"/>
      <c r="AHM1144" s="131"/>
      <c r="AHN1144" s="131"/>
      <c r="AHO1144" s="131"/>
      <c r="AHP1144" s="131"/>
      <c r="AHQ1144" s="131"/>
      <c r="AHR1144" s="131"/>
      <c r="AHS1144" s="131"/>
      <c r="AHT1144" s="131"/>
      <c r="AHU1144" s="131"/>
      <c r="AHV1144" s="131"/>
      <c r="AHW1144" s="131"/>
      <c r="AHX1144" s="131"/>
      <c r="AHY1144" s="131"/>
      <c r="AHZ1144" s="131"/>
      <c r="AIA1144" s="131"/>
      <c r="AIB1144" s="131"/>
      <c r="AIC1144" s="131"/>
      <c r="AID1144" s="131"/>
      <c r="AIE1144" s="131"/>
      <c r="AIF1144" s="131"/>
      <c r="AIG1144" s="131"/>
      <c r="AIH1144" s="131"/>
      <c r="AII1144" s="131"/>
      <c r="AIJ1144" s="131"/>
      <c r="AIK1144" s="131"/>
      <c r="AIL1144" s="131"/>
      <c r="AIM1144" s="131"/>
      <c r="AIN1144" s="131"/>
      <c r="AIO1144" s="131"/>
      <c r="AIP1144" s="131"/>
      <c r="AIQ1144" s="131"/>
      <c r="AIR1144" s="131"/>
      <c r="AIS1144" s="131"/>
      <c r="AIT1144" s="131"/>
      <c r="AIU1144" s="131"/>
      <c r="AIV1144" s="131"/>
      <c r="AIW1144" s="131"/>
      <c r="AIX1144" s="131"/>
      <c r="AIY1144" s="131"/>
      <c r="AIZ1144" s="131"/>
      <c r="AJA1144" s="131"/>
      <c r="AJB1144" s="131"/>
      <c r="AJC1144" s="131"/>
      <c r="AJD1144" s="131"/>
      <c r="AJE1144" s="131"/>
      <c r="AJF1144" s="131"/>
      <c r="AJG1144" s="131"/>
      <c r="AJH1144" s="131"/>
      <c r="AJI1144" s="131"/>
      <c r="AJJ1144" s="131"/>
      <c r="AJK1144" s="131"/>
      <c r="AJL1144" s="131"/>
      <c r="AJM1144" s="131"/>
      <c r="AJN1144" s="131"/>
      <c r="AJO1144" s="131"/>
      <c r="AJP1144" s="131"/>
      <c r="AJQ1144" s="131"/>
      <c r="AJR1144" s="131"/>
      <c r="AJS1144" s="131"/>
      <c r="AJT1144" s="131"/>
      <c r="AJU1144" s="131"/>
      <c r="AJV1144" s="131"/>
      <c r="AJW1144" s="131"/>
      <c r="AJX1144" s="131"/>
      <c r="AJY1144" s="131"/>
      <c r="AJZ1144" s="131"/>
      <c r="AKA1144" s="131"/>
      <c r="AKB1144" s="131"/>
      <c r="AKC1144" s="131"/>
      <c r="AKD1144" s="131"/>
      <c r="AKE1144" s="131"/>
      <c r="AKF1144" s="131"/>
      <c r="AKG1144" s="131"/>
      <c r="AKH1144" s="131"/>
      <c r="AKI1144" s="131"/>
      <c r="AKJ1144" s="131"/>
      <c r="AKK1144" s="131"/>
      <c r="AKL1144" s="131"/>
      <c r="AKM1144" s="131"/>
      <c r="AKN1144" s="131"/>
      <c r="AKO1144" s="131"/>
      <c r="AKP1144" s="131"/>
      <c r="AKQ1144" s="131"/>
      <c r="AKR1144" s="131"/>
      <c r="AKS1144" s="131"/>
      <c r="AKT1144" s="131"/>
      <c r="AKU1144" s="131"/>
      <c r="AKV1144" s="131"/>
      <c r="AKW1144" s="131"/>
      <c r="AKX1144" s="131"/>
      <c r="AKY1144" s="131"/>
      <c r="AKZ1144" s="131"/>
      <c r="ALA1144" s="131"/>
      <c r="ALB1144" s="131"/>
      <c r="ALC1144" s="131"/>
      <c r="ALD1144" s="131"/>
      <c r="ALE1144" s="131"/>
      <c r="ALF1144" s="131"/>
      <c r="ALG1144" s="131"/>
      <c r="ALH1144" s="131"/>
      <c r="ALI1144" s="131"/>
      <c r="ALJ1144" s="131"/>
      <c r="ALK1144" s="131"/>
      <c r="ALL1144" s="131"/>
      <c r="ALM1144" s="131"/>
      <c r="ALN1144" s="131"/>
      <c r="ALO1144" s="131"/>
      <c r="ALP1144" s="131"/>
      <c r="ALQ1144" s="131"/>
      <c r="ALR1144" s="131"/>
      <c r="ALS1144" s="131"/>
      <c r="ALT1144" s="131"/>
      <c r="ALU1144" s="131"/>
      <c r="ALV1144" s="131"/>
      <c r="ALW1144" s="131"/>
      <c r="ALX1144" s="131"/>
      <c r="ALY1144" s="131"/>
      <c r="ALZ1144" s="131"/>
      <c r="AMA1144" s="131"/>
      <c r="AMB1144" s="131"/>
      <c r="AMC1144" s="131"/>
      <c r="AMD1144" s="131"/>
      <c r="AME1144" s="131"/>
      <c r="AMF1144" s="131"/>
      <c r="AMG1144" s="131"/>
      <c r="AMH1144" s="131"/>
      <c r="AMI1144" s="131"/>
      <c r="AMJ1144" s="131"/>
      <c r="AMK1144" s="131"/>
      <c r="AML1144" s="131"/>
      <c r="AMM1144" s="131"/>
      <c r="AMN1144" s="131"/>
      <c r="AMO1144" s="131"/>
      <c r="AMP1144" s="131"/>
      <c r="AMQ1144" s="131"/>
      <c r="AMR1144" s="131"/>
      <c r="AMS1144" s="131"/>
      <c r="AMT1144" s="131"/>
      <c r="AMU1144" s="131"/>
      <c r="AMV1144" s="131"/>
      <c r="AMW1144" s="131"/>
      <c r="AMX1144" s="131"/>
      <c r="AMY1144" s="131"/>
      <c r="AMZ1144" s="131"/>
      <c r="ANA1144" s="131"/>
      <c r="ANB1144" s="131"/>
      <c r="ANC1144" s="131"/>
      <c r="AND1144" s="131"/>
      <c r="ANE1144" s="131"/>
      <c r="ANF1144" s="131"/>
      <c r="ANG1144" s="131"/>
      <c r="ANH1144" s="131"/>
      <c r="ANI1144" s="131"/>
      <c r="ANJ1144" s="131"/>
      <c r="ANK1144" s="131"/>
      <c r="ANL1144" s="131"/>
      <c r="ANM1144" s="131"/>
      <c r="ANN1144" s="131"/>
      <c r="ANO1144" s="131"/>
      <c r="ANP1144" s="131"/>
      <c r="ANQ1144" s="131"/>
      <c r="ANR1144" s="131"/>
      <c r="ANS1144" s="131"/>
      <c r="ANT1144" s="131"/>
      <c r="ANU1144" s="131"/>
      <c r="ANV1144" s="131"/>
      <c r="ANW1144" s="131"/>
      <c r="ANX1144" s="131"/>
      <c r="ANY1144" s="131"/>
      <c r="ANZ1144" s="131"/>
      <c r="AOA1144" s="131"/>
      <c r="AOB1144" s="131"/>
      <c r="AOC1144" s="131"/>
      <c r="AOD1144" s="131"/>
      <c r="AOE1144" s="131"/>
      <c r="AOF1144" s="131"/>
      <c r="AOG1144" s="131"/>
      <c r="AOH1144" s="131"/>
      <c r="AOI1144" s="131"/>
      <c r="AOJ1144" s="131"/>
      <c r="AOK1144" s="131"/>
      <c r="AOL1144" s="131"/>
      <c r="AOM1144" s="131"/>
      <c r="AON1144" s="131"/>
      <c r="AOO1144" s="131"/>
      <c r="AOP1144" s="131"/>
      <c r="AOQ1144" s="131"/>
      <c r="AOR1144" s="131"/>
      <c r="AOS1144" s="131"/>
      <c r="AOT1144" s="131"/>
      <c r="AOU1144" s="131"/>
      <c r="AOV1144" s="131"/>
      <c r="AOW1144" s="131"/>
      <c r="AOX1144" s="131"/>
      <c r="AOY1144" s="131"/>
      <c r="AOZ1144" s="131"/>
      <c r="APA1144" s="131"/>
      <c r="APB1144" s="131"/>
      <c r="APC1144" s="131"/>
      <c r="APD1144" s="131"/>
      <c r="APE1144" s="131"/>
      <c r="APF1144" s="131"/>
      <c r="APG1144" s="131"/>
      <c r="APH1144" s="131"/>
      <c r="API1144" s="131"/>
      <c r="APJ1144" s="131"/>
      <c r="APK1144" s="131"/>
      <c r="APL1144" s="131"/>
      <c r="APM1144" s="131"/>
      <c r="APN1144" s="131"/>
      <c r="APO1144" s="131"/>
      <c r="APP1144" s="131"/>
      <c r="APQ1144" s="131"/>
      <c r="APR1144" s="131"/>
      <c r="APS1144" s="131"/>
      <c r="APT1144" s="131"/>
      <c r="APU1144" s="131"/>
      <c r="APV1144" s="131"/>
      <c r="APW1144" s="131"/>
      <c r="APX1144" s="131"/>
      <c r="APY1144" s="131"/>
      <c r="APZ1144" s="131"/>
      <c r="AQA1144" s="131"/>
      <c r="AQB1144" s="131"/>
      <c r="AQC1144" s="131"/>
      <c r="AQD1144" s="131"/>
      <c r="AQE1144" s="131"/>
      <c r="AQF1144" s="131"/>
      <c r="AQG1144" s="131"/>
      <c r="AQH1144" s="131"/>
      <c r="AQI1144" s="131"/>
      <c r="AQJ1144" s="131"/>
      <c r="AQK1144" s="131"/>
      <c r="AQL1144" s="131"/>
      <c r="AQM1144" s="131"/>
      <c r="AQN1144" s="131"/>
      <c r="AQO1144" s="131"/>
      <c r="AQP1144" s="131"/>
      <c r="AQQ1144" s="131"/>
      <c r="AQR1144" s="131"/>
      <c r="AQS1144" s="131"/>
      <c r="AQT1144" s="131"/>
      <c r="AQU1144" s="131"/>
      <c r="AQV1144" s="131"/>
      <c r="AQW1144" s="131"/>
      <c r="AQX1144" s="131"/>
      <c r="AQY1144" s="131"/>
      <c r="AQZ1144" s="131"/>
      <c r="ARA1144" s="131"/>
      <c r="ARB1144" s="131"/>
      <c r="ARC1144" s="131"/>
      <c r="ARD1144" s="131"/>
      <c r="ARE1144" s="131"/>
      <c r="ARF1144" s="131"/>
      <c r="ARG1144" s="131"/>
      <c r="ARH1144" s="131"/>
      <c r="ARI1144" s="131"/>
      <c r="ARJ1144" s="131"/>
      <c r="ARK1144" s="131"/>
      <c r="ARL1144" s="131"/>
      <c r="ARM1144" s="131"/>
      <c r="ARN1144" s="131"/>
      <c r="ARO1144" s="131"/>
      <c r="ARP1144" s="131"/>
      <c r="ARQ1144" s="131"/>
      <c r="ARR1144" s="131"/>
      <c r="ARS1144" s="131"/>
      <c r="ART1144" s="131"/>
      <c r="ARU1144" s="131"/>
      <c r="ARV1144" s="131"/>
      <c r="ARW1144" s="131"/>
      <c r="ARX1144" s="131"/>
      <c r="ARY1144" s="131"/>
      <c r="ARZ1144" s="131"/>
      <c r="ASA1144" s="131"/>
      <c r="ASB1144" s="131"/>
      <c r="ASC1144" s="131"/>
      <c r="ASD1144" s="131"/>
      <c r="ASE1144" s="131"/>
      <c r="ASF1144" s="131"/>
      <c r="ASG1144" s="131"/>
      <c r="ASH1144" s="131"/>
      <c r="ASI1144" s="131"/>
      <c r="ASJ1144" s="131"/>
      <c r="ASK1144" s="131"/>
      <c r="ASL1144" s="131"/>
      <c r="ASM1144" s="131"/>
      <c r="ASN1144" s="131"/>
      <c r="ASO1144" s="131"/>
      <c r="ASP1144" s="131"/>
      <c r="ASQ1144" s="131"/>
      <c r="ASR1144" s="131"/>
      <c r="ASS1144" s="131"/>
      <c r="AST1144" s="131"/>
      <c r="ASU1144" s="131"/>
      <c r="ASV1144" s="131"/>
      <c r="ASW1144" s="131"/>
      <c r="ASX1144" s="131"/>
      <c r="ASY1144" s="131"/>
      <c r="ASZ1144" s="131"/>
      <c r="ATA1144" s="131"/>
      <c r="ATB1144" s="131"/>
      <c r="ATC1144" s="131"/>
    </row>
    <row r="1145" spans="1:16348" ht="50.1" customHeight="1" outlineLevel="2" x14ac:dyDescent="0.3">
      <c r="A1145" s="109" t="s">
        <v>961</v>
      </c>
      <c r="B1145" s="102" t="s">
        <v>962</v>
      </c>
      <c r="C1145" s="79" t="s">
        <v>655</v>
      </c>
      <c r="D1145" s="81">
        <f t="shared" ref="D1145:D1152" si="268">E1145+F1145</f>
        <v>343.32549999999998</v>
      </c>
      <c r="E1145" s="82">
        <f t="shared" si="259"/>
        <v>0</v>
      </c>
      <c r="F1145" s="83">
        <f t="shared" ref="F1145:F1152" si="269">H1145+I1145+K1145+L1145+M1145+N1145+P1145+Q1145+R1145+T1145+U1145+W1145+Y1145+AA1145+AC1145+AD1145+AG1145+AH1145+AI1145+AK1145+AM1145+AO1145+AQ1145+AR1145+AS1145+AT1145+AU1145+AV1145+AW1145+AY1145+BA1145+BB1145+BC1145+BE1145+BF1145+BG1145+BH1145+BI1145+BJ1145+BK1145+BL1145+BO1145+BP1145+BQ1145+BS1145+BT1145+BU1145+BW1145+BY1145+CA1145+BM1145+BN1145</f>
        <v>343.32549999999998</v>
      </c>
      <c r="G1145" s="84"/>
      <c r="H1145" s="85"/>
      <c r="I1145" s="85"/>
      <c r="J1145" s="84"/>
      <c r="K1145" s="85"/>
      <c r="L1145" s="85"/>
      <c r="M1145" s="85"/>
      <c r="N1145" s="85"/>
      <c r="O1145" s="82"/>
      <c r="P1145" s="83"/>
      <c r="Q1145" s="83"/>
      <c r="R1145" s="83"/>
      <c r="S1145" s="82"/>
      <c r="T1145" s="83"/>
      <c r="U1145" s="83"/>
      <c r="V1145" s="84"/>
      <c r="W1145" s="85"/>
      <c r="X1145" s="82"/>
      <c r="Y1145" s="83"/>
      <c r="Z1145" s="84"/>
      <c r="AA1145" s="85"/>
      <c r="AB1145" s="84"/>
      <c r="AC1145" s="85"/>
      <c r="AD1145" s="89">
        <f t="shared" si="258"/>
        <v>0</v>
      </c>
      <c r="AE1145" s="89"/>
      <c r="AF1145" s="186"/>
      <c r="AG1145" s="85"/>
      <c r="AH1145" s="85"/>
      <c r="AI1145" s="85"/>
      <c r="AJ1145" s="84"/>
      <c r="AK1145" s="85"/>
      <c r="AL1145" s="84"/>
      <c r="AM1145" s="88"/>
      <c r="AN1145" s="84"/>
      <c r="AO1145" s="85"/>
      <c r="AP1145" s="84"/>
      <c r="AQ1145" s="83"/>
      <c r="AR1145" s="83"/>
      <c r="AS1145" s="83"/>
      <c r="AT1145" s="85"/>
      <c r="AU1145" s="85"/>
      <c r="AV1145" s="85">
        <v>343.32549999999998</v>
      </c>
      <c r="AW1145" s="88"/>
      <c r="AX1145" s="84"/>
      <c r="AY1145" s="85"/>
      <c r="AZ1145" s="84"/>
      <c r="BA1145" s="85"/>
      <c r="BB1145" s="88"/>
      <c r="BC1145" s="85"/>
      <c r="BD1145" s="84"/>
      <c r="BE1145" s="88"/>
      <c r="BF1145" s="85"/>
      <c r="BG1145" s="85"/>
      <c r="BH1145" s="85"/>
      <c r="BI1145" s="85"/>
      <c r="BJ1145" s="85"/>
      <c r="BK1145" s="85"/>
      <c r="BL1145" s="85"/>
      <c r="BM1145" s="85"/>
      <c r="BN1145" s="85"/>
      <c r="BO1145" s="85"/>
      <c r="BP1145" s="85"/>
      <c r="BQ1145" s="85"/>
      <c r="BR1145" s="84"/>
      <c r="BS1145" s="85"/>
      <c r="BT1145" s="85"/>
      <c r="BU1145" s="198"/>
      <c r="BV1145" s="90"/>
      <c r="BW1145" s="198"/>
      <c r="BX1145" s="90"/>
      <c r="BY1145" s="198"/>
      <c r="BZ1145" s="90"/>
      <c r="CA1145" s="91"/>
    </row>
    <row r="1146" spans="1:16348" ht="50.1" customHeight="1" outlineLevel="2" x14ac:dyDescent="0.3">
      <c r="A1146" s="103" t="s">
        <v>960</v>
      </c>
      <c r="B1146" s="102" t="s">
        <v>963</v>
      </c>
      <c r="C1146" s="79" t="s">
        <v>99</v>
      </c>
      <c r="D1146" s="81">
        <f t="shared" si="268"/>
        <v>115.52543</v>
      </c>
      <c r="E1146" s="82">
        <f t="shared" si="259"/>
        <v>0</v>
      </c>
      <c r="F1146" s="83">
        <f t="shared" si="269"/>
        <v>115.52543</v>
      </c>
      <c r="G1146" s="84"/>
      <c r="H1146" s="85"/>
      <c r="I1146" s="85"/>
      <c r="J1146" s="84"/>
      <c r="K1146" s="85"/>
      <c r="L1146" s="85"/>
      <c r="M1146" s="85"/>
      <c r="N1146" s="85"/>
      <c r="O1146" s="82"/>
      <c r="P1146" s="83"/>
      <c r="Q1146" s="83"/>
      <c r="R1146" s="83"/>
      <c r="S1146" s="82"/>
      <c r="T1146" s="83"/>
      <c r="U1146" s="83"/>
      <c r="V1146" s="84"/>
      <c r="W1146" s="85"/>
      <c r="X1146" s="82"/>
      <c r="Y1146" s="83"/>
      <c r="Z1146" s="84"/>
      <c r="AA1146" s="85"/>
      <c r="AB1146" s="84"/>
      <c r="AC1146" s="85"/>
      <c r="AD1146" s="89">
        <f t="shared" si="258"/>
        <v>0</v>
      </c>
      <c r="AE1146" s="89"/>
      <c r="AF1146" s="186"/>
      <c r="AG1146" s="85"/>
      <c r="AH1146" s="85"/>
      <c r="AI1146" s="85"/>
      <c r="AJ1146" s="84"/>
      <c r="AK1146" s="85"/>
      <c r="AL1146" s="84"/>
      <c r="AM1146" s="88"/>
      <c r="AN1146" s="84"/>
      <c r="AO1146" s="85"/>
      <c r="AP1146" s="84"/>
      <c r="AQ1146" s="83"/>
      <c r="AR1146" s="83"/>
      <c r="AS1146" s="83"/>
      <c r="AT1146" s="85"/>
      <c r="AU1146" s="85"/>
      <c r="AV1146" s="85"/>
      <c r="AW1146" s="88"/>
      <c r="AX1146" s="84"/>
      <c r="AY1146" s="85"/>
      <c r="AZ1146" s="84"/>
      <c r="BA1146" s="85"/>
      <c r="BB1146" s="88"/>
      <c r="BC1146" s="85"/>
      <c r="BD1146" s="84"/>
      <c r="BE1146" s="88"/>
      <c r="BF1146" s="85"/>
      <c r="BG1146" s="85">
        <v>115.52543</v>
      </c>
      <c r="BH1146" s="85"/>
      <c r="BI1146" s="85"/>
      <c r="BJ1146" s="85"/>
      <c r="BK1146" s="85"/>
      <c r="BL1146" s="85"/>
      <c r="BM1146" s="85"/>
      <c r="BN1146" s="85"/>
      <c r="BO1146" s="85"/>
      <c r="BP1146" s="85"/>
      <c r="BQ1146" s="85"/>
      <c r="BR1146" s="84"/>
      <c r="BS1146" s="85"/>
      <c r="BT1146" s="85"/>
      <c r="BU1146" s="198"/>
      <c r="BV1146" s="90"/>
      <c r="BW1146" s="198"/>
      <c r="BX1146" s="90"/>
      <c r="BY1146" s="198"/>
      <c r="BZ1146" s="90"/>
      <c r="CA1146" s="91"/>
    </row>
    <row r="1147" spans="1:16348" ht="50.1" customHeight="1" outlineLevel="2" x14ac:dyDescent="0.3">
      <c r="A1147" s="103" t="s">
        <v>964</v>
      </c>
      <c r="B1147" s="102" t="s">
        <v>965</v>
      </c>
      <c r="C1147" s="79" t="s">
        <v>99</v>
      </c>
      <c r="D1147" s="81">
        <f t="shared" si="268"/>
        <v>1671.7954099999999</v>
      </c>
      <c r="E1147" s="82">
        <f t="shared" si="259"/>
        <v>617.39427000000001</v>
      </c>
      <c r="F1147" s="83">
        <f t="shared" si="269"/>
        <v>1054.4011399999999</v>
      </c>
      <c r="G1147" s="84"/>
      <c r="H1147" s="85"/>
      <c r="I1147" s="85"/>
      <c r="J1147" s="84"/>
      <c r="K1147" s="85"/>
      <c r="L1147" s="85"/>
      <c r="M1147" s="85"/>
      <c r="N1147" s="85"/>
      <c r="O1147" s="82"/>
      <c r="P1147" s="83"/>
      <c r="Q1147" s="83"/>
      <c r="R1147" s="83"/>
      <c r="S1147" s="82">
        <v>617.39427000000001</v>
      </c>
      <c r="T1147" s="83">
        <v>573.29468999999995</v>
      </c>
      <c r="U1147" s="83">
        <v>481.10645</v>
      </c>
      <c r="V1147" s="84"/>
      <c r="W1147" s="85"/>
      <c r="X1147" s="82"/>
      <c r="Y1147" s="83"/>
      <c r="Z1147" s="84"/>
      <c r="AA1147" s="85"/>
      <c r="AB1147" s="84"/>
      <c r="AC1147" s="85"/>
      <c r="AD1147" s="89">
        <f t="shared" si="258"/>
        <v>0</v>
      </c>
      <c r="AE1147" s="89"/>
      <c r="AF1147" s="186"/>
      <c r="AG1147" s="85"/>
      <c r="AH1147" s="85"/>
      <c r="AI1147" s="85"/>
      <c r="AJ1147" s="84"/>
      <c r="AK1147" s="85"/>
      <c r="AL1147" s="84"/>
      <c r="AM1147" s="88"/>
      <c r="AN1147" s="84"/>
      <c r="AO1147" s="85"/>
      <c r="AP1147" s="84"/>
      <c r="AQ1147" s="83"/>
      <c r="AR1147" s="83"/>
      <c r="AS1147" s="83"/>
      <c r="AT1147" s="85"/>
      <c r="AU1147" s="85"/>
      <c r="AV1147" s="85"/>
      <c r="AW1147" s="88"/>
      <c r="AX1147" s="84"/>
      <c r="AY1147" s="85"/>
      <c r="AZ1147" s="84"/>
      <c r="BA1147" s="85"/>
      <c r="BB1147" s="88"/>
      <c r="BC1147" s="85"/>
      <c r="BD1147" s="84"/>
      <c r="BE1147" s="88"/>
      <c r="BF1147" s="85"/>
      <c r="BG1147" s="85"/>
      <c r="BH1147" s="85"/>
      <c r="BI1147" s="85"/>
      <c r="BJ1147" s="85"/>
      <c r="BK1147" s="85"/>
      <c r="BL1147" s="85"/>
      <c r="BM1147" s="85"/>
      <c r="BN1147" s="85"/>
      <c r="BO1147" s="85"/>
      <c r="BP1147" s="85"/>
      <c r="BQ1147" s="85"/>
      <c r="BR1147" s="84"/>
      <c r="BS1147" s="85"/>
      <c r="BT1147" s="85"/>
      <c r="BU1147" s="198"/>
      <c r="BV1147" s="90"/>
      <c r="BW1147" s="198"/>
      <c r="BX1147" s="90"/>
      <c r="BY1147" s="198"/>
      <c r="BZ1147" s="90"/>
      <c r="CA1147" s="91"/>
    </row>
    <row r="1148" spans="1:16348" ht="50.1" customHeight="1" outlineLevel="2" x14ac:dyDescent="0.3">
      <c r="A1148" s="103" t="s">
        <v>960</v>
      </c>
      <c r="B1148" s="102" t="s">
        <v>966</v>
      </c>
      <c r="C1148" s="79" t="s">
        <v>99</v>
      </c>
      <c r="D1148" s="81">
        <f t="shared" si="268"/>
        <v>10818.06646</v>
      </c>
      <c r="E1148" s="82">
        <f t="shared" si="259"/>
        <v>0</v>
      </c>
      <c r="F1148" s="83">
        <f t="shared" si="269"/>
        <v>10818.06646</v>
      </c>
      <c r="G1148" s="84"/>
      <c r="H1148" s="85"/>
      <c r="I1148" s="85"/>
      <c r="J1148" s="84"/>
      <c r="K1148" s="85"/>
      <c r="L1148" s="85"/>
      <c r="M1148" s="85"/>
      <c r="N1148" s="85"/>
      <c r="O1148" s="82"/>
      <c r="P1148" s="83"/>
      <c r="Q1148" s="83"/>
      <c r="R1148" s="83">
        <v>10433.34268</v>
      </c>
      <c r="S1148" s="82"/>
      <c r="T1148" s="83"/>
      <c r="U1148" s="83"/>
      <c r="V1148" s="84"/>
      <c r="W1148" s="85"/>
      <c r="X1148" s="82"/>
      <c r="Y1148" s="83"/>
      <c r="Z1148" s="84"/>
      <c r="AA1148" s="85"/>
      <c r="AB1148" s="84"/>
      <c r="AC1148" s="85"/>
      <c r="AD1148" s="89">
        <f t="shared" si="258"/>
        <v>0</v>
      </c>
      <c r="AE1148" s="89"/>
      <c r="AF1148" s="186"/>
      <c r="AG1148" s="85"/>
      <c r="AH1148" s="85"/>
      <c r="AI1148" s="85"/>
      <c r="AJ1148" s="84"/>
      <c r="AK1148" s="85"/>
      <c r="AL1148" s="84"/>
      <c r="AM1148" s="88"/>
      <c r="AN1148" s="84"/>
      <c r="AO1148" s="85"/>
      <c r="AP1148" s="84"/>
      <c r="AQ1148" s="83"/>
      <c r="AR1148" s="83"/>
      <c r="AS1148" s="83"/>
      <c r="AT1148" s="85"/>
      <c r="AU1148" s="85"/>
      <c r="AV1148" s="85"/>
      <c r="AW1148" s="88"/>
      <c r="AX1148" s="84"/>
      <c r="AY1148" s="85"/>
      <c r="AZ1148" s="84"/>
      <c r="BA1148" s="85"/>
      <c r="BB1148" s="88"/>
      <c r="BC1148" s="85"/>
      <c r="BD1148" s="84"/>
      <c r="BE1148" s="88"/>
      <c r="BF1148" s="85"/>
      <c r="BG1148" s="85">
        <v>384.72377999999998</v>
      </c>
      <c r="BH1148" s="85"/>
      <c r="BI1148" s="85"/>
      <c r="BJ1148" s="85"/>
      <c r="BK1148" s="85"/>
      <c r="BL1148" s="85"/>
      <c r="BM1148" s="85"/>
      <c r="BN1148" s="85"/>
      <c r="BO1148" s="85"/>
      <c r="BP1148" s="85"/>
      <c r="BQ1148" s="85"/>
      <c r="BR1148" s="84"/>
      <c r="BS1148" s="85"/>
      <c r="BT1148" s="85"/>
      <c r="BU1148" s="198"/>
      <c r="BV1148" s="90"/>
      <c r="BW1148" s="198"/>
      <c r="BX1148" s="90"/>
      <c r="BY1148" s="198"/>
      <c r="BZ1148" s="90"/>
      <c r="CA1148" s="91"/>
    </row>
    <row r="1149" spans="1:16348" ht="50.1" customHeight="1" outlineLevel="2" x14ac:dyDescent="0.3">
      <c r="A1149" s="109" t="s">
        <v>1119</v>
      </c>
      <c r="B1149" s="102" t="s">
        <v>979</v>
      </c>
      <c r="C1149" s="79" t="s">
        <v>980</v>
      </c>
      <c r="D1149" s="81">
        <f t="shared" si="268"/>
        <v>403.54462999999998</v>
      </c>
      <c r="E1149" s="82">
        <f t="shared" si="259"/>
        <v>211.38050999999999</v>
      </c>
      <c r="F1149" s="83">
        <f t="shared" si="269"/>
        <v>192.16412</v>
      </c>
      <c r="G1149" s="84"/>
      <c r="H1149" s="85"/>
      <c r="I1149" s="85"/>
      <c r="J1149" s="84"/>
      <c r="K1149" s="85"/>
      <c r="L1149" s="85"/>
      <c r="M1149" s="85"/>
      <c r="N1149" s="85"/>
      <c r="O1149" s="82"/>
      <c r="P1149" s="83"/>
      <c r="Q1149" s="83"/>
      <c r="R1149" s="83"/>
      <c r="S1149" s="82">
        <v>211.38050999999999</v>
      </c>
      <c r="T1149" s="83">
        <v>192.16412</v>
      </c>
      <c r="U1149" s="83"/>
      <c r="V1149" s="84"/>
      <c r="W1149" s="85"/>
      <c r="X1149" s="82"/>
      <c r="Y1149" s="83"/>
      <c r="Z1149" s="84"/>
      <c r="AA1149" s="85"/>
      <c r="AB1149" s="84"/>
      <c r="AC1149" s="85"/>
      <c r="AD1149" s="89">
        <f t="shared" si="258"/>
        <v>0</v>
      </c>
      <c r="AE1149" s="89"/>
      <c r="AF1149" s="186"/>
      <c r="AG1149" s="85"/>
      <c r="AH1149" s="85"/>
      <c r="AI1149" s="85"/>
      <c r="AJ1149" s="84"/>
      <c r="AK1149" s="85"/>
      <c r="AL1149" s="84"/>
      <c r="AM1149" s="88"/>
      <c r="AN1149" s="84"/>
      <c r="AO1149" s="85"/>
      <c r="AP1149" s="84"/>
      <c r="AQ1149" s="83"/>
      <c r="AR1149" s="83"/>
      <c r="AS1149" s="83"/>
      <c r="AT1149" s="85"/>
      <c r="AU1149" s="85"/>
      <c r="AV1149" s="85"/>
      <c r="AW1149" s="88"/>
      <c r="AX1149" s="84"/>
      <c r="AY1149" s="85"/>
      <c r="AZ1149" s="84"/>
      <c r="BA1149" s="85"/>
      <c r="BB1149" s="88"/>
      <c r="BC1149" s="85"/>
      <c r="BD1149" s="84"/>
      <c r="BE1149" s="88"/>
      <c r="BF1149" s="85"/>
      <c r="BG1149" s="85"/>
      <c r="BH1149" s="85"/>
      <c r="BI1149" s="85"/>
      <c r="BJ1149" s="85"/>
      <c r="BK1149" s="85"/>
      <c r="BL1149" s="85"/>
      <c r="BM1149" s="85"/>
      <c r="BN1149" s="85"/>
      <c r="BO1149" s="85"/>
      <c r="BP1149" s="85"/>
      <c r="BQ1149" s="85"/>
      <c r="BR1149" s="84"/>
      <c r="BS1149" s="85"/>
      <c r="BT1149" s="85"/>
      <c r="BU1149" s="198"/>
      <c r="BV1149" s="90"/>
      <c r="BW1149" s="198"/>
      <c r="BX1149" s="90"/>
      <c r="BY1149" s="198"/>
      <c r="BZ1149" s="90"/>
      <c r="CA1149" s="91"/>
    </row>
    <row r="1150" spans="1:16348" ht="58.5" customHeight="1" outlineLevel="2" x14ac:dyDescent="0.3">
      <c r="A1150" s="109" t="s">
        <v>1057</v>
      </c>
      <c r="B1150" s="102" t="s">
        <v>988</v>
      </c>
      <c r="C1150" s="79" t="s">
        <v>37</v>
      </c>
      <c r="D1150" s="81">
        <f t="shared" si="268"/>
        <v>44188.454969999999</v>
      </c>
      <c r="E1150" s="82">
        <f t="shared" si="259"/>
        <v>32681.395759999999</v>
      </c>
      <c r="F1150" s="83">
        <f t="shared" si="269"/>
        <v>11507.059209999999</v>
      </c>
      <c r="G1150" s="84"/>
      <c r="H1150" s="85"/>
      <c r="I1150" s="85"/>
      <c r="J1150" s="84"/>
      <c r="K1150" s="85"/>
      <c r="L1150" s="85">
        <v>8680.8892099999994</v>
      </c>
      <c r="M1150" s="85"/>
      <c r="N1150" s="85"/>
      <c r="O1150" s="82"/>
      <c r="P1150" s="83"/>
      <c r="Q1150" s="83"/>
      <c r="R1150" s="83"/>
      <c r="S1150" s="82"/>
      <c r="T1150" s="83"/>
      <c r="U1150" s="83"/>
      <c r="V1150" s="84"/>
      <c r="W1150" s="85"/>
      <c r="X1150" s="82"/>
      <c r="Y1150" s="83"/>
      <c r="Z1150" s="84"/>
      <c r="AA1150" s="85"/>
      <c r="AB1150" s="84"/>
      <c r="AC1150" s="85"/>
      <c r="AD1150" s="89">
        <f t="shared" si="258"/>
        <v>0</v>
      </c>
      <c r="AE1150" s="89"/>
      <c r="AF1150" s="186"/>
      <c r="AG1150" s="85"/>
      <c r="AH1150" s="85"/>
      <c r="AI1150" s="85"/>
      <c r="AJ1150" s="84"/>
      <c r="AK1150" s="85"/>
      <c r="AL1150" s="84">
        <v>32681.395759999999</v>
      </c>
      <c r="AM1150" s="88">
        <v>1720.07348</v>
      </c>
      <c r="AN1150" s="84"/>
      <c r="AO1150" s="85"/>
      <c r="AP1150" s="84"/>
      <c r="AQ1150" s="83"/>
      <c r="AR1150" s="83"/>
      <c r="AS1150" s="83"/>
      <c r="AT1150" s="85"/>
      <c r="AU1150" s="85"/>
      <c r="AV1150" s="85"/>
      <c r="AW1150" s="88"/>
      <c r="AX1150" s="84"/>
      <c r="AY1150" s="85"/>
      <c r="AZ1150" s="84"/>
      <c r="BA1150" s="85"/>
      <c r="BB1150" s="88"/>
      <c r="BC1150" s="85"/>
      <c r="BD1150" s="84"/>
      <c r="BE1150" s="88"/>
      <c r="BF1150" s="85"/>
      <c r="BG1150" s="85">
        <v>1106.0965200000001</v>
      </c>
      <c r="BH1150" s="85"/>
      <c r="BI1150" s="85"/>
      <c r="BJ1150" s="85"/>
      <c r="BK1150" s="85"/>
      <c r="BL1150" s="85"/>
      <c r="BM1150" s="85"/>
      <c r="BN1150" s="85"/>
      <c r="BO1150" s="85"/>
      <c r="BP1150" s="85"/>
      <c r="BQ1150" s="85"/>
      <c r="BR1150" s="84"/>
      <c r="BS1150" s="85"/>
      <c r="BT1150" s="85"/>
      <c r="BU1150" s="198"/>
      <c r="BV1150" s="90"/>
      <c r="BW1150" s="198"/>
      <c r="BX1150" s="90"/>
      <c r="BY1150" s="198"/>
      <c r="BZ1150" s="90"/>
      <c r="CA1150" s="91"/>
    </row>
    <row r="1151" spans="1:16348" ht="50.1" customHeight="1" outlineLevel="2" x14ac:dyDescent="0.3">
      <c r="A1151" s="103" t="s">
        <v>960</v>
      </c>
      <c r="B1151" s="102" t="s">
        <v>967</v>
      </c>
      <c r="C1151" s="79" t="s">
        <v>1268</v>
      </c>
      <c r="D1151" s="81">
        <f t="shared" si="268"/>
        <v>408</v>
      </c>
      <c r="E1151" s="82">
        <f t="shared" si="259"/>
        <v>0</v>
      </c>
      <c r="F1151" s="83">
        <f t="shared" si="269"/>
        <v>408</v>
      </c>
      <c r="G1151" s="84"/>
      <c r="H1151" s="85"/>
      <c r="I1151" s="85"/>
      <c r="J1151" s="84"/>
      <c r="K1151" s="85"/>
      <c r="L1151" s="85"/>
      <c r="M1151" s="85"/>
      <c r="N1151" s="85"/>
      <c r="O1151" s="82"/>
      <c r="P1151" s="83"/>
      <c r="Q1151" s="83"/>
      <c r="R1151" s="83"/>
      <c r="S1151" s="82"/>
      <c r="T1151" s="83"/>
      <c r="U1151" s="83"/>
      <c r="V1151" s="84"/>
      <c r="W1151" s="85"/>
      <c r="X1151" s="82"/>
      <c r="Y1151" s="83"/>
      <c r="Z1151" s="84"/>
      <c r="AA1151" s="85"/>
      <c r="AB1151" s="84"/>
      <c r="AC1151" s="85"/>
      <c r="AD1151" s="89">
        <f t="shared" si="258"/>
        <v>0</v>
      </c>
      <c r="AE1151" s="89"/>
      <c r="AF1151" s="186"/>
      <c r="AG1151" s="85"/>
      <c r="AH1151" s="85"/>
      <c r="AI1151" s="85"/>
      <c r="AJ1151" s="84"/>
      <c r="AK1151" s="85"/>
      <c r="AL1151" s="84"/>
      <c r="AM1151" s="88"/>
      <c r="AN1151" s="84"/>
      <c r="AO1151" s="85"/>
      <c r="AP1151" s="84"/>
      <c r="AQ1151" s="83"/>
      <c r="AR1151" s="83"/>
      <c r="AS1151" s="83"/>
      <c r="AT1151" s="85"/>
      <c r="AU1151" s="85"/>
      <c r="AV1151" s="85"/>
      <c r="AW1151" s="88"/>
      <c r="AX1151" s="84"/>
      <c r="AY1151" s="85"/>
      <c r="AZ1151" s="84"/>
      <c r="BA1151" s="85"/>
      <c r="BB1151" s="88"/>
      <c r="BC1151" s="85"/>
      <c r="BD1151" s="84"/>
      <c r="BE1151" s="88"/>
      <c r="BF1151" s="85"/>
      <c r="BG1151" s="85">
        <v>408</v>
      </c>
      <c r="BH1151" s="85"/>
      <c r="BI1151" s="85"/>
      <c r="BJ1151" s="85"/>
      <c r="BK1151" s="85"/>
      <c r="BL1151" s="85"/>
      <c r="BM1151" s="85"/>
      <c r="BN1151" s="85"/>
      <c r="BO1151" s="85"/>
      <c r="BP1151" s="85"/>
      <c r="BQ1151" s="85"/>
      <c r="BR1151" s="84"/>
      <c r="BS1151" s="85"/>
      <c r="BT1151" s="85"/>
      <c r="BU1151" s="198"/>
      <c r="BV1151" s="90"/>
      <c r="BW1151" s="198"/>
      <c r="BX1151" s="90"/>
      <c r="BY1151" s="198"/>
      <c r="BZ1151" s="90"/>
      <c r="CA1151" s="91"/>
    </row>
    <row r="1152" spans="1:16348" ht="50.1" customHeight="1" outlineLevel="2" x14ac:dyDescent="0.3">
      <c r="A1152" s="103" t="s">
        <v>960</v>
      </c>
      <c r="B1152" s="111" t="s">
        <v>1116</v>
      </c>
      <c r="C1152" s="79"/>
      <c r="D1152" s="81">
        <f t="shared" si="268"/>
        <v>348.8</v>
      </c>
      <c r="E1152" s="82">
        <f t="shared" si="259"/>
        <v>0</v>
      </c>
      <c r="F1152" s="83">
        <f t="shared" si="269"/>
        <v>348.8</v>
      </c>
      <c r="G1152" s="84"/>
      <c r="H1152" s="85"/>
      <c r="I1152" s="85"/>
      <c r="J1152" s="84"/>
      <c r="K1152" s="85"/>
      <c r="L1152" s="85"/>
      <c r="M1152" s="85"/>
      <c r="N1152" s="85"/>
      <c r="O1152" s="82"/>
      <c r="P1152" s="83"/>
      <c r="Q1152" s="83"/>
      <c r="R1152" s="83"/>
      <c r="S1152" s="82"/>
      <c r="T1152" s="83"/>
      <c r="U1152" s="83"/>
      <c r="V1152" s="84"/>
      <c r="W1152" s="85"/>
      <c r="X1152" s="82"/>
      <c r="Y1152" s="83"/>
      <c r="Z1152" s="84"/>
      <c r="AA1152" s="85"/>
      <c r="AB1152" s="84"/>
      <c r="AC1152" s="85"/>
      <c r="AD1152" s="89">
        <f t="shared" si="258"/>
        <v>0</v>
      </c>
      <c r="AE1152" s="89"/>
      <c r="AF1152" s="186"/>
      <c r="AG1152" s="85"/>
      <c r="AH1152" s="85"/>
      <c r="AI1152" s="85"/>
      <c r="AJ1152" s="84"/>
      <c r="AK1152" s="85"/>
      <c r="AL1152" s="84"/>
      <c r="AM1152" s="88"/>
      <c r="AN1152" s="84"/>
      <c r="AO1152" s="85"/>
      <c r="AP1152" s="84"/>
      <c r="AQ1152" s="83"/>
      <c r="AR1152" s="83"/>
      <c r="AS1152" s="83"/>
      <c r="AT1152" s="85"/>
      <c r="AU1152" s="85"/>
      <c r="AV1152" s="85"/>
      <c r="AW1152" s="88"/>
      <c r="AX1152" s="84"/>
      <c r="AY1152" s="85"/>
      <c r="AZ1152" s="84"/>
      <c r="BA1152" s="85"/>
      <c r="BB1152" s="88"/>
      <c r="BC1152" s="85"/>
      <c r="BD1152" s="84"/>
      <c r="BE1152" s="88"/>
      <c r="BF1152" s="85"/>
      <c r="BG1152" s="85"/>
      <c r="BH1152" s="85">
        <v>300</v>
      </c>
      <c r="BI1152" s="85">
        <v>48.8</v>
      </c>
      <c r="BJ1152" s="85"/>
      <c r="BK1152" s="85"/>
      <c r="BL1152" s="85"/>
      <c r="BM1152" s="85"/>
      <c r="BN1152" s="85"/>
      <c r="BO1152" s="85"/>
      <c r="BP1152" s="85"/>
      <c r="BQ1152" s="85"/>
      <c r="BR1152" s="84"/>
      <c r="BS1152" s="85"/>
      <c r="BT1152" s="85"/>
      <c r="BU1152" s="198"/>
      <c r="BV1152" s="90"/>
      <c r="BW1152" s="198"/>
      <c r="BX1152" s="90"/>
      <c r="BY1152" s="198"/>
      <c r="BZ1152" s="90"/>
      <c r="CA1152" s="91"/>
    </row>
    <row r="1153" spans="1:1199" s="101" customFormat="1" ht="50.1" customHeight="1" outlineLevel="1" x14ac:dyDescent="0.3">
      <c r="A1153" s="132" t="s">
        <v>968</v>
      </c>
      <c r="B1153" s="133"/>
      <c r="C1153" s="134" t="s">
        <v>94</v>
      </c>
      <c r="D1153" s="81">
        <f t="shared" ref="D1153:AI1153" si="270">SUBTOTAL(9,D1145:D1152)</f>
        <v>58297.5124</v>
      </c>
      <c r="E1153" s="81">
        <f t="shared" si="270"/>
        <v>33510.170539999999</v>
      </c>
      <c r="F1153" s="81">
        <f t="shared" si="270"/>
        <v>24787.341859999997</v>
      </c>
      <c r="G1153" s="81">
        <f t="shared" si="270"/>
        <v>0</v>
      </c>
      <c r="H1153" s="81">
        <f t="shared" si="270"/>
        <v>0</v>
      </c>
      <c r="I1153" s="81">
        <f t="shared" si="270"/>
        <v>0</v>
      </c>
      <c r="J1153" s="81">
        <f t="shared" si="270"/>
        <v>0</v>
      </c>
      <c r="K1153" s="81">
        <f t="shared" si="270"/>
        <v>0</v>
      </c>
      <c r="L1153" s="81">
        <f t="shared" si="270"/>
        <v>8680.8892099999994</v>
      </c>
      <c r="M1153" s="81">
        <f t="shared" si="270"/>
        <v>0</v>
      </c>
      <c r="N1153" s="81">
        <f t="shared" si="270"/>
        <v>0</v>
      </c>
      <c r="O1153" s="81">
        <f t="shared" si="270"/>
        <v>0</v>
      </c>
      <c r="P1153" s="81">
        <f t="shared" si="270"/>
        <v>0</v>
      </c>
      <c r="Q1153" s="81">
        <f t="shared" si="270"/>
        <v>0</v>
      </c>
      <c r="R1153" s="81">
        <f t="shared" si="270"/>
        <v>10433.34268</v>
      </c>
      <c r="S1153" s="81">
        <f t="shared" si="270"/>
        <v>828.77477999999996</v>
      </c>
      <c r="T1153" s="81">
        <f t="shared" si="270"/>
        <v>765.45880999999997</v>
      </c>
      <c r="U1153" s="81">
        <f t="shared" si="270"/>
        <v>481.10645</v>
      </c>
      <c r="V1153" s="81">
        <f t="shared" si="270"/>
        <v>0</v>
      </c>
      <c r="W1153" s="81">
        <f t="shared" si="270"/>
        <v>0</v>
      </c>
      <c r="X1153" s="81">
        <f t="shared" si="270"/>
        <v>0</v>
      </c>
      <c r="Y1153" s="81">
        <f t="shared" si="270"/>
        <v>0</v>
      </c>
      <c r="Z1153" s="81">
        <f t="shared" si="270"/>
        <v>0</v>
      </c>
      <c r="AA1153" s="81">
        <f t="shared" si="270"/>
        <v>0</v>
      </c>
      <c r="AB1153" s="81">
        <f t="shared" si="270"/>
        <v>0</v>
      </c>
      <c r="AC1153" s="81">
        <f t="shared" si="270"/>
        <v>0</v>
      </c>
      <c r="AD1153" s="81">
        <f t="shared" si="270"/>
        <v>0</v>
      </c>
      <c r="AE1153" s="81">
        <f t="shared" si="270"/>
        <v>0</v>
      </c>
      <c r="AF1153" s="192">
        <f t="shared" si="270"/>
        <v>0</v>
      </c>
      <c r="AG1153" s="81">
        <f t="shared" si="270"/>
        <v>0</v>
      </c>
      <c r="AH1153" s="81">
        <f t="shared" si="270"/>
        <v>0</v>
      </c>
      <c r="AI1153" s="81">
        <f t="shared" si="270"/>
        <v>0</v>
      </c>
      <c r="AJ1153" s="81">
        <f t="shared" ref="AJ1153:BO1153" si="271">SUBTOTAL(9,AJ1145:AJ1152)</f>
        <v>0</v>
      </c>
      <c r="AK1153" s="81">
        <f t="shared" si="271"/>
        <v>0</v>
      </c>
      <c r="AL1153" s="81">
        <f t="shared" si="271"/>
        <v>32681.395759999999</v>
      </c>
      <c r="AM1153" s="81">
        <f t="shared" si="271"/>
        <v>1720.07348</v>
      </c>
      <c r="AN1153" s="81">
        <f t="shared" si="271"/>
        <v>0</v>
      </c>
      <c r="AO1153" s="81">
        <f t="shared" si="271"/>
        <v>0</v>
      </c>
      <c r="AP1153" s="81">
        <f t="shared" si="271"/>
        <v>0</v>
      </c>
      <c r="AQ1153" s="81">
        <f t="shared" si="271"/>
        <v>0</v>
      </c>
      <c r="AR1153" s="81">
        <f t="shared" si="271"/>
        <v>0</v>
      </c>
      <c r="AS1153" s="81">
        <f t="shared" si="271"/>
        <v>0</v>
      </c>
      <c r="AT1153" s="81">
        <f t="shared" si="271"/>
        <v>0</v>
      </c>
      <c r="AU1153" s="81">
        <f t="shared" si="271"/>
        <v>0</v>
      </c>
      <c r="AV1153" s="81">
        <f t="shared" si="271"/>
        <v>343.32549999999998</v>
      </c>
      <c r="AW1153" s="81">
        <f t="shared" si="271"/>
        <v>0</v>
      </c>
      <c r="AX1153" s="81">
        <f t="shared" si="271"/>
        <v>0</v>
      </c>
      <c r="AY1153" s="81">
        <f t="shared" si="271"/>
        <v>0</v>
      </c>
      <c r="AZ1153" s="81">
        <f t="shared" si="271"/>
        <v>0</v>
      </c>
      <c r="BA1153" s="81">
        <f t="shared" si="271"/>
        <v>0</v>
      </c>
      <c r="BB1153" s="81">
        <f t="shared" si="271"/>
        <v>0</v>
      </c>
      <c r="BC1153" s="81">
        <f t="shared" si="271"/>
        <v>0</v>
      </c>
      <c r="BD1153" s="81">
        <f t="shared" si="271"/>
        <v>0</v>
      </c>
      <c r="BE1153" s="81">
        <f t="shared" si="271"/>
        <v>0</v>
      </c>
      <c r="BF1153" s="81">
        <f t="shared" si="271"/>
        <v>0</v>
      </c>
      <c r="BG1153" s="81">
        <f t="shared" si="271"/>
        <v>2014.34573</v>
      </c>
      <c r="BH1153" s="81">
        <f t="shared" si="271"/>
        <v>300</v>
      </c>
      <c r="BI1153" s="81">
        <f t="shared" si="271"/>
        <v>48.8</v>
      </c>
      <c r="BJ1153" s="81">
        <f t="shared" si="271"/>
        <v>0</v>
      </c>
      <c r="BK1153" s="81">
        <f t="shared" si="271"/>
        <v>0</v>
      </c>
      <c r="BL1153" s="81">
        <f t="shared" si="271"/>
        <v>0</v>
      </c>
      <c r="BM1153" s="81">
        <f t="shared" si="271"/>
        <v>0</v>
      </c>
      <c r="BN1153" s="81">
        <f t="shared" si="271"/>
        <v>0</v>
      </c>
      <c r="BO1153" s="81">
        <f t="shared" si="271"/>
        <v>0</v>
      </c>
      <c r="BP1153" s="81">
        <f t="shared" ref="BP1153:CU1153" si="272">SUBTOTAL(9,BP1145:BP1152)</f>
        <v>0</v>
      </c>
      <c r="BQ1153" s="81">
        <f t="shared" si="272"/>
        <v>0</v>
      </c>
      <c r="BR1153" s="81">
        <f t="shared" si="272"/>
        <v>0</v>
      </c>
      <c r="BS1153" s="81">
        <f t="shared" si="272"/>
        <v>0</v>
      </c>
      <c r="BT1153" s="81">
        <f t="shared" si="272"/>
        <v>0</v>
      </c>
      <c r="BU1153" s="81">
        <f t="shared" si="272"/>
        <v>0</v>
      </c>
      <c r="BV1153" s="81">
        <f t="shared" si="272"/>
        <v>0</v>
      </c>
      <c r="BW1153" s="81">
        <f t="shared" si="272"/>
        <v>0</v>
      </c>
      <c r="BX1153" s="81">
        <f t="shared" si="272"/>
        <v>0</v>
      </c>
      <c r="BY1153" s="81">
        <f t="shared" si="272"/>
        <v>0</v>
      </c>
      <c r="BZ1153" s="81">
        <f t="shared" si="272"/>
        <v>0</v>
      </c>
      <c r="CA1153" s="81">
        <f t="shared" si="272"/>
        <v>0</v>
      </c>
      <c r="CB1153" s="176"/>
      <c r="CC1153" s="176"/>
      <c r="CD1153" s="176"/>
      <c r="CE1153" s="176"/>
      <c r="CF1153" s="176"/>
      <c r="CG1153" s="176"/>
      <c r="CH1153" s="176"/>
      <c r="CI1153" s="176"/>
      <c r="CJ1153" s="176"/>
      <c r="CK1153" s="176"/>
      <c r="CL1153" s="176"/>
      <c r="CM1153" s="176"/>
      <c r="CN1153" s="176"/>
      <c r="CO1153" s="176"/>
      <c r="CP1153" s="176"/>
      <c r="CQ1153" s="176"/>
      <c r="CR1153" s="176"/>
      <c r="CS1153" s="176"/>
      <c r="CT1153" s="176"/>
      <c r="CU1153" s="176"/>
      <c r="CV1153" s="176"/>
      <c r="CW1153" s="176"/>
      <c r="CX1153" s="176"/>
      <c r="CY1153" s="176"/>
      <c r="CZ1153" s="176"/>
      <c r="DA1153" s="176"/>
      <c r="DB1153" s="176"/>
      <c r="DC1153" s="176"/>
      <c r="DD1153" s="176"/>
      <c r="DE1153" s="176"/>
      <c r="DF1153" s="176"/>
      <c r="DG1153" s="176"/>
      <c r="DH1153" s="176"/>
      <c r="DI1153" s="176"/>
      <c r="DJ1153" s="176"/>
      <c r="DK1153" s="176"/>
      <c r="DL1153" s="176"/>
      <c r="DM1153" s="176"/>
      <c r="DN1153" s="176"/>
      <c r="DO1153" s="176"/>
      <c r="DP1153" s="176"/>
      <c r="DQ1153" s="176"/>
      <c r="DR1153" s="176"/>
      <c r="DS1153" s="176"/>
      <c r="DT1153" s="176"/>
      <c r="DU1153" s="176"/>
      <c r="DV1153" s="176"/>
      <c r="DW1153" s="176"/>
      <c r="DX1153" s="176"/>
      <c r="DY1153" s="176"/>
      <c r="DZ1153" s="176"/>
      <c r="EA1153" s="176"/>
      <c r="EB1153" s="176"/>
      <c r="EC1153" s="176"/>
      <c r="ED1153" s="176"/>
      <c r="EE1153" s="176"/>
      <c r="EF1153" s="176"/>
      <c r="EG1153" s="176"/>
      <c r="EH1153" s="176"/>
      <c r="EI1153" s="176"/>
      <c r="EJ1153" s="176"/>
      <c r="EK1153" s="176"/>
      <c r="EL1153" s="176"/>
      <c r="EM1153" s="176"/>
      <c r="EN1153" s="176"/>
      <c r="EO1153" s="176"/>
      <c r="EP1153" s="176"/>
      <c r="EQ1153" s="176"/>
      <c r="ER1153" s="176"/>
      <c r="ES1153" s="176"/>
      <c r="ET1153" s="176"/>
      <c r="EU1153" s="176"/>
      <c r="EV1153" s="176"/>
      <c r="EW1153" s="176"/>
      <c r="EX1153" s="176"/>
      <c r="EY1153" s="176"/>
      <c r="EZ1153" s="176"/>
      <c r="FA1153" s="176"/>
      <c r="FB1153" s="176"/>
      <c r="FC1153" s="176"/>
      <c r="FD1153" s="176"/>
      <c r="FE1153" s="176"/>
      <c r="FF1153" s="176"/>
      <c r="FG1153" s="176"/>
      <c r="FH1153" s="176"/>
      <c r="FI1153" s="176"/>
      <c r="FJ1153" s="176"/>
      <c r="FK1153" s="176"/>
      <c r="FL1153" s="176"/>
      <c r="FM1153" s="176"/>
      <c r="FN1153" s="176"/>
      <c r="FO1153" s="176"/>
      <c r="FP1153" s="176"/>
      <c r="FQ1153" s="176"/>
      <c r="FR1153" s="176"/>
      <c r="FS1153" s="176"/>
      <c r="FT1153" s="176"/>
      <c r="FU1153" s="176"/>
      <c r="FV1153" s="176"/>
      <c r="FW1153" s="176"/>
      <c r="FX1153" s="176"/>
      <c r="FY1153" s="176"/>
      <c r="FZ1153" s="176"/>
      <c r="GA1153" s="176"/>
      <c r="GB1153" s="176"/>
      <c r="GC1153" s="176"/>
      <c r="GD1153" s="176"/>
      <c r="GE1153" s="176"/>
      <c r="GF1153" s="176"/>
      <c r="GG1153" s="176"/>
      <c r="GH1153" s="176"/>
      <c r="GI1153" s="176"/>
      <c r="GJ1153" s="176"/>
      <c r="GK1153" s="176"/>
      <c r="GL1153" s="176"/>
      <c r="GM1153" s="176"/>
      <c r="GN1153" s="176"/>
      <c r="GO1153" s="176"/>
      <c r="GP1153" s="176"/>
      <c r="GQ1153" s="176"/>
      <c r="GR1153" s="176"/>
      <c r="GS1153" s="176"/>
      <c r="GT1153" s="176"/>
      <c r="GU1153" s="176"/>
      <c r="GV1153" s="176"/>
      <c r="GW1153" s="176"/>
      <c r="GX1153" s="176"/>
      <c r="GY1153" s="176"/>
      <c r="GZ1153" s="176"/>
      <c r="HA1153" s="176"/>
      <c r="HB1153" s="176"/>
      <c r="HC1153" s="176"/>
      <c r="HD1153" s="176"/>
      <c r="HE1153" s="176"/>
      <c r="HF1153" s="176"/>
      <c r="HG1153" s="176"/>
      <c r="HH1153" s="176"/>
      <c r="HI1153" s="176"/>
      <c r="HJ1153" s="176"/>
      <c r="HK1153" s="176"/>
      <c r="HL1153" s="176"/>
      <c r="HM1153" s="176"/>
      <c r="HN1153" s="176"/>
      <c r="HO1153" s="176"/>
      <c r="HP1153" s="176"/>
      <c r="HQ1153" s="176"/>
      <c r="HR1153" s="176"/>
      <c r="HS1153" s="176"/>
      <c r="HT1153" s="176"/>
      <c r="HU1153" s="176"/>
      <c r="HV1153" s="176"/>
      <c r="HW1153" s="176"/>
      <c r="HX1153" s="176"/>
      <c r="HY1153" s="176"/>
      <c r="HZ1153" s="176"/>
      <c r="IA1153" s="176"/>
      <c r="IB1153" s="176"/>
      <c r="IC1153" s="176"/>
      <c r="ID1153" s="176"/>
      <c r="IE1153" s="176"/>
      <c r="IF1153" s="176"/>
      <c r="IG1153" s="176"/>
      <c r="IH1153" s="176"/>
      <c r="II1153" s="176"/>
      <c r="IJ1153" s="176"/>
      <c r="IK1153" s="176"/>
      <c r="IL1153" s="176"/>
      <c r="IM1153" s="176"/>
      <c r="IN1153" s="176"/>
      <c r="IO1153" s="176"/>
      <c r="IP1153" s="176"/>
      <c r="IQ1153" s="176"/>
      <c r="IR1153" s="176"/>
      <c r="IS1153" s="176"/>
      <c r="IT1153" s="176"/>
      <c r="IU1153" s="176"/>
      <c r="IV1153" s="176"/>
      <c r="IW1153" s="176"/>
      <c r="IX1153" s="176"/>
      <c r="IY1153" s="176"/>
      <c r="IZ1153" s="176"/>
      <c r="JA1153" s="176"/>
      <c r="JB1153" s="176"/>
      <c r="JC1153" s="176"/>
      <c r="JD1153" s="176"/>
      <c r="JE1153" s="176"/>
      <c r="JF1153" s="176"/>
      <c r="JG1153" s="176"/>
      <c r="JH1153" s="176"/>
      <c r="JI1153" s="176"/>
      <c r="JJ1153" s="176"/>
      <c r="JK1153" s="176"/>
      <c r="JL1153" s="176"/>
      <c r="JM1153" s="176"/>
      <c r="JN1153" s="176"/>
      <c r="JO1153" s="176"/>
      <c r="JP1153" s="176"/>
      <c r="JQ1153" s="176"/>
      <c r="JR1153" s="176"/>
      <c r="JS1153" s="176"/>
      <c r="JT1153" s="176"/>
      <c r="JU1153" s="176"/>
      <c r="JV1153" s="176"/>
      <c r="JW1153" s="131"/>
      <c r="JX1153" s="131"/>
      <c r="JY1153" s="131"/>
      <c r="JZ1153" s="131"/>
      <c r="KA1153" s="131"/>
      <c r="KB1153" s="131"/>
      <c r="KC1153" s="131"/>
      <c r="KD1153" s="131"/>
      <c r="KE1153" s="131"/>
      <c r="KF1153" s="131"/>
      <c r="KG1153" s="131"/>
      <c r="KH1153" s="131"/>
      <c r="KI1153" s="131"/>
      <c r="KJ1153" s="131"/>
      <c r="KK1153" s="131"/>
      <c r="KL1153" s="131"/>
      <c r="KM1153" s="131"/>
      <c r="KN1153" s="131"/>
      <c r="KO1153" s="131"/>
      <c r="KP1153" s="131"/>
      <c r="KQ1153" s="131"/>
      <c r="KR1153" s="131"/>
      <c r="KS1153" s="131"/>
      <c r="KT1153" s="131"/>
      <c r="KU1153" s="131"/>
      <c r="KV1153" s="131"/>
      <c r="KW1153" s="131"/>
      <c r="KX1153" s="131"/>
      <c r="KY1153" s="131"/>
      <c r="KZ1153" s="131"/>
      <c r="LA1153" s="131"/>
      <c r="LB1153" s="131"/>
      <c r="LC1153" s="131"/>
      <c r="LD1153" s="131"/>
      <c r="LE1153" s="131"/>
      <c r="LF1153" s="131"/>
      <c r="LG1153" s="131"/>
      <c r="LH1153" s="131"/>
      <c r="LI1153" s="131"/>
      <c r="LJ1153" s="131"/>
      <c r="LK1153" s="131"/>
      <c r="LL1153" s="131"/>
      <c r="LM1153" s="131"/>
      <c r="LN1153" s="131"/>
      <c r="LO1153" s="131"/>
      <c r="LP1153" s="131"/>
      <c r="LQ1153" s="131"/>
      <c r="LR1153" s="131"/>
      <c r="LS1153" s="131"/>
      <c r="LT1153" s="131"/>
      <c r="LU1153" s="131"/>
      <c r="LV1153" s="131"/>
      <c r="LW1153" s="131"/>
      <c r="LX1153" s="131"/>
      <c r="LY1153" s="131"/>
      <c r="LZ1153" s="131"/>
      <c r="MA1153" s="131"/>
      <c r="MB1153" s="131"/>
      <c r="MC1153" s="131"/>
      <c r="MD1153" s="131"/>
      <c r="ME1153" s="131"/>
      <c r="MF1153" s="131"/>
      <c r="MG1153" s="131"/>
      <c r="MH1153" s="131"/>
      <c r="MI1153" s="131"/>
      <c r="MJ1153" s="131"/>
      <c r="MK1153" s="131"/>
      <c r="ML1153" s="131"/>
      <c r="MM1153" s="131"/>
      <c r="MN1153" s="131"/>
      <c r="MO1153" s="131"/>
      <c r="MP1153" s="131"/>
      <c r="MQ1153" s="131"/>
      <c r="MR1153" s="131"/>
      <c r="MS1153" s="131"/>
      <c r="MT1153" s="131"/>
      <c r="MU1153" s="131"/>
      <c r="MV1153" s="131"/>
      <c r="MW1153" s="131"/>
      <c r="MX1153" s="131"/>
      <c r="MY1153" s="131"/>
      <c r="MZ1153" s="131"/>
      <c r="NA1153" s="131"/>
      <c r="NB1153" s="131"/>
      <c r="NC1153" s="131"/>
      <c r="ND1153" s="131"/>
      <c r="NE1153" s="131"/>
      <c r="NF1153" s="131"/>
      <c r="NG1153" s="131"/>
      <c r="NH1153" s="131"/>
      <c r="NI1153" s="131"/>
      <c r="NJ1153" s="131"/>
      <c r="NK1153" s="131"/>
      <c r="NL1153" s="131"/>
      <c r="NM1153" s="131"/>
      <c r="NN1153" s="131"/>
      <c r="NO1153" s="131"/>
      <c r="NP1153" s="131"/>
      <c r="NQ1153" s="131"/>
      <c r="NR1153" s="131"/>
      <c r="NS1153" s="131"/>
      <c r="NT1153" s="131"/>
      <c r="NU1153" s="131"/>
      <c r="NV1153" s="131"/>
      <c r="NW1153" s="131"/>
      <c r="NX1153" s="131"/>
      <c r="NY1153" s="131"/>
      <c r="NZ1153" s="131"/>
      <c r="OA1153" s="131"/>
      <c r="OB1153" s="131"/>
      <c r="OC1153" s="131"/>
      <c r="OD1153" s="131"/>
      <c r="OE1153" s="131"/>
      <c r="OF1153" s="131"/>
      <c r="OG1153" s="131"/>
      <c r="OH1153" s="131"/>
      <c r="OI1153" s="131"/>
      <c r="OJ1153" s="131"/>
      <c r="OK1153" s="131"/>
      <c r="OL1153" s="131"/>
      <c r="OM1153" s="131"/>
      <c r="ON1153" s="131"/>
      <c r="OO1153" s="131"/>
      <c r="OP1153" s="131"/>
      <c r="OQ1153" s="131"/>
      <c r="OR1153" s="131"/>
      <c r="OS1153" s="131"/>
      <c r="OT1153" s="131"/>
      <c r="OU1153" s="131"/>
      <c r="OV1153" s="131"/>
      <c r="OW1153" s="131"/>
      <c r="OX1153" s="131"/>
      <c r="OY1153" s="131"/>
      <c r="OZ1153" s="131"/>
      <c r="PA1153" s="131"/>
      <c r="PB1153" s="131"/>
      <c r="PC1153" s="131"/>
      <c r="PD1153" s="131"/>
      <c r="PE1153" s="131"/>
      <c r="PF1153" s="131"/>
      <c r="PG1153" s="131"/>
      <c r="PH1153" s="131"/>
      <c r="PI1153" s="131"/>
      <c r="PJ1153" s="131"/>
      <c r="PK1153" s="131"/>
      <c r="PL1153" s="131"/>
      <c r="PM1153" s="131"/>
      <c r="PN1153" s="131"/>
      <c r="PO1153" s="131"/>
      <c r="PP1153" s="131"/>
      <c r="PQ1153" s="131"/>
      <c r="PR1153" s="131"/>
      <c r="PS1153" s="131"/>
      <c r="PT1153" s="131"/>
      <c r="PU1153" s="131"/>
      <c r="PV1153" s="131"/>
      <c r="PW1153" s="131"/>
      <c r="PX1153" s="131"/>
      <c r="PY1153" s="131"/>
      <c r="PZ1153" s="131"/>
      <c r="QA1153" s="131"/>
      <c r="QB1153" s="131"/>
      <c r="QC1153" s="131"/>
      <c r="QD1153" s="131"/>
      <c r="QE1153" s="131"/>
      <c r="QF1153" s="131"/>
      <c r="QG1153" s="131"/>
      <c r="QH1153" s="131"/>
      <c r="QI1153" s="131"/>
      <c r="QJ1153" s="131"/>
      <c r="QK1153" s="131"/>
      <c r="QL1153" s="131"/>
      <c r="QM1153" s="131"/>
      <c r="QN1153" s="131"/>
      <c r="QO1153" s="131"/>
      <c r="QP1153" s="131"/>
      <c r="QQ1153" s="131"/>
      <c r="QR1153" s="131"/>
      <c r="QS1153" s="131"/>
      <c r="QT1153" s="131"/>
      <c r="QU1153" s="131"/>
      <c r="QV1153" s="131"/>
      <c r="QW1153" s="131"/>
      <c r="QX1153" s="131"/>
      <c r="QY1153" s="131"/>
      <c r="QZ1153" s="131"/>
      <c r="RA1153" s="131"/>
      <c r="RB1153" s="131"/>
      <c r="RC1153" s="131"/>
      <c r="RD1153" s="131"/>
      <c r="RE1153" s="131"/>
      <c r="RF1153" s="131"/>
      <c r="RG1153" s="131"/>
      <c r="RH1153" s="131"/>
      <c r="RI1153" s="131"/>
      <c r="RJ1153" s="131"/>
      <c r="RK1153" s="131"/>
      <c r="RL1153" s="131"/>
      <c r="RM1153" s="131"/>
      <c r="RN1153" s="131"/>
      <c r="RO1153" s="131"/>
      <c r="RP1153" s="131"/>
      <c r="RQ1153" s="131"/>
      <c r="RR1153" s="131"/>
      <c r="RS1153" s="131"/>
      <c r="RT1153" s="131"/>
      <c r="RU1153" s="131"/>
      <c r="RV1153" s="131"/>
      <c r="RW1153" s="131"/>
      <c r="RX1153" s="131"/>
      <c r="RY1153" s="131"/>
      <c r="RZ1153" s="131"/>
      <c r="SA1153" s="131"/>
      <c r="SB1153" s="131"/>
      <c r="SC1153" s="131"/>
      <c r="SD1153" s="131"/>
      <c r="SE1153" s="131"/>
      <c r="SF1153" s="131"/>
      <c r="SG1153" s="131"/>
      <c r="SH1153" s="131"/>
      <c r="SI1153" s="131"/>
      <c r="SJ1153" s="131"/>
      <c r="SK1153" s="131"/>
      <c r="SL1153" s="131"/>
      <c r="SM1153" s="131"/>
      <c r="SN1153" s="131"/>
      <c r="SO1153" s="131"/>
      <c r="SP1153" s="131"/>
      <c r="SQ1153" s="131"/>
      <c r="SR1153" s="131"/>
      <c r="SS1153" s="131"/>
      <c r="ST1153" s="131"/>
      <c r="SU1153" s="131"/>
      <c r="SV1153" s="131"/>
      <c r="SW1153" s="131"/>
      <c r="SX1153" s="131"/>
      <c r="SY1153" s="131"/>
      <c r="SZ1153" s="131"/>
      <c r="TA1153" s="131"/>
      <c r="TB1153" s="131"/>
      <c r="TC1153" s="131"/>
      <c r="TD1153" s="131"/>
      <c r="TE1153" s="131"/>
      <c r="TF1153" s="131"/>
      <c r="TG1153" s="131"/>
      <c r="TH1153" s="131"/>
      <c r="TI1153" s="131"/>
      <c r="TJ1153" s="131"/>
      <c r="TK1153" s="131"/>
      <c r="TL1153" s="131"/>
      <c r="TM1153" s="131"/>
      <c r="TN1153" s="131"/>
      <c r="TO1153" s="131"/>
      <c r="TP1153" s="131"/>
      <c r="TQ1153" s="131"/>
      <c r="TR1153" s="131"/>
      <c r="TS1153" s="131"/>
      <c r="TT1153" s="131"/>
      <c r="TU1153" s="131"/>
      <c r="TV1153" s="131"/>
      <c r="TW1153" s="131"/>
      <c r="TX1153" s="131"/>
      <c r="TY1153" s="131"/>
      <c r="TZ1153" s="131"/>
      <c r="UA1153" s="131"/>
      <c r="UB1153" s="131"/>
      <c r="UC1153" s="131"/>
      <c r="UD1153" s="131"/>
      <c r="UE1153" s="131"/>
      <c r="UF1153" s="131"/>
      <c r="UG1153" s="131"/>
      <c r="UH1153" s="131"/>
      <c r="UI1153" s="131"/>
      <c r="UJ1153" s="131"/>
      <c r="UK1153" s="131"/>
      <c r="UL1153" s="131"/>
      <c r="UM1153" s="131"/>
      <c r="UN1153" s="131"/>
      <c r="UO1153" s="131"/>
      <c r="UP1153" s="131"/>
      <c r="UQ1153" s="131"/>
      <c r="UR1153" s="131"/>
      <c r="US1153" s="131"/>
      <c r="UT1153" s="131"/>
      <c r="UU1153" s="131"/>
      <c r="UV1153" s="131"/>
      <c r="UW1153" s="131"/>
      <c r="UX1153" s="131"/>
      <c r="UY1153" s="131"/>
      <c r="UZ1153" s="131"/>
      <c r="VA1153" s="131"/>
      <c r="VB1153" s="131"/>
      <c r="VC1153" s="131"/>
      <c r="VD1153" s="131"/>
      <c r="VE1153" s="131"/>
      <c r="VF1153" s="131"/>
      <c r="VG1153" s="131"/>
      <c r="VH1153" s="131"/>
      <c r="VI1153" s="131"/>
      <c r="VJ1153" s="131"/>
      <c r="VK1153" s="131"/>
      <c r="VL1153" s="131"/>
      <c r="VM1153" s="131"/>
      <c r="VN1153" s="131"/>
      <c r="VO1153" s="131"/>
      <c r="VP1153" s="131"/>
      <c r="VQ1153" s="131"/>
      <c r="VR1153" s="131"/>
      <c r="VS1153" s="131"/>
      <c r="VT1153" s="131"/>
      <c r="VU1153" s="131"/>
      <c r="VV1153" s="131"/>
      <c r="VW1153" s="131"/>
      <c r="VX1153" s="131"/>
      <c r="VY1153" s="131"/>
      <c r="VZ1153" s="131"/>
      <c r="WA1153" s="131"/>
      <c r="WB1153" s="131"/>
      <c r="WC1153" s="131"/>
      <c r="WD1153" s="131"/>
      <c r="WE1153" s="131"/>
      <c r="WF1153" s="131"/>
      <c r="WG1153" s="131"/>
      <c r="WH1153" s="131"/>
      <c r="WI1153" s="131"/>
      <c r="WJ1153" s="131"/>
      <c r="WK1153" s="131"/>
      <c r="WL1153" s="131"/>
      <c r="WM1153" s="131"/>
      <c r="WN1153" s="131"/>
      <c r="WO1153" s="131"/>
      <c r="WP1153" s="131"/>
      <c r="WQ1153" s="131"/>
      <c r="WR1153" s="131"/>
      <c r="WS1153" s="131"/>
      <c r="WT1153" s="131"/>
      <c r="WU1153" s="131"/>
      <c r="WV1153" s="131"/>
      <c r="WW1153" s="131"/>
      <c r="WX1153" s="131"/>
      <c r="WY1153" s="131"/>
      <c r="WZ1153" s="131"/>
      <c r="XA1153" s="131"/>
      <c r="XB1153" s="131"/>
      <c r="XC1153" s="131"/>
      <c r="XD1153" s="131"/>
      <c r="XE1153" s="131"/>
      <c r="XF1153" s="131"/>
      <c r="XG1153" s="131"/>
      <c r="XH1153" s="131"/>
      <c r="XI1153" s="131"/>
      <c r="XJ1153" s="131"/>
      <c r="XK1153" s="131"/>
      <c r="XL1153" s="131"/>
      <c r="XM1153" s="131"/>
      <c r="XN1153" s="131"/>
      <c r="XO1153" s="131"/>
      <c r="XP1153" s="131"/>
      <c r="XQ1153" s="131"/>
      <c r="XR1153" s="131"/>
      <c r="XS1153" s="131"/>
      <c r="XT1153" s="131"/>
      <c r="XU1153" s="131"/>
      <c r="XV1153" s="131"/>
      <c r="XW1153" s="131"/>
      <c r="XX1153" s="131"/>
      <c r="XY1153" s="131"/>
      <c r="XZ1153" s="131"/>
      <c r="YA1153" s="131"/>
      <c r="YB1153" s="131"/>
      <c r="YC1153" s="131"/>
      <c r="YD1153" s="131"/>
      <c r="YE1153" s="131"/>
      <c r="YF1153" s="131"/>
      <c r="YG1153" s="131"/>
      <c r="YH1153" s="131"/>
      <c r="YI1153" s="131"/>
      <c r="YJ1153" s="131"/>
      <c r="YK1153" s="131"/>
      <c r="YL1153" s="131"/>
      <c r="YM1153" s="131"/>
      <c r="YN1153" s="131"/>
      <c r="YO1153" s="131"/>
      <c r="YP1153" s="131"/>
      <c r="YQ1153" s="131"/>
      <c r="YR1153" s="131"/>
      <c r="YS1153" s="131"/>
      <c r="YT1153" s="131"/>
      <c r="YU1153" s="131"/>
      <c r="YV1153" s="131"/>
      <c r="YW1153" s="131"/>
      <c r="YX1153" s="131"/>
      <c r="YY1153" s="131"/>
      <c r="YZ1153" s="131"/>
      <c r="ZA1153" s="131"/>
      <c r="ZB1153" s="131"/>
      <c r="ZC1153" s="131"/>
      <c r="ZD1153" s="131"/>
      <c r="ZE1153" s="131"/>
      <c r="ZF1153" s="131"/>
      <c r="ZG1153" s="131"/>
      <c r="ZH1153" s="131"/>
      <c r="ZI1153" s="131"/>
      <c r="ZJ1153" s="131"/>
      <c r="ZK1153" s="131"/>
      <c r="ZL1153" s="131"/>
      <c r="ZM1153" s="131"/>
      <c r="ZN1153" s="131"/>
      <c r="ZO1153" s="131"/>
      <c r="ZP1153" s="131"/>
      <c r="ZQ1153" s="131"/>
      <c r="ZR1153" s="131"/>
      <c r="ZS1153" s="131"/>
      <c r="ZT1153" s="131"/>
      <c r="ZU1153" s="131"/>
      <c r="ZV1153" s="131"/>
      <c r="ZW1153" s="131"/>
      <c r="ZX1153" s="131"/>
      <c r="ZY1153" s="131"/>
      <c r="ZZ1153" s="131"/>
      <c r="AAA1153" s="131"/>
      <c r="AAB1153" s="131"/>
      <c r="AAC1153" s="131"/>
      <c r="AAD1153" s="131"/>
      <c r="AAE1153" s="131"/>
      <c r="AAF1153" s="131"/>
      <c r="AAG1153" s="131"/>
      <c r="AAH1153" s="131"/>
      <c r="AAI1153" s="131"/>
      <c r="AAJ1153" s="131"/>
      <c r="AAK1153" s="131"/>
      <c r="AAL1153" s="131"/>
      <c r="AAM1153" s="131"/>
      <c r="AAN1153" s="131"/>
      <c r="AAO1153" s="131"/>
      <c r="AAP1153" s="131"/>
      <c r="AAQ1153" s="131"/>
      <c r="AAR1153" s="131"/>
      <c r="AAS1153" s="131"/>
      <c r="AAT1153" s="131"/>
      <c r="AAU1153" s="131"/>
      <c r="AAV1153" s="131"/>
      <c r="AAW1153" s="131"/>
      <c r="AAX1153" s="131"/>
      <c r="AAY1153" s="131"/>
      <c r="AAZ1153" s="131"/>
      <c r="ABA1153" s="131"/>
      <c r="ABB1153" s="131"/>
      <c r="ABC1153" s="131"/>
      <c r="ABD1153" s="131"/>
      <c r="ABE1153" s="131"/>
      <c r="ABF1153" s="131"/>
      <c r="ABG1153" s="131"/>
      <c r="ABH1153" s="131"/>
      <c r="ABI1153" s="131"/>
      <c r="ABJ1153" s="131"/>
      <c r="ABK1153" s="131"/>
      <c r="ABL1153" s="131"/>
      <c r="ABM1153" s="131"/>
      <c r="ABN1153" s="131"/>
      <c r="ABO1153" s="131"/>
      <c r="ABP1153" s="131"/>
      <c r="ABQ1153" s="131"/>
      <c r="ABR1153" s="131"/>
      <c r="ABS1153" s="131"/>
      <c r="ABT1153" s="131"/>
      <c r="ABU1153" s="131"/>
      <c r="ABV1153" s="131"/>
      <c r="ABW1153" s="131"/>
      <c r="ABX1153" s="131"/>
      <c r="ABY1153" s="131"/>
      <c r="ABZ1153" s="131"/>
      <c r="ACA1153" s="131"/>
      <c r="ACB1153" s="131"/>
      <c r="ACC1153" s="131"/>
      <c r="ACD1153" s="131"/>
      <c r="ACE1153" s="131"/>
      <c r="ACF1153" s="131"/>
      <c r="ACG1153" s="131"/>
      <c r="ACH1153" s="131"/>
      <c r="ACI1153" s="131"/>
      <c r="ACJ1153" s="131"/>
      <c r="ACK1153" s="131"/>
      <c r="ACL1153" s="131"/>
      <c r="ACM1153" s="131"/>
      <c r="ACN1153" s="131"/>
      <c r="ACO1153" s="131"/>
      <c r="ACP1153" s="131"/>
      <c r="ACQ1153" s="131"/>
      <c r="ACR1153" s="131"/>
      <c r="ACS1153" s="131"/>
      <c r="ACT1153" s="131"/>
      <c r="ACU1153" s="131"/>
      <c r="ACV1153" s="131"/>
      <c r="ACW1153" s="131"/>
      <c r="ACX1153" s="131"/>
      <c r="ACY1153" s="131"/>
      <c r="ACZ1153" s="131"/>
      <c r="ADA1153" s="131"/>
      <c r="ADB1153" s="131"/>
      <c r="ADC1153" s="131"/>
      <c r="ADD1153" s="131"/>
      <c r="ADE1153" s="131"/>
      <c r="ADF1153" s="131"/>
      <c r="ADG1153" s="131"/>
      <c r="ADH1153" s="131"/>
      <c r="ADI1153" s="131"/>
      <c r="ADJ1153" s="131"/>
      <c r="ADK1153" s="131"/>
      <c r="ADL1153" s="131"/>
      <c r="ADM1153" s="131"/>
      <c r="ADN1153" s="131"/>
      <c r="ADO1153" s="131"/>
      <c r="ADP1153" s="131"/>
      <c r="ADQ1153" s="131"/>
      <c r="ADR1153" s="131"/>
      <c r="ADS1153" s="131"/>
      <c r="ADT1153" s="131"/>
      <c r="ADU1153" s="131"/>
      <c r="ADV1153" s="131"/>
      <c r="ADW1153" s="131"/>
      <c r="ADX1153" s="131"/>
      <c r="ADY1153" s="131"/>
      <c r="ADZ1153" s="131"/>
      <c r="AEA1153" s="131"/>
      <c r="AEB1153" s="131"/>
      <c r="AEC1153" s="131"/>
      <c r="AED1153" s="131"/>
      <c r="AEE1153" s="131"/>
      <c r="AEF1153" s="131"/>
      <c r="AEG1153" s="131"/>
      <c r="AEH1153" s="131"/>
      <c r="AEI1153" s="131"/>
      <c r="AEJ1153" s="131"/>
      <c r="AEK1153" s="131"/>
      <c r="AEL1153" s="131"/>
      <c r="AEM1153" s="131"/>
      <c r="AEN1153" s="131"/>
      <c r="AEO1153" s="131"/>
      <c r="AEP1153" s="131"/>
      <c r="AEQ1153" s="131"/>
      <c r="AER1153" s="131"/>
      <c r="AES1153" s="131"/>
      <c r="AET1153" s="131"/>
      <c r="AEU1153" s="131"/>
      <c r="AEV1153" s="131"/>
      <c r="AEW1153" s="131"/>
      <c r="AEX1153" s="131"/>
      <c r="AEY1153" s="131"/>
      <c r="AEZ1153" s="131"/>
      <c r="AFA1153" s="131"/>
      <c r="AFB1153" s="131"/>
      <c r="AFC1153" s="131"/>
      <c r="AFD1153" s="131"/>
      <c r="AFE1153" s="131"/>
      <c r="AFF1153" s="131"/>
      <c r="AFG1153" s="131"/>
      <c r="AFH1153" s="131"/>
      <c r="AFI1153" s="131"/>
      <c r="AFJ1153" s="131"/>
      <c r="AFK1153" s="131"/>
      <c r="AFL1153" s="131"/>
      <c r="AFM1153" s="131"/>
      <c r="AFN1153" s="131"/>
      <c r="AFO1153" s="131"/>
      <c r="AFP1153" s="131"/>
      <c r="AFQ1153" s="131"/>
      <c r="AFR1153" s="131"/>
      <c r="AFS1153" s="131"/>
      <c r="AFT1153" s="131"/>
      <c r="AFU1153" s="131"/>
      <c r="AFV1153" s="131"/>
      <c r="AFW1153" s="131"/>
      <c r="AFX1153" s="131"/>
      <c r="AFY1153" s="131"/>
      <c r="AFZ1153" s="131"/>
      <c r="AGA1153" s="131"/>
      <c r="AGB1153" s="131"/>
      <c r="AGC1153" s="131"/>
      <c r="AGD1153" s="131"/>
      <c r="AGE1153" s="131"/>
      <c r="AGF1153" s="131"/>
      <c r="AGG1153" s="131"/>
      <c r="AGH1153" s="131"/>
      <c r="AGI1153" s="131"/>
      <c r="AGJ1153" s="131"/>
      <c r="AGK1153" s="131"/>
      <c r="AGL1153" s="131"/>
      <c r="AGM1153" s="131"/>
      <c r="AGN1153" s="131"/>
      <c r="AGO1153" s="131"/>
      <c r="AGP1153" s="131"/>
      <c r="AGQ1153" s="131"/>
      <c r="AGR1153" s="131"/>
      <c r="AGS1153" s="131"/>
      <c r="AGT1153" s="131"/>
      <c r="AGU1153" s="131"/>
      <c r="AGV1153" s="131"/>
      <c r="AGW1153" s="131"/>
      <c r="AGX1153" s="131"/>
      <c r="AGY1153" s="131"/>
      <c r="AGZ1153" s="131"/>
      <c r="AHA1153" s="131"/>
      <c r="AHB1153" s="131"/>
      <c r="AHC1153" s="131"/>
      <c r="AHD1153" s="131"/>
      <c r="AHE1153" s="131"/>
      <c r="AHF1153" s="131"/>
      <c r="AHG1153" s="131"/>
      <c r="AHH1153" s="131"/>
      <c r="AHI1153" s="131"/>
      <c r="AHJ1153" s="131"/>
      <c r="AHK1153" s="131"/>
      <c r="AHL1153" s="131"/>
      <c r="AHM1153" s="131"/>
      <c r="AHN1153" s="131"/>
      <c r="AHO1153" s="131"/>
      <c r="AHP1153" s="131"/>
      <c r="AHQ1153" s="131"/>
      <c r="AHR1153" s="131"/>
      <c r="AHS1153" s="131"/>
      <c r="AHT1153" s="131"/>
      <c r="AHU1153" s="131"/>
      <c r="AHV1153" s="131"/>
      <c r="AHW1153" s="131"/>
      <c r="AHX1153" s="131"/>
      <c r="AHY1153" s="131"/>
      <c r="AHZ1153" s="131"/>
      <c r="AIA1153" s="131"/>
      <c r="AIB1153" s="131"/>
      <c r="AIC1153" s="131"/>
      <c r="AID1153" s="131"/>
      <c r="AIE1153" s="131"/>
      <c r="AIF1153" s="131"/>
      <c r="AIG1153" s="131"/>
      <c r="AIH1153" s="131"/>
      <c r="AII1153" s="131"/>
      <c r="AIJ1153" s="131"/>
      <c r="AIK1153" s="131"/>
      <c r="AIL1153" s="131"/>
      <c r="AIM1153" s="131"/>
      <c r="AIN1153" s="131"/>
      <c r="AIO1153" s="131"/>
      <c r="AIP1153" s="131"/>
      <c r="AIQ1153" s="131"/>
      <c r="AIR1153" s="131"/>
      <c r="AIS1153" s="131"/>
      <c r="AIT1153" s="131"/>
      <c r="AIU1153" s="131"/>
      <c r="AIV1153" s="131"/>
      <c r="AIW1153" s="131"/>
      <c r="AIX1153" s="131"/>
      <c r="AIY1153" s="131"/>
      <c r="AIZ1153" s="131"/>
      <c r="AJA1153" s="131"/>
      <c r="AJB1153" s="131"/>
      <c r="AJC1153" s="131"/>
      <c r="AJD1153" s="131"/>
      <c r="AJE1153" s="131"/>
      <c r="AJF1153" s="131"/>
      <c r="AJG1153" s="131"/>
      <c r="AJH1153" s="131"/>
      <c r="AJI1153" s="131"/>
      <c r="AJJ1153" s="131"/>
      <c r="AJK1153" s="131"/>
      <c r="AJL1153" s="131"/>
      <c r="AJM1153" s="131"/>
      <c r="AJN1153" s="131"/>
      <c r="AJO1153" s="131"/>
      <c r="AJP1153" s="131"/>
      <c r="AJQ1153" s="131"/>
      <c r="AJR1153" s="131"/>
      <c r="AJS1153" s="131"/>
      <c r="AJT1153" s="131"/>
      <c r="AJU1153" s="131"/>
      <c r="AJV1153" s="131"/>
      <c r="AJW1153" s="131"/>
      <c r="AJX1153" s="131"/>
      <c r="AJY1153" s="131"/>
      <c r="AJZ1153" s="131"/>
      <c r="AKA1153" s="131"/>
      <c r="AKB1153" s="131"/>
      <c r="AKC1153" s="131"/>
      <c r="AKD1153" s="131"/>
      <c r="AKE1153" s="131"/>
      <c r="AKF1153" s="131"/>
      <c r="AKG1153" s="131"/>
      <c r="AKH1153" s="131"/>
      <c r="AKI1153" s="131"/>
      <c r="AKJ1153" s="131"/>
      <c r="AKK1153" s="131"/>
      <c r="AKL1153" s="131"/>
      <c r="AKM1153" s="131"/>
      <c r="AKN1153" s="131"/>
      <c r="AKO1153" s="131"/>
      <c r="AKP1153" s="131"/>
      <c r="AKQ1153" s="131"/>
      <c r="AKR1153" s="131"/>
      <c r="AKS1153" s="131"/>
      <c r="AKT1153" s="131"/>
      <c r="AKU1153" s="131"/>
      <c r="AKV1153" s="131"/>
      <c r="AKW1153" s="131"/>
      <c r="AKX1153" s="131"/>
      <c r="AKY1153" s="131"/>
      <c r="AKZ1153" s="131"/>
      <c r="ALA1153" s="131"/>
      <c r="ALB1153" s="131"/>
      <c r="ALC1153" s="131"/>
      <c r="ALD1153" s="131"/>
      <c r="ALE1153" s="131"/>
      <c r="ALF1153" s="131"/>
      <c r="ALG1153" s="131"/>
      <c r="ALH1153" s="131"/>
      <c r="ALI1153" s="131"/>
      <c r="ALJ1153" s="131"/>
      <c r="ALK1153" s="131"/>
      <c r="ALL1153" s="131"/>
      <c r="ALM1153" s="131"/>
      <c r="ALN1153" s="131"/>
      <c r="ALO1153" s="131"/>
      <c r="ALP1153" s="131"/>
      <c r="ALQ1153" s="131"/>
      <c r="ALR1153" s="131"/>
      <c r="ALS1153" s="131"/>
      <c r="ALT1153" s="131"/>
      <c r="ALU1153" s="131"/>
      <c r="ALV1153" s="131"/>
      <c r="ALW1153" s="131"/>
      <c r="ALX1153" s="131"/>
      <c r="ALY1153" s="131"/>
      <c r="ALZ1153" s="131"/>
      <c r="AMA1153" s="131"/>
      <c r="AMB1153" s="131"/>
      <c r="AMC1153" s="131"/>
      <c r="AMD1153" s="131"/>
      <c r="AME1153" s="131"/>
      <c r="AMF1153" s="131"/>
      <c r="AMG1153" s="131"/>
      <c r="AMH1153" s="131"/>
      <c r="AMI1153" s="131"/>
      <c r="AMJ1153" s="131"/>
      <c r="AMK1153" s="131"/>
      <c r="AML1153" s="131"/>
      <c r="AMM1153" s="131"/>
      <c r="AMN1153" s="131"/>
      <c r="AMO1153" s="131"/>
      <c r="AMP1153" s="131"/>
      <c r="AMQ1153" s="131"/>
      <c r="AMR1153" s="131"/>
      <c r="AMS1153" s="131"/>
      <c r="AMT1153" s="131"/>
      <c r="AMU1153" s="131"/>
      <c r="AMV1153" s="131"/>
      <c r="AMW1153" s="131"/>
      <c r="AMX1153" s="131"/>
      <c r="AMY1153" s="131"/>
      <c r="AMZ1153" s="131"/>
      <c r="ANA1153" s="131"/>
      <c r="ANB1153" s="131"/>
      <c r="ANC1153" s="131"/>
      <c r="AND1153" s="131"/>
      <c r="ANE1153" s="131"/>
      <c r="ANF1153" s="131"/>
      <c r="ANG1153" s="131"/>
      <c r="ANH1153" s="131"/>
      <c r="ANI1153" s="131"/>
      <c r="ANJ1153" s="131"/>
      <c r="ANK1153" s="131"/>
      <c r="ANL1153" s="131"/>
      <c r="ANM1153" s="131"/>
      <c r="ANN1153" s="131"/>
      <c r="ANO1153" s="131"/>
      <c r="ANP1153" s="131"/>
      <c r="ANQ1153" s="131"/>
      <c r="ANR1153" s="131"/>
      <c r="ANS1153" s="131"/>
      <c r="ANT1153" s="131"/>
      <c r="ANU1153" s="131"/>
      <c r="ANV1153" s="131"/>
      <c r="ANW1153" s="131"/>
      <c r="ANX1153" s="131"/>
      <c r="ANY1153" s="131"/>
      <c r="ANZ1153" s="131"/>
      <c r="AOA1153" s="131"/>
      <c r="AOB1153" s="131"/>
      <c r="AOC1153" s="131"/>
      <c r="AOD1153" s="131"/>
      <c r="AOE1153" s="131"/>
      <c r="AOF1153" s="131"/>
      <c r="AOG1153" s="131"/>
      <c r="AOH1153" s="131"/>
      <c r="AOI1153" s="131"/>
      <c r="AOJ1153" s="131"/>
      <c r="AOK1153" s="131"/>
      <c r="AOL1153" s="131"/>
      <c r="AOM1153" s="131"/>
      <c r="AON1153" s="131"/>
      <c r="AOO1153" s="131"/>
      <c r="AOP1153" s="131"/>
      <c r="AOQ1153" s="131"/>
      <c r="AOR1153" s="131"/>
      <c r="AOS1153" s="131"/>
      <c r="AOT1153" s="131"/>
      <c r="AOU1153" s="131"/>
      <c r="AOV1153" s="131"/>
      <c r="AOW1153" s="131"/>
      <c r="AOX1153" s="131"/>
      <c r="AOY1153" s="131"/>
      <c r="AOZ1153" s="131"/>
      <c r="APA1153" s="131"/>
      <c r="APB1153" s="131"/>
      <c r="APC1153" s="131"/>
      <c r="APD1153" s="131"/>
      <c r="APE1153" s="131"/>
      <c r="APF1153" s="131"/>
      <c r="APG1153" s="131"/>
      <c r="APH1153" s="131"/>
      <c r="API1153" s="131"/>
      <c r="APJ1153" s="131"/>
      <c r="APK1153" s="131"/>
      <c r="APL1153" s="131"/>
      <c r="APM1153" s="131"/>
      <c r="APN1153" s="131"/>
      <c r="APO1153" s="131"/>
      <c r="APP1153" s="131"/>
      <c r="APQ1153" s="131"/>
      <c r="APR1153" s="131"/>
      <c r="APS1153" s="131"/>
      <c r="APT1153" s="131"/>
      <c r="APU1153" s="131"/>
      <c r="APV1153" s="131"/>
      <c r="APW1153" s="131"/>
      <c r="APX1153" s="131"/>
      <c r="APY1153" s="131"/>
      <c r="APZ1153" s="131"/>
      <c r="AQA1153" s="131"/>
      <c r="AQB1153" s="131"/>
      <c r="AQC1153" s="131"/>
      <c r="AQD1153" s="131"/>
      <c r="AQE1153" s="131"/>
      <c r="AQF1153" s="131"/>
      <c r="AQG1153" s="131"/>
      <c r="AQH1153" s="131"/>
      <c r="AQI1153" s="131"/>
      <c r="AQJ1153" s="131"/>
      <c r="AQK1153" s="131"/>
      <c r="AQL1153" s="131"/>
      <c r="AQM1153" s="131"/>
      <c r="AQN1153" s="131"/>
      <c r="AQO1153" s="131"/>
      <c r="AQP1153" s="131"/>
      <c r="AQQ1153" s="131"/>
      <c r="AQR1153" s="131"/>
      <c r="AQS1153" s="131"/>
      <c r="AQT1153" s="131"/>
      <c r="AQU1153" s="131"/>
      <c r="AQV1153" s="131"/>
      <c r="AQW1153" s="131"/>
      <c r="AQX1153" s="131"/>
      <c r="AQY1153" s="131"/>
      <c r="AQZ1153" s="131"/>
      <c r="ARA1153" s="131"/>
      <c r="ARB1153" s="131"/>
      <c r="ARC1153" s="131"/>
      <c r="ARD1153" s="131"/>
      <c r="ARE1153" s="131"/>
      <c r="ARF1153" s="131"/>
      <c r="ARG1153" s="131"/>
      <c r="ARH1153" s="131"/>
      <c r="ARI1153" s="131"/>
      <c r="ARJ1153" s="131"/>
      <c r="ARK1153" s="131"/>
      <c r="ARL1153" s="131"/>
      <c r="ARM1153" s="131"/>
      <c r="ARN1153" s="131"/>
      <c r="ARO1153" s="131"/>
      <c r="ARP1153" s="131"/>
      <c r="ARQ1153" s="131"/>
      <c r="ARR1153" s="131"/>
      <c r="ARS1153" s="131"/>
      <c r="ART1153" s="131"/>
      <c r="ARU1153" s="131"/>
      <c r="ARV1153" s="131"/>
      <c r="ARW1153" s="131"/>
      <c r="ARX1153" s="131"/>
      <c r="ARY1153" s="131"/>
      <c r="ARZ1153" s="131"/>
      <c r="ASA1153" s="131"/>
      <c r="ASB1153" s="131"/>
      <c r="ASC1153" s="131"/>
      <c r="ASD1153" s="131"/>
      <c r="ASE1153" s="131"/>
      <c r="ASF1153" s="131"/>
      <c r="ASG1153" s="131"/>
      <c r="ASH1153" s="131"/>
      <c r="ASI1153" s="131"/>
      <c r="ASJ1153" s="131"/>
      <c r="ASK1153" s="131"/>
      <c r="ASL1153" s="131"/>
      <c r="ASM1153" s="131"/>
      <c r="ASN1153" s="131"/>
      <c r="ASO1153" s="131"/>
      <c r="ASP1153" s="131"/>
      <c r="ASQ1153" s="131"/>
      <c r="ASR1153" s="131"/>
      <c r="ASS1153" s="131"/>
      <c r="AST1153" s="131"/>
      <c r="ASU1153" s="131"/>
      <c r="ASV1153" s="131"/>
      <c r="ASW1153" s="131"/>
      <c r="ASX1153" s="131"/>
      <c r="ASY1153" s="131"/>
      <c r="ASZ1153" s="131"/>
      <c r="ATA1153" s="131"/>
      <c r="ATB1153" s="131"/>
      <c r="ATC1153" s="131"/>
    </row>
    <row r="1154" spans="1:1199" s="101" customFormat="1" ht="50.1" customHeight="1" x14ac:dyDescent="0.3">
      <c r="A1154" s="132" t="s">
        <v>969</v>
      </c>
      <c r="B1154" s="133"/>
      <c r="C1154" s="134" t="s">
        <v>94</v>
      </c>
      <c r="D1154" s="81">
        <f t="shared" ref="D1154:AI1154" si="273">SUBTOTAL(9,D13:D1153)</f>
        <v>5064889.4210200058</v>
      </c>
      <c r="E1154" s="81">
        <f t="shared" si="273"/>
        <v>1615758.9302300008</v>
      </c>
      <c r="F1154" s="81">
        <f t="shared" si="273"/>
        <v>3449130.4907899979</v>
      </c>
      <c r="G1154" s="81">
        <f t="shared" si="273"/>
        <v>276314.7</v>
      </c>
      <c r="H1154" s="81">
        <f t="shared" si="273"/>
        <v>269670.93637000007</v>
      </c>
      <c r="I1154" s="81">
        <f t="shared" si="273"/>
        <v>2679.6585700000005</v>
      </c>
      <c r="J1154" s="81">
        <f t="shared" si="273"/>
        <v>46171.19999999999</v>
      </c>
      <c r="K1154" s="81">
        <f t="shared" si="273"/>
        <v>12669.170700000001</v>
      </c>
      <c r="L1154" s="81">
        <f t="shared" si="273"/>
        <v>129163</v>
      </c>
      <c r="M1154" s="81">
        <f t="shared" si="273"/>
        <v>6634.0424999999996</v>
      </c>
      <c r="N1154" s="81">
        <f t="shared" si="273"/>
        <v>451165.43753999996</v>
      </c>
      <c r="O1154" s="81">
        <f t="shared" si="273"/>
        <v>7200.0000000000018</v>
      </c>
      <c r="P1154" s="81">
        <f t="shared" si="273"/>
        <v>1729.7309899999996</v>
      </c>
      <c r="Q1154" s="81">
        <f t="shared" si="273"/>
        <v>76564.7546</v>
      </c>
      <c r="R1154" s="81">
        <f t="shared" si="273"/>
        <v>15711.142529999999</v>
      </c>
      <c r="S1154" s="81">
        <f t="shared" si="273"/>
        <v>154483.07717999996</v>
      </c>
      <c r="T1154" s="81">
        <f t="shared" si="273"/>
        <v>123367.89149000002</v>
      </c>
      <c r="U1154" s="81">
        <f t="shared" si="273"/>
        <v>50770.442849999999</v>
      </c>
      <c r="V1154" s="81">
        <f t="shared" si="273"/>
        <v>38605.644589999996</v>
      </c>
      <c r="W1154" s="81">
        <f t="shared" si="273"/>
        <v>78974.600000000006</v>
      </c>
      <c r="X1154" s="81">
        <f t="shared" si="273"/>
        <v>0</v>
      </c>
      <c r="Y1154" s="81">
        <f t="shared" si="273"/>
        <v>118437.19679999995</v>
      </c>
      <c r="Z1154" s="81">
        <f t="shared" si="273"/>
        <v>0</v>
      </c>
      <c r="AA1154" s="81">
        <f t="shared" si="273"/>
        <v>11342.474479999999</v>
      </c>
      <c r="AB1154" s="81">
        <f t="shared" si="273"/>
        <v>1390.6991800000001</v>
      </c>
      <c r="AC1154" s="81">
        <f t="shared" si="273"/>
        <v>1001.5999999999999</v>
      </c>
      <c r="AD1154" s="81">
        <f t="shared" si="273"/>
        <v>147723.19828000001</v>
      </c>
      <c r="AE1154" s="81">
        <f t="shared" si="273"/>
        <v>57790.287749999981</v>
      </c>
      <c r="AF1154" s="81">
        <f t="shared" si="273"/>
        <v>89932.910530000037</v>
      </c>
      <c r="AG1154" s="81">
        <f t="shared" si="273"/>
        <v>13400</v>
      </c>
      <c r="AH1154" s="81">
        <f t="shared" si="273"/>
        <v>3287.9</v>
      </c>
      <c r="AI1154" s="81">
        <f t="shared" si="273"/>
        <v>0</v>
      </c>
      <c r="AJ1154" s="81">
        <f t="shared" ref="AJ1154:BO1154" si="274">SUBTOTAL(9,AJ13:AJ1153)</f>
        <v>139326.90852</v>
      </c>
      <c r="AK1154" s="81">
        <f t="shared" si="274"/>
        <v>49172.42</v>
      </c>
      <c r="AL1154" s="81">
        <f t="shared" si="274"/>
        <v>32681.395759999999</v>
      </c>
      <c r="AM1154" s="81">
        <f t="shared" si="274"/>
        <v>1720.07348</v>
      </c>
      <c r="AN1154" s="81">
        <f t="shared" si="274"/>
        <v>0</v>
      </c>
      <c r="AO1154" s="81">
        <f t="shared" si="274"/>
        <v>48838.400000000001</v>
      </c>
      <c r="AP1154" s="81">
        <f t="shared" si="274"/>
        <v>171167.19999999995</v>
      </c>
      <c r="AQ1154" s="81">
        <f t="shared" si="274"/>
        <v>346040.32429000008</v>
      </c>
      <c r="AR1154" s="81">
        <f t="shared" si="274"/>
        <v>2790.96</v>
      </c>
      <c r="AS1154" s="81">
        <f t="shared" si="274"/>
        <v>15763.610640000001</v>
      </c>
      <c r="AT1154" s="81">
        <f t="shared" si="274"/>
        <v>90310.404999999999</v>
      </c>
      <c r="AU1154" s="81">
        <f t="shared" si="274"/>
        <v>85481.58</v>
      </c>
      <c r="AV1154" s="81">
        <f t="shared" si="274"/>
        <v>506064.7</v>
      </c>
      <c r="AW1154" s="81">
        <f t="shared" si="274"/>
        <v>0</v>
      </c>
      <c r="AX1154" s="81">
        <f t="shared" si="274"/>
        <v>11945.1</v>
      </c>
      <c r="AY1154" s="81">
        <f t="shared" si="274"/>
        <v>8958.8550599999999</v>
      </c>
      <c r="AZ1154" s="81">
        <f t="shared" si="274"/>
        <v>295041.99999999983</v>
      </c>
      <c r="BA1154" s="81">
        <f t="shared" si="274"/>
        <v>268130.15514000005</v>
      </c>
      <c r="BB1154" s="242">
        <f t="shared" si="274"/>
        <v>12359.400000000003</v>
      </c>
      <c r="BC1154" s="81">
        <f t="shared" si="274"/>
        <v>5269.4727200000007</v>
      </c>
      <c r="BD1154" s="81">
        <f t="shared" si="274"/>
        <v>21679.699999999997</v>
      </c>
      <c r="BE1154" s="81">
        <f t="shared" si="274"/>
        <v>36835.9</v>
      </c>
      <c r="BF1154" s="81">
        <f t="shared" si="274"/>
        <v>4682.0559999999996</v>
      </c>
      <c r="BG1154" s="81">
        <f t="shared" si="274"/>
        <v>126816.21276000001</v>
      </c>
      <c r="BH1154" s="81">
        <f t="shared" si="274"/>
        <v>38998</v>
      </c>
      <c r="BI1154" s="81">
        <f t="shared" si="274"/>
        <v>1024.4000000000001</v>
      </c>
      <c r="BJ1154" s="81">
        <f t="shared" si="274"/>
        <v>6103.0876699999999</v>
      </c>
      <c r="BK1154" s="81">
        <f t="shared" si="274"/>
        <v>38739.80000000001</v>
      </c>
      <c r="BL1154" s="81">
        <f t="shared" si="274"/>
        <v>853.50986999999998</v>
      </c>
      <c r="BM1154" s="81">
        <f t="shared" si="274"/>
        <v>139.40674000000001</v>
      </c>
      <c r="BN1154" s="81">
        <f t="shared" si="274"/>
        <v>3</v>
      </c>
      <c r="BO1154" s="81">
        <f t="shared" si="274"/>
        <v>300</v>
      </c>
      <c r="BP1154" s="81">
        <f t="shared" ref="BP1154:CU1154" si="275">SUBTOTAL(9,BP13:BP1153)</f>
        <v>71233.500290000025</v>
      </c>
      <c r="BQ1154" s="81">
        <f t="shared" si="275"/>
        <v>1999.748</v>
      </c>
      <c r="BR1154" s="81">
        <f t="shared" si="275"/>
        <v>307712.90000000002</v>
      </c>
      <c r="BS1154" s="81">
        <f t="shared" si="275"/>
        <v>44157.80000000001</v>
      </c>
      <c r="BT1154" s="81">
        <f t="shared" si="275"/>
        <v>15618.34</v>
      </c>
      <c r="BU1154" s="81">
        <f t="shared" si="275"/>
        <v>23606.260429999998</v>
      </c>
      <c r="BV1154" s="81">
        <f t="shared" si="275"/>
        <v>75776.145000000004</v>
      </c>
      <c r="BW1154" s="81">
        <f t="shared" si="275"/>
        <v>69844.088999999993</v>
      </c>
      <c r="BX1154" s="81">
        <f t="shared" si="275"/>
        <v>0</v>
      </c>
      <c r="BY1154" s="81">
        <f t="shared" si="275"/>
        <v>11073.306</v>
      </c>
      <c r="BZ1154" s="81">
        <f t="shared" si="275"/>
        <v>36262.259999999995</v>
      </c>
      <c r="CA1154" s="81">
        <f t="shared" si="275"/>
        <v>1908.54</v>
      </c>
      <c r="CB1154" s="176"/>
      <c r="CC1154" s="176"/>
      <c r="CD1154" s="176"/>
      <c r="CE1154" s="176"/>
      <c r="CF1154" s="176"/>
      <c r="CG1154" s="176"/>
      <c r="CH1154" s="176"/>
      <c r="CI1154" s="176"/>
      <c r="CJ1154" s="176"/>
      <c r="CK1154" s="176"/>
      <c r="CL1154" s="176"/>
      <c r="CM1154" s="176"/>
      <c r="CN1154" s="176"/>
      <c r="CO1154" s="176"/>
      <c r="CP1154" s="176"/>
      <c r="CQ1154" s="176"/>
      <c r="CR1154" s="176"/>
      <c r="CS1154" s="176"/>
      <c r="CT1154" s="176"/>
      <c r="CU1154" s="176"/>
      <c r="CV1154" s="176"/>
      <c r="CW1154" s="176"/>
      <c r="CX1154" s="176"/>
      <c r="CY1154" s="176"/>
      <c r="CZ1154" s="176"/>
      <c r="DA1154" s="176"/>
      <c r="DB1154" s="176"/>
      <c r="DC1154" s="176"/>
      <c r="DD1154" s="176"/>
      <c r="DE1154" s="176"/>
      <c r="DF1154" s="176"/>
      <c r="DG1154" s="176"/>
      <c r="DH1154" s="176"/>
      <c r="DI1154" s="176"/>
      <c r="DJ1154" s="176"/>
      <c r="DK1154" s="176"/>
      <c r="DL1154" s="176"/>
      <c r="DM1154" s="176"/>
      <c r="DN1154" s="176"/>
      <c r="DO1154" s="176"/>
      <c r="DP1154" s="176"/>
      <c r="DQ1154" s="176"/>
      <c r="DR1154" s="176"/>
      <c r="DS1154" s="176"/>
      <c r="DT1154" s="176"/>
      <c r="DU1154" s="176"/>
      <c r="DV1154" s="176"/>
      <c r="DW1154" s="176"/>
      <c r="DX1154" s="176"/>
      <c r="DY1154" s="176"/>
      <c r="DZ1154" s="176"/>
      <c r="EA1154" s="176"/>
      <c r="EB1154" s="176"/>
      <c r="EC1154" s="176"/>
      <c r="ED1154" s="176"/>
      <c r="EE1154" s="176"/>
      <c r="EF1154" s="176"/>
      <c r="EG1154" s="176"/>
      <c r="EH1154" s="176"/>
      <c r="EI1154" s="176"/>
      <c r="EJ1154" s="176"/>
      <c r="EK1154" s="176"/>
      <c r="EL1154" s="176"/>
      <c r="EM1154" s="176"/>
      <c r="EN1154" s="176"/>
      <c r="EO1154" s="176"/>
      <c r="EP1154" s="176"/>
      <c r="EQ1154" s="176"/>
      <c r="ER1154" s="176"/>
      <c r="ES1154" s="176"/>
      <c r="ET1154" s="176"/>
      <c r="EU1154" s="176"/>
      <c r="EV1154" s="176"/>
      <c r="EW1154" s="176"/>
      <c r="EX1154" s="176"/>
      <c r="EY1154" s="176"/>
      <c r="EZ1154" s="176"/>
      <c r="FA1154" s="176"/>
      <c r="FB1154" s="176"/>
      <c r="FC1154" s="176"/>
      <c r="FD1154" s="176"/>
      <c r="FE1154" s="176"/>
      <c r="FF1154" s="176"/>
      <c r="FG1154" s="176"/>
      <c r="FH1154" s="176"/>
      <c r="FI1154" s="176"/>
      <c r="FJ1154" s="176"/>
      <c r="FK1154" s="176"/>
      <c r="FL1154" s="176"/>
      <c r="FM1154" s="176"/>
      <c r="FN1154" s="176"/>
      <c r="FO1154" s="176"/>
      <c r="FP1154" s="176"/>
      <c r="FQ1154" s="176"/>
      <c r="FR1154" s="176"/>
      <c r="FS1154" s="176"/>
      <c r="FT1154" s="176"/>
      <c r="FU1154" s="176"/>
      <c r="FV1154" s="176"/>
      <c r="FW1154" s="176"/>
      <c r="FX1154" s="176"/>
      <c r="FY1154" s="176"/>
      <c r="FZ1154" s="176"/>
      <c r="GA1154" s="176"/>
      <c r="GB1154" s="176"/>
      <c r="GC1154" s="176"/>
      <c r="GD1154" s="176"/>
      <c r="GE1154" s="176"/>
      <c r="GF1154" s="176"/>
      <c r="GG1154" s="176"/>
      <c r="GH1154" s="176"/>
      <c r="GI1154" s="176"/>
      <c r="GJ1154" s="176"/>
      <c r="GK1154" s="176"/>
      <c r="GL1154" s="176"/>
      <c r="GM1154" s="176"/>
      <c r="GN1154" s="176"/>
      <c r="GO1154" s="176"/>
      <c r="GP1154" s="176"/>
      <c r="GQ1154" s="176"/>
      <c r="GR1154" s="176"/>
      <c r="GS1154" s="176"/>
      <c r="GT1154" s="176"/>
      <c r="GU1154" s="176"/>
      <c r="GV1154" s="176"/>
      <c r="GW1154" s="176"/>
      <c r="GX1154" s="176"/>
      <c r="GY1154" s="176"/>
      <c r="GZ1154" s="176"/>
      <c r="HA1154" s="176"/>
      <c r="HB1154" s="176"/>
      <c r="HC1154" s="176"/>
      <c r="HD1154" s="176"/>
      <c r="HE1154" s="176"/>
      <c r="HF1154" s="176"/>
      <c r="HG1154" s="176"/>
      <c r="HH1154" s="176"/>
      <c r="HI1154" s="176"/>
      <c r="HJ1154" s="176"/>
      <c r="HK1154" s="176"/>
      <c r="HL1154" s="176"/>
      <c r="HM1154" s="176"/>
      <c r="HN1154" s="176"/>
      <c r="HO1154" s="176"/>
      <c r="HP1154" s="176"/>
      <c r="HQ1154" s="176"/>
      <c r="HR1154" s="176"/>
      <c r="HS1154" s="176"/>
      <c r="HT1154" s="176"/>
      <c r="HU1154" s="176"/>
      <c r="HV1154" s="176"/>
      <c r="HW1154" s="176"/>
      <c r="HX1154" s="176"/>
      <c r="HY1154" s="176"/>
      <c r="HZ1154" s="176"/>
      <c r="IA1154" s="176"/>
      <c r="IB1154" s="176"/>
      <c r="IC1154" s="176"/>
      <c r="ID1154" s="176"/>
      <c r="IE1154" s="176"/>
      <c r="IF1154" s="176"/>
      <c r="IG1154" s="176"/>
      <c r="IH1154" s="176"/>
      <c r="II1154" s="176"/>
      <c r="IJ1154" s="176"/>
      <c r="IK1154" s="176"/>
      <c r="IL1154" s="176"/>
      <c r="IM1154" s="176"/>
      <c r="IN1154" s="176"/>
      <c r="IO1154" s="176"/>
      <c r="IP1154" s="176"/>
      <c r="IQ1154" s="176"/>
      <c r="IR1154" s="176"/>
      <c r="IS1154" s="176"/>
      <c r="IT1154" s="176"/>
      <c r="IU1154" s="176"/>
      <c r="IV1154" s="176"/>
      <c r="IW1154" s="176"/>
      <c r="IX1154" s="176"/>
      <c r="IY1154" s="176"/>
      <c r="IZ1154" s="176"/>
      <c r="JA1154" s="176"/>
      <c r="JB1154" s="176"/>
      <c r="JC1154" s="176"/>
      <c r="JD1154" s="176"/>
      <c r="JE1154" s="176"/>
      <c r="JF1154" s="176"/>
      <c r="JG1154" s="176"/>
      <c r="JH1154" s="176"/>
      <c r="JI1154" s="176"/>
      <c r="JJ1154" s="176"/>
      <c r="JK1154" s="176"/>
      <c r="JL1154" s="176"/>
      <c r="JM1154" s="176"/>
      <c r="JN1154" s="176"/>
      <c r="JO1154" s="176"/>
      <c r="JP1154" s="176"/>
      <c r="JQ1154" s="176"/>
      <c r="JR1154" s="176"/>
      <c r="JS1154" s="176"/>
      <c r="JT1154" s="176"/>
      <c r="JU1154" s="176"/>
      <c r="JV1154" s="176"/>
      <c r="JW1154" s="131"/>
      <c r="JX1154" s="131"/>
      <c r="JY1154" s="131"/>
      <c r="JZ1154" s="131"/>
      <c r="KA1154" s="131"/>
      <c r="KB1154" s="131"/>
      <c r="KC1154" s="131"/>
      <c r="KD1154" s="131"/>
      <c r="KE1154" s="131"/>
      <c r="KF1154" s="131"/>
      <c r="KG1154" s="131"/>
      <c r="KH1154" s="131"/>
      <c r="KI1154" s="131"/>
      <c r="KJ1154" s="131"/>
      <c r="KK1154" s="131"/>
      <c r="KL1154" s="131"/>
      <c r="KM1154" s="131"/>
      <c r="KN1154" s="131"/>
      <c r="KO1154" s="131"/>
      <c r="KP1154" s="131"/>
      <c r="KQ1154" s="131"/>
      <c r="KR1154" s="131"/>
      <c r="KS1154" s="131"/>
      <c r="KT1154" s="131"/>
      <c r="KU1154" s="131"/>
      <c r="KV1154" s="131"/>
      <c r="KW1154" s="131"/>
      <c r="KX1154" s="131"/>
      <c r="KY1154" s="131"/>
      <c r="KZ1154" s="131"/>
      <c r="LA1154" s="131"/>
      <c r="LB1154" s="131"/>
      <c r="LC1154" s="131"/>
      <c r="LD1154" s="131"/>
      <c r="LE1154" s="131"/>
      <c r="LF1154" s="131"/>
      <c r="LG1154" s="131"/>
      <c r="LH1154" s="131"/>
      <c r="LI1154" s="131"/>
      <c r="LJ1154" s="131"/>
      <c r="LK1154" s="131"/>
      <c r="LL1154" s="131"/>
      <c r="LM1154" s="131"/>
      <c r="LN1154" s="131"/>
      <c r="LO1154" s="131"/>
      <c r="LP1154" s="131"/>
      <c r="LQ1154" s="131"/>
      <c r="LR1154" s="131"/>
      <c r="LS1154" s="131"/>
      <c r="LT1154" s="131"/>
      <c r="LU1154" s="131"/>
      <c r="LV1154" s="131"/>
      <c r="LW1154" s="131"/>
      <c r="LX1154" s="131"/>
      <c r="LY1154" s="131"/>
      <c r="LZ1154" s="131"/>
      <c r="MA1154" s="131"/>
      <c r="MB1154" s="131"/>
      <c r="MC1154" s="131"/>
      <c r="MD1154" s="131"/>
      <c r="ME1154" s="131"/>
      <c r="MF1154" s="131"/>
      <c r="MG1154" s="131"/>
      <c r="MH1154" s="131"/>
      <c r="MI1154" s="131"/>
      <c r="MJ1154" s="131"/>
      <c r="MK1154" s="131"/>
      <c r="ML1154" s="131"/>
      <c r="MM1154" s="131"/>
      <c r="MN1154" s="131"/>
      <c r="MO1154" s="131"/>
      <c r="MP1154" s="131"/>
      <c r="MQ1154" s="131"/>
      <c r="MR1154" s="131"/>
      <c r="MS1154" s="131"/>
      <c r="MT1154" s="131"/>
      <c r="MU1154" s="131"/>
      <c r="MV1154" s="131"/>
      <c r="MW1154" s="131"/>
      <c r="MX1154" s="131"/>
      <c r="MY1154" s="131"/>
      <c r="MZ1154" s="131"/>
      <c r="NA1154" s="131"/>
      <c r="NB1154" s="131"/>
      <c r="NC1154" s="131"/>
      <c r="ND1154" s="131"/>
      <c r="NE1154" s="131"/>
      <c r="NF1154" s="131"/>
      <c r="NG1154" s="131"/>
      <c r="NH1154" s="131"/>
      <c r="NI1154" s="131"/>
      <c r="NJ1154" s="131"/>
      <c r="NK1154" s="131"/>
      <c r="NL1154" s="131"/>
      <c r="NM1154" s="131"/>
      <c r="NN1154" s="131"/>
      <c r="NO1154" s="131"/>
      <c r="NP1154" s="131"/>
      <c r="NQ1154" s="131"/>
      <c r="NR1154" s="131"/>
      <c r="NS1154" s="131"/>
      <c r="NT1154" s="131"/>
      <c r="NU1154" s="131"/>
      <c r="NV1154" s="131"/>
      <c r="NW1154" s="131"/>
      <c r="NX1154" s="131"/>
      <c r="NY1154" s="131"/>
      <c r="NZ1154" s="131"/>
      <c r="OA1154" s="131"/>
      <c r="OB1154" s="131"/>
      <c r="OC1154" s="131"/>
      <c r="OD1154" s="131"/>
      <c r="OE1154" s="131"/>
      <c r="OF1154" s="131"/>
      <c r="OG1154" s="131"/>
      <c r="OH1154" s="131"/>
      <c r="OI1154" s="131"/>
      <c r="OJ1154" s="131"/>
      <c r="OK1154" s="131"/>
      <c r="OL1154" s="131"/>
      <c r="OM1154" s="131"/>
      <c r="ON1154" s="131"/>
      <c r="OO1154" s="131"/>
      <c r="OP1154" s="131"/>
      <c r="OQ1154" s="131"/>
      <c r="OR1154" s="131"/>
      <c r="OS1154" s="131"/>
      <c r="OT1154" s="131"/>
      <c r="OU1154" s="131"/>
      <c r="OV1154" s="131"/>
      <c r="OW1154" s="131"/>
      <c r="OX1154" s="131"/>
      <c r="OY1154" s="131"/>
      <c r="OZ1154" s="131"/>
      <c r="PA1154" s="131"/>
      <c r="PB1154" s="131"/>
      <c r="PC1154" s="131"/>
      <c r="PD1154" s="131"/>
      <c r="PE1154" s="131"/>
      <c r="PF1154" s="131"/>
      <c r="PG1154" s="131"/>
      <c r="PH1154" s="131"/>
      <c r="PI1154" s="131"/>
      <c r="PJ1154" s="131"/>
      <c r="PK1154" s="131"/>
      <c r="PL1154" s="131"/>
      <c r="PM1154" s="131"/>
      <c r="PN1154" s="131"/>
      <c r="PO1154" s="131"/>
      <c r="PP1154" s="131"/>
      <c r="PQ1154" s="131"/>
      <c r="PR1154" s="131"/>
      <c r="PS1154" s="131"/>
      <c r="PT1154" s="131"/>
      <c r="PU1154" s="131"/>
      <c r="PV1154" s="131"/>
      <c r="PW1154" s="131"/>
      <c r="PX1154" s="131"/>
      <c r="PY1154" s="131"/>
      <c r="PZ1154" s="131"/>
      <c r="QA1154" s="131"/>
      <c r="QB1154" s="131"/>
      <c r="QC1154" s="131"/>
      <c r="QD1154" s="131"/>
      <c r="QE1154" s="131"/>
      <c r="QF1154" s="131"/>
      <c r="QG1154" s="131"/>
      <c r="QH1154" s="131"/>
      <c r="QI1154" s="131"/>
      <c r="QJ1154" s="131"/>
      <c r="QK1154" s="131"/>
      <c r="QL1154" s="131"/>
      <c r="QM1154" s="131"/>
      <c r="QN1154" s="131"/>
      <c r="QO1154" s="131"/>
      <c r="QP1154" s="131"/>
      <c r="QQ1154" s="131"/>
      <c r="QR1154" s="131"/>
      <c r="QS1154" s="131"/>
      <c r="QT1154" s="131"/>
      <c r="QU1154" s="131"/>
      <c r="QV1154" s="131"/>
      <c r="QW1154" s="131"/>
      <c r="QX1154" s="131"/>
      <c r="QY1154" s="131"/>
      <c r="QZ1154" s="131"/>
      <c r="RA1154" s="131"/>
      <c r="RB1154" s="131"/>
      <c r="RC1154" s="131"/>
      <c r="RD1154" s="131"/>
      <c r="RE1154" s="131"/>
      <c r="RF1154" s="131"/>
      <c r="RG1154" s="131"/>
      <c r="RH1154" s="131"/>
      <c r="RI1154" s="131"/>
      <c r="RJ1154" s="131"/>
      <c r="RK1154" s="131"/>
      <c r="RL1154" s="131"/>
      <c r="RM1154" s="131"/>
      <c r="RN1154" s="131"/>
      <c r="RO1154" s="131"/>
      <c r="RP1154" s="131"/>
      <c r="RQ1154" s="131"/>
      <c r="RR1154" s="131"/>
      <c r="RS1154" s="131"/>
      <c r="RT1154" s="131"/>
      <c r="RU1154" s="131"/>
      <c r="RV1154" s="131"/>
      <c r="RW1154" s="131"/>
      <c r="RX1154" s="131"/>
      <c r="RY1154" s="131"/>
      <c r="RZ1154" s="131"/>
      <c r="SA1154" s="131"/>
      <c r="SB1154" s="131"/>
      <c r="SC1154" s="131"/>
      <c r="SD1154" s="131"/>
      <c r="SE1154" s="131"/>
      <c r="SF1154" s="131"/>
      <c r="SG1154" s="131"/>
      <c r="SH1154" s="131"/>
      <c r="SI1154" s="131"/>
      <c r="SJ1154" s="131"/>
      <c r="SK1154" s="131"/>
      <c r="SL1154" s="131"/>
      <c r="SM1154" s="131"/>
      <c r="SN1154" s="131"/>
      <c r="SO1154" s="131"/>
      <c r="SP1154" s="131"/>
      <c r="SQ1154" s="131"/>
      <c r="SR1154" s="131"/>
      <c r="SS1154" s="131"/>
      <c r="ST1154" s="131"/>
      <c r="SU1154" s="131"/>
      <c r="SV1154" s="131"/>
      <c r="SW1154" s="131"/>
      <c r="SX1154" s="131"/>
      <c r="SY1154" s="131"/>
      <c r="SZ1154" s="131"/>
      <c r="TA1154" s="131"/>
      <c r="TB1154" s="131"/>
      <c r="TC1154" s="131"/>
      <c r="TD1154" s="131"/>
      <c r="TE1154" s="131"/>
      <c r="TF1154" s="131"/>
      <c r="TG1154" s="131"/>
      <c r="TH1154" s="131"/>
      <c r="TI1154" s="131"/>
      <c r="TJ1154" s="131"/>
      <c r="TK1154" s="131"/>
      <c r="TL1154" s="131"/>
      <c r="TM1154" s="131"/>
      <c r="TN1154" s="131"/>
      <c r="TO1154" s="131"/>
      <c r="TP1154" s="131"/>
      <c r="TQ1154" s="131"/>
      <c r="TR1154" s="131"/>
      <c r="TS1154" s="131"/>
      <c r="TT1154" s="131"/>
      <c r="TU1154" s="131"/>
      <c r="TV1154" s="131"/>
      <c r="TW1154" s="131"/>
      <c r="TX1154" s="131"/>
      <c r="TY1154" s="131"/>
      <c r="TZ1154" s="131"/>
      <c r="UA1154" s="131"/>
      <c r="UB1154" s="131"/>
      <c r="UC1154" s="131"/>
      <c r="UD1154" s="131"/>
      <c r="UE1154" s="131"/>
      <c r="UF1154" s="131"/>
      <c r="UG1154" s="131"/>
      <c r="UH1154" s="131"/>
      <c r="UI1154" s="131"/>
      <c r="UJ1154" s="131"/>
      <c r="UK1154" s="131"/>
      <c r="UL1154" s="131"/>
      <c r="UM1154" s="131"/>
      <c r="UN1154" s="131"/>
      <c r="UO1154" s="131"/>
      <c r="UP1154" s="131"/>
      <c r="UQ1154" s="131"/>
      <c r="UR1154" s="131"/>
      <c r="US1154" s="131"/>
      <c r="UT1154" s="131"/>
      <c r="UU1154" s="131"/>
      <c r="UV1154" s="131"/>
      <c r="UW1154" s="131"/>
      <c r="UX1154" s="131"/>
      <c r="UY1154" s="131"/>
      <c r="UZ1154" s="131"/>
      <c r="VA1154" s="131"/>
      <c r="VB1154" s="131"/>
      <c r="VC1154" s="131"/>
      <c r="VD1154" s="131"/>
      <c r="VE1154" s="131"/>
      <c r="VF1154" s="131"/>
      <c r="VG1154" s="131"/>
      <c r="VH1154" s="131"/>
      <c r="VI1154" s="131"/>
      <c r="VJ1154" s="131"/>
      <c r="VK1154" s="131"/>
      <c r="VL1154" s="131"/>
      <c r="VM1154" s="131"/>
      <c r="VN1154" s="131"/>
      <c r="VO1154" s="131"/>
      <c r="VP1154" s="131"/>
      <c r="VQ1154" s="131"/>
      <c r="VR1154" s="131"/>
      <c r="VS1154" s="131"/>
      <c r="VT1154" s="131"/>
      <c r="VU1154" s="131"/>
      <c r="VV1154" s="131"/>
      <c r="VW1154" s="131"/>
      <c r="VX1154" s="131"/>
      <c r="VY1154" s="131"/>
      <c r="VZ1154" s="131"/>
      <c r="WA1154" s="131"/>
      <c r="WB1154" s="131"/>
      <c r="WC1154" s="131"/>
      <c r="WD1154" s="131"/>
      <c r="WE1154" s="131"/>
      <c r="WF1154" s="131"/>
      <c r="WG1154" s="131"/>
      <c r="WH1154" s="131"/>
      <c r="WI1154" s="131"/>
      <c r="WJ1154" s="131"/>
      <c r="WK1154" s="131"/>
      <c r="WL1154" s="131"/>
      <c r="WM1154" s="131"/>
      <c r="WN1154" s="131"/>
      <c r="WO1154" s="131"/>
      <c r="WP1154" s="131"/>
      <c r="WQ1154" s="131"/>
      <c r="WR1154" s="131"/>
      <c r="WS1154" s="131"/>
      <c r="WT1154" s="131"/>
      <c r="WU1154" s="131"/>
      <c r="WV1154" s="131"/>
      <c r="WW1154" s="131"/>
      <c r="WX1154" s="131"/>
      <c r="WY1154" s="131"/>
      <c r="WZ1154" s="131"/>
      <c r="XA1154" s="131"/>
      <c r="XB1154" s="131"/>
      <c r="XC1154" s="131"/>
      <c r="XD1154" s="131"/>
      <c r="XE1154" s="131"/>
      <c r="XF1154" s="131"/>
      <c r="XG1154" s="131"/>
      <c r="XH1154" s="131"/>
      <c r="XI1154" s="131"/>
      <c r="XJ1154" s="131"/>
      <c r="XK1154" s="131"/>
      <c r="XL1154" s="131"/>
      <c r="XM1154" s="131"/>
      <c r="XN1154" s="131"/>
      <c r="XO1154" s="131"/>
      <c r="XP1154" s="131"/>
      <c r="XQ1154" s="131"/>
      <c r="XR1154" s="131"/>
      <c r="XS1154" s="131"/>
      <c r="XT1154" s="131"/>
      <c r="XU1154" s="131"/>
      <c r="XV1154" s="131"/>
      <c r="XW1154" s="131"/>
      <c r="XX1154" s="131"/>
      <c r="XY1154" s="131"/>
      <c r="XZ1154" s="131"/>
      <c r="YA1154" s="131"/>
      <c r="YB1154" s="131"/>
      <c r="YC1154" s="131"/>
      <c r="YD1154" s="131"/>
      <c r="YE1154" s="131"/>
      <c r="YF1154" s="131"/>
      <c r="YG1154" s="131"/>
      <c r="YH1154" s="131"/>
      <c r="YI1154" s="131"/>
      <c r="YJ1154" s="131"/>
      <c r="YK1154" s="131"/>
      <c r="YL1154" s="131"/>
      <c r="YM1154" s="131"/>
      <c r="YN1154" s="131"/>
      <c r="YO1154" s="131"/>
      <c r="YP1154" s="131"/>
      <c r="YQ1154" s="131"/>
      <c r="YR1154" s="131"/>
      <c r="YS1154" s="131"/>
      <c r="YT1154" s="131"/>
      <c r="YU1154" s="131"/>
      <c r="YV1154" s="131"/>
      <c r="YW1154" s="131"/>
      <c r="YX1154" s="131"/>
      <c r="YY1154" s="131"/>
      <c r="YZ1154" s="131"/>
      <c r="ZA1154" s="131"/>
      <c r="ZB1154" s="131"/>
      <c r="ZC1154" s="131"/>
      <c r="ZD1154" s="131"/>
      <c r="ZE1154" s="131"/>
      <c r="ZF1154" s="131"/>
      <c r="ZG1154" s="131"/>
      <c r="ZH1154" s="131"/>
      <c r="ZI1154" s="131"/>
      <c r="ZJ1154" s="131"/>
      <c r="ZK1154" s="131"/>
      <c r="ZL1154" s="131"/>
      <c r="ZM1154" s="131"/>
      <c r="ZN1154" s="131"/>
      <c r="ZO1154" s="131"/>
      <c r="ZP1154" s="131"/>
      <c r="ZQ1154" s="131"/>
      <c r="ZR1154" s="131"/>
      <c r="ZS1154" s="131"/>
      <c r="ZT1154" s="131"/>
      <c r="ZU1154" s="131"/>
      <c r="ZV1154" s="131"/>
      <c r="ZW1154" s="131"/>
      <c r="ZX1154" s="131"/>
      <c r="ZY1154" s="131"/>
      <c r="ZZ1154" s="131"/>
      <c r="AAA1154" s="131"/>
      <c r="AAB1154" s="131"/>
      <c r="AAC1154" s="131"/>
      <c r="AAD1154" s="131"/>
      <c r="AAE1154" s="131"/>
      <c r="AAF1154" s="131"/>
      <c r="AAG1154" s="131"/>
      <c r="AAH1154" s="131"/>
      <c r="AAI1154" s="131"/>
      <c r="AAJ1154" s="131"/>
      <c r="AAK1154" s="131"/>
      <c r="AAL1154" s="131"/>
      <c r="AAM1154" s="131"/>
      <c r="AAN1154" s="131"/>
      <c r="AAO1154" s="131"/>
      <c r="AAP1154" s="131"/>
      <c r="AAQ1154" s="131"/>
      <c r="AAR1154" s="131"/>
      <c r="AAS1154" s="131"/>
      <c r="AAT1154" s="131"/>
      <c r="AAU1154" s="131"/>
      <c r="AAV1154" s="131"/>
      <c r="AAW1154" s="131"/>
      <c r="AAX1154" s="131"/>
      <c r="AAY1154" s="131"/>
      <c r="AAZ1154" s="131"/>
      <c r="ABA1154" s="131"/>
      <c r="ABB1154" s="131"/>
      <c r="ABC1154" s="131"/>
      <c r="ABD1154" s="131"/>
      <c r="ABE1154" s="131"/>
      <c r="ABF1154" s="131"/>
      <c r="ABG1154" s="131"/>
      <c r="ABH1154" s="131"/>
      <c r="ABI1154" s="131"/>
      <c r="ABJ1154" s="131"/>
      <c r="ABK1154" s="131"/>
      <c r="ABL1154" s="131"/>
      <c r="ABM1154" s="131"/>
      <c r="ABN1154" s="131"/>
      <c r="ABO1154" s="131"/>
      <c r="ABP1154" s="131"/>
      <c r="ABQ1154" s="131"/>
      <c r="ABR1154" s="131"/>
      <c r="ABS1154" s="131"/>
      <c r="ABT1154" s="131"/>
      <c r="ABU1154" s="131"/>
      <c r="ABV1154" s="131"/>
      <c r="ABW1154" s="131"/>
      <c r="ABX1154" s="131"/>
      <c r="ABY1154" s="131"/>
      <c r="ABZ1154" s="131"/>
      <c r="ACA1154" s="131"/>
      <c r="ACB1154" s="131"/>
      <c r="ACC1154" s="131"/>
      <c r="ACD1154" s="131"/>
      <c r="ACE1154" s="131"/>
      <c r="ACF1154" s="131"/>
      <c r="ACG1154" s="131"/>
      <c r="ACH1154" s="131"/>
      <c r="ACI1154" s="131"/>
      <c r="ACJ1154" s="131"/>
      <c r="ACK1154" s="131"/>
      <c r="ACL1154" s="131"/>
      <c r="ACM1154" s="131"/>
      <c r="ACN1154" s="131"/>
      <c r="ACO1154" s="131"/>
      <c r="ACP1154" s="131"/>
      <c r="ACQ1154" s="131"/>
      <c r="ACR1154" s="131"/>
      <c r="ACS1154" s="131"/>
      <c r="ACT1154" s="131"/>
      <c r="ACU1154" s="131"/>
      <c r="ACV1154" s="131"/>
      <c r="ACW1154" s="131"/>
      <c r="ACX1154" s="131"/>
      <c r="ACY1154" s="131"/>
      <c r="ACZ1154" s="131"/>
      <c r="ADA1154" s="131"/>
      <c r="ADB1154" s="131"/>
      <c r="ADC1154" s="131"/>
      <c r="ADD1154" s="131"/>
      <c r="ADE1154" s="131"/>
      <c r="ADF1154" s="131"/>
      <c r="ADG1154" s="131"/>
      <c r="ADH1154" s="131"/>
      <c r="ADI1154" s="131"/>
      <c r="ADJ1154" s="131"/>
      <c r="ADK1154" s="131"/>
      <c r="ADL1154" s="131"/>
      <c r="ADM1154" s="131"/>
      <c r="ADN1154" s="131"/>
      <c r="ADO1154" s="131"/>
      <c r="ADP1154" s="131"/>
      <c r="ADQ1154" s="131"/>
      <c r="ADR1154" s="131"/>
      <c r="ADS1154" s="131"/>
      <c r="ADT1154" s="131"/>
      <c r="ADU1154" s="131"/>
      <c r="ADV1154" s="131"/>
      <c r="ADW1154" s="131"/>
      <c r="ADX1154" s="131"/>
      <c r="ADY1154" s="131"/>
      <c r="ADZ1154" s="131"/>
      <c r="AEA1154" s="131"/>
      <c r="AEB1154" s="131"/>
      <c r="AEC1154" s="131"/>
      <c r="AED1154" s="131"/>
      <c r="AEE1154" s="131"/>
      <c r="AEF1154" s="131"/>
      <c r="AEG1154" s="131"/>
      <c r="AEH1154" s="131"/>
      <c r="AEI1154" s="131"/>
      <c r="AEJ1154" s="131"/>
      <c r="AEK1154" s="131"/>
      <c r="AEL1154" s="131"/>
      <c r="AEM1154" s="131"/>
      <c r="AEN1154" s="131"/>
      <c r="AEO1154" s="131"/>
      <c r="AEP1154" s="131"/>
      <c r="AEQ1154" s="131"/>
      <c r="AER1154" s="131"/>
      <c r="AES1154" s="131"/>
      <c r="AET1154" s="131"/>
      <c r="AEU1154" s="131"/>
      <c r="AEV1154" s="131"/>
      <c r="AEW1154" s="131"/>
      <c r="AEX1154" s="131"/>
      <c r="AEY1154" s="131"/>
      <c r="AEZ1154" s="131"/>
      <c r="AFA1154" s="131"/>
      <c r="AFB1154" s="131"/>
      <c r="AFC1154" s="131"/>
      <c r="AFD1154" s="131"/>
      <c r="AFE1154" s="131"/>
      <c r="AFF1154" s="131"/>
      <c r="AFG1154" s="131"/>
      <c r="AFH1154" s="131"/>
      <c r="AFI1154" s="131"/>
      <c r="AFJ1154" s="131"/>
      <c r="AFK1154" s="131"/>
      <c r="AFL1154" s="131"/>
      <c r="AFM1154" s="131"/>
      <c r="AFN1154" s="131"/>
      <c r="AFO1154" s="131"/>
      <c r="AFP1154" s="131"/>
      <c r="AFQ1154" s="131"/>
      <c r="AFR1154" s="131"/>
      <c r="AFS1154" s="131"/>
      <c r="AFT1154" s="131"/>
      <c r="AFU1154" s="131"/>
      <c r="AFV1154" s="131"/>
      <c r="AFW1154" s="131"/>
      <c r="AFX1154" s="131"/>
      <c r="AFY1154" s="131"/>
      <c r="AFZ1154" s="131"/>
      <c r="AGA1154" s="131"/>
      <c r="AGB1154" s="131"/>
      <c r="AGC1154" s="131"/>
      <c r="AGD1154" s="131"/>
      <c r="AGE1154" s="131"/>
      <c r="AGF1154" s="131"/>
      <c r="AGG1154" s="131"/>
      <c r="AGH1154" s="131"/>
      <c r="AGI1154" s="131"/>
      <c r="AGJ1154" s="131"/>
      <c r="AGK1154" s="131"/>
      <c r="AGL1154" s="131"/>
      <c r="AGM1154" s="131"/>
      <c r="AGN1154" s="131"/>
      <c r="AGO1154" s="131"/>
      <c r="AGP1154" s="131"/>
      <c r="AGQ1154" s="131"/>
      <c r="AGR1154" s="131"/>
      <c r="AGS1154" s="131"/>
      <c r="AGT1154" s="131"/>
      <c r="AGU1154" s="131"/>
      <c r="AGV1154" s="131"/>
      <c r="AGW1154" s="131"/>
      <c r="AGX1154" s="131"/>
      <c r="AGY1154" s="131"/>
      <c r="AGZ1154" s="131"/>
      <c r="AHA1154" s="131"/>
      <c r="AHB1154" s="131"/>
      <c r="AHC1154" s="131"/>
      <c r="AHD1154" s="131"/>
      <c r="AHE1154" s="131"/>
      <c r="AHF1154" s="131"/>
      <c r="AHG1154" s="131"/>
      <c r="AHH1154" s="131"/>
      <c r="AHI1154" s="131"/>
      <c r="AHJ1154" s="131"/>
      <c r="AHK1154" s="131"/>
      <c r="AHL1154" s="131"/>
      <c r="AHM1154" s="131"/>
      <c r="AHN1154" s="131"/>
      <c r="AHO1154" s="131"/>
      <c r="AHP1154" s="131"/>
      <c r="AHQ1154" s="131"/>
      <c r="AHR1154" s="131"/>
      <c r="AHS1154" s="131"/>
      <c r="AHT1154" s="131"/>
      <c r="AHU1154" s="131"/>
      <c r="AHV1154" s="131"/>
      <c r="AHW1154" s="131"/>
      <c r="AHX1154" s="131"/>
      <c r="AHY1154" s="131"/>
      <c r="AHZ1154" s="131"/>
      <c r="AIA1154" s="131"/>
      <c r="AIB1154" s="131"/>
      <c r="AIC1154" s="131"/>
      <c r="AID1154" s="131"/>
      <c r="AIE1154" s="131"/>
      <c r="AIF1154" s="131"/>
      <c r="AIG1154" s="131"/>
      <c r="AIH1154" s="131"/>
      <c r="AII1154" s="131"/>
      <c r="AIJ1154" s="131"/>
      <c r="AIK1154" s="131"/>
      <c r="AIL1154" s="131"/>
      <c r="AIM1154" s="131"/>
      <c r="AIN1154" s="131"/>
      <c r="AIO1154" s="131"/>
      <c r="AIP1154" s="131"/>
      <c r="AIQ1154" s="131"/>
      <c r="AIR1154" s="131"/>
      <c r="AIS1154" s="131"/>
      <c r="AIT1154" s="131"/>
      <c r="AIU1154" s="131"/>
      <c r="AIV1154" s="131"/>
      <c r="AIW1154" s="131"/>
      <c r="AIX1154" s="131"/>
      <c r="AIY1154" s="131"/>
      <c r="AIZ1154" s="131"/>
      <c r="AJA1154" s="131"/>
      <c r="AJB1154" s="131"/>
      <c r="AJC1154" s="131"/>
      <c r="AJD1154" s="131"/>
      <c r="AJE1154" s="131"/>
      <c r="AJF1154" s="131"/>
      <c r="AJG1154" s="131"/>
      <c r="AJH1154" s="131"/>
      <c r="AJI1154" s="131"/>
      <c r="AJJ1154" s="131"/>
      <c r="AJK1154" s="131"/>
      <c r="AJL1154" s="131"/>
      <c r="AJM1154" s="131"/>
      <c r="AJN1154" s="131"/>
      <c r="AJO1154" s="131"/>
      <c r="AJP1154" s="131"/>
      <c r="AJQ1154" s="131"/>
      <c r="AJR1154" s="131"/>
      <c r="AJS1154" s="131"/>
      <c r="AJT1154" s="131"/>
      <c r="AJU1154" s="131"/>
      <c r="AJV1154" s="131"/>
      <c r="AJW1154" s="131"/>
      <c r="AJX1154" s="131"/>
      <c r="AJY1154" s="131"/>
      <c r="AJZ1154" s="131"/>
      <c r="AKA1154" s="131"/>
      <c r="AKB1154" s="131"/>
      <c r="AKC1154" s="131"/>
      <c r="AKD1154" s="131"/>
      <c r="AKE1154" s="131"/>
      <c r="AKF1154" s="131"/>
      <c r="AKG1154" s="131"/>
      <c r="AKH1154" s="131"/>
      <c r="AKI1154" s="131"/>
      <c r="AKJ1154" s="131"/>
      <c r="AKK1154" s="131"/>
      <c r="AKL1154" s="131"/>
      <c r="AKM1154" s="131"/>
      <c r="AKN1154" s="131"/>
      <c r="AKO1154" s="131"/>
      <c r="AKP1154" s="131"/>
      <c r="AKQ1154" s="131"/>
      <c r="AKR1154" s="131"/>
      <c r="AKS1154" s="131"/>
      <c r="AKT1154" s="131"/>
      <c r="AKU1154" s="131"/>
      <c r="AKV1154" s="131"/>
      <c r="AKW1154" s="131"/>
      <c r="AKX1154" s="131"/>
      <c r="AKY1154" s="131"/>
      <c r="AKZ1154" s="131"/>
      <c r="ALA1154" s="131"/>
      <c r="ALB1154" s="131"/>
      <c r="ALC1154" s="131"/>
      <c r="ALD1154" s="131"/>
      <c r="ALE1154" s="131"/>
      <c r="ALF1154" s="131"/>
      <c r="ALG1154" s="131"/>
      <c r="ALH1154" s="131"/>
      <c r="ALI1154" s="131"/>
      <c r="ALJ1154" s="131"/>
      <c r="ALK1154" s="131"/>
      <c r="ALL1154" s="131"/>
      <c r="ALM1154" s="131"/>
      <c r="ALN1154" s="131"/>
      <c r="ALO1154" s="131"/>
      <c r="ALP1154" s="131"/>
      <c r="ALQ1154" s="131"/>
      <c r="ALR1154" s="131"/>
      <c r="ALS1154" s="131"/>
      <c r="ALT1154" s="131"/>
      <c r="ALU1154" s="131"/>
      <c r="ALV1154" s="131"/>
      <c r="ALW1154" s="131"/>
      <c r="ALX1154" s="131"/>
      <c r="ALY1154" s="131"/>
      <c r="ALZ1154" s="131"/>
      <c r="AMA1154" s="131"/>
      <c r="AMB1154" s="131"/>
      <c r="AMC1154" s="131"/>
      <c r="AMD1154" s="131"/>
      <c r="AME1154" s="131"/>
      <c r="AMF1154" s="131"/>
      <c r="AMG1154" s="131"/>
      <c r="AMH1154" s="131"/>
      <c r="AMI1154" s="131"/>
      <c r="AMJ1154" s="131"/>
      <c r="AMK1154" s="131"/>
      <c r="AML1154" s="131"/>
      <c r="AMM1154" s="131"/>
      <c r="AMN1154" s="131"/>
      <c r="AMO1154" s="131"/>
      <c r="AMP1154" s="131"/>
      <c r="AMQ1154" s="131"/>
      <c r="AMR1154" s="131"/>
      <c r="AMS1154" s="131"/>
      <c r="AMT1154" s="131"/>
      <c r="AMU1154" s="131"/>
      <c r="AMV1154" s="131"/>
      <c r="AMW1154" s="131"/>
      <c r="AMX1154" s="131"/>
      <c r="AMY1154" s="131"/>
      <c r="AMZ1154" s="131"/>
      <c r="ANA1154" s="131"/>
      <c r="ANB1154" s="131"/>
      <c r="ANC1154" s="131"/>
      <c r="AND1154" s="131"/>
      <c r="ANE1154" s="131"/>
      <c r="ANF1154" s="131"/>
      <c r="ANG1154" s="131"/>
      <c r="ANH1154" s="131"/>
      <c r="ANI1154" s="131"/>
      <c r="ANJ1154" s="131"/>
      <c r="ANK1154" s="131"/>
      <c r="ANL1154" s="131"/>
      <c r="ANM1154" s="131"/>
      <c r="ANN1154" s="131"/>
      <c r="ANO1154" s="131"/>
      <c r="ANP1154" s="131"/>
      <c r="ANQ1154" s="131"/>
      <c r="ANR1154" s="131"/>
      <c r="ANS1154" s="131"/>
      <c r="ANT1154" s="131"/>
      <c r="ANU1154" s="131"/>
      <c r="ANV1154" s="131"/>
      <c r="ANW1154" s="131"/>
      <c r="ANX1154" s="131"/>
      <c r="ANY1154" s="131"/>
      <c r="ANZ1154" s="131"/>
      <c r="AOA1154" s="131"/>
      <c r="AOB1154" s="131"/>
      <c r="AOC1154" s="131"/>
      <c r="AOD1154" s="131"/>
      <c r="AOE1154" s="131"/>
      <c r="AOF1154" s="131"/>
      <c r="AOG1154" s="131"/>
      <c r="AOH1154" s="131"/>
      <c r="AOI1154" s="131"/>
      <c r="AOJ1154" s="131"/>
      <c r="AOK1154" s="131"/>
      <c r="AOL1154" s="131"/>
      <c r="AOM1154" s="131"/>
      <c r="AON1154" s="131"/>
      <c r="AOO1154" s="131"/>
      <c r="AOP1154" s="131"/>
      <c r="AOQ1154" s="131"/>
      <c r="AOR1154" s="131"/>
      <c r="AOS1154" s="131"/>
      <c r="AOT1154" s="131"/>
      <c r="AOU1154" s="131"/>
      <c r="AOV1154" s="131"/>
      <c r="AOW1154" s="131"/>
      <c r="AOX1154" s="131"/>
      <c r="AOY1154" s="131"/>
      <c r="AOZ1154" s="131"/>
      <c r="APA1154" s="131"/>
      <c r="APB1154" s="131"/>
      <c r="APC1154" s="131"/>
      <c r="APD1154" s="131"/>
      <c r="APE1154" s="131"/>
      <c r="APF1154" s="131"/>
      <c r="APG1154" s="131"/>
      <c r="APH1154" s="131"/>
      <c r="API1154" s="131"/>
      <c r="APJ1154" s="131"/>
      <c r="APK1154" s="131"/>
      <c r="APL1154" s="131"/>
      <c r="APM1154" s="131"/>
      <c r="APN1154" s="131"/>
      <c r="APO1154" s="131"/>
      <c r="APP1154" s="131"/>
      <c r="APQ1154" s="131"/>
      <c r="APR1154" s="131"/>
      <c r="APS1154" s="131"/>
      <c r="APT1154" s="131"/>
      <c r="APU1154" s="131"/>
      <c r="APV1154" s="131"/>
      <c r="APW1154" s="131"/>
      <c r="APX1154" s="131"/>
      <c r="APY1154" s="131"/>
      <c r="APZ1154" s="131"/>
      <c r="AQA1154" s="131"/>
      <c r="AQB1154" s="131"/>
      <c r="AQC1154" s="131"/>
      <c r="AQD1154" s="131"/>
      <c r="AQE1154" s="131"/>
      <c r="AQF1154" s="131"/>
      <c r="AQG1154" s="131"/>
      <c r="AQH1154" s="131"/>
      <c r="AQI1154" s="131"/>
      <c r="AQJ1154" s="131"/>
      <c r="AQK1154" s="131"/>
      <c r="AQL1154" s="131"/>
      <c r="AQM1154" s="131"/>
      <c r="AQN1154" s="131"/>
      <c r="AQO1154" s="131"/>
      <c r="AQP1154" s="131"/>
      <c r="AQQ1154" s="131"/>
      <c r="AQR1154" s="131"/>
      <c r="AQS1154" s="131"/>
      <c r="AQT1154" s="131"/>
      <c r="AQU1154" s="131"/>
      <c r="AQV1154" s="131"/>
      <c r="AQW1154" s="131"/>
      <c r="AQX1154" s="131"/>
      <c r="AQY1154" s="131"/>
      <c r="AQZ1154" s="131"/>
      <c r="ARA1154" s="131"/>
      <c r="ARB1154" s="131"/>
      <c r="ARC1154" s="131"/>
      <c r="ARD1154" s="131"/>
      <c r="ARE1154" s="131"/>
      <c r="ARF1154" s="131"/>
      <c r="ARG1154" s="131"/>
      <c r="ARH1154" s="131"/>
      <c r="ARI1154" s="131"/>
      <c r="ARJ1154" s="131"/>
      <c r="ARK1154" s="131"/>
      <c r="ARL1154" s="131"/>
      <c r="ARM1154" s="131"/>
      <c r="ARN1154" s="131"/>
      <c r="ARO1154" s="131"/>
      <c r="ARP1154" s="131"/>
      <c r="ARQ1154" s="131"/>
      <c r="ARR1154" s="131"/>
      <c r="ARS1154" s="131"/>
      <c r="ART1154" s="131"/>
      <c r="ARU1154" s="131"/>
      <c r="ARV1154" s="131"/>
      <c r="ARW1154" s="131"/>
      <c r="ARX1154" s="131"/>
      <c r="ARY1154" s="131"/>
      <c r="ARZ1154" s="131"/>
      <c r="ASA1154" s="131"/>
      <c r="ASB1154" s="131"/>
      <c r="ASC1154" s="131"/>
      <c r="ASD1154" s="131"/>
      <c r="ASE1154" s="131"/>
      <c r="ASF1154" s="131"/>
      <c r="ASG1154" s="131"/>
      <c r="ASH1154" s="131"/>
      <c r="ASI1154" s="131"/>
      <c r="ASJ1154" s="131"/>
      <c r="ASK1154" s="131"/>
      <c r="ASL1154" s="131"/>
      <c r="ASM1154" s="131"/>
      <c r="ASN1154" s="131"/>
      <c r="ASO1154" s="131"/>
      <c r="ASP1154" s="131"/>
      <c r="ASQ1154" s="131"/>
      <c r="ASR1154" s="131"/>
      <c r="ASS1154" s="131"/>
      <c r="AST1154" s="131"/>
      <c r="ASU1154" s="131"/>
      <c r="ASV1154" s="131"/>
      <c r="ASW1154" s="131"/>
      <c r="ASX1154" s="131"/>
      <c r="ASY1154" s="131"/>
      <c r="ASZ1154" s="131"/>
      <c r="ATA1154" s="131"/>
      <c r="ATB1154" s="131"/>
      <c r="ATC1154" s="131"/>
    </row>
    <row r="1155" spans="1:1199" x14ac:dyDescent="0.3">
      <c r="D1155" s="207"/>
      <c r="E1155" s="110"/>
      <c r="F1155" s="110"/>
      <c r="G1155" s="110"/>
      <c r="H1155" s="110"/>
      <c r="I1155" s="110"/>
      <c r="J1155" s="118"/>
      <c r="K1155" s="110"/>
      <c r="N1155" s="110"/>
      <c r="O1155" s="118"/>
      <c r="P1155" s="110"/>
      <c r="Q1155" s="110"/>
      <c r="R1155" s="110"/>
      <c r="S1155" s="110"/>
      <c r="T1155" s="110"/>
      <c r="U1155" s="110"/>
      <c r="V1155" s="110"/>
      <c r="W1155" s="110"/>
      <c r="X1155" s="110"/>
      <c r="Y1155" s="110"/>
      <c r="Z1155" s="110"/>
      <c r="AB1155" s="118"/>
      <c r="AC1155" s="110"/>
      <c r="AD1155" s="110"/>
      <c r="AE1155" s="110"/>
      <c r="AF1155" s="110"/>
      <c r="AG1155" s="110"/>
      <c r="AH1155" s="150"/>
      <c r="AI1155" s="110"/>
      <c r="AJ1155" s="118"/>
      <c r="AK1155" s="110"/>
      <c r="AL1155" s="110"/>
      <c r="AM1155" s="110"/>
      <c r="AO1155" s="110"/>
      <c r="AP1155" s="110"/>
      <c r="AT1155" s="110"/>
      <c r="AU1155" s="110"/>
      <c r="AV1155" s="110"/>
      <c r="AW1155" s="110"/>
      <c r="AX1155" s="118"/>
      <c r="AY1155" s="110"/>
      <c r="AZ1155" s="151"/>
      <c r="BB1155" s="151"/>
      <c r="BC1155" s="151"/>
      <c r="BD1155" s="151"/>
      <c r="BE1155" s="151"/>
      <c r="BF1155" s="110"/>
      <c r="BG1155" s="110"/>
      <c r="BH1155" s="110"/>
      <c r="BI1155" s="110"/>
      <c r="BJ1155" s="110"/>
      <c r="BK1155" s="110"/>
      <c r="BL1155" s="110"/>
      <c r="BM1155" s="110"/>
      <c r="BN1155" s="110"/>
      <c r="BO1155" s="110"/>
      <c r="BP1155" s="110"/>
      <c r="BQ1155" s="110"/>
      <c r="BR1155" s="110"/>
      <c r="BS1155" s="110"/>
      <c r="BT1155" s="110"/>
      <c r="BU1155" s="110"/>
      <c r="BV1155" s="110"/>
      <c r="BW1155" s="110"/>
      <c r="BX1155" s="110"/>
      <c r="BY1155" s="110"/>
      <c r="BZ1155" s="110"/>
      <c r="CA1155" s="110"/>
    </row>
    <row r="1156" spans="1:1199" x14ac:dyDescent="0.3">
      <c r="A1156" s="206"/>
      <c r="D1156" s="153"/>
      <c r="E1156" s="6"/>
      <c r="G1156" s="6"/>
      <c r="J1156" s="6"/>
      <c r="N1156" s="154"/>
      <c r="O1156" s="154"/>
      <c r="P1156" s="155"/>
      <c r="Q1156" s="155"/>
      <c r="R1156" s="155"/>
      <c r="S1156" s="156"/>
      <c r="T1156" s="157"/>
      <c r="U1156" s="157"/>
      <c r="V1156" s="6"/>
      <c r="X1156" s="6"/>
      <c r="Z1156" s="110"/>
      <c r="AB1156" s="6"/>
      <c r="AD1156" s="6"/>
      <c r="AE1156" s="6"/>
      <c r="AF1156" s="195"/>
      <c r="AG1156" s="158"/>
      <c r="AJ1156" s="6"/>
      <c r="AL1156" s="110"/>
      <c r="AM1156" s="110"/>
      <c r="AN1156" s="110"/>
      <c r="AP1156" s="6"/>
      <c r="AW1156" s="154"/>
      <c r="AX1156" s="154"/>
      <c r="AY1156" s="154"/>
      <c r="AZ1156" s="110"/>
      <c r="BB1156" s="6"/>
      <c r="BD1156" s="6"/>
      <c r="BE1156" s="6"/>
      <c r="BF1156" s="17"/>
      <c r="BV1156" s="17"/>
      <c r="BX1156" s="17"/>
      <c r="BZ1156" s="17"/>
    </row>
    <row r="1157" spans="1:1199" ht="20.25" customHeight="1" x14ac:dyDescent="0.3">
      <c r="A1157" s="286"/>
      <c r="D1157" s="153"/>
      <c r="E1157" s="6"/>
      <c r="F1157" s="110"/>
      <c r="G1157" s="6"/>
      <c r="J1157" s="6"/>
      <c r="N1157" s="154"/>
      <c r="O1157" s="244"/>
      <c r="P1157" s="245"/>
      <c r="Q1157" s="155"/>
      <c r="R1157" s="155"/>
      <c r="S1157" s="159"/>
      <c r="T1157" s="157"/>
      <c r="U1157" s="157"/>
      <c r="V1157" s="6"/>
      <c r="X1157" s="6"/>
      <c r="Z1157" s="110"/>
      <c r="AB1157" s="6"/>
      <c r="AD1157" s="6"/>
      <c r="AE1157" s="6"/>
      <c r="AF1157" s="126"/>
      <c r="AH1157" s="210"/>
      <c r="AJ1157" s="6"/>
      <c r="AL1157" s="211"/>
      <c r="AM1157" s="211"/>
      <c r="AN1157" s="211"/>
      <c r="AO1157" s="210"/>
      <c r="AP1157" s="212"/>
      <c r="AT1157" s="210"/>
      <c r="AU1157" s="210"/>
      <c r="AW1157" s="154"/>
      <c r="AX1157" s="154"/>
      <c r="AY1157" s="154"/>
      <c r="AZ1157" s="110"/>
      <c r="BB1157" s="6"/>
      <c r="BC1157" s="274"/>
      <c r="BD1157" s="6"/>
      <c r="BE1157" s="6"/>
      <c r="BF1157" s="17"/>
      <c r="BV1157" s="17"/>
      <c r="BX1157" s="17"/>
      <c r="BZ1157" s="17"/>
    </row>
    <row r="1158" spans="1:1199" x14ac:dyDescent="0.3">
      <c r="A1158" s="286"/>
      <c r="D1158" s="153"/>
      <c r="E1158" s="6"/>
      <c r="F1158" s="110"/>
      <c r="G1158" s="6"/>
      <c r="J1158" s="6"/>
      <c r="N1158" s="154"/>
      <c r="O1158" s="154"/>
      <c r="P1158" s="245"/>
      <c r="Q1158" s="155"/>
      <c r="R1158" s="155"/>
      <c r="S1158" s="6"/>
      <c r="V1158" s="6"/>
      <c r="X1158" s="6"/>
      <c r="Z1158" s="110"/>
      <c r="AB1158" s="6"/>
      <c r="AD1158" s="6"/>
      <c r="AE1158" s="6"/>
      <c r="AF1158" s="126"/>
      <c r="AJ1158" s="6"/>
      <c r="AL1158" s="110"/>
      <c r="AM1158" s="110"/>
      <c r="AN1158" s="110"/>
      <c r="AP1158" s="6"/>
      <c r="AU1158" s="210"/>
      <c r="AV1158" s="158"/>
      <c r="AW1158" s="154"/>
      <c r="AX1158" s="154"/>
      <c r="AY1158" s="154"/>
      <c r="AZ1158" s="110"/>
      <c r="BB1158" s="6"/>
      <c r="BC1158" s="274"/>
      <c r="BD1158" s="6"/>
      <c r="BE1158" s="6"/>
      <c r="BF1158" s="17"/>
      <c r="BV1158" s="17"/>
      <c r="BX1158" s="17"/>
      <c r="BZ1158" s="17"/>
    </row>
    <row r="1159" spans="1:1199" x14ac:dyDescent="0.3">
      <c r="A1159" s="286"/>
      <c r="D1159" s="153"/>
      <c r="E1159" s="6"/>
      <c r="F1159" s="110"/>
      <c r="G1159" s="6"/>
      <c r="J1159" s="6"/>
      <c r="N1159" s="154"/>
      <c r="O1159" s="154"/>
      <c r="P1159" s="245"/>
      <c r="Q1159" s="155"/>
      <c r="R1159" s="155"/>
      <c r="S1159" s="6"/>
      <c r="V1159" s="6"/>
      <c r="X1159" s="6"/>
      <c r="Z1159" s="110"/>
      <c r="AB1159" s="6"/>
      <c r="AD1159" s="6"/>
      <c r="AE1159" s="6"/>
      <c r="AF1159" s="126"/>
      <c r="AJ1159" s="6"/>
      <c r="AL1159" s="110"/>
      <c r="AM1159" s="110"/>
      <c r="AN1159" s="110"/>
      <c r="AP1159" s="6"/>
      <c r="AV1159" s="158"/>
      <c r="AW1159" s="154"/>
      <c r="AX1159" s="154"/>
      <c r="AY1159" s="154"/>
      <c r="AZ1159" s="110"/>
      <c r="BB1159" s="6"/>
      <c r="BD1159" s="6"/>
      <c r="BE1159" s="6"/>
      <c r="BF1159" s="17"/>
      <c r="BV1159" s="17"/>
      <c r="BX1159" s="17"/>
      <c r="BZ1159" s="17"/>
    </row>
    <row r="1160" spans="1:1199" x14ac:dyDescent="0.3">
      <c r="A1160" s="286"/>
      <c r="D1160" s="153"/>
      <c r="E1160" s="6"/>
      <c r="F1160" s="110"/>
      <c r="G1160" s="6"/>
      <c r="J1160" s="6"/>
      <c r="N1160" s="154"/>
      <c r="O1160" s="150"/>
      <c r="P1160" s="150"/>
      <c r="Q1160" s="161"/>
      <c r="R1160" s="161"/>
      <c r="S1160" s="6"/>
      <c r="V1160" s="6"/>
      <c r="X1160" s="6"/>
      <c r="Z1160" s="110"/>
      <c r="AB1160" s="6"/>
      <c r="AD1160" s="6"/>
      <c r="AE1160" s="6"/>
      <c r="AF1160" s="126"/>
      <c r="AJ1160" s="6"/>
      <c r="AL1160" s="110"/>
      <c r="AM1160" s="110"/>
      <c r="AN1160" s="110"/>
      <c r="AP1160" s="6"/>
      <c r="AV1160" s="158"/>
      <c r="AW1160" s="154"/>
      <c r="AX1160" s="154"/>
      <c r="AY1160" s="154"/>
      <c r="AZ1160" s="110"/>
      <c r="BB1160" s="6"/>
      <c r="BD1160" s="6"/>
      <c r="BE1160" s="6"/>
      <c r="BF1160" s="17"/>
      <c r="BG1160" s="110"/>
      <c r="BV1160" s="17"/>
      <c r="BX1160" s="17"/>
      <c r="BZ1160" s="17"/>
    </row>
    <row r="1161" spans="1:1199" x14ac:dyDescent="0.3">
      <c r="A1161" s="286"/>
      <c r="D1161" s="153"/>
      <c r="E1161" s="6"/>
      <c r="F1161" s="110"/>
      <c r="G1161" s="6"/>
      <c r="J1161" s="6"/>
      <c r="N1161" s="154"/>
      <c r="O1161" s="161"/>
      <c r="P1161" s="161"/>
      <c r="Q1161" s="161"/>
      <c r="R1161" s="161"/>
      <c r="S1161" s="162"/>
      <c r="V1161" s="6"/>
      <c r="X1161" s="6"/>
      <c r="Z1161" s="110"/>
      <c r="AB1161" s="6"/>
      <c r="AD1161" s="6"/>
      <c r="AE1161" s="6"/>
      <c r="AF1161" s="126"/>
      <c r="AJ1161" s="6"/>
      <c r="AL1161" s="110"/>
      <c r="AM1161" s="110"/>
      <c r="AN1161" s="110"/>
      <c r="AP1161" s="6"/>
      <c r="AW1161" s="154"/>
      <c r="AX1161" s="154"/>
      <c r="AY1161" s="154"/>
      <c r="AZ1161" s="110"/>
      <c r="BB1161" s="6"/>
      <c r="BD1161" s="6"/>
      <c r="BE1161" s="6"/>
      <c r="BF1161" s="256"/>
      <c r="BG1161" s="110"/>
      <c r="BV1161" s="17"/>
      <c r="BX1161" s="17"/>
      <c r="BZ1161" s="17"/>
    </row>
    <row r="1162" spans="1:1199" x14ac:dyDescent="0.3">
      <c r="A1162" s="286"/>
      <c r="D1162" s="163"/>
      <c r="E1162" s="6"/>
      <c r="F1162" s="110"/>
      <c r="G1162" s="6"/>
      <c r="J1162" s="6"/>
      <c r="N1162" s="154"/>
      <c r="O1162" s="161"/>
      <c r="P1162" s="161"/>
      <c r="Q1162" s="161"/>
      <c r="R1162" s="161"/>
      <c r="S1162" s="162"/>
      <c r="V1162" s="6"/>
      <c r="X1162" s="6"/>
      <c r="Z1162" s="110"/>
      <c r="AB1162" s="6"/>
      <c r="AD1162" s="6"/>
      <c r="AE1162" s="6"/>
      <c r="AF1162" s="126"/>
      <c r="AJ1162" s="6"/>
      <c r="AL1162" s="110"/>
      <c r="AM1162" s="110"/>
      <c r="AN1162" s="110"/>
      <c r="AP1162" s="6"/>
      <c r="AW1162" s="154"/>
      <c r="AX1162" s="154"/>
      <c r="AY1162" s="154"/>
      <c r="AZ1162" s="110"/>
      <c r="BB1162" s="6"/>
      <c r="BD1162" s="6"/>
      <c r="BE1162" s="6"/>
      <c r="BF1162" s="17"/>
      <c r="BG1162" s="110"/>
      <c r="BV1162" s="17"/>
      <c r="BX1162" s="17"/>
      <c r="BZ1162" s="17"/>
    </row>
    <row r="1163" spans="1:1199" x14ac:dyDescent="0.3">
      <c r="A1163" s="286"/>
      <c r="D1163" s="153"/>
      <c r="E1163" s="6"/>
      <c r="F1163" s="110"/>
      <c r="G1163" s="6"/>
      <c r="J1163" s="6"/>
      <c r="N1163" s="154"/>
      <c r="O1163" s="161"/>
      <c r="P1163" s="161"/>
      <c r="Q1163" s="161"/>
      <c r="R1163" s="161"/>
      <c r="S1163" s="162"/>
      <c r="V1163" s="6"/>
      <c r="X1163" s="6"/>
      <c r="Z1163" s="110"/>
      <c r="AB1163" s="6"/>
      <c r="AD1163" s="6"/>
      <c r="AE1163" s="110"/>
      <c r="AF1163" s="126"/>
      <c r="AJ1163" s="6"/>
      <c r="AL1163" s="110"/>
      <c r="AM1163" s="110"/>
      <c r="AN1163" s="110"/>
      <c r="AP1163" s="6"/>
      <c r="AW1163" s="154"/>
      <c r="AX1163" s="154"/>
      <c r="AY1163" s="154"/>
      <c r="AZ1163" s="110"/>
      <c r="BB1163" s="6"/>
      <c r="BD1163" s="6"/>
      <c r="BE1163" s="6"/>
      <c r="BF1163" s="17"/>
      <c r="BG1163" s="110"/>
      <c r="BV1163" s="17"/>
      <c r="BX1163" s="17"/>
      <c r="BZ1163" s="17"/>
    </row>
    <row r="1164" spans="1:1199" x14ac:dyDescent="0.3">
      <c r="A1164" s="286"/>
      <c r="D1164" s="153"/>
      <c r="E1164" s="6"/>
      <c r="F1164" s="110"/>
      <c r="G1164" s="6"/>
      <c r="J1164" s="6"/>
      <c r="N1164" s="154"/>
      <c r="O1164" s="246"/>
      <c r="P1164" s="246"/>
      <c r="Q1164" s="164"/>
      <c r="R1164" s="164"/>
      <c r="S1164" s="162"/>
      <c r="V1164" s="6"/>
      <c r="X1164" s="6"/>
      <c r="Z1164" s="110"/>
      <c r="AB1164" s="6"/>
      <c r="AD1164" s="6"/>
      <c r="AE1164" s="110"/>
      <c r="AF1164" s="126"/>
      <c r="AJ1164" s="6"/>
      <c r="AL1164" s="110"/>
      <c r="AM1164" s="110"/>
      <c r="AN1164" s="110"/>
      <c r="AP1164" s="6"/>
      <c r="AW1164" s="154"/>
      <c r="AX1164" s="154"/>
      <c r="AY1164" s="154"/>
      <c r="AZ1164" s="110"/>
      <c r="BB1164" s="6"/>
      <c r="BD1164" s="6"/>
      <c r="BE1164" s="6"/>
      <c r="BF1164" s="17"/>
      <c r="BI1164" s="17">
        <f>BG1161</f>
        <v>0</v>
      </c>
      <c r="BV1164" s="17"/>
      <c r="BX1164" s="17"/>
      <c r="BZ1164" s="17"/>
    </row>
    <row r="1165" spans="1:1199" x14ac:dyDescent="0.3">
      <c r="A1165" s="255"/>
      <c r="D1165" s="153"/>
      <c r="E1165" s="6"/>
      <c r="F1165" s="110"/>
      <c r="G1165" s="6"/>
      <c r="J1165" s="6"/>
      <c r="N1165" s="154"/>
      <c r="O1165" s="246"/>
      <c r="P1165" s="246"/>
      <c r="Q1165" s="164"/>
      <c r="R1165" s="164"/>
      <c r="S1165" s="162"/>
      <c r="V1165" s="6"/>
      <c r="X1165" s="6"/>
      <c r="Z1165" s="110"/>
      <c r="AB1165" s="6"/>
      <c r="AD1165" s="6"/>
      <c r="AE1165" s="110"/>
      <c r="AF1165" s="126"/>
      <c r="AJ1165" s="6"/>
      <c r="AL1165" s="110"/>
      <c r="AM1165" s="110"/>
      <c r="AN1165" s="110"/>
      <c r="AP1165" s="6"/>
      <c r="AW1165" s="154"/>
      <c r="AX1165" s="154"/>
      <c r="AY1165" s="154"/>
      <c r="AZ1165" s="110"/>
      <c r="BB1165" s="6"/>
      <c r="BD1165" s="6"/>
      <c r="BE1165" s="6"/>
      <c r="BF1165" s="17"/>
      <c r="BG1165" s="257"/>
      <c r="BV1165" s="17"/>
      <c r="BX1165" s="17"/>
      <c r="BZ1165" s="17"/>
    </row>
    <row r="1166" spans="1:1199" x14ac:dyDescent="0.3">
      <c r="A1166" s="255"/>
      <c r="D1166" s="153"/>
      <c r="E1166" s="6"/>
      <c r="F1166" s="110"/>
      <c r="G1166" s="6"/>
      <c r="J1166" s="6"/>
      <c r="N1166" s="154"/>
      <c r="O1166" s="246"/>
      <c r="P1166" s="246"/>
      <c r="Q1166" s="164"/>
      <c r="R1166" s="164"/>
      <c r="S1166" s="162"/>
      <c r="V1166" s="6"/>
      <c r="X1166" s="6"/>
      <c r="Z1166" s="110"/>
      <c r="AB1166" s="6"/>
      <c r="AD1166" s="6"/>
      <c r="AE1166" s="110"/>
      <c r="AF1166" s="126"/>
      <c r="AJ1166" s="6"/>
      <c r="AL1166" s="110"/>
      <c r="AM1166" s="110"/>
      <c r="AN1166" s="110"/>
      <c r="AP1166" s="6"/>
      <c r="AW1166" s="154"/>
      <c r="AX1166" s="154"/>
      <c r="AY1166" s="154"/>
      <c r="AZ1166" s="110"/>
      <c r="BB1166" s="6"/>
      <c r="BD1166" s="6"/>
      <c r="BE1166" s="6"/>
      <c r="BF1166" s="17"/>
      <c r="BV1166" s="17"/>
      <c r="BX1166" s="17"/>
      <c r="BZ1166" s="17"/>
    </row>
    <row r="1167" spans="1:1199" x14ac:dyDescent="0.3">
      <c r="A1167" s="255"/>
      <c r="D1167" s="153"/>
      <c r="E1167" s="6"/>
      <c r="F1167" s="110"/>
      <c r="G1167" s="6"/>
      <c r="J1167" s="6"/>
      <c r="N1167" s="154"/>
      <c r="O1167" s="246"/>
      <c r="P1167" s="246"/>
      <c r="Q1167" s="164"/>
      <c r="R1167" s="164"/>
      <c r="S1167" s="162"/>
      <c r="V1167" s="6"/>
      <c r="X1167" s="6"/>
      <c r="Z1167" s="110"/>
      <c r="AB1167" s="6"/>
      <c r="AD1167" s="6"/>
      <c r="AE1167" s="110"/>
      <c r="AF1167" s="126"/>
      <c r="AJ1167" s="6"/>
      <c r="AL1167" s="110"/>
      <c r="AM1167" s="110"/>
      <c r="AN1167" s="110"/>
      <c r="AP1167" s="6"/>
      <c r="AW1167" s="154"/>
      <c r="AX1167" s="154"/>
      <c r="AY1167" s="154"/>
      <c r="AZ1167" s="110"/>
      <c r="BB1167" s="6"/>
      <c r="BD1167" s="6"/>
      <c r="BE1167" s="6"/>
      <c r="BF1167" s="17"/>
      <c r="BV1167" s="17"/>
      <c r="BX1167" s="17"/>
      <c r="BZ1167" s="17"/>
    </row>
    <row r="1168" spans="1:1199" x14ac:dyDescent="0.3">
      <c r="D1168" s="153"/>
      <c r="E1168" s="6"/>
      <c r="F1168" s="110"/>
      <c r="G1168" s="6"/>
      <c r="J1168" s="6"/>
      <c r="N1168" s="154"/>
      <c r="O1168" s="110"/>
      <c r="P1168" s="110"/>
      <c r="S1168" s="6"/>
      <c r="V1168" s="6"/>
      <c r="X1168" s="6"/>
      <c r="Z1168" s="110"/>
      <c r="AB1168" s="6"/>
      <c r="AD1168" s="6"/>
      <c r="AE1168" s="150"/>
      <c r="AF1168" s="126"/>
      <c r="AJ1168" s="6"/>
      <c r="AL1168" s="110"/>
      <c r="AM1168" s="110"/>
      <c r="AN1168" s="110"/>
      <c r="AP1168" s="6"/>
      <c r="AW1168" s="154"/>
      <c r="AX1168" s="154"/>
      <c r="AY1168" s="154"/>
      <c r="AZ1168" s="160"/>
      <c r="BB1168" s="6"/>
      <c r="BD1168" s="6"/>
      <c r="BE1168" s="6"/>
      <c r="BF1168" s="17"/>
      <c r="BV1168" s="17"/>
      <c r="BX1168" s="17"/>
      <c r="BZ1168" s="17"/>
    </row>
    <row r="1169" spans="1:78" x14ac:dyDescent="0.3">
      <c r="D1169" s="153"/>
      <c r="E1169" s="6"/>
      <c r="F1169" s="110"/>
      <c r="G1169" s="6"/>
      <c r="J1169" s="6"/>
      <c r="N1169" s="154"/>
      <c r="O1169" s="6"/>
      <c r="S1169" s="6"/>
      <c r="V1169" s="6"/>
      <c r="X1169" s="6"/>
      <c r="Z1169" s="110"/>
      <c r="AB1169" s="6"/>
      <c r="AD1169" s="6"/>
      <c r="AE1169" s="110"/>
      <c r="AF1169" s="197"/>
      <c r="AJ1169" s="6"/>
      <c r="AL1169" s="110"/>
      <c r="AM1169" s="110"/>
      <c r="AN1169" s="110"/>
      <c r="AP1169" s="6"/>
      <c r="AW1169" s="154"/>
      <c r="AX1169" s="154"/>
      <c r="AY1169" s="154"/>
      <c r="AZ1169" s="110"/>
      <c r="BB1169" s="6"/>
      <c r="BD1169" s="6"/>
      <c r="BE1169" s="6"/>
      <c r="BF1169" s="17"/>
      <c r="BV1169" s="17"/>
      <c r="BX1169" s="17"/>
      <c r="BZ1169" s="17"/>
    </row>
    <row r="1170" spans="1:78" x14ac:dyDescent="0.3">
      <c r="B1170" s="1"/>
      <c r="C1170" s="17"/>
      <c r="D1170" s="131"/>
      <c r="E1170" s="17"/>
      <c r="F1170" s="110"/>
      <c r="G1170" s="17"/>
      <c r="H1170" s="17"/>
      <c r="I1170" s="17"/>
      <c r="J1170" s="17"/>
      <c r="K1170" s="17"/>
      <c r="N1170" s="17"/>
      <c r="O1170" s="154"/>
      <c r="S1170" s="6"/>
      <c r="V1170" s="6"/>
      <c r="X1170" s="6"/>
      <c r="Z1170" s="110"/>
      <c r="AB1170" s="6"/>
      <c r="AD1170" s="6"/>
      <c r="AE1170" s="110"/>
      <c r="AF1170" s="126"/>
      <c r="AJ1170" s="6"/>
      <c r="AL1170" s="110"/>
      <c r="AM1170" s="110"/>
      <c r="AN1170" s="110"/>
      <c r="AP1170" s="6"/>
      <c r="AW1170" s="154"/>
      <c r="AX1170" s="154"/>
      <c r="AY1170" s="154"/>
      <c r="AZ1170" s="110"/>
      <c r="BB1170" s="6"/>
      <c r="BD1170" s="6"/>
      <c r="BE1170" s="6"/>
      <c r="BF1170" s="17"/>
      <c r="BV1170" s="17"/>
      <c r="BX1170" s="17"/>
      <c r="BZ1170" s="17"/>
    </row>
    <row r="1171" spans="1:78" x14ac:dyDescent="0.3">
      <c r="B1171" s="1"/>
      <c r="C1171" s="17"/>
      <c r="D1171" s="131"/>
      <c r="E1171" s="17"/>
      <c r="F1171" s="110"/>
      <c r="G1171" s="17"/>
      <c r="H1171" s="17"/>
      <c r="I1171" s="17"/>
      <c r="J1171" s="17"/>
      <c r="K1171" s="17"/>
      <c r="N1171" s="17"/>
      <c r="O1171" s="154"/>
      <c r="P1171" s="154"/>
      <c r="S1171" s="6"/>
      <c r="V1171" s="6"/>
      <c r="X1171" s="6"/>
      <c r="Z1171" s="110"/>
      <c r="AB1171" s="6"/>
      <c r="AD1171" s="6"/>
      <c r="AE1171" s="6"/>
      <c r="AF1171" s="126"/>
      <c r="AJ1171" s="6"/>
      <c r="AL1171" s="110"/>
      <c r="AM1171" s="110"/>
      <c r="AN1171" s="110"/>
      <c r="AP1171" s="6"/>
      <c r="AW1171" s="154"/>
      <c r="AX1171" s="154"/>
      <c r="AY1171" s="154"/>
      <c r="AZ1171" s="110"/>
      <c r="BB1171" s="6"/>
      <c r="BD1171" s="6"/>
      <c r="BE1171" s="6"/>
      <c r="BF1171" s="17"/>
      <c r="BG1171" s="110"/>
      <c r="BV1171" s="17"/>
      <c r="BX1171" s="17"/>
      <c r="BZ1171" s="17"/>
    </row>
    <row r="1172" spans="1:78" x14ac:dyDescent="0.3">
      <c r="B1172" s="1"/>
      <c r="C1172" s="17"/>
      <c r="D1172" s="131"/>
      <c r="E1172" s="17"/>
      <c r="F1172" s="110"/>
      <c r="G1172" s="17"/>
      <c r="H1172" s="17"/>
      <c r="I1172" s="17"/>
      <c r="J1172" s="17"/>
      <c r="K1172" s="17"/>
      <c r="N1172" s="17"/>
      <c r="O1172" s="154"/>
      <c r="S1172" s="6"/>
      <c r="V1172" s="6"/>
      <c r="X1172" s="6"/>
      <c r="Z1172" s="110"/>
      <c r="AB1172" s="6"/>
      <c r="AD1172" s="6"/>
      <c r="AE1172" s="110"/>
      <c r="AF1172" s="126"/>
      <c r="AJ1172" s="6"/>
      <c r="AL1172" s="110"/>
      <c r="AM1172" s="110"/>
      <c r="AN1172" s="110"/>
      <c r="AP1172" s="6"/>
      <c r="AW1172" s="154"/>
      <c r="AX1172" s="154"/>
      <c r="AY1172" s="154"/>
      <c r="AZ1172" s="110"/>
      <c r="BB1172" s="6"/>
      <c r="BD1172" s="6"/>
      <c r="BE1172" s="6"/>
      <c r="BF1172" s="17"/>
      <c r="BV1172" s="17"/>
      <c r="BX1172" s="17"/>
      <c r="BZ1172" s="17"/>
    </row>
    <row r="1173" spans="1:78" x14ac:dyDescent="0.3">
      <c r="A1173" s="17"/>
      <c r="B1173" s="1"/>
      <c r="C1173" s="17"/>
      <c r="D1173" s="131"/>
      <c r="E1173" s="17"/>
      <c r="F1173" s="110"/>
      <c r="G1173" s="17"/>
      <c r="H1173" s="17"/>
      <c r="I1173" s="17"/>
      <c r="J1173" s="17"/>
      <c r="K1173" s="17"/>
      <c r="N1173" s="17"/>
      <c r="O1173" s="6"/>
      <c r="S1173" s="6"/>
      <c r="V1173" s="6"/>
      <c r="X1173" s="6"/>
      <c r="Z1173" s="110"/>
      <c r="AB1173" s="6"/>
      <c r="AD1173" s="6"/>
      <c r="AE1173" s="6"/>
      <c r="AF1173" s="126"/>
      <c r="AJ1173" s="6"/>
      <c r="AL1173" s="110"/>
      <c r="AM1173" s="110"/>
      <c r="AN1173" s="110"/>
      <c r="AP1173" s="6"/>
      <c r="AW1173" s="154"/>
      <c r="AX1173" s="154"/>
      <c r="AY1173" s="154"/>
      <c r="AZ1173" s="110"/>
      <c r="BB1173" s="6"/>
      <c r="BD1173" s="6"/>
      <c r="BE1173" s="6"/>
      <c r="BF1173" s="17"/>
      <c r="BV1173" s="17"/>
      <c r="BX1173" s="17"/>
      <c r="BZ1173" s="17"/>
    </row>
    <row r="1174" spans="1:78" ht="21" thickBot="1" x14ac:dyDescent="0.35">
      <c r="A1174" s="17"/>
      <c r="B1174" s="1"/>
      <c r="C1174" s="17"/>
      <c r="D1174" s="131"/>
      <c r="E1174" s="17"/>
      <c r="F1174" s="110"/>
      <c r="G1174" s="17"/>
      <c r="H1174" s="17"/>
      <c r="I1174" s="17"/>
      <c r="J1174" s="17"/>
      <c r="K1174" s="17"/>
      <c r="N1174" s="17"/>
      <c r="O1174" s="6"/>
      <c r="S1174" s="6"/>
      <c r="V1174" s="6"/>
      <c r="X1174" s="6"/>
      <c r="Z1174" s="110"/>
      <c r="AB1174" s="6"/>
      <c r="AD1174" s="6"/>
      <c r="AE1174" s="6"/>
      <c r="AF1174" s="126"/>
      <c r="AJ1174" s="6"/>
      <c r="AL1174" s="110"/>
      <c r="AM1174" s="110"/>
      <c r="AN1174" s="110"/>
      <c r="AP1174" s="6"/>
      <c r="AW1174" s="154"/>
      <c r="AX1174" s="154"/>
      <c r="AY1174" s="154"/>
      <c r="AZ1174" s="110"/>
      <c r="BB1174" s="6"/>
      <c r="BD1174" s="6"/>
      <c r="BE1174" s="6"/>
      <c r="BF1174" s="17"/>
      <c r="BV1174" s="17"/>
      <c r="BX1174" s="17"/>
      <c r="BZ1174" s="17"/>
    </row>
    <row r="1175" spans="1:78" x14ac:dyDescent="0.3">
      <c r="A1175" s="17"/>
      <c r="B1175" s="200"/>
      <c r="C1175" s="17"/>
      <c r="D1175" s="131"/>
      <c r="E1175" s="17"/>
      <c r="F1175" s="110"/>
      <c r="G1175" s="17"/>
      <c r="H1175" s="17"/>
      <c r="I1175" s="17"/>
      <c r="J1175" s="17"/>
      <c r="K1175" s="17"/>
      <c r="N1175" s="17"/>
      <c r="O1175" s="6"/>
      <c r="S1175" s="6"/>
      <c r="V1175" s="6"/>
      <c r="X1175" s="6"/>
      <c r="Z1175" s="110"/>
      <c r="AB1175" s="6"/>
      <c r="AD1175" s="6"/>
      <c r="AE1175" s="6"/>
      <c r="AF1175" s="126"/>
      <c r="AJ1175" s="6"/>
      <c r="AL1175" s="110"/>
      <c r="AM1175" s="110"/>
      <c r="AN1175" s="110"/>
      <c r="AP1175" s="6"/>
      <c r="AW1175" s="154"/>
      <c r="AX1175" s="154"/>
      <c r="AY1175" s="154"/>
      <c r="AZ1175" s="110"/>
      <c r="BB1175" s="6"/>
      <c r="BD1175" s="6"/>
      <c r="BE1175" s="6"/>
      <c r="BF1175" s="17"/>
      <c r="BG1175" s="258"/>
      <c r="BV1175" s="17"/>
      <c r="BX1175" s="17"/>
      <c r="BZ1175" s="17"/>
    </row>
    <row r="1176" spans="1:78" ht="21" thickBot="1" x14ac:dyDescent="0.35">
      <c r="A1176" s="17"/>
      <c r="B1176" s="1"/>
      <c r="C1176" s="17"/>
      <c r="D1176" s="131"/>
      <c r="E1176" s="17"/>
      <c r="F1176" s="110"/>
      <c r="G1176" s="17"/>
      <c r="H1176" s="17"/>
      <c r="I1176" s="17"/>
      <c r="J1176" s="17"/>
      <c r="K1176" s="17"/>
      <c r="N1176" s="17"/>
      <c r="O1176" s="6"/>
      <c r="S1176" s="6"/>
      <c r="V1176" s="6"/>
      <c r="X1176" s="6"/>
      <c r="Z1176" s="110"/>
      <c r="AB1176" s="6"/>
      <c r="AD1176" s="6"/>
      <c r="AE1176" s="6"/>
      <c r="AF1176" s="126"/>
      <c r="AJ1176" s="6"/>
      <c r="AL1176" s="110"/>
      <c r="AM1176" s="110"/>
      <c r="AN1176" s="110"/>
      <c r="AP1176" s="6"/>
      <c r="AW1176" s="154"/>
      <c r="AX1176" s="154"/>
      <c r="AY1176" s="154"/>
      <c r="AZ1176" s="110"/>
      <c r="BB1176" s="6"/>
      <c r="BD1176" s="6"/>
      <c r="BE1176" s="6"/>
      <c r="BF1176" s="17"/>
      <c r="BG1176" s="259"/>
      <c r="BV1176" s="17"/>
      <c r="BX1176" s="17"/>
      <c r="BZ1176" s="17"/>
    </row>
    <row r="1177" spans="1:78" x14ac:dyDescent="0.3">
      <c r="A1177" s="17"/>
      <c r="B1177" s="1"/>
      <c r="C1177" s="17"/>
      <c r="D1177" s="131"/>
      <c r="E1177" s="17"/>
      <c r="F1177" s="110"/>
      <c r="G1177" s="17"/>
      <c r="H1177" s="17"/>
      <c r="I1177" s="17"/>
      <c r="J1177" s="17"/>
      <c r="K1177" s="17"/>
      <c r="N1177" s="17"/>
      <c r="O1177" s="6"/>
      <c r="S1177" s="6"/>
      <c r="V1177" s="6"/>
      <c r="X1177" s="6"/>
      <c r="Z1177" s="110"/>
      <c r="AB1177" s="6"/>
      <c r="AD1177" s="6"/>
      <c r="AE1177" s="6"/>
      <c r="AF1177" s="126"/>
      <c r="AJ1177" s="6"/>
      <c r="AL1177" s="110"/>
      <c r="AM1177" s="110"/>
      <c r="AN1177" s="110"/>
      <c r="AP1177" s="6"/>
      <c r="AW1177" s="154"/>
      <c r="AX1177" s="154"/>
      <c r="AY1177" s="154"/>
      <c r="AZ1177" s="110"/>
      <c r="BB1177" s="6"/>
      <c r="BD1177" s="6"/>
      <c r="BE1177" s="6"/>
      <c r="BF1177" s="17"/>
      <c r="BG1177" s="131"/>
      <c r="BV1177" s="17"/>
      <c r="BX1177" s="17"/>
      <c r="BZ1177" s="17"/>
    </row>
    <row r="1178" spans="1:78" x14ac:dyDescent="0.3">
      <c r="A1178" s="17"/>
      <c r="B1178" s="1"/>
      <c r="C1178" s="17"/>
      <c r="D1178" s="131"/>
      <c r="E1178" s="17"/>
      <c r="F1178" s="110"/>
      <c r="G1178" s="17"/>
      <c r="H1178" s="17"/>
      <c r="I1178" s="17"/>
      <c r="J1178" s="17"/>
      <c r="K1178" s="17"/>
      <c r="N1178" s="17"/>
      <c r="O1178" s="6"/>
      <c r="S1178" s="6"/>
      <c r="V1178" s="6"/>
      <c r="X1178" s="6"/>
      <c r="Z1178" s="110"/>
      <c r="AB1178" s="6"/>
      <c r="AD1178" s="6"/>
      <c r="AE1178" s="6"/>
      <c r="AF1178" s="126"/>
      <c r="AJ1178" s="6"/>
      <c r="AL1178" s="110"/>
      <c r="AM1178" s="110"/>
      <c r="AN1178" s="110"/>
      <c r="AP1178" s="6"/>
      <c r="AW1178" s="154"/>
      <c r="AX1178" s="154"/>
      <c r="AY1178" s="154"/>
      <c r="AZ1178" s="110"/>
      <c r="BB1178" s="6"/>
      <c r="BD1178" s="6"/>
      <c r="BE1178" s="6"/>
      <c r="BF1178" s="17"/>
      <c r="BV1178" s="17"/>
      <c r="BX1178" s="17"/>
      <c r="BZ1178" s="17"/>
    </row>
    <row r="1179" spans="1:78" x14ac:dyDescent="0.3">
      <c r="A1179" s="17"/>
      <c r="B1179" s="1"/>
      <c r="C1179" s="17"/>
      <c r="D1179" s="131"/>
      <c r="E1179" s="17"/>
      <c r="F1179" s="110"/>
      <c r="G1179" s="17"/>
      <c r="H1179" s="17"/>
      <c r="I1179" s="17"/>
      <c r="J1179" s="17"/>
      <c r="K1179" s="17"/>
      <c r="N1179" s="17"/>
      <c r="O1179" s="6"/>
      <c r="S1179" s="6"/>
      <c r="V1179" s="6"/>
      <c r="X1179" s="6"/>
      <c r="Z1179" s="110"/>
      <c r="AB1179" s="6"/>
      <c r="AD1179" s="6"/>
      <c r="AE1179" s="6"/>
      <c r="AF1179" s="126"/>
      <c r="AJ1179" s="6"/>
      <c r="AL1179" s="110"/>
      <c r="AM1179" s="110"/>
      <c r="AN1179" s="110"/>
      <c r="AP1179" s="6"/>
      <c r="AW1179" s="154"/>
      <c r="AX1179" s="154"/>
      <c r="AY1179" s="154"/>
      <c r="AZ1179" s="110"/>
      <c r="BB1179" s="6"/>
      <c r="BD1179" s="6"/>
      <c r="BE1179" s="6"/>
      <c r="BF1179" s="17"/>
      <c r="BV1179" s="17"/>
      <c r="BX1179" s="17"/>
      <c r="BZ1179" s="17"/>
    </row>
    <row r="1180" spans="1:78" x14ac:dyDescent="0.3">
      <c r="A1180" s="17"/>
      <c r="B1180" s="1"/>
      <c r="C1180" s="17"/>
      <c r="D1180" s="131"/>
      <c r="E1180" s="17"/>
      <c r="F1180" s="110"/>
      <c r="G1180" s="17"/>
      <c r="H1180" s="17"/>
      <c r="I1180" s="17"/>
      <c r="J1180" s="17"/>
      <c r="K1180" s="17"/>
      <c r="N1180" s="17"/>
      <c r="O1180" s="6"/>
      <c r="S1180" s="6"/>
      <c r="V1180" s="6"/>
      <c r="X1180" s="6"/>
      <c r="Z1180" s="110"/>
      <c r="AB1180" s="6"/>
      <c r="AD1180" s="6"/>
      <c r="AE1180" s="6"/>
      <c r="AF1180" s="126"/>
      <c r="AJ1180" s="6"/>
      <c r="AL1180" s="110"/>
      <c r="AM1180" s="110"/>
      <c r="AN1180" s="110"/>
      <c r="AP1180" s="6"/>
      <c r="AW1180" s="154"/>
      <c r="AX1180" s="154"/>
      <c r="AY1180" s="154"/>
      <c r="AZ1180" s="110"/>
      <c r="BB1180" s="6"/>
      <c r="BD1180" s="6"/>
      <c r="BE1180" s="6"/>
      <c r="BF1180" s="17"/>
      <c r="BV1180" s="17"/>
      <c r="BX1180" s="17"/>
      <c r="BZ1180" s="17"/>
    </row>
    <row r="1181" spans="1:78" x14ac:dyDescent="0.3">
      <c r="A1181" s="17"/>
      <c r="B1181" s="1"/>
      <c r="C1181" s="17"/>
      <c r="D1181" s="131"/>
      <c r="E1181" s="17"/>
      <c r="F1181" s="110"/>
      <c r="G1181" s="17"/>
      <c r="H1181" s="17"/>
      <c r="I1181" s="17"/>
      <c r="J1181" s="17"/>
      <c r="K1181" s="17"/>
      <c r="N1181" s="17"/>
      <c r="O1181" s="6"/>
      <c r="S1181" s="6"/>
      <c r="V1181" s="6"/>
      <c r="X1181" s="6"/>
      <c r="Z1181" s="110"/>
      <c r="AB1181" s="6"/>
      <c r="AD1181" s="6"/>
      <c r="AE1181" s="6"/>
      <c r="AF1181" s="126"/>
      <c r="AJ1181" s="6"/>
      <c r="AL1181" s="110"/>
      <c r="AM1181" s="110"/>
      <c r="AN1181" s="110"/>
      <c r="AP1181" s="6"/>
      <c r="AW1181" s="154"/>
      <c r="AX1181" s="154"/>
      <c r="AY1181" s="154"/>
      <c r="AZ1181" s="110"/>
      <c r="BB1181" s="6"/>
      <c r="BD1181" s="6"/>
      <c r="BE1181" s="6"/>
      <c r="BF1181" s="17"/>
      <c r="BV1181" s="17"/>
      <c r="BX1181" s="17"/>
      <c r="BZ1181" s="17"/>
    </row>
    <row r="1182" spans="1:78" x14ac:dyDescent="0.3">
      <c r="A1182" s="17"/>
      <c r="B1182" s="1"/>
      <c r="C1182" s="17"/>
      <c r="D1182" s="131"/>
      <c r="E1182" s="17"/>
      <c r="F1182" s="110"/>
      <c r="G1182" s="17"/>
      <c r="H1182" s="17"/>
      <c r="I1182" s="17"/>
      <c r="J1182" s="17"/>
      <c r="K1182" s="17"/>
      <c r="N1182" s="17"/>
      <c r="O1182" s="6"/>
      <c r="S1182" s="6"/>
      <c r="V1182" s="6"/>
      <c r="X1182" s="6"/>
      <c r="Z1182" s="110"/>
      <c r="AB1182" s="6"/>
      <c r="AD1182" s="6"/>
      <c r="AE1182" s="6"/>
      <c r="AF1182" s="126"/>
      <c r="AJ1182" s="6"/>
      <c r="AL1182" s="110"/>
      <c r="AM1182" s="110"/>
      <c r="AN1182" s="110"/>
      <c r="AP1182" s="6"/>
      <c r="AW1182" s="154"/>
      <c r="AX1182" s="154"/>
      <c r="AY1182" s="154"/>
      <c r="AZ1182" s="110"/>
      <c r="BB1182" s="6"/>
      <c r="BD1182" s="6"/>
      <c r="BE1182" s="6"/>
      <c r="BF1182" s="17"/>
      <c r="BV1182" s="17"/>
      <c r="BX1182" s="17"/>
      <c r="BZ1182" s="17"/>
    </row>
    <row r="1183" spans="1:78" x14ac:dyDescent="0.3">
      <c r="A1183" s="17"/>
      <c r="B1183" s="1"/>
      <c r="C1183" s="17"/>
      <c r="D1183" s="131"/>
      <c r="E1183" s="17"/>
      <c r="F1183" s="110"/>
      <c r="G1183" s="17"/>
      <c r="H1183" s="17"/>
      <c r="I1183" s="17"/>
      <c r="J1183" s="17"/>
      <c r="K1183" s="220"/>
      <c r="N1183" s="17"/>
      <c r="O1183" s="6"/>
      <c r="S1183" s="6"/>
      <c r="V1183" s="6"/>
      <c r="X1183" s="6"/>
      <c r="Z1183" s="110"/>
      <c r="AB1183" s="6"/>
      <c r="AD1183" s="6"/>
      <c r="AE1183" s="6"/>
      <c r="AF1183" s="126"/>
      <c r="AJ1183" s="6"/>
      <c r="AL1183" s="110"/>
      <c r="AM1183" s="110"/>
      <c r="AN1183" s="110"/>
      <c r="AP1183" s="6"/>
      <c r="AW1183" s="154"/>
      <c r="AX1183" s="154"/>
      <c r="AY1183" s="154"/>
      <c r="AZ1183" s="110"/>
      <c r="BB1183" s="6"/>
      <c r="BD1183" s="6"/>
      <c r="BE1183" s="6"/>
      <c r="BF1183" s="17"/>
      <c r="BV1183" s="17"/>
      <c r="BX1183" s="17"/>
      <c r="BZ1183" s="17"/>
    </row>
    <row r="1184" spans="1:78" x14ac:dyDescent="0.3">
      <c r="A1184" s="17"/>
      <c r="B1184" s="1"/>
      <c r="C1184" s="17"/>
      <c r="D1184" s="131"/>
      <c r="E1184" s="17"/>
      <c r="F1184" s="110"/>
      <c r="G1184" s="17"/>
      <c r="H1184" s="17"/>
      <c r="I1184" s="17"/>
      <c r="J1184" s="17"/>
      <c r="K1184" s="17"/>
      <c r="N1184" s="17"/>
      <c r="O1184" s="6"/>
      <c r="S1184" s="6"/>
      <c r="V1184" s="6"/>
      <c r="X1184" s="6"/>
      <c r="Z1184" s="110"/>
      <c r="AB1184" s="6"/>
      <c r="AD1184" s="6"/>
      <c r="AE1184" s="6"/>
      <c r="AF1184" s="126"/>
      <c r="AJ1184" s="6"/>
      <c r="AL1184" s="110"/>
      <c r="AM1184" s="110"/>
      <c r="AN1184" s="110"/>
      <c r="AP1184" s="6"/>
      <c r="AW1184" s="154"/>
      <c r="AX1184" s="154"/>
      <c r="AY1184" s="154"/>
      <c r="AZ1184" s="110"/>
      <c r="BB1184" s="6"/>
      <c r="BD1184" s="6"/>
      <c r="BE1184" s="6"/>
      <c r="BF1184" s="17"/>
      <c r="BV1184" s="17"/>
      <c r="BX1184" s="17"/>
      <c r="BZ1184" s="17"/>
    </row>
    <row r="1185" spans="1:78" x14ac:dyDescent="0.3">
      <c r="A1185" s="17"/>
      <c r="B1185" s="1"/>
      <c r="C1185" s="17"/>
      <c r="D1185" s="131"/>
      <c r="E1185" s="17"/>
      <c r="F1185" s="110"/>
      <c r="G1185" s="17"/>
      <c r="H1185" s="17"/>
      <c r="I1185" s="17"/>
      <c r="J1185" s="17"/>
      <c r="K1185" s="17"/>
      <c r="N1185" s="17"/>
      <c r="O1185" s="6"/>
      <c r="S1185" s="6"/>
      <c r="V1185" s="6"/>
      <c r="X1185" s="6"/>
      <c r="Z1185" s="110"/>
      <c r="AB1185" s="6"/>
      <c r="AD1185" s="6"/>
      <c r="AE1185" s="6"/>
      <c r="AF1185" s="126"/>
      <c r="AJ1185" s="6"/>
      <c r="AL1185" s="110"/>
      <c r="AM1185" s="110"/>
      <c r="AN1185" s="110"/>
      <c r="AP1185" s="6"/>
      <c r="AW1185" s="154"/>
      <c r="AX1185" s="154"/>
      <c r="AY1185" s="154"/>
      <c r="AZ1185" s="110"/>
      <c r="BB1185" s="6"/>
      <c r="BD1185" s="6"/>
      <c r="BE1185" s="6"/>
      <c r="BF1185" s="17"/>
      <c r="BV1185" s="17"/>
      <c r="BX1185" s="17"/>
      <c r="BZ1185" s="17"/>
    </row>
    <row r="1186" spans="1:78" x14ac:dyDescent="0.3">
      <c r="A1186" s="17"/>
      <c r="B1186" s="1"/>
      <c r="C1186" s="17"/>
      <c r="D1186" s="131"/>
      <c r="E1186" s="17"/>
      <c r="F1186" s="110"/>
      <c r="G1186" s="17"/>
      <c r="H1186" s="17"/>
      <c r="I1186" s="17"/>
      <c r="J1186" s="17"/>
      <c r="K1186" s="17"/>
      <c r="N1186" s="17"/>
      <c r="O1186" s="6"/>
      <c r="S1186" s="6"/>
      <c r="V1186" s="6"/>
      <c r="X1186" s="6"/>
      <c r="Z1186" s="110"/>
      <c r="AB1186" s="6"/>
      <c r="AD1186" s="6"/>
      <c r="AE1186" s="6"/>
      <c r="AF1186" s="126"/>
      <c r="AJ1186" s="6"/>
      <c r="AL1186" s="110"/>
      <c r="AM1186" s="110"/>
      <c r="AN1186" s="110"/>
      <c r="AP1186" s="6"/>
      <c r="AW1186" s="154"/>
      <c r="AX1186" s="154"/>
      <c r="AY1186" s="154"/>
      <c r="AZ1186" s="110"/>
      <c r="BB1186" s="6"/>
      <c r="BD1186" s="6"/>
      <c r="BE1186" s="6"/>
      <c r="BF1186" s="17"/>
      <c r="BV1186" s="17"/>
      <c r="BX1186" s="17"/>
      <c r="BZ1186" s="17"/>
    </row>
    <row r="1187" spans="1:78" x14ac:dyDescent="0.3">
      <c r="A1187" s="17"/>
      <c r="B1187" s="1"/>
      <c r="C1187" s="17"/>
      <c r="D1187" s="131"/>
      <c r="E1187" s="17"/>
      <c r="F1187" s="110"/>
      <c r="G1187" s="17"/>
      <c r="H1187" s="17"/>
      <c r="I1187" s="17"/>
      <c r="J1187" s="17"/>
      <c r="K1187" s="17"/>
      <c r="N1187" s="17"/>
      <c r="O1187" s="17"/>
      <c r="P1187" s="17"/>
      <c r="Q1187" s="17"/>
      <c r="R1187" s="17"/>
      <c r="S1187" s="17"/>
      <c r="T1187" s="17"/>
      <c r="U1187" s="17"/>
      <c r="V1187" s="17"/>
      <c r="W1187" s="17"/>
      <c r="X1187" s="17"/>
      <c r="Y1187" s="17"/>
      <c r="Z1187" s="17"/>
      <c r="AA1187" s="17"/>
      <c r="AB1187" s="17"/>
      <c r="AC1187" s="17"/>
      <c r="AD1187" s="17"/>
      <c r="AE1187" s="17"/>
      <c r="AF1187" s="126"/>
      <c r="AG1187" s="17"/>
      <c r="AH1187" s="17"/>
      <c r="AI1187" s="17"/>
      <c r="AJ1187" s="17"/>
      <c r="AK1187" s="17"/>
      <c r="AL1187" s="17"/>
      <c r="AM1187" s="17"/>
      <c r="AN1187" s="17"/>
      <c r="AO1187" s="17"/>
      <c r="AP1187" s="17"/>
      <c r="AQ1187" s="17"/>
      <c r="AR1187" s="17"/>
      <c r="AS1187" s="17"/>
      <c r="AT1187" s="17"/>
      <c r="AU1187" s="17"/>
      <c r="AV1187" s="17"/>
      <c r="AW1187" s="154"/>
      <c r="AX1187" s="154"/>
      <c r="AY1187" s="154"/>
      <c r="AZ1187" s="110"/>
      <c r="BB1187" s="6"/>
      <c r="BD1187" s="6"/>
      <c r="BE1187" s="6"/>
      <c r="BF1187" s="17"/>
      <c r="BV1187" s="17"/>
      <c r="BX1187" s="17"/>
      <c r="BZ1187" s="17"/>
    </row>
    <row r="1188" spans="1:78" x14ac:dyDescent="0.3">
      <c r="A1188" s="17"/>
      <c r="B1188" s="1"/>
      <c r="C1188" s="17"/>
      <c r="D1188" s="131"/>
      <c r="E1188" s="17"/>
      <c r="F1188" s="110"/>
      <c r="G1188" s="17"/>
      <c r="H1188" s="17"/>
      <c r="I1188" s="17"/>
      <c r="J1188" s="17"/>
      <c r="K1188" s="17"/>
      <c r="N1188" s="17"/>
      <c r="O1188" s="17"/>
      <c r="P1188" s="17"/>
      <c r="Q1188" s="17"/>
      <c r="R1188" s="17"/>
      <c r="S1188" s="17"/>
      <c r="T1188" s="17"/>
      <c r="U1188" s="17"/>
      <c r="V1188" s="17"/>
      <c r="W1188" s="17"/>
      <c r="X1188" s="17"/>
      <c r="Y1188" s="17"/>
      <c r="Z1188" s="17"/>
      <c r="AA1188" s="17"/>
      <c r="AB1188" s="17"/>
      <c r="AC1188" s="17"/>
      <c r="AD1188" s="17"/>
      <c r="AE1188" s="17"/>
      <c r="AF1188" s="126"/>
      <c r="AG1188" s="17"/>
      <c r="AH1188" s="17"/>
      <c r="AI1188" s="17"/>
      <c r="AJ1188" s="17"/>
      <c r="AK1188" s="17"/>
      <c r="AL1188" s="17"/>
      <c r="AM1188" s="17"/>
      <c r="AN1188" s="17"/>
      <c r="AO1188" s="17"/>
      <c r="AP1188" s="17"/>
      <c r="AQ1188" s="17"/>
      <c r="AR1188" s="17"/>
      <c r="AS1188" s="17"/>
      <c r="AT1188" s="17"/>
      <c r="AU1188" s="17"/>
      <c r="AV1188" s="17"/>
      <c r="AW1188" s="154"/>
      <c r="AX1188" s="154"/>
      <c r="AY1188" s="154"/>
      <c r="AZ1188" s="110"/>
      <c r="BB1188" s="6"/>
      <c r="BD1188" s="6"/>
      <c r="BE1188" s="6"/>
      <c r="BF1188" s="17"/>
      <c r="BV1188" s="17"/>
      <c r="BX1188" s="17"/>
      <c r="BZ1188" s="17"/>
    </row>
    <row r="1189" spans="1:78" x14ac:dyDescent="0.3">
      <c r="A1189" s="17"/>
      <c r="B1189" s="1"/>
      <c r="C1189" s="17"/>
      <c r="D1189" s="131"/>
      <c r="E1189" s="17"/>
      <c r="F1189" s="110"/>
      <c r="G1189" s="17"/>
      <c r="H1189" s="17"/>
      <c r="I1189" s="17"/>
      <c r="J1189" s="17"/>
      <c r="K1189" s="17"/>
      <c r="N1189" s="17"/>
      <c r="O1189" s="17"/>
      <c r="P1189" s="17"/>
      <c r="Q1189" s="17"/>
      <c r="R1189" s="17"/>
      <c r="S1189" s="17"/>
      <c r="T1189" s="17"/>
      <c r="U1189" s="17"/>
      <c r="V1189" s="17"/>
      <c r="W1189" s="17"/>
      <c r="X1189" s="17"/>
      <c r="Y1189" s="17"/>
      <c r="Z1189" s="17"/>
      <c r="AA1189" s="17"/>
      <c r="AB1189" s="17"/>
      <c r="AC1189" s="17"/>
      <c r="AD1189" s="17"/>
      <c r="AE1189" s="17"/>
      <c r="AF1189" s="126"/>
      <c r="AG1189" s="17"/>
      <c r="AH1189" s="17"/>
      <c r="AI1189" s="17"/>
      <c r="AJ1189" s="17"/>
      <c r="AK1189" s="17"/>
      <c r="AL1189" s="17"/>
      <c r="AM1189" s="17"/>
      <c r="AN1189" s="17"/>
      <c r="AO1189" s="17"/>
      <c r="AP1189" s="17"/>
      <c r="AQ1189" s="17"/>
      <c r="AR1189" s="17"/>
      <c r="AS1189" s="17"/>
      <c r="AT1189" s="17"/>
      <c r="AU1189" s="17"/>
      <c r="AV1189" s="17"/>
      <c r="AW1189" s="154"/>
      <c r="AX1189" s="154"/>
      <c r="AY1189" s="154"/>
      <c r="AZ1189" s="110"/>
      <c r="BB1189" s="6"/>
      <c r="BD1189" s="6"/>
      <c r="BE1189" s="6"/>
      <c r="BF1189" s="17"/>
      <c r="BV1189" s="17"/>
      <c r="BX1189" s="17"/>
      <c r="BZ1189" s="17"/>
    </row>
    <row r="1190" spans="1:78" x14ac:dyDescent="0.3">
      <c r="A1190" s="17"/>
      <c r="B1190" s="1"/>
      <c r="C1190" s="17"/>
      <c r="D1190" s="131"/>
      <c r="E1190" s="17"/>
      <c r="F1190" s="110"/>
      <c r="G1190" s="17"/>
      <c r="H1190" s="17"/>
      <c r="I1190" s="17"/>
      <c r="J1190" s="17"/>
      <c r="K1190" s="17"/>
      <c r="N1190" s="17"/>
      <c r="O1190" s="17"/>
      <c r="P1190" s="17"/>
      <c r="Q1190" s="17"/>
      <c r="R1190" s="17"/>
      <c r="S1190" s="17"/>
      <c r="T1190" s="17"/>
      <c r="U1190" s="17"/>
      <c r="V1190" s="17"/>
      <c r="W1190" s="17"/>
      <c r="X1190" s="17"/>
      <c r="Y1190" s="17"/>
      <c r="Z1190" s="17"/>
      <c r="AA1190" s="17"/>
      <c r="AB1190" s="17"/>
      <c r="AC1190" s="17"/>
      <c r="AD1190" s="17"/>
      <c r="AE1190" s="17"/>
      <c r="AF1190" s="126"/>
      <c r="AG1190" s="17"/>
      <c r="AH1190" s="17"/>
      <c r="AI1190" s="17"/>
      <c r="AJ1190" s="17"/>
      <c r="AK1190" s="17"/>
      <c r="AL1190" s="17"/>
      <c r="AM1190" s="17"/>
      <c r="AN1190" s="17"/>
      <c r="AO1190" s="17"/>
      <c r="AP1190" s="17"/>
      <c r="AQ1190" s="17"/>
      <c r="AR1190" s="17"/>
      <c r="AS1190" s="17"/>
      <c r="AT1190" s="17"/>
      <c r="AU1190" s="17"/>
      <c r="AV1190" s="17"/>
      <c r="AW1190" s="154"/>
      <c r="AX1190" s="154"/>
      <c r="AY1190" s="154"/>
      <c r="AZ1190" s="110"/>
      <c r="BB1190" s="6"/>
      <c r="BD1190" s="6"/>
      <c r="BE1190" s="6"/>
      <c r="BF1190" s="17"/>
      <c r="BV1190" s="17"/>
      <c r="BX1190" s="17"/>
      <c r="BZ1190" s="17"/>
    </row>
    <row r="1191" spans="1:78" x14ac:dyDescent="0.3">
      <c r="A1191" s="17"/>
      <c r="B1191" s="1"/>
      <c r="C1191" s="17"/>
      <c r="D1191" s="131"/>
      <c r="E1191" s="17"/>
      <c r="F1191" s="110"/>
      <c r="G1191" s="17"/>
      <c r="H1191" s="17"/>
      <c r="I1191" s="17"/>
      <c r="J1191" s="17"/>
      <c r="K1191" s="17"/>
      <c r="N1191" s="17"/>
      <c r="O1191" s="17"/>
      <c r="P1191" s="17"/>
      <c r="Q1191" s="17"/>
      <c r="R1191" s="17"/>
      <c r="S1191" s="17"/>
      <c r="T1191" s="17"/>
      <c r="U1191" s="17"/>
      <c r="V1191" s="17"/>
      <c r="W1191" s="17"/>
      <c r="X1191" s="17"/>
      <c r="Y1191" s="17"/>
      <c r="Z1191" s="17"/>
      <c r="AA1191" s="17"/>
      <c r="AB1191" s="17"/>
      <c r="AC1191" s="17"/>
      <c r="AD1191" s="17"/>
      <c r="AE1191" s="17"/>
      <c r="AF1191" s="126"/>
      <c r="AG1191" s="17"/>
      <c r="AH1191" s="17"/>
      <c r="AI1191" s="17"/>
      <c r="AJ1191" s="17"/>
      <c r="AK1191" s="17"/>
      <c r="AL1191" s="17"/>
      <c r="AM1191" s="17"/>
      <c r="AN1191" s="17"/>
      <c r="AO1191" s="17"/>
      <c r="AP1191" s="17"/>
      <c r="AQ1191" s="17"/>
      <c r="AR1191" s="17"/>
      <c r="AS1191" s="17"/>
      <c r="AT1191" s="17"/>
      <c r="AU1191" s="17"/>
      <c r="AV1191" s="17"/>
      <c r="AW1191" s="154"/>
      <c r="AX1191" s="154"/>
      <c r="AY1191" s="154"/>
      <c r="AZ1191" s="110"/>
      <c r="BB1191" s="6"/>
      <c r="BD1191" s="6"/>
      <c r="BE1191" s="6"/>
      <c r="BF1191" s="17"/>
      <c r="BV1191" s="17"/>
      <c r="BX1191" s="17"/>
      <c r="BZ1191" s="17"/>
    </row>
    <row r="1192" spans="1:78" x14ac:dyDescent="0.3">
      <c r="A1192" s="17"/>
      <c r="B1192" s="1"/>
      <c r="C1192" s="17"/>
      <c r="D1192" s="131"/>
      <c r="E1192" s="17"/>
      <c r="F1192" s="110"/>
      <c r="G1192" s="17"/>
      <c r="H1192" s="17"/>
      <c r="I1192" s="17"/>
      <c r="J1192" s="17"/>
      <c r="K1192" s="17"/>
      <c r="N1192" s="17"/>
      <c r="O1192" s="17"/>
      <c r="P1192" s="17"/>
      <c r="Q1192" s="17"/>
      <c r="R1192" s="17"/>
      <c r="S1192" s="17"/>
      <c r="T1192" s="17"/>
      <c r="U1192" s="17"/>
      <c r="V1192" s="17"/>
      <c r="W1192" s="17"/>
      <c r="X1192" s="17"/>
      <c r="Y1192" s="17"/>
      <c r="Z1192" s="17"/>
      <c r="AA1192" s="17"/>
      <c r="AB1192" s="17"/>
      <c r="AC1192" s="17"/>
      <c r="AD1192" s="17"/>
      <c r="AE1192" s="17"/>
      <c r="AF1192" s="126"/>
      <c r="AG1192" s="17"/>
      <c r="AH1192" s="17"/>
      <c r="AI1192" s="17"/>
      <c r="AJ1192" s="17"/>
      <c r="AK1192" s="17"/>
      <c r="AL1192" s="17"/>
      <c r="AM1192" s="17"/>
      <c r="AN1192" s="17"/>
      <c r="AO1192" s="17"/>
      <c r="AP1192" s="17"/>
      <c r="AQ1192" s="17"/>
      <c r="AR1192" s="17"/>
      <c r="AS1192" s="17"/>
      <c r="AT1192" s="17"/>
      <c r="AU1192" s="17"/>
      <c r="AV1192" s="17"/>
      <c r="AW1192" s="154"/>
      <c r="AX1192" s="154"/>
      <c r="AY1192" s="154"/>
      <c r="AZ1192" s="110"/>
      <c r="BB1192" s="6"/>
      <c r="BD1192" s="6"/>
      <c r="BE1192" s="6"/>
      <c r="BF1192" s="17"/>
      <c r="BV1192" s="17"/>
      <c r="BX1192" s="17"/>
      <c r="BZ1192" s="17"/>
    </row>
    <row r="1193" spans="1:78" x14ac:dyDescent="0.3">
      <c r="A1193" s="17"/>
      <c r="B1193" s="1"/>
      <c r="C1193" s="17"/>
      <c r="D1193" s="131"/>
      <c r="E1193" s="17"/>
      <c r="F1193" s="110"/>
      <c r="G1193" s="17"/>
      <c r="H1193" s="17"/>
      <c r="I1193" s="17"/>
      <c r="J1193" s="17"/>
      <c r="K1193" s="17"/>
      <c r="N1193" s="17"/>
      <c r="O1193" s="17"/>
      <c r="P1193" s="17"/>
      <c r="Q1193" s="17"/>
      <c r="R1193" s="17"/>
      <c r="S1193" s="17"/>
      <c r="T1193" s="17"/>
      <c r="U1193" s="17"/>
      <c r="V1193" s="17"/>
      <c r="W1193" s="17"/>
      <c r="X1193" s="17"/>
      <c r="Y1193" s="17"/>
      <c r="Z1193" s="17"/>
      <c r="AA1193" s="17"/>
      <c r="AB1193" s="17"/>
      <c r="AC1193" s="17"/>
      <c r="AD1193" s="17"/>
      <c r="AE1193" s="17"/>
      <c r="AF1193" s="126"/>
      <c r="AG1193" s="17"/>
      <c r="AH1193" s="17"/>
      <c r="AI1193" s="17"/>
      <c r="AJ1193" s="17"/>
      <c r="AK1193" s="17"/>
      <c r="AL1193" s="17"/>
      <c r="AM1193" s="17"/>
      <c r="AN1193" s="17"/>
      <c r="AO1193" s="17"/>
      <c r="AP1193" s="17"/>
      <c r="AQ1193" s="17"/>
      <c r="AR1193" s="17"/>
      <c r="AS1193" s="17"/>
      <c r="AT1193" s="17"/>
      <c r="AU1193" s="17"/>
      <c r="AV1193" s="17"/>
      <c r="AW1193" s="154"/>
      <c r="AX1193" s="154"/>
      <c r="AY1193" s="154"/>
      <c r="AZ1193" s="110"/>
      <c r="BB1193" s="6"/>
      <c r="BD1193" s="6"/>
      <c r="BE1193" s="6"/>
      <c r="BF1193" s="17"/>
      <c r="BJ1193" s="131"/>
      <c r="BV1193" s="17"/>
      <c r="BX1193" s="17"/>
      <c r="BZ1193" s="17"/>
    </row>
    <row r="1194" spans="1:78" x14ac:dyDescent="0.3">
      <c r="A1194" s="17"/>
      <c r="B1194" s="1"/>
      <c r="C1194" s="17"/>
      <c r="D1194" s="131"/>
      <c r="E1194" s="17"/>
      <c r="F1194" s="110"/>
      <c r="G1194" s="17"/>
      <c r="H1194" s="17"/>
      <c r="I1194" s="17"/>
      <c r="J1194" s="17"/>
      <c r="K1194" s="17"/>
      <c r="N1194" s="17"/>
      <c r="O1194" s="17"/>
      <c r="P1194" s="17"/>
      <c r="Q1194" s="17"/>
      <c r="R1194" s="17"/>
      <c r="S1194" s="17"/>
      <c r="T1194" s="17"/>
      <c r="U1194" s="17"/>
      <c r="V1194" s="17"/>
      <c r="W1194" s="17"/>
      <c r="X1194" s="17"/>
      <c r="Y1194" s="17"/>
      <c r="Z1194" s="17"/>
      <c r="AA1194" s="17"/>
      <c r="AB1194" s="17"/>
      <c r="AC1194" s="17"/>
      <c r="AD1194" s="17"/>
      <c r="AE1194" s="17"/>
      <c r="AF1194" s="126"/>
      <c r="AG1194" s="17"/>
      <c r="AH1194" s="17"/>
      <c r="AI1194" s="17"/>
      <c r="AJ1194" s="17"/>
      <c r="AK1194" s="17"/>
      <c r="AL1194" s="17"/>
      <c r="AM1194" s="17"/>
      <c r="AN1194" s="17"/>
      <c r="AO1194" s="17"/>
      <c r="AP1194" s="17"/>
      <c r="AQ1194" s="17"/>
      <c r="AR1194" s="17"/>
      <c r="AS1194" s="17"/>
      <c r="AT1194" s="17"/>
      <c r="AU1194" s="17"/>
      <c r="AV1194" s="17"/>
      <c r="AW1194" s="154"/>
      <c r="AX1194" s="154"/>
      <c r="AY1194" s="154"/>
      <c r="AZ1194" s="110"/>
      <c r="BB1194" s="6"/>
      <c r="BD1194" s="6"/>
      <c r="BE1194" s="6"/>
      <c r="BF1194" s="17"/>
      <c r="BV1194" s="17"/>
      <c r="BX1194" s="17"/>
      <c r="BZ1194" s="17"/>
    </row>
    <row r="1195" spans="1:78" x14ac:dyDescent="0.3">
      <c r="A1195" s="17"/>
      <c r="B1195" s="1"/>
      <c r="C1195" s="17"/>
      <c r="D1195" s="131"/>
      <c r="E1195" s="17"/>
      <c r="F1195" s="110"/>
      <c r="G1195" s="17"/>
      <c r="H1195" s="17"/>
      <c r="I1195" s="17"/>
      <c r="J1195" s="17"/>
      <c r="K1195" s="17"/>
      <c r="N1195" s="17"/>
      <c r="O1195" s="17"/>
      <c r="P1195" s="17"/>
      <c r="Q1195" s="17"/>
      <c r="R1195" s="17"/>
      <c r="S1195" s="17"/>
      <c r="T1195" s="17"/>
      <c r="U1195" s="17"/>
      <c r="V1195" s="17"/>
      <c r="W1195" s="17"/>
      <c r="X1195" s="17"/>
      <c r="Y1195" s="17"/>
      <c r="Z1195" s="17"/>
      <c r="AA1195" s="17"/>
      <c r="AB1195" s="17"/>
      <c r="AC1195" s="17"/>
      <c r="AD1195" s="17"/>
      <c r="AE1195" s="17"/>
      <c r="AF1195" s="126"/>
      <c r="AG1195" s="17"/>
      <c r="AH1195" s="17"/>
      <c r="AI1195" s="17"/>
      <c r="AJ1195" s="17"/>
      <c r="AK1195" s="17"/>
      <c r="AL1195" s="17"/>
      <c r="AM1195" s="17"/>
      <c r="AN1195" s="17"/>
      <c r="AO1195" s="17"/>
      <c r="AP1195" s="17"/>
      <c r="AQ1195" s="17"/>
      <c r="AR1195" s="17"/>
      <c r="AS1195" s="17"/>
      <c r="AT1195" s="17"/>
      <c r="AU1195" s="17"/>
      <c r="AV1195" s="17"/>
      <c r="AW1195" s="154"/>
      <c r="AX1195" s="154"/>
      <c r="AY1195" s="154"/>
      <c r="AZ1195" s="110"/>
      <c r="BB1195" s="6"/>
      <c r="BD1195" s="6"/>
      <c r="BE1195" s="6"/>
      <c r="BF1195" s="17"/>
      <c r="BJ1195" s="110"/>
      <c r="BV1195" s="17"/>
      <c r="BX1195" s="17"/>
      <c r="BZ1195" s="17"/>
    </row>
    <row r="1196" spans="1:78" x14ac:dyDescent="0.3">
      <c r="A1196" s="17"/>
      <c r="B1196" s="1"/>
      <c r="C1196" s="17"/>
      <c r="D1196" s="131"/>
      <c r="E1196" s="17"/>
      <c r="F1196" s="110"/>
      <c r="G1196" s="17"/>
      <c r="H1196" s="17"/>
      <c r="I1196" s="17"/>
      <c r="J1196" s="17"/>
      <c r="K1196" s="17"/>
      <c r="N1196" s="17"/>
      <c r="O1196" s="17"/>
      <c r="P1196" s="17"/>
      <c r="Q1196" s="17"/>
      <c r="R1196" s="17"/>
      <c r="S1196" s="17"/>
      <c r="T1196" s="17"/>
      <c r="U1196" s="17"/>
      <c r="V1196" s="17"/>
      <c r="W1196" s="17"/>
      <c r="X1196" s="17"/>
      <c r="Y1196" s="17"/>
      <c r="Z1196" s="17"/>
      <c r="AA1196" s="17"/>
      <c r="AB1196" s="17"/>
      <c r="AC1196" s="17"/>
      <c r="AD1196" s="17"/>
      <c r="AE1196" s="17"/>
      <c r="AF1196" s="126"/>
      <c r="AG1196" s="17"/>
      <c r="AH1196" s="17"/>
      <c r="AI1196" s="17"/>
      <c r="AJ1196" s="17"/>
      <c r="AK1196" s="17"/>
      <c r="AL1196" s="17"/>
      <c r="AM1196" s="17"/>
      <c r="AN1196" s="17"/>
      <c r="AO1196" s="17"/>
      <c r="AP1196" s="17"/>
      <c r="AQ1196" s="17"/>
      <c r="AR1196" s="17"/>
      <c r="AS1196" s="17"/>
      <c r="AT1196" s="17"/>
      <c r="AU1196" s="17"/>
      <c r="AV1196" s="17"/>
      <c r="AW1196" s="154"/>
      <c r="AX1196" s="154"/>
      <c r="AY1196" s="154"/>
      <c r="AZ1196" s="110"/>
      <c r="BB1196" s="6"/>
      <c r="BD1196" s="6"/>
      <c r="BE1196" s="6"/>
      <c r="BF1196" s="17"/>
      <c r="BV1196" s="17"/>
      <c r="BX1196" s="17"/>
      <c r="BZ1196" s="17"/>
    </row>
    <row r="1197" spans="1:78" x14ac:dyDescent="0.3">
      <c r="A1197" s="17"/>
      <c r="B1197" s="1"/>
      <c r="C1197" s="17"/>
      <c r="D1197" s="131"/>
      <c r="E1197" s="17"/>
      <c r="F1197" s="110"/>
      <c r="G1197" s="17"/>
      <c r="H1197" s="17"/>
      <c r="I1197" s="17"/>
      <c r="J1197" s="17"/>
      <c r="K1197" s="17"/>
      <c r="N1197" s="17"/>
      <c r="O1197" s="17"/>
      <c r="P1197" s="17"/>
      <c r="Q1197" s="17"/>
      <c r="R1197" s="17"/>
      <c r="S1197" s="17"/>
      <c r="T1197" s="17"/>
      <c r="U1197" s="17"/>
      <c r="V1197" s="17"/>
      <c r="W1197" s="17"/>
      <c r="X1197" s="17"/>
      <c r="Y1197" s="17"/>
      <c r="Z1197" s="17"/>
      <c r="AA1197" s="17"/>
      <c r="AB1197" s="17"/>
      <c r="AC1197" s="17"/>
      <c r="AD1197" s="17"/>
      <c r="AE1197" s="17"/>
      <c r="AF1197" s="126"/>
      <c r="AG1197" s="17"/>
      <c r="AH1197" s="17"/>
      <c r="AI1197" s="17"/>
      <c r="AJ1197" s="17"/>
      <c r="AK1197" s="17"/>
      <c r="AL1197" s="17"/>
      <c r="AM1197" s="17"/>
      <c r="AN1197" s="17"/>
      <c r="AO1197" s="17"/>
      <c r="AP1197" s="17"/>
      <c r="AQ1197" s="17"/>
      <c r="AR1197" s="17"/>
      <c r="AS1197" s="17"/>
      <c r="AT1197" s="17"/>
      <c r="AU1197" s="17"/>
      <c r="AV1197" s="17"/>
      <c r="AW1197" s="154"/>
      <c r="AX1197" s="154"/>
      <c r="AY1197" s="154"/>
      <c r="AZ1197" s="110"/>
      <c r="BB1197" s="6"/>
      <c r="BD1197" s="6"/>
      <c r="BE1197" s="6"/>
      <c r="BF1197" s="17"/>
      <c r="BV1197" s="17"/>
      <c r="BX1197" s="17"/>
      <c r="BZ1197" s="17"/>
    </row>
    <row r="1198" spans="1:78" x14ac:dyDescent="0.3">
      <c r="A1198" s="17"/>
      <c r="B1198" s="1"/>
      <c r="C1198" s="17"/>
      <c r="D1198" s="131"/>
      <c r="E1198" s="17"/>
      <c r="F1198" s="110"/>
      <c r="G1198" s="17"/>
      <c r="H1198" s="17"/>
      <c r="I1198" s="17"/>
      <c r="J1198" s="17"/>
      <c r="K1198" s="17"/>
      <c r="N1198" s="17"/>
      <c r="O1198" s="17"/>
      <c r="P1198" s="17"/>
      <c r="Q1198" s="17"/>
      <c r="R1198" s="17"/>
      <c r="S1198" s="17"/>
      <c r="T1198" s="17"/>
      <c r="U1198" s="17"/>
      <c r="V1198" s="17"/>
      <c r="W1198" s="17"/>
      <c r="X1198" s="17"/>
      <c r="Y1198" s="17"/>
      <c r="Z1198" s="17"/>
      <c r="AA1198" s="17"/>
      <c r="AB1198" s="17"/>
      <c r="AC1198" s="17"/>
      <c r="AD1198" s="17"/>
      <c r="AE1198" s="17"/>
      <c r="AF1198" s="126"/>
      <c r="AG1198" s="17"/>
      <c r="AH1198" s="17"/>
      <c r="AI1198" s="17"/>
      <c r="AJ1198" s="17"/>
      <c r="AK1198" s="17"/>
      <c r="AL1198" s="17"/>
      <c r="AM1198" s="17"/>
      <c r="AN1198" s="17"/>
      <c r="AO1198" s="17"/>
      <c r="AP1198" s="17"/>
      <c r="AQ1198" s="17"/>
      <c r="AR1198" s="17"/>
      <c r="AS1198" s="17"/>
      <c r="AT1198" s="17"/>
      <c r="AU1198" s="17"/>
      <c r="AV1198" s="17"/>
      <c r="AW1198" s="154"/>
      <c r="AX1198" s="154"/>
      <c r="AY1198" s="154"/>
      <c r="AZ1198" s="110"/>
      <c r="BB1198" s="6"/>
      <c r="BD1198" s="6"/>
      <c r="BE1198" s="6"/>
      <c r="BF1198" s="17"/>
      <c r="BV1198" s="17"/>
      <c r="BX1198" s="17"/>
      <c r="BZ1198" s="17"/>
    </row>
    <row r="1199" spans="1:78" x14ac:dyDescent="0.3">
      <c r="D1199" s="153"/>
      <c r="E1199" s="6"/>
      <c r="F1199" s="110"/>
      <c r="G1199" s="6"/>
      <c r="J1199" s="6"/>
      <c r="N1199" s="154"/>
      <c r="O1199" s="6"/>
      <c r="S1199" s="6"/>
      <c r="V1199" s="6"/>
      <c r="X1199" s="6"/>
      <c r="Z1199" s="110"/>
      <c r="AB1199" s="6"/>
      <c r="AD1199" s="6"/>
      <c r="AE1199" s="6"/>
      <c r="AF1199" s="126"/>
      <c r="AJ1199" s="6"/>
      <c r="AL1199" s="110"/>
      <c r="AM1199" s="110"/>
      <c r="AN1199" s="110"/>
      <c r="AP1199" s="6"/>
      <c r="AW1199" s="6"/>
      <c r="AX1199" s="6"/>
      <c r="AZ1199" s="110"/>
      <c r="BB1199" s="6"/>
      <c r="BD1199" s="6"/>
      <c r="BE1199" s="6"/>
      <c r="BV1199" s="17"/>
      <c r="BX1199" s="17"/>
      <c r="BZ1199" s="17"/>
    </row>
    <row r="1200" spans="1:78" x14ac:dyDescent="0.3">
      <c r="D1200" s="153"/>
      <c r="E1200" s="6"/>
      <c r="F1200" s="110"/>
      <c r="G1200" s="6"/>
      <c r="J1200" s="6"/>
      <c r="N1200" s="154"/>
      <c r="O1200" s="6"/>
      <c r="S1200" s="6"/>
      <c r="V1200" s="6"/>
      <c r="X1200" s="6"/>
      <c r="Z1200" s="110"/>
      <c r="AB1200" s="6"/>
      <c r="AD1200" s="6"/>
      <c r="AE1200" s="6"/>
      <c r="AF1200" s="126"/>
      <c r="AJ1200" s="6"/>
      <c r="AL1200" s="110"/>
      <c r="AM1200" s="110"/>
      <c r="AN1200" s="110"/>
      <c r="AP1200" s="6"/>
      <c r="AW1200" s="6"/>
      <c r="AX1200" s="6"/>
      <c r="AZ1200" s="110"/>
      <c r="BB1200" s="6"/>
      <c r="BD1200" s="6"/>
      <c r="BE1200" s="6"/>
      <c r="BV1200" s="17"/>
      <c r="BX1200" s="17"/>
      <c r="BZ1200" s="17"/>
    </row>
    <row r="1201" spans="4:78" x14ac:dyDescent="0.3">
      <c r="D1201" s="153"/>
      <c r="E1201" s="6"/>
      <c r="G1201" s="6"/>
      <c r="J1201" s="6"/>
      <c r="N1201" s="154"/>
      <c r="O1201" s="6"/>
      <c r="S1201" s="6"/>
      <c r="V1201" s="6"/>
      <c r="X1201" s="6"/>
      <c r="Z1201" s="110"/>
      <c r="AB1201" s="6"/>
      <c r="AD1201" s="6"/>
      <c r="AE1201" s="6"/>
      <c r="AF1201" s="126"/>
      <c r="AJ1201" s="6"/>
      <c r="AL1201" s="110"/>
      <c r="AM1201" s="110"/>
      <c r="AN1201" s="110"/>
      <c r="AP1201" s="6"/>
      <c r="AW1201" s="6"/>
      <c r="AX1201" s="6"/>
      <c r="AZ1201" s="110"/>
      <c r="BB1201" s="6"/>
      <c r="BD1201" s="6"/>
      <c r="BE1201" s="6"/>
      <c r="BV1201" s="17"/>
      <c r="BX1201" s="17"/>
      <c r="BZ1201" s="17"/>
    </row>
    <row r="1202" spans="4:78" x14ac:dyDescent="0.3">
      <c r="D1202" s="153"/>
      <c r="E1202" s="6"/>
      <c r="G1202" s="6"/>
      <c r="J1202" s="6"/>
      <c r="N1202" s="154"/>
      <c r="O1202" s="6"/>
      <c r="S1202" s="6"/>
      <c r="V1202" s="6"/>
      <c r="X1202" s="6"/>
      <c r="Z1202" s="110"/>
      <c r="AB1202" s="6"/>
      <c r="AD1202" s="6"/>
      <c r="AE1202" s="6"/>
      <c r="AF1202" s="126"/>
      <c r="AJ1202" s="6"/>
      <c r="AL1202" s="110"/>
      <c r="AM1202" s="110"/>
      <c r="AN1202" s="110"/>
      <c r="AP1202" s="6"/>
      <c r="AW1202" s="6"/>
      <c r="AX1202" s="6"/>
      <c r="AZ1202" s="110"/>
      <c r="BB1202" s="6"/>
      <c r="BD1202" s="6"/>
      <c r="BE1202" s="6"/>
      <c r="BV1202" s="17"/>
      <c r="BX1202" s="17"/>
      <c r="BZ1202" s="17"/>
    </row>
    <row r="1203" spans="4:78" x14ac:dyDescent="0.3">
      <c r="D1203" s="153"/>
      <c r="E1203" s="6"/>
      <c r="G1203" s="6"/>
      <c r="J1203" s="6"/>
      <c r="N1203" s="154"/>
      <c r="O1203" s="6"/>
      <c r="S1203" s="6"/>
      <c r="V1203" s="6"/>
      <c r="X1203" s="6"/>
      <c r="Z1203" s="110"/>
      <c r="AB1203" s="6"/>
      <c r="AD1203" s="6"/>
      <c r="AE1203" s="6"/>
      <c r="AF1203" s="126"/>
      <c r="AJ1203" s="6"/>
      <c r="AL1203" s="110"/>
      <c r="AM1203" s="110"/>
      <c r="AN1203" s="110"/>
      <c r="AP1203" s="6"/>
      <c r="AW1203" s="6"/>
      <c r="AX1203" s="6"/>
      <c r="AZ1203" s="110"/>
      <c r="BB1203" s="6"/>
      <c r="BD1203" s="6"/>
      <c r="BE1203" s="6"/>
      <c r="BV1203" s="17"/>
      <c r="BX1203" s="17"/>
      <c r="BZ1203" s="17"/>
    </row>
    <row r="1204" spans="4:78" x14ac:dyDescent="0.3">
      <c r="D1204" s="153"/>
      <c r="E1204" s="6"/>
      <c r="G1204" s="6"/>
      <c r="J1204" s="6"/>
      <c r="N1204" s="154"/>
      <c r="O1204" s="6"/>
      <c r="S1204" s="6"/>
      <c r="V1204" s="6"/>
      <c r="X1204" s="6"/>
      <c r="Z1204" s="110"/>
      <c r="AB1204" s="6"/>
      <c r="AD1204" s="6"/>
      <c r="AE1204" s="6"/>
      <c r="AF1204" s="126"/>
      <c r="AJ1204" s="6"/>
      <c r="AL1204" s="110"/>
      <c r="AM1204" s="110"/>
      <c r="AN1204" s="110"/>
      <c r="AP1204" s="6"/>
      <c r="AW1204" s="6"/>
      <c r="AX1204" s="6"/>
      <c r="AZ1204" s="110"/>
      <c r="BB1204" s="6"/>
      <c r="BD1204" s="6"/>
      <c r="BE1204" s="6"/>
      <c r="BV1204" s="17"/>
      <c r="BX1204" s="17"/>
      <c r="BZ1204" s="17"/>
    </row>
    <row r="1205" spans="4:78" x14ac:dyDescent="0.3">
      <c r="D1205" s="153"/>
      <c r="E1205" s="6"/>
      <c r="G1205" s="6"/>
      <c r="J1205" s="6"/>
      <c r="N1205" s="154"/>
      <c r="O1205" s="6"/>
      <c r="S1205" s="6"/>
      <c r="V1205" s="6"/>
      <c r="X1205" s="6"/>
      <c r="Z1205" s="110"/>
      <c r="AB1205" s="6"/>
      <c r="AD1205" s="6"/>
      <c r="AE1205" s="6"/>
      <c r="AF1205" s="126"/>
      <c r="AJ1205" s="6"/>
      <c r="AL1205" s="110"/>
      <c r="AM1205" s="110"/>
      <c r="AN1205" s="110"/>
      <c r="AP1205" s="6"/>
      <c r="AW1205" s="6"/>
      <c r="AX1205" s="6"/>
      <c r="AZ1205" s="110"/>
      <c r="BB1205" s="6"/>
      <c r="BD1205" s="6"/>
      <c r="BE1205" s="6"/>
      <c r="BV1205" s="17"/>
      <c r="BX1205" s="17"/>
      <c r="BZ1205" s="17"/>
    </row>
    <row r="1206" spans="4:78" x14ac:dyDescent="0.3">
      <c r="D1206" s="153"/>
      <c r="E1206" s="6"/>
      <c r="G1206" s="6"/>
      <c r="J1206" s="6"/>
      <c r="N1206" s="154"/>
      <c r="O1206" s="6"/>
      <c r="S1206" s="6"/>
      <c r="V1206" s="6"/>
      <c r="X1206" s="6"/>
      <c r="Z1206" s="110"/>
      <c r="AB1206" s="6"/>
      <c r="AD1206" s="6"/>
      <c r="AE1206" s="6"/>
      <c r="AF1206" s="126"/>
      <c r="AJ1206" s="6"/>
      <c r="AL1206" s="110"/>
      <c r="AM1206" s="110"/>
      <c r="AN1206" s="110"/>
      <c r="AP1206" s="6"/>
      <c r="AW1206" s="6"/>
      <c r="AX1206" s="6"/>
      <c r="AZ1206" s="110"/>
      <c r="BB1206" s="6"/>
      <c r="BD1206" s="6"/>
      <c r="BE1206" s="6"/>
      <c r="BV1206" s="17"/>
      <c r="BX1206" s="17"/>
      <c r="BZ1206" s="17"/>
    </row>
    <row r="1207" spans="4:78" x14ac:dyDescent="0.3">
      <c r="D1207" s="153"/>
      <c r="E1207" s="6"/>
      <c r="G1207" s="6"/>
      <c r="J1207" s="6"/>
      <c r="N1207" s="154"/>
      <c r="O1207" s="6"/>
      <c r="S1207" s="6"/>
      <c r="V1207" s="6"/>
      <c r="X1207" s="6"/>
      <c r="Z1207" s="110"/>
      <c r="AB1207" s="6"/>
      <c r="AD1207" s="6"/>
      <c r="AE1207" s="6"/>
      <c r="AF1207" s="126"/>
      <c r="AJ1207" s="6"/>
      <c r="AL1207" s="110"/>
      <c r="AM1207" s="110"/>
      <c r="AN1207" s="110"/>
      <c r="AP1207" s="6"/>
      <c r="AW1207" s="6"/>
      <c r="AX1207" s="6"/>
      <c r="AZ1207" s="110"/>
      <c r="BB1207" s="6"/>
      <c r="BD1207" s="6"/>
      <c r="BE1207" s="6"/>
      <c r="BV1207" s="17"/>
      <c r="BX1207" s="17"/>
      <c r="BZ1207" s="17"/>
    </row>
    <row r="1208" spans="4:78" x14ac:dyDescent="0.3">
      <c r="D1208" s="153"/>
      <c r="E1208" s="6"/>
      <c r="G1208" s="6"/>
      <c r="J1208" s="6"/>
      <c r="N1208" s="154"/>
      <c r="O1208" s="6"/>
      <c r="S1208" s="6"/>
      <c r="V1208" s="6"/>
      <c r="X1208" s="6"/>
      <c r="Z1208" s="110"/>
      <c r="AB1208" s="6"/>
      <c r="AD1208" s="6"/>
      <c r="AE1208" s="6"/>
      <c r="AF1208" s="126"/>
      <c r="AJ1208" s="6"/>
      <c r="AL1208" s="110"/>
      <c r="AM1208" s="110"/>
      <c r="AN1208" s="110"/>
      <c r="AP1208" s="6"/>
      <c r="AW1208" s="6"/>
      <c r="AX1208" s="6"/>
      <c r="AZ1208" s="110"/>
      <c r="BB1208" s="6"/>
      <c r="BD1208" s="6"/>
      <c r="BE1208" s="6"/>
      <c r="BV1208" s="17"/>
      <c r="BX1208" s="17"/>
      <c r="BZ1208" s="17"/>
    </row>
    <row r="1209" spans="4:78" x14ac:dyDescent="0.3">
      <c r="D1209" s="153"/>
      <c r="E1209" s="6"/>
      <c r="G1209" s="6"/>
      <c r="J1209" s="6"/>
      <c r="N1209" s="154"/>
      <c r="O1209" s="6"/>
      <c r="S1209" s="6"/>
      <c r="V1209" s="6"/>
      <c r="X1209" s="6"/>
      <c r="Z1209" s="110"/>
      <c r="AB1209" s="6"/>
      <c r="AD1209" s="6"/>
      <c r="AE1209" s="6"/>
      <c r="AF1209" s="126"/>
      <c r="AJ1209" s="6"/>
      <c r="AL1209" s="110"/>
      <c r="AM1209" s="110"/>
      <c r="AN1209" s="110"/>
      <c r="AP1209" s="6"/>
      <c r="AW1209" s="6"/>
      <c r="AX1209" s="6"/>
      <c r="AZ1209" s="110"/>
      <c r="BB1209" s="6"/>
      <c r="BD1209" s="6"/>
      <c r="BE1209" s="6"/>
      <c r="BV1209" s="17"/>
      <c r="BX1209" s="17"/>
      <c r="BZ1209" s="17"/>
    </row>
    <row r="1210" spans="4:78" x14ac:dyDescent="0.3">
      <c r="D1210" s="153"/>
      <c r="E1210" s="6"/>
      <c r="G1210" s="6"/>
      <c r="J1210" s="6"/>
      <c r="N1210" s="154"/>
      <c r="O1210" s="6"/>
      <c r="S1210" s="6"/>
      <c r="V1210" s="6"/>
      <c r="X1210" s="6"/>
      <c r="Z1210" s="110"/>
      <c r="AB1210" s="6"/>
      <c r="AD1210" s="6"/>
      <c r="AE1210" s="6"/>
      <c r="AF1210" s="126"/>
      <c r="AJ1210" s="6"/>
      <c r="AL1210" s="110"/>
      <c r="AM1210" s="110"/>
      <c r="AN1210" s="110"/>
      <c r="AP1210" s="6"/>
      <c r="AW1210" s="6"/>
      <c r="AX1210" s="6"/>
      <c r="AZ1210" s="110"/>
      <c r="BB1210" s="6"/>
      <c r="BD1210" s="6"/>
      <c r="BE1210" s="6"/>
      <c r="BV1210" s="17"/>
      <c r="BX1210" s="17"/>
      <c r="BZ1210" s="17"/>
    </row>
    <row r="1211" spans="4:78" x14ac:dyDescent="0.3">
      <c r="D1211" s="153"/>
      <c r="E1211" s="6"/>
      <c r="G1211" s="6"/>
      <c r="J1211" s="6"/>
      <c r="N1211" s="154"/>
      <c r="O1211" s="6"/>
      <c r="S1211" s="6"/>
      <c r="V1211" s="6"/>
      <c r="X1211" s="6"/>
      <c r="Z1211" s="110"/>
      <c r="AB1211" s="6"/>
      <c r="AD1211" s="6"/>
      <c r="AE1211" s="6"/>
      <c r="AF1211" s="126"/>
      <c r="AJ1211" s="6"/>
      <c r="AL1211" s="110"/>
      <c r="AM1211" s="110"/>
      <c r="AN1211" s="110"/>
      <c r="AP1211" s="6"/>
      <c r="AW1211" s="6"/>
      <c r="AX1211" s="6"/>
      <c r="AZ1211" s="110"/>
      <c r="BB1211" s="6"/>
      <c r="BD1211" s="6"/>
      <c r="BE1211" s="6"/>
      <c r="BV1211" s="17"/>
      <c r="BX1211" s="17"/>
      <c r="BZ1211" s="17"/>
    </row>
    <row r="1212" spans="4:78" x14ac:dyDescent="0.3">
      <c r="D1212" s="153"/>
      <c r="E1212" s="6"/>
      <c r="G1212" s="6"/>
      <c r="J1212" s="6"/>
      <c r="N1212" s="154"/>
      <c r="O1212" s="6"/>
      <c r="S1212" s="6"/>
      <c r="V1212" s="6"/>
      <c r="X1212" s="6"/>
      <c r="Z1212" s="110"/>
      <c r="AB1212" s="6"/>
      <c r="AD1212" s="6"/>
      <c r="AE1212" s="6"/>
      <c r="AF1212" s="126"/>
      <c r="AJ1212" s="6"/>
      <c r="AL1212" s="110"/>
      <c r="AM1212" s="110"/>
      <c r="AN1212" s="110"/>
      <c r="AP1212" s="6"/>
      <c r="AW1212" s="6"/>
      <c r="AX1212" s="6"/>
      <c r="AZ1212" s="110"/>
      <c r="BB1212" s="6"/>
      <c r="BD1212" s="6"/>
      <c r="BE1212" s="6"/>
      <c r="BV1212" s="17"/>
      <c r="BX1212" s="17"/>
      <c r="BZ1212" s="17"/>
    </row>
    <row r="1213" spans="4:78" x14ac:dyDescent="0.3">
      <c r="D1213" s="153"/>
      <c r="E1213" s="6"/>
      <c r="G1213" s="6"/>
      <c r="J1213" s="6"/>
      <c r="N1213" s="154"/>
      <c r="O1213" s="6"/>
      <c r="S1213" s="6"/>
      <c r="V1213" s="6"/>
      <c r="X1213" s="6"/>
      <c r="Z1213" s="110"/>
      <c r="AB1213" s="6"/>
      <c r="AD1213" s="6"/>
      <c r="AE1213" s="6"/>
      <c r="AF1213" s="126"/>
      <c r="AJ1213" s="6"/>
      <c r="AL1213" s="110"/>
      <c r="AM1213" s="110"/>
      <c r="AN1213" s="110"/>
      <c r="AP1213" s="6"/>
      <c r="AW1213" s="6"/>
      <c r="AX1213" s="6"/>
      <c r="AZ1213" s="110"/>
      <c r="BB1213" s="6"/>
      <c r="BD1213" s="6"/>
      <c r="BE1213" s="6"/>
      <c r="BV1213" s="17"/>
      <c r="BX1213" s="17"/>
      <c r="BZ1213" s="17"/>
    </row>
    <row r="1214" spans="4:78" x14ac:dyDescent="0.3">
      <c r="D1214" s="153"/>
      <c r="E1214" s="6"/>
      <c r="G1214" s="6"/>
      <c r="J1214" s="6"/>
      <c r="N1214" s="154"/>
      <c r="O1214" s="6"/>
      <c r="S1214" s="6"/>
      <c r="V1214" s="6"/>
      <c r="X1214" s="6"/>
      <c r="Z1214" s="110"/>
      <c r="AB1214" s="6"/>
      <c r="AD1214" s="6"/>
      <c r="AE1214" s="6"/>
      <c r="AF1214" s="126"/>
      <c r="AJ1214" s="6"/>
      <c r="AL1214" s="110"/>
      <c r="AM1214" s="110"/>
      <c r="AN1214" s="110"/>
      <c r="AP1214" s="6"/>
      <c r="AW1214" s="6"/>
      <c r="AX1214" s="6"/>
      <c r="AZ1214" s="110"/>
      <c r="BB1214" s="6"/>
      <c r="BD1214" s="6"/>
      <c r="BE1214" s="6"/>
      <c r="BV1214" s="17"/>
      <c r="BX1214" s="17"/>
      <c r="BZ1214" s="17"/>
    </row>
    <row r="1215" spans="4:78" x14ac:dyDescent="0.3">
      <c r="D1215" s="153"/>
      <c r="E1215" s="6"/>
      <c r="G1215" s="6"/>
      <c r="J1215" s="6"/>
      <c r="N1215" s="154"/>
      <c r="O1215" s="6"/>
      <c r="S1215" s="6"/>
      <c r="V1215" s="6"/>
      <c r="X1215" s="6"/>
      <c r="Z1215" s="110"/>
      <c r="AB1215" s="6"/>
      <c r="AD1215" s="6"/>
      <c r="AE1215" s="6"/>
      <c r="AF1215" s="126"/>
      <c r="AJ1215" s="6"/>
      <c r="AL1215" s="110"/>
      <c r="AM1215" s="110"/>
      <c r="AN1215" s="110"/>
      <c r="AP1215" s="6"/>
      <c r="AW1215" s="6"/>
      <c r="AX1215" s="6"/>
      <c r="AZ1215" s="110"/>
      <c r="BB1215" s="6"/>
      <c r="BD1215" s="6"/>
      <c r="BE1215" s="6"/>
      <c r="BV1215" s="17"/>
      <c r="BX1215" s="17"/>
      <c r="BZ1215" s="17"/>
    </row>
    <row r="1216" spans="4:78" x14ac:dyDescent="0.3">
      <c r="D1216" s="153"/>
      <c r="E1216" s="6"/>
      <c r="G1216" s="6"/>
      <c r="J1216" s="6"/>
      <c r="N1216" s="154"/>
      <c r="O1216" s="6"/>
      <c r="S1216" s="6"/>
      <c r="V1216" s="6"/>
      <c r="X1216" s="6"/>
      <c r="Z1216" s="110"/>
      <c r="AB1216" s="6"/>
      <c r="AD1216" s="6"/>
      <c r="AE1216" s="6"/>
      <c r="AF1216" s="126"/>
      <c r="AJ1216" s="6"/>
      <c r="AL1216" s="110"/>
      <c r="AM1216" s="110"/>
      <c r="AN1216" s="110"/>
      <c r="AP1216" s="6"/>
      <c r="AW1216" s="6"/>
      <c r="AX1216" s="6"/>
      <c r="AZ1216" s="110"/>
      <c r="BB1216" s="6"/>
      <c r="BD1216" s="6"/>
      <c r="BE1216" s="6"/>
      <c r="BV1216" s="17"/>
      <c r="BX1216" s="17"/>
      <c r="BZ1216" s="17"/>
    </row>
    <row r="1217" spans="4:78" x14ac:dyDescent="0.3">
      <c r="D1217" s="153"/>
      <c r="E1217" s="6"/>
      <c r="G1217" s="6"/>
      <c r="J1217" s="6"/>
      <c r="N1217" s="154"/>
      <c r="O1217" s="6"/>
      <c r="S1217" s="6"/>
      <c r="V1217" s="6"/>
      <c r="X1217" s="6"/>
      <c r="Z1217" s="110"/>
      <c r="AB1217" s="6"/>
      <c r="AD1217" s="6"/>
      <c r="AE1217" s="6"/>
      <c r="AF1217" s="126"/>
      <c r="AJ1217" s="6"/>
      <c r="AL1217" s="110"/>
      <c r="AM1217" s="110"/>
      <c r="AN1217" s="110"/>
      <c r="AP1217" s="6"/>
      <c r="AW1217" s="6"/>
      <c r="AX1217" s="6"/>
      <c r="AZ1217" s="110"/>
      <c r="BB1217" s="6"/>
      <c r="BD1217" s="6"/>
      <c r="BE1217" s="6"/>
      <c r="BV1217" s="17"/>
      <c r="BX1217" s="17"/>
      <c r="BZ1217" s="17"/>
    </row>
    <row r="1218" spans="4:78" x14ac:dyDescent="0.3">
      <c r="D1218" s="153"/>
      <c r="E1218" s="6"/>
      <c r="G1218" s="6"/>
      <c r="J1218" s="6"/>
      <c r="N1218" s="154"/>
      <c r="O1218" s="6"/>
      <c r="S1218" s="6"/>
      <c r="V1218" s="6"/>
      <c r="X1218" s="6"/>
      <c r="Z1218" s="110"/>
      <c r="AB1218" s="6"/>
      <c r="AD1218" s="6"/>
      <c r="AE1218" s="6"/>
      <c r="AF1218" s="126"/>
      <c r="AJ1218" s="6"/>
      <c r="AL1218" s="110"/>
      <c r="AM1218" s="110"/>
      <c r="AN1218" s="110"/>
      <c r="AP1218" s="6"/>
      <c r="AW1218" s="6"/>
      <c r="AX1218" s="6"/>
      <c r="AZ1218" s="110"/>
      <c r="BB1218" s="6"/>
      <c r="BD1218" s="6"/>
      <c r="BE1218" s="6"/>
      <c r="BV1218" s="17"/>
      <c r="BX1218" s="17"/>
      <c r="BZ1218" s="17"/>
    </row>
    <row r="1219" spans="4:78" x14ac:dyDescent="0.3">
      <c r="D1219" s="153"/>
      <c r="E1219" s="6"/>
      <c r="G1219" s="6"/>
      <c r="J1219" s="6"/>
      <c r="N1219" s="154"/>
      <c r="O1219" s="6"/>
      <c r="S1219" s="6"/>
      <c r="V1219" s="6"/>
      <c r="X1219" s="6"/>
      <c r="Z1219" s="110"/>
      <c r="AB1219" s="6"/>
      <c r="AD1219" s="6"/>
      <c r="AE1219" s="6"/>
      <c r="AF1219" s="126"/>
      <c r="AJ1219" s="6"/>
      <c r="AL1219" s="110"/>
      <c r="AM1219" s="110"/>
      <c r="AN1219" s="110"/>
      <c r="AP1219" s="6"/>
      <c r="AW1219" s="6"/>
      <c r="AX1219" s="6"/>
      <c r="AZ1219" s="110"/>
      <c r="BB1219" s="6"/>
      <c r="BD1219" s="6"/>
      <c r="BE1219" s="6"/>
      <c r="BV1219" s="17"/>
      <c r="BX1219" s="17"/>
      <c r="BZ1219" s="17"/>
    </row>
    <row r="1220" spans="4:78" x14ac:dyDescent="0.3">
      <c r="D1220" s="153"/>
      <c r="E1220" s="6"/>
      <c r="G1220" s="6"/>
      <c r="J1220" s="6"/>
      <c r="N1220" s="154"/>
      <c r="O1220" s="6"/>
      <c r="S1220" s="6"/>
      <c r="V1220" s="6"/>
      <c r="X1220" s="6"/>
      <c r="Z1220" s="110"/>
      <c r="AB1220" s="6"/>
      <c r="AD1220" s="6"/>
      <c r="AE1220" s="6"/>
      <c r="AF1220" s="126"/>
      <c r="AJ1220" s="6"/>
      <c r="AL1220" s="110"/>
      <c r="AM1220" s="110"/>
      <c r="AN1220" s="110"/>
      <c r="AP1220" s="6"/>
      <c r="AW1220" s="6"/>
      <c r="AX1220" s="6"/>
      <c r="AZ1220" s="110"/>
      <c r="BB1220" s="6"/>
      <c r="BD1220" s="6"/>
      <c r="BE1220" s="6"/>
      <c r="BV1220" s="17"/>
      <c r="BX1220" s="17"/>
      <c r="BZ1220" s="17"/>
    </row>
    <row r="1221" spans="4:78" x14ac:dyDescent="0.3">
      <c r="D1221" s="153"/>
      <c r="E1221" s="6"/>
      <c r="G1221" s="6"/>
      <c r="J1221" s="6"/>
      <c r="N1221" s="154"/>
      <c r="O1221" s="6"/>
      <c r="S1221" s="6"/>
      <c r="V1221" s="6"/>
      <c r="X1221" s="6"/>
      <c r="Z1221" s="110"/>
      <c r="AB1221" s="6"/>
      <c r="AD1221" s="6"/>
      <c r="AE1221" s="6"/>
      <c r="AF1221" s="126"/>
      <c r="AJ1221" s="6"/>
      <c r="AL1221" s="110"/>
      <c r="AM1221" s="110"/>
      <c r="AN1221" s="110"/>
      <c r="AP1221" s="6"/>
      <c r="AW1221" s="6"/>
      <c r="AX1221" s="6"/>
      <c r="AZ1221" s="110"/>
      <c r="BB1221" s="6"/>
      <c r="BD1221" s="6"/>
      <c r="BE1221" s="6"/>
      <c r="BV1221" s="17"/>
      <c r="BX1221" s="17"/>
      <c r="BZ1221" s="17"/>
    </row>
    <row r="1222" spans="4:78" x14ac:dyDescent="0.3">
      <c r="D1222" s="153"/>
      <c r="E1222" s="6"/>
      <c r="G1222" s="6"/>
      <c r="J1222" s="6"/>
      <c r="N1222" s="154"/>
      <c r="O1222" s="6"/>
      <c r="S1222" s="6"/>
      <c r="V1222" s="6"/>
      <c r="X1222" s="6"/>
      <c r="Z1222" s="110"/>
      <c r="AB1222" s="6"/>
      <c r="AD1222" s="6"/>
      <c r="AE1222" s="6"/>
      <c r="AF1222" s="126"/>
      <c r="AJ1222" s="6"/>
      <c r="AL1222" s="110"/>
      <c r="AM1222" s="110"/>
      <c r="AN1222" s="110"/>
      <c r="AP1222" s="6"/>
      <c r="AW1222" s="6"/>
      <c r="AX1222" s="6"/>
      <c r="AZ1222" s="110"/>
      <c r="BB1222" s="6"/>
      <c r="BD1222" s="6"/>
      <c r="BE1222" s="6"/>
      <c r="BV1222" s="17"/>
      <c r="BX1222" s="17"/>
      <c r="BZ1222" s="17"/>
    </row>
    <row r="1223" spans="4:78" x14ac:dyDescent="0.3">
      <c r="D1223" s="153"/>
      <c r="E1223" s="6"/>
      <c r="G1223" s="6"/>
      <c r="J1223" s="6"/>
      <c r="N1223" s="154"/>
      <c r="O1223" s="6"/>
      <c r="S1223" s="6"/>
      <c r="V1223" s="6"/>
      <c r="X1223" s="6"/>
      <c r="Z1223" s="110"/>
      <c r="AB1223" s="6"/>
      <c r="AD1223" s="6"/>
      <c r="AE1223" s="6"/>
      <c r="AF1223" s="126"/>
      <c r="AJ1223" s="6"/>
      <c r="AL1223" s="110"/>
      <c r="AM1223" s="110"/>
      <c r="AN1223" s="110"/>
      <c r="AP1223" s="6"/>
      <c r="AW1223" s="6"/>
      <c r="AX1223" s="6"/>
      <c r="AZ1223" s="110"/>
      <c r="BB1223" s="6"/>
      <c r="BD1223" s="6"/>
      <c r="BE1223" s="6"/>
      <c r="BV1223" s="17"/>
      <c r="BX1223" s="17"/>
      <c r="BZ1223" s="17"/>
    </row>
    <row r="1224" spans="4:78" x14ac:dyDescent="0.3">
      <c r="D1224" s="153"/>
      <c r="E1224" s="6"/>
      <c r="G1224" s="6"/>
      <c r="J1224" s="6"/>
      <c r="N1224" s="154"/>
      <c r="O1224" s="6"/>
      <c r="S1224" s="6"/>
      <c r="V1224" s="6"/>
      <c r="X1224" s="6"/>
      <c r="Z1224" s="110"/>
      <c r="AB1224" s="6"/>
      <c r="AD1224" s="6"/>
      <c r="AE1224" s="6"/>
      <c r="AF1224" s="126"/>
      <c r="AJ1224" s="6"/>
      <c r="AL1224" s="110"/>
      <c r="AM1224" s="110"/>
      <c r="AN1224" s="110"/>
      <c r="AP1224" s="6"/>
      <c r="AW1224" s="6"/>
      <c r="AX1224" s="6"/>
      <c r="AZ1224" s="110"/>
      <c r="BB1224" s="6"/>
      <c r="BD1224" s="6"/>
      <c r="BE1224" s="6"/>
      <c r="BV1224" s="17"/>
      <c r="BX1224" s="17"/>
      <c r="BZ1224" s="17"/>
    </row>
    <row r="1225" spans="4:78" x14ac:dyDescent="0.3">
      <c r="D1225" s="153"/>
      <c r="E1225" s="6"/>
      <c r="G1225" s="6"/>
      <c r="J1225" s="6"/>
      <c r="N1225" s="154"/>
      <c r="O1225" s="6"/>
      <c r="S1225" s="6"/>
      <c r="V1225" s="6"/>
      <c r="X1225" s="6"/>
      <c r="Z1225" s="110"/>
      <c r="AB1225" s="6"/>
      <c r="AD1225" s="6"/>
      <c r="AE1225" s="6"/>
      <c r="AF1225" s="126"/>
      <c r="AJ1225" s="6"/>
      <c r="AL1225" s="110"/>
      <c r="AM1225" s="110"/>
      <c r="AN1225" s="110"/>
      <c r="AP1225" s="6"/>
      <c r="AW1225" s="6"/>
      <c r="AX1225" s="6"/>
      <c r="AZ1225" s="110"/>
      <c r="BB1225" s="6"/>
      <c r="BD1225" s="6"/>
      <c r="BE1225" s="6"/>
      <c r="BV1225" s="17"/>
      <c r="BX1225" s="17"/>
      <c r="BZ1225" s="17"/>
    </row>
    <row r="1226" spans="4:78" x14ac:dyDescent="0.3">
      <c r="D1226" s="153"/>
      <c r="E1226" s="6"/>
      <c r="G1226" s="6"/>
      <c r="J1226" s="6"/>
      <c r="N1226" s="154"/>
      <c r="O1226" s="6"/>
      <c r="S1226" s="6"/>
      <c r="V1226" s="6"/>
      <c r="X1226" s="6"/>
      <c r="Z1226" s="110"/>
      <c r="AB1226" s="6"/>
      <c r="AD1226" s="6"/>
      <c r="AE1226" s="6"/>
      <c r="AF1226" s="126"/>
      <c r="AJ1226" s="6"/>
      <c r="AL1226" s="110"/>
      <c r="AM1226" s="110"/>
      <c r="AN1226" s="110"/>
      <c r="AP1226" s="6"/>
      <c r="AW1226" s="6"/>
      <c r="AX1226" s="6"/>
      <c r="AZ1226" s="110"/>
      <c r="BB1226" s="6"/>
      <c r="BD1226" s="6"/>
      <c r="BE1226" s="6"/>
      <c r="BV1226" s="17"/>
      <c r="BX1226" s="17"/>
      <c r="BZ1226" s="17"/>
    </row>
    <row r="1227" spans="4:78" x14ac:dyDescent="0.3">
      <c r="D1227" s="153"/>
      <c r="E1227" s="6"/>
      <c r="G1227" s="6"/>
      <c r="J1227" s="6"/>
      <c r="N1227" s="154"/>
      <c r="O1227" s="6"/>
      <c r="S1227" s="6"/>
      <c r="V1227" s="6"/>
      <c r="X1227" s="6"/>
      <c r="Z1227" s="110"/>
      <c r="AB1227" s="6"/>
      <c r="AD1227" s="6"/>
      <c r="AE1227" s="6"/>
      <c r="AF1227" s="126"/>
      <c r="AJ1227" s="6"/>
      <c r="AL1227" s="110"/>
      <c r="AM1227" s="110"/>
      <c r="AN1227" s="110"/>
      <c r="AP1227" s="6"/>
      <c r="AW1227" s="6"/>
      <c r="AX1227" s="6"/>
      <c r="AZ1227" s="110"/>
      <c r="BB1227" s="6"/>
      <c r="BD1227" s="6"/>
      <c r="BE1227" s="6"/>
      <c r="BV1227" s="17"/>
      <c r="BX1227" s="17"/>
      <c r="BZ1227" s="17"/>
    </row>
    <row r="1228" spans="4:78" x14ac:dyDescent="0.3">
      <c r="D1228" s="153"/>
      <c r="E1228" s="6"/>
      <c r="G1228" s="6"/>
      <c r="J1228" s="6"/>
      <c r="N1228" s="154"/>
      <c r="O1228" s="6"/>
      <c r="S1228" s="6"/>
      <c r="V1228" s="6"/>
      <c r="X1228" s="6"/>
      <c r="Z1228" s="110"/>
      <c r="AB1228" s="6"/>
      <c r="AD1228" s="6"/>
      <c r="AE1228" s="6"/>
      <c r="AF1228" s="126"/>
      <c r="AJ1228" s="6"/>
      <c r="AL1228" s="110"/>
      <c r="AM1228" s="110"/>
      <c r="AN1228" s="110"/>
      <c r="AP1228" s="6"/>
      <c r="AW1228" s="6"/>
      <c r="AX1228" s="6"/>
      <c r="AZ1228" s="110"/>
      <c r="BB1228" s="6"/>
      <c r="BD1228" s="6"/>
      <c r="BE1228" s="6"/>
      <c r="BV1228" s="17"/>
      <c r="BX1228" s="17"/>
      <c r="BZ1228" s="17"/>
    </row>
    <row r="1229" spans="4:78" x14ac:dyDescent="0.3">
      <c r="D1229" s="153"/>
      <c r="E1229" s="6"/>
      <c r="G1229" s="6"/>
      <c r="J1229" s="6"/>
      <c r="N1229" s="154"/>
      <c r="O1229" s="6"/>
      <c r="S1229" s="6"/>
      <c r="V1229" s="6"/>
      <c r="X1229" s="6"/>
      <c r="Z1229" s="110"/>
      <c r="AB1229" s="6"/>
      <c r="AD1229" s="6"/>
      <c r="AE1229" s="6"/>
      <c r="AF1229" s="126"/>
      <c r="AJ1229" s="6"/>
      <c r="AL1229" s="110"/>
      <c r="AM1229" s="110"/>
      <c r="AN1229" s="110"/>
      <c r="AP1229" s="6"/>
      <c r="AW1229" s="6"/>
      <c r="AX1229" s="6"/>
      <c r="AZ1229" s="110"/>
      <c r="BB1229" s="6"/>
      <c r="BD1229" s="6"/>
      <c r="BE1229" s="6"/>
      <c r="BV1229" s="17"/>
      <c r="BX1229" s="17"/>
      <c r="BZ1229" s="17"/>
    </row>
    <row r="1230" spans="4:78" x14ac:dyDescent="0.3">
      <c r="D1230" s="153"/>
      <c r="E1230" s="6"/>
      <c r="G1230" s="6"/>
      <c r="J1230" s="6"/>
      <c r="N1230" s="154"/>
      <c r="O1230" s="6"/>
      <c r="S1230" s="6"/>
      <c r="V1230" s="6"/>
      <c r="X1230" s="6"/>
      <c r="Z1230" s="110"/>
      <c r="AB1230" s="6"/>
      <c r="AD1230" s="6"/>
      <c r="AE1230" s="6"/>
      <c r="AF1230" s="126"/>
      <c r="AJ1230" s="6"/>
      <c r="AL1230" s="110"/>
      <c r="AM1230" s="110"/>
      <c r="AN1230" s="110"/>
      <c r="AP1230" s="6"/>
      <c r="AW1230" s="6"/>
      <c r="AX1230" s="6"/>
      <c r="AZ1230" s="110"/>
      <c r="BB1230" s="6"/>
      <c r="BD1230" s="6"/>
      <c r="BE1230" s="6"/>
      <c r="BV1230" s="17"/>
      <c r="BX1230" s="17"/>
      <c r="BZ1230" s="17"/>
    </row>
    <row r="1231" spans="4:78" x14ac:dyDescent="0.3">
      <c r="D1231" s="153"/>
      <c r="E1231" s="6"/>
      <c r="G1231" s="6"/>
      <c r="J1231" s="6"/>
      <c r="N1231" s="154"/>
      <c r="O1231" s="6"/>
      <c r="S1231" s="6"/>
      <c r="V1231" s="6"/>
      <c r="X1231" s="6"/>
      <c r="Z1231" s="110"/>
      <c r="AB1231" s="6"/>
      <c r="AD1231" s="6"/>
      <c r="AE1231" s="6"/>
      <c r="AF1231" s="126"/>
      <c r="AJ1231" s="6"/>
      <c r="AL1231" s="110"/>
      <c r="AM1231" s="110"/>
      <c r="AN1231" s="110"/>
      <c r="AP1231" s="6"/>
      <c r="AW1231" s="6"/>
      <c r="AX1231" s="6"/>
      <c r="AZ1231" s="110"/>
      <c r="BB1231" s="6"/>
      <c r="BD1231" s="6"/>
      <c r="BE1231" s="6"/>
      <c r="BV1231" s="17"/>
      <c r="BX1231" s="17"/>
      <c r="BZ1231" s="17"/>
    </row>
    <row r="1232" spans="4:78" x14ac:dyDescent="0.3">
      <c r="D1232" s="153"/>
      <c r="E1232" s="6"/>
      <c r="G1232" s="6"/>
      <c r="J1232" s="6"/>
      <c r="N1232" s="154"/>
      <c r="O1232" s="6"/>
      <c r="S1232" s="6"/>
      <c r="V1232" s="6"/>
      <c r="X1232" s="6"/>
      <c r="Z1232" s="110"/>
      <c r="AB1232" s="6"/>
      <c r="AD1232" s="6"/>
      <c r="AE1232" s="6"/>
      <c r="AF1232" s="126"/>
      <c r="AJ1232" s="6"/>
      <c r="AL1232" s="110"/>
      <c r="AM1232" s="110"/>
      <c r="AN1232" s="110"/>
      <c r="AP1232" s="6"/>
      <c r="AW1232" s="6"/>
      <c r="AX1232" s="6"/>
      <c r="AZ1232" s="110"/>
      <c r="BB1232" s="6"/>
      <c r="BD1232" s="6"/>
      <c r="BE1232" s="6"/>
      <c r="BV1232" s="17"/>
      <c r="BX1232" s="17"/>
      <c r="BZ1232" s="17"/>
    </row>
    <row r="1233" spans="4:78" x14ac:dyDescent="0.3">
      <c r="D1233" s="153"/>
      <c r="E1233" s="6"/>
      <c r="G1233" s="6"/>
      <c r="J1233" s="6"/>
      <c r="N1233" s="154"/>
      <c r="O1233" s="6"/>
      <c r="S1233" s="6"/>
      <c r="V1233" s="6"/>
      <c r="X1233" s="6"/>
      <c r="Z1233" s="110"/>
      <c r="AB1233" s="6"/>
      <c r="AD1233" s="6"/>
      <c r="AE1233" s="6"/>
      <c r="AF1233" s="126"/>
      <c r="AJ1233" s="6"/>
      <c r="AL1233" s="110"/>
      <c r="AM1233" s="110"/>
      <c r="AN1233" s="110"/>
      <c r="AP1233" s="6"/>
      <c r="AW1233" s="6"/>
      <c r="AX1233" s="6"/>
      <c r="AZ1233" s="110"/>
      <c r="BB1233" s="6"/>
      <c r="BD1233" s="6"/>
      <c r="BE1233" s="6"/>
      <c r="BV1233" s="17"/>
      <c r="BX1233" s="17"/>
      <c r="BZ1233" s="17"/>
    </row>
    <row r="1234" spans="4:78" x14ac:dyDescent="0.3">
      <c r="D1234" s="153"/>
      <c r="E1234" s="6"/>
      <c r="G1234" s="6"/>
      <c r="J1234" s="6"/>
      <c r="N1234" s="154"/>
      <c r="O1234" s="6"/>
      <c r="S1234" s="6"/>
      <c r="V1234" s="6"/>
      <c r="X1234" s="6"/>
      <c r="Z1234" s="110"/>
      <c r="AB1234" s="6"/>
      <c r="AD1234" s="6"/>
      <c r="AE1234" s="6"/>
      <c r="AF1234" s="126"/>
      <c r="AJ1234" s="6"/>
      <c r="AL1234" s="110"/>
      <c r="AM1234" s="110"/>
      <c r="AN1234" s="110"/>
      <c r="AP1234" s="6"/>
      <c r="AW1234" s="6"/>
      <c r="AX1234" s="6"/>
      <c r="AZ1234" s="110"/>
      <c r="BB1234" s="6"/>
      <c r="BD1234" s="6"/>
      <c r="BE1234" s="6"/>
      <c r="BV1234" s="17"/>
      <c r="BX1234" s="17"/>
      <c r="BZ1234" s="17"/>
    </row>
    <row r="1235" spans="4:78" x14ac:dyDescent="0.3">
      <c r="D1235" s="153"/>
      <c r="E1235" s="6"/>
      <c r="G1235" s="6"/>
      <c r="J1235" s="6"/>
      <c r="N1235" s="154"/>
      <c r="O1235" s="6"/>
      <c r="S1235" s="6"/>
      <c r="V1235" s="6"/>
      <c r="X1235" s="6"/>
      <c r="Z1235" s="110"/>
      <c r="AB1235" s="6"/>
      <c r="AD1235" s="6"/>
      <c r="AE1235" s="6"/>
      <c r="AF1235" s="126"/>
      <c r="AJ1235" s="6"/>
      <c r="AL1235" s="110"/>
      <c r="AM1235" s="110"/>
      <c r="AN1235" s="110"/>
      <c r="AP1235" s="6"/>
      <c r="AW1235" s="6"/>
      <c r="AX1235" s="6"/>
      <c r="AZ1235" s="110"/>
      <c r="BB1235" s="6"/>
      <c r="BD1235" s="6"/>
      <c r="BE1235" s="6"/>
      <c r="BV1235" s="17"/>
      <c r="BX1235" s="17"/>
      <c r="BZ1235" s="17"/>
    </row>
    <row r="1236" spans="4:78" x14ac:dyDescent="0.3">
      <c r="D1236" s="153"/>
      <c r="E1236" s="6"/>
      <c r="G1236" s="6"/>
      <c r="J1236" s="6"/>
      <c r="N1236" s="154"/>
      <c r="O1236" s="6"/>
      <c r="S1236" s="6"/>
      <c r="V1236" s="6"/>
      <c r="X1236" s="6"/>
      <c r="Z1236" s="110"/>
      <c r="AB1236" s="6"/>
      <c r="AD1236" s="6"/>
      <c r="AE1236" s="6"/>
      <c r="AF1236" s="126"/>
      <c r="AJ1236" s="6"/>
      <c r="AL1236" s="110"/>
      <c r="AM1236" s="110"/>
      <c r="AN1236" s="110"/>
      <c r="AP1236" s="6"/>
      <c r="AW1236" s="6"/>
      <c r="AX1236" s="6"/>
      <c r="AZ1236" s="110"/>
      <c r="BB1236" s="6"/>
      <c r="BD1236" s="6"/>
      <c r="BE1236" s="6"/>
      <c r="BV1236" s="17"/>
      <c r="BX1236" s="17"/>
      <c r="BZ1236" s="17"/>
    </row>
    <row r="1237" spans="4:78" x14ac:dyDescent="0.3">
      <c r="D1237" s="153"/>
      <c r="E1237" s="6"/>
      <c r="G1237" s="6"/>
      <c r="J1237" s="6"/>
      <c r="N1237" s="154"/>
      <c r="O1237" s="6"/>
      <c r="S1237" s="6"/>
      <c r="V1237" s="6"/>
      <c r="X1237" s="6"/>
      <c r="Z1237" s="110"/>
      <c r="AB1237" s="6"/>
      <c r="AD1237" s="6"/>
      <c r="AE1237" s="6"/>
      <c r="AF1237" s="126"/>
      <c r="AJ1237" s="6"/>
      <c r="AL1237" s="110"/>
      <c r="AM1237" s="110"/>
      <c r="AN1237" s="110"/>
      <c r="AP1237" s="6"/>
      <c r="AW1237" s="6"/>
      <c r="AX1237" s="6"/>
      <c r="AZ1237" s="110"/>
      <c r="BB1237" s="6"/>
      <c r="BD1237" s="6"/>
      <c r="BE1237" s="6"/>
      <c r="BV1237" s="17"/>
      <c r="BX1237" s="17"/>
      <c r="BZ1237" s="17"/>
    </row>
    <row r="1238" spans="4:78" x14ac:dyDescent="0.3">
      <c r="D1238" s="153"/>
      <c r="E1238" s="6"/>
      <c r="G1238" s="6"/>
      <c r="J1238" s="6"/>
      <c r="N1238" s="154"/>
      <c r="O1238" s="6"/>
      <c r="S1238" s="6"/>
      <c r="V1238" s="6"/>
      <c r="X1238" s="6"/>
      <c r="Z1238" s="110"/>
      <c r="AB1238" s="6"/>
      <c r="AD1238" s="6"/>
      <c r="AE1238" s="6"/>
      <c r="AF1238" s="126"/>
      <c r="AJ1238" s="6"/>
      <c r="AL1238" s="110"/>
      <c r="AM1238" s="110"/>
      <c r="AN1238" s="110"/>
      <c r="AP1238" s="6"/>
      <c r="AW1238" s="6"/>
      <c r="AX1238" s="6"/>
      <c r="AZ1238" s="110"/>
      <c r="BB1238" s="6"/>
      <c r="BD1238" s="6"/>
      <c r="BE1238" s="6"/>
      <c r="BV1238" s="17"/>
      <c r="BX1238" s="17"/>
      <c r="BZ1238" s="17"/>
    </row>
    <row r="1239" spans="4:78" x14ac:dyDescent="0.3">
      <c r="D1239" s="153"/>
      <c r="E1239" s="6"/>
      <c r="G1239" s="6"/>
      <c r="J1239" s="6"/>
      <c r="N1239" s="154"/>
      <c r="O1239" s="6"/>
      <c r="S1239" s="6"/>
      <c r="V1239" s="6"/>
      <c r="X1239" s="6"/>
      <c r="Z1239" s="110"/>
      <c r="AB1239" s="6"/>
      <c r="AD1239" s="6"/>
      <c r="AE1239" s="6"/>
      <c r="AF1239" s="126"/>
      <c r="AJ1239" s="6"/>
      <c r="AL1239" s="110"/>
      <c r="AM1239" s="110"/>
      <c r="AN1239" s="110"/>
      <c r="AP1239" s="6"/>
      <c r="AW1239" s="6"/>
      <c r="AX1239" s="6"/>
      <c r="AZ1239" s="110"/>
      <c r="BB1239" s="6"/>
      <c r="BD1239" s="6"/>
      <c r="BE1239" s="6"/>
      <c r="BV1239" s="17"/>
      <c r="BX1239" s="17"/>
      <c r="BZ1239" s="17"/>
    </row>
    <row r="1240" spans="4:78" x14ac:dyDescent="0.3">
      <c r="D1240" s="153"/>
      <c r="E1240" s="6"/>
      <c r="G1240" s="6"/>
      <c r="J1240" s="6"/>
      <c r="N1240" s="154"/>
      <c r="O1240" s="6"/>
      <c r="S1240" s="6"/>
      <c r="V1240" s="6"/>
      <c r="X1240" s="6"/>
      <c r="Z1240" s="110"/>
      <c r="AB1240" s="6"/>
      <c r="AD1240" s="6"/>
      <c r="AE1240" s="6"/>
      <c r="AF1240" s="126"/>
      <c r="AJ1240" s="6"/>
      <c r="AL1240" s="110"/>
      <c r="AM1240" s="110"/>
      <c r="AN1240" s="110"/>
      <c r="AP1240" s="6"/>
      <c r="AW1240" s="6"/>
      <c r="AX1240" s="6"/>
      <c r="AZ1240" s="110"/>
      <c r="BB1240" s="6"/>
      <c r="BD1240" s="6"/>
      <c r="BE1240" s="6"/>
      <c r="BV1240" s="17"/>
      <c r="BX1240" s="17"/>
      <c r="BZ1240" s="17"/>
    </row>
    <row r="1241" spans="4:78" x14ac:dyDescent="0.3">
      <c r="D1241" s="153"/>
      <c r="E1241" s="6"/>
      <c r="G1241" s="6"/>
      <c r="J1241" s="6"/>
      <c r="N1241" s="154"/>
      <c r="O1241" s="6"/>
      <c r="S1241" s="6"/>
      <c r="V1241" s="6"/>
      <c r="X1241" s="6"/>
      <c r="Z1241" s="110"/>
      <c r="AB1241" s="6"/>
      <c r="AD1241" s="6"/>
      <c r="AE1241" s="6"/>
      <c r="AF1241" s="126"/>
      <c r="AJ1241" s="6"/>
      <c r="AL1241" s="110"/>
      <c r="AM1241" s="110"/>
      <c r="AN1241" s="110"/>
      <c r="AP1241" s="6"/>
      <c r="AW1241" s="6"/>
      <c r="AX1241" s="6"/>
      <c r="AZ1241" s="110"/>
      <c r="BB1241" s="6"/>
      <c r="BD1241" s="6"/>
      <c r="BE1241" s="6"/>
      <c r="BV1241" s="17"/>
      <c r="BX1241" s="17"/>
      <c r="BZ1241" s="17"/>
    </row>
    <row r="1242" spans="4:78" x14ac:dyDescent="0.3">
      <c r="D1242" s="153"/>
      <c r="E1242" s="6"/>
      <c r="G1242" s="6"/>
      <c r="J1242" s="6"/>
      <c r="N1242" s="154"/>
      <c r="O1242" s="6"/>
      <c r="S1242" s="6"/>
      <c r="V1242" s="6"/>
      <c r="X1242" s="6"/>
      <c r="Z1242" s="110"/>
      <c r="AB1242" s="6"/>
      <c r="AD1242" s="6"/>
      <c r="AE1242" s="6"/>
      <c r="AF1242" s="126"/>
      <c r="AJ1242" s="6"/>
      <c r="AL1242" s="110"/>
      <c r="AM1242" s="110"/>
      <c r="AN1242" s="110"/>
      <c r="AP1242" s="6"/>
      <c r="AW1242" s="6"/>
      <c r="AX1242" s="6"/>
      <c r="AZ1242" s="110"/>
      <c r="BB1242" s="6"/>
      <c r="BD1242" s="6"/>
      <c r="BE1242" s="6"/>
      <c r="BV1242" s="17"/>
      <c r="BX1242" s="17"/>
      <c r="BZ1242" s="17"/>
    </row>
    <row r="1243" spans="4:78" x14ac:dyDescent="0.3">
      <c r="D1243" s="153"/>
      <c r="E1243" s="6"/>
      <c r="G1243" s="6"/>
      <c r="J1243" s="6"/>
      <c r="N1243" s="154"/>
      <c r="O1243" s="6"/>
      <c r="S1243" s="6"/>
      <c r="V1243" s="6"/>
      <c r="X1243" s="6"/>
      <c r="Z1243" s="110"/>
      <c r="AB1243" s="6"/>
      <c r="AD1243" s="6"/>
      <c r="AE1243" s="6"/>
      <c r="AF1243" s="126"/>
      <c r="AJ1243" s="6"/>
      <c r="AL1243" s="110"/>
      <c r="AM1243" s="110"/>
      <c r="AN1243" s="110"/>
      <c r="AP1243" s="6"/>
      <c r="AW1243" s="6"/>
      <c r="AX1243" s="6"/>
      <c r="AZ1243" s="110"/>
      <c r="BB1243" s="6"/>
      <c r="BD1243" s="6"/>
      <c r="BE1243" s="6"/>
      <c r="BV1243" s="17"/>
      <c r="BX1243" s="17"/>
      <c r="BZ1243" s="17"/>
    </row>
    <row r="1244" spans="4:78" x14ac:dyDescent="0.3">
      <c r="D1244" s="153"/>
      <c r="E1244" s="6"/>
      <c r="G1244" s="6"/>
      <c r="J1244" s="6"/>
      <c r="N1244" s="154"/>
      <c r="O1244" s="6"/>
      <c r="S1244" s="6"/>
      <c r="V1244" s="6"/>
      <c r="X1244" s="6"/>
      <c r="Z1244" s="110"/>
      <c r="AB1244" s="6"/>
      <c r="AD1244" s="6"/>
      <c r="AE1244" s="6"/>
      <c r="AF1244" s="126"/>
      <c r="AJ1244" s="6"/>
      <c r="AL1244" s="110"/>
      <c r="AM1244" s="110"/>
      <c r="AN1244" s="110"/>
      <c r="AP1244" s="6"/>
      <c r="AW1244" s="6"/>
      <c r="AX1244" s="6"/>
      <c r="AZ1244" s="110"/>
      <c r="BB1244" s="6"/>
      <c r="BD1244" s="6"/>
      <c r="BE1244" s="6"/>
      <c r="BV1244" s="17"/>
      <c r="BX1244" s="17"/>
      <c r="BZ1244" s="17"/>
    </row>
    <row r="1245" spans="4:78" x14ac:dyDescent="0.3">
      <c r="D1245" s="153"/>
      <c r="E1245" s="6"/>
      <c r="G1245" s="6"/>
      <c r="J1245" s="6"/>
      <c r="N1245" s="154"/>
      <c r="O1245" s="6"/>
      <c r="S1245" s="6"/>
      <c r="V1245" s="6"/>
      <c r="X1245" s="6"/>
      <c r="Z1245" s="110"/>
      <c r="AB1245" s="6"/>
      <c r="AD1245" s="6"/>
      <c r="AE1245" s="6"/>
      <c r="AF1245" s="126"/>
      <c r="AJ1245" s="6"/>
      <c r="AL1245" s="110"/>
      <c r="AM1245" s="110"/>
      <c r="AN1245" s="110"/>
      <c r="AP1245" s="6"/>
      <c r="AW1245" s="6"/>
      <c r="AX1245" s="6"/>
      <c r="AZ1245" s="110"/>
      <c r="BB1245" s="6"/>
      <c r="BD1245" s="6"/>
      <c r="BE1245" s="6"/>
      <c r="BV1245" s="17"/>
      <c r="BX1245" s="17"/>
      <c r="BZ1245" s="17"/>
    </row>
    <row r="1246" spans="4:78" x14ac:dyDescent="0.3">
      <c r="D1246" s="153"/>
      <c r="E1246" s="6"/>
      <c r="G1246" s="6"/>
      <c r="J1246" s="6"/>
      <c r="N1246" s="154"/>
      <c r="O1246" s="6"/>
      <c r="S1246" s="6"/>
      <c r="V1246" s="6"/>
      <c r="X1246" s="6"/>
      <c r="Z1246" s="110"/>
      <c r="AB1246" s="6"/>
      <c r="AD1246" s="6"/>
      <c r="AE1246" s="6"/>
      <c r="AF1246" s="126"/>
      <c r="AJ1246" s="6"/>
      <c r="AL1246" s="110"/>
      <c r="AM1246" s="110"/>
      <c r="AN1246" s="110"/>
      <c r="AP1246" s="6"/>
      <c r="AW1246" s="6"/>
      <c r="AX1246" s="6"/>
      <c r="AZ1246" s="110"/>
      <c r="BB1246" s="6"/>
      <c r="BD1246" s="6"/>
      <c r="BE1246" s="6"/>
      <c r="BV1246" s="17"/>
      <c r="BX1246" s="17"/>
      <c r="BZ1246" s="17"/>
    </row>
    <row r="1247" spans="4:78" x14ac:dyDescent="0.3">
      <c r="D1247" s="153"/>
      <c r="E1247" s="6"/>
      <c r="G1247" s="6"/>
      <c r="J1247" s="6"/>
      <c r="N1247" s="154"/>
      <c r="O1247" s="6"/>
      <c r="S1247" s="6"/>
      <c r="V1247" s="6"/>
      <c r="X1247" s="6"/>
      <c r="Z1247" s="110"/>
      <c r="AB1247" s="6"/>
      <c r="AD1247" s="6"/>
      <c r="AE1247" s="6"/>
      <c r="AF1247" s="126"/>
      <c r="AJ1247" s="6"/>
      <c r="AL1247" s="110"/>
      <c r="AM1247" s="110"/>
      <c r="AN1247" s="110"/>
      <c r="AP1247" s="6"/>
      <c r="AW1247" s="6"/>
      <c r="AX1247" s="6"/>
      <c r="AZ1247" s="110"/>
      <c r="BB1247" s="6"/>
      <c r="BD1247" s="6"/>
      <c r="BE1247" s="6"/>
      <c r="BV1247" s="17"/>
      <c r="BX1247" s="17"/>
      <c r="BZ1247" s="17"/>
    </row>
    <row r="1248" spans="4:78" x14ac:dyDescent="0.3">
      <c r="D1248" s="153"/>
      <c r="E1248" s="6"/>
      <c r="G1248" s="6"/>
      <c r="J1248" s="6"/>
      <c r="N1248" s="154"/>
      <c r="O1248" s="6"/>
      <c r="S1248" s="6"/>
      <c r="V1248" s="6"/>
      <c r="X1248" s="6"/>
      <c r="Z1248" s="110"/>
      <c r="AB1248" s="6"/>
      <c r="AD1248" s="6"/>
      <c r="AE1248" s="6"/>
      <c r="AF1248" s="126"/>
      <c r="AJ1248" s="6"/>
      <c r="AL1248" s="110"/>
      <c r="AM1248" s="110"/>
      <c r="AN1248" s="110"/>
      <c r="AP1248" s="6"/>
      <c r="AW1248" s="6"/>
      <c r="AX1248" s="6"/>
      <c r="AZ1248" s="110"/>
      <c r="BB1248" s="6"/>
      <c r="BD1248" s="6"/>
      <c r="BE1248" s="6"/>
      <c r="BV1248" s="17"/>
      <c r="BX1248" s="17"/>
      <c r="BZ1248" s="17"/>
    </row>
    <row r="1249" spans="4:78" x14ac:dyDescent="0.3">
      <c r="D1249" s="153"/>
      <c r="E1249" s="6"/>
      <c r="G1249" s="6"/>
      <c r="J1249" s="6"/>
      <c r="N1249" s="154"/>
      <c r="O1249" s="6"/>
      <c r="S1249" s="6"/>
      <c r="V1249" s="6"/>
      <c r="X1249" s="6"/>
      <c r="Z1249" s="110"/>
      <c r="AB1249" s="6"/>
      <c r="AD1249" s="6"/>
      <c r="AE1249" s="6"/>
      <c r="AF1249" s="126"/>
      <c r="AJ1249" s="6"/>
      <c r="AL1249" s="110"/>
      <c r="AM1249" s="110"/>
      <c r="AN1249" s="110"/>
      <c r="AP1249" s="6"/>
      <c r="AW1249" s="6"/>
      <c r="AX1249" s="6"/>
      <c r="AZ1249" s="110"/>
      <c r="BB1249" s="6"/>
      <c r="BD1249" s="6"/>
      <c r="BE1249" s="6"/>
      <c r="BV1249" s="17"/>
      <c r="BX1249" s="17"/>
      <c r="BZ1249" s="17"/>
    </row>
    <row r="1250" spans="4:78" x14ac:dyDescent="0.3">
      <c r="D1250" s="153"/>
      <c r="E1250" s="6"/>
      <c r="G1250" s="6"/>
      <c r="J1250" s="6"/>
      <c r="N1250" s="154"/>
      <c r="O1250" s="6"/>
      <c r="S1250" s="6"/>
      <c r="V1250" s="6"/>
      <c r="X1250" s="6"/>
      <c r="Z1250" s="110"/>
      <c r="AB1250" s="6"/>
      <c r="AD1250" s="6"/>
      <c r="AE1250" s="6"/>
      <c r="AF1250" s="126"/>
      <c r="AJ1250" s="6"/>
      <c r="AL1250" s="110"/>
      <c r="AM1250" s="110"/>
      <c r="AN1250" s="110"/>
      <c r="AP1250" s="6"/>
      <c r="AW1250" s="6"/>
      <c r="AX1250" s="6"/>
      <c r="AZ1250" s="110"/>
      <c r="BB1250" s="6"/>
      <c r="BD1250" s="6"/>
      <c r="BE1250" s="6"/>
      <c r="BV1250" s="17"/>
      <c r="BX1250" s="17"/>
      <c r="BZ1250" s="17"/>
    </row>
    <row r="1251" spans="4:78" x14ac:dyDescent="0.3">
      <c r="D1251" s="153"/>
      <c r="E1251" s="6"/>
      <c r="G1251" s="6"/>
      <c r="J1251" s="6"/>
      <c r="N1251" s="154"/>
      <c r="O1251" s="6"/>
      <c r="S1251" s="6"/>
      <c r="V1251" s="6"/>
      <c r="X1251" s="6"/>
      <c r="Z1251" s="110"/>
      <c r="AB1251" s="6"/>
      <c r="AD1251" s="6"/>
      <c r="AE1251" s="6"/>
      <c r="AF1251" s="126"/>
      <c r="AJ1251" s="6"/>
      <c r="AL1251" s="110"/>
      <c r="AM1251" s="110"/>
      <c r="AN1251" s="110"/>
      <c r="AP1251" s="6"/>
      <c r="AW1251" s="6"/>
      <c r="AX1251" s="6"/>
      <c r="AZ1251" s="110"/>
      <c r="BB1251" s="6"/>
      <c r="BD1251" s="6"/>
      <c r="BE1251" s="6"/>
      <c r="BV1251" s="17"/>
      <c r="BX1251" s="17"/>
      <c r="BZ1251" s="17"/>
    </row>
    <row r="1252" spans="4:78" x14ac:dyDescent="0.3">
      <c r="D1252" s="153"/>
      <c r="E1252" s="6"/>
      <c r="G1252" s="6"/>
      <c r="J1252" s="6"/>
      <c r="N1252" s="154"/>
      <c r="O1252" s="6"/>
      <c r="S1252" s="6"/>
      <c r="V1252" s="6"/>
      <c r="X1252" s="6"/>
      <c r="Z1252" s="110"/>
      <c r="AB1252" s="6"/>
      <c r="AD1252" s="6"/>
      <c r="AE1252" s="6"/>
      <c r="AF1252" s="126"/>
      <c r="AJ1252" s="6"/>
      <c r="AL1252" s="110"/>
      <c r="AM1252" s="110"/>
      <c r="AN1252" s="110"/>
      <c r="AP1252" s="6"/>
      <c r="AW1252" s="6"/>
      <c r="AX1252" s="6"/>
      <c r="AZ1252" s="110"/>
      <c r="BB1252" s="6"/>
      <c r="BD1252" s="6"/>
      <c r="BE1252" s="6"/>
      <c r="BV1252" s="17"/>
      <c r="BX1252" s="17"/>
      <c r="BZ1252" s="17"/>
    </row>
    <row r="1253" spans="4:78" x14ac:dyDescent="0.3">
      <c r="D1253" s="153"/>
      <c r="E1253" s="6"/>
      <c r="G1253" s="6"/>
      <c r="J1253" s="6"/>
      <c r="N1253" s="154"/>
      <c r="O1253" s="6"/>
      <c r="S1253" s="6"/>
      <c r="V1253" s="6"/>
      <c r="X1253" s="6"/>
      <c r="Z1253" s="110"/>
      <c r="AB1253" s="6"/>
      <c r="AD1253" s="6"/>
      <c r="AE1253" s="6"/>
      <c r="AF1253" s="126"/>
      <c r="AJ1253" s="6"/>
      <c r="AL1253" s="110"/>
      <c r="AM1253" s="110"/>
      <c r="AN1253" s="110"/>
      <c r="AP1253" s="6"/>
      <c r="AW1253" s="6"/>
      <c r="AX1253" s="6"/>
      <c r="AZ1253" s="110"/>
      <c r="BB1253" s="6"/>
      <c r="BD1253" s="6"/>
      <c r="BE1253" s="6"/>
      <c r="BV1253" s="17"/>
      <c r="BX1253" s="17"/>
      <c r="BZ1253" s="17"/>
    </row>
    <row r="1254" spans="4:78" x14ac:dyDescent="0.3">
      <c r="D1254" s="153"/>
      <c r="E1254" s="6"/>
      <c r="G1254" s="6"/>
      <c r="J1254" s="6"/>
      <c r="N1254" s="154"/>
      <c r="O1254" s="6"/>
      <c r="S1254" s="6"/>
      <c r="V1254" s="6"/>
      <c r="X1254" s="6"/>
      <c r="Z1254" s="110"/>
      <c r="AB1254" s="6"/>
      <c r="AD1254" s="6"/>
      <c r="AE1254" s="6"/>
      <c r="AF1254" s="126"/>
      <c r="AJ1254" s="6"/>
      <c r="AL1254" s="110"/>
      <c r="AM1254" s="110"/>
      <c r="AN1254" s="110"/>
      <c r="AP1254" s="6"/>
      <c r="AW1254" s="6"/>
      <c r="AX1254" s="6"/>
      <c r="AZ1254" s="110"/>
      <c r="BB1254" s="6"/>
      <c r="BD1254" s="6"/>
      <c r="BE1254" s="6"/>
      <c r="BV1254" s="17"/>
      <c r="BX1254" s="17"/>
      <c r="BZ1254" s="17"/>
    </row>
    <row r="1255" spans="4:78" x14ac:dyDescent="0.3">
      <c r="D1255" s="153"/>
      <c r="E1255" s="6"/>
      <c r="G1255" s="6"/>
      <c r="J1255" s="6"/>
      <c r="N1255" s="154"/>
      <c r="O1255" s="6"/>
      <c r="S1255" s="6"/>
      <c r="V1255" s="6"/>
      <c r="X1255" s="6"/>
      <c r="Z1255" s="110"/>
      <c r="AB1255" s="6"/>
      <c r="AD1255" s="6"/>
      <c r="AE1255" s="6"/>
      <c r="AF1255" s="126"/>
      <c r="AJ1255" s="6"/>
      <c r="AL1255" s="110"/>
      <c r="AM1255" s="110"/>
      <c r="AN1255" s="110"/>
      <c r="AP1255" s="6"/>
      <c r="AW1255" s="6"/>
      <c r="AX1255" s="6"/>
      <c r="AZ1255" s="110"/>
      <c r="BB1255" s="6"/>
      <c r="BD1255" s="6"/>
      <c r="BE1255" s="6"/>
      <c r="BV1255" s="17"/>
      <c r="BX1255" s="17"/>
      <c r="BZ1255" s="17"/>
    </row>
    <row r="1256" spans="4:78" x14ac:dyDescent="0.3">
      <c r="D1256" s="153"/>
      <c r="E1256" s="6"/>
      <c r="G1256" s="6"/>
      <c r="J1256" s="6"/>
      <c r="N1256" s="154"/>
      <c r="O1256" s="6"/>
      <c r="S1256" s="6"/>
      <c r="V1256" s="6"/>
      <c r="X1256" s="6"/>
      <c r="Z1256" s="110"/>
      <c r="AB1256" s="6"/>
      <c r="AD1256" s="6"/>
      <c r="AE1256" s="6"/>
      <c r="AF1256" s="126"/>
      <c r="AJ1256" s="6"/>
      <c r="AL1256" s="110"/>
      <c r="AM1256" s="110"/>
      <c r="AN1256" s="110"/>
      <c r="AP1256" s="6"/>
      <c r="AW1256" s="6"/>
      <c r="AX1256" s="6"/>
      <c r="AZ1256" s="110"/>
      <c r="BB1256" s="6"/>
      <c r="BD1256" s="6"/>
      <c r="BE1256" s="6"/>
      <c r="BV1256" s="17"/>
      <c r="BX1256" s="17"/>
      <c r="BZ1256" s="17"/>
    </row>
    <row r="1257" spans="4:78" x14ac:dyDescent="0.3">
      <c r="D1257" s="153"/>
      <c r="E1257" s="6"/>
      <c r="G1257" s="6"/>
      <c r="J1257" s="6"/>
      <c r="N1257" s="154"/>
      <c r="O1257" s="6"/>
      <c r="S1257" s="6"/>
      <c r="V1257" s="6"/>
      <c r="X1257" s="6"/>
      <c r="Z1257" s="110"/>
      <c r="AB1257" s="6"/>
      <c r="AD1257" s="6"/>
      <c r="AE1257" s="6"/>
      <c r="AF1257" s="126"/>
      <c r="AJ1257" s="6"/>
      <c r="AL1257" s="110"/>
      <c r="AM1257" s="110"/>
      <c r="AN1257" s="110"/>
      <c r="AP1257" s="6"/>
      <c r="AW1257" s="6"/>
      <c r="AX1257" s="6"/>
      <c r="AZ1257" s="110"/>
      <c r="BB1257" s="6"/>
      <c r="BD1257" s="6"/>
      <c r="BE1257" s="6"/>
      <c r="BV1257" s="17"/>
      <c r="BX1257" s="17"/>
      <c r="BZ1257" s="17"/>
    </row>
    <row r="1258" spans="4:78" x14ac:dyDescent="0.3">
      <c r="D1258" s="153"/>
      <c r="E1258" s="6"/>
      <c r="G1258" s="6"/>
      <c r="J1258" s="6"/>
      <c r="N1258" s="154"/>
      <c r="O1258" s="6"/>
      <c r="S1258" s="6"/>
      <c r="V1258" s="6"/>
      <c r="X1258" s="6"/>
      <c r="Z1258" s="110"/>
      <c r="AB1258" s="6"/>
      <c r="AD1258" s="6"/>
      <c r="AE1258" s="6"/>
      <c r="AF1258" s="126"/>
      <c r="AJ1258" s="6"/>
      <c r="AL1258" s="110"/>
      <c r="AM1258" s="110"/>
      <c r="AN1258" s="110"/>
      <c r="AP1258" s="6"/>
      <c r="AW1258" s="6"/>
      <c r="AX1258" s="6"/>
      <c r="AZ1258" s="110"/>
      <c r="BB1258" s="6"/>
      <c r="BD1258" s="6"/>
      <c r="BE1258" s="6"/>
      <c r="BV1258" s="17"/>
      <c r="BX1258" s="17"/>
      <c r="BZ1258" s="17"/>
    </row>
    <row r="1259" spans="4:78" x14ac:dyDescent="0.3">
      <c r="D1259" s="153"/>
      <c r="E1259" s="6"/>
      <c r="G1259" s="6"/>
      <c r="J1259" s="6"/>
      <c r="N1259" s="154"/>
      <c r="O1259" s="6"/>
      <c r="S1259" s="6"/>
      <c r="V1259" s="6"/>
      <c r="X1259" s="6"/>
      <c r="Z1259" s="110"/>
      <c r="AB1259" s="6"/>
      <c r="AD1259" s="6"/>
      <c r="AE1259" s="6"/>
      <c r="AF1259" s="126"/>
      <c r="AJ1259" s="6"/>
      <c r="AL1259" s="110"/>
      <c r="AM1259" s="110"/>
      <c r="AN1259" s="110"/>
      <c r="AP1259" s="6"/>
      <c r="AW1259" s="6"/>
      <c r="AX1259" s="6"/>
      <c r="AZ1259" s="110"/>
      <c r="BB1259" s="6"/>
      <c r="BD1259" s="6"/>
      <c r="BE1259" s="6"/>
      <c r="BV1259" s="17"/>
      <c r="BX1259" s="17"/>
      <c r="BZ1259" s="17"/>
    </row>
    <row r="1260" spans="4:78" x14ac:dyDescent="0.3">
      <c r="D1260" s="153"/>
      <c r="E1260" s="6"/>
      <c r="G1260" s="6"/>
      <c r="J1260" s="6"/>
      <c r="N1260" s="154"/>
      <c r="O1260" s="6"/>
      <c r="S1260" s="6"/>
      <c r="V1260" s="6"/>
      <c r="X1260" s="6"/>
      <c r="Z1260" s="110"/>
      <c r="AB1260" s="6"/>
      <c r="AD1260" s="6"/>
      <c r="AE1260" s="6"/>
      <c r="AF1260" s="126"/>
      <c r="AJ1260" s="6"/>
      <c r="AL1260" s="110"/>
      <c r="AM1260" s="110"/>
      <c r="AN1260" s="110"/>
      <c r="AP1260" s="6"/>
      <c r="AW1260" s="6"/>
      <c r="AX1260" s="6"/>
      <c r="AZ1260" s="110"/>
      <c r="BB1260" s="6"/>
      <c r="BD1260" s="6"/>
      <c r="BE1260" s="6"/>
      <c r="BV1260" s="17"/>
      <c r="BX1260" s="17"/>
      <c r="BZ1260" s="17"/>
    </row>
    <row r="1261" spans="4:78" x14ac:dyDescent="0.3">
      <c r="D1261" s="153"/>
      <c r="E1261" s="6"/>
      <c r="G1261" s="6"/>
      <c r="J1261" s="6"/>
      <c r="N1261" s="154"/>
      <c r="O1261" s="6"/>
      <c r="S1261" s="6"/>
      <c r="V1261" s="6"/>
      <c r="X1261" s="6"/>
      <c r="Z1261" s="110"/>
      <c r="AB1261" s="6"/>
      <c r="AD1261" s="6"/>
      <c r="AE1261" s="6"/>
      <c r="AF1261" s="126"/>
      <c r="AJ1261" s="6"/>
      <c r="AL1261" s="110"/>
      <c r="AM1261" s="110"/>
      <c r="AN1261" s="110"/>
      <c r="AP1261" s="6"/>
      <c r="AW1261" s="6"/>
      <c r="AX1261" s="6"/>
      <c r="AZ1261" s="110"/>
      <c r="BB1261" s="6"/>
      <c r="BD1261" s="6"/>
      <c r="BE1261" s="6"/>
      <c r="BV1261" s="17"/>
      <c r="BX1261" s="17"/>
      <c r="BZ1261" s="17"/>
    </row>
    <row r="1262" spans="4:78" x14ac:dyDescent="0.3">
      <c r="D1262" s="153"/>
      <c r="E1262" s="6"/>
      <c r="G1262" s="6"/>
      <c r="J1262" s="6"/>
      <c r="N1262" s="154"/>
      <c r="O1262" s="6"/>
      <c r="S1262" s="6"/>
      <c r="V1262" s="6"/>
      <c r="X1262" s="6"/>
      <c r="Z1262" s="110"/>
      <c r="AB1262" s="6"/>
      <c r="AD1262" s="6"/>
      <c r="AE1262" s="6"/>
      <c r="AF1262" s="126"/>
      <c r="AJ1262" s="6"/>
      <c r="AL1262" s="110"/>
      <c r="AM1262" s="110"/>
      <c r="AN1262" s="110"/>
      <c r="AP1262" s="6"/>
      <c r="AW1262" s="6"/>
      <c r="AX1262" s="6"/>
      <c r="AZ1262" s="110"/>
      <c r="BB1262" s="6"/>
      <c r="BD1262" s="6"/>
      <c r="BE1262" s="6"/>
      <c r="BV1262" s="17"/>
      <c r="BX1262" s="17"/>
      <c r="BZ1262" s="17"/>
    </row>
    <row r="1263" spans="4:78" x14ac:dyDescent="0.3">
      <c r="D1263" s="153"/>
      <c r="E1263" s="6"/>
      <c r="G1263" s="6"/>
      <c r="J1263" s="6"/>
      <c r="N1263" s="154"/>
      <c r="O1263" s="6"/>
      <c r="S1263" s="6"/>
      <c r="V1263" s="6"/>
      <c r="X1263" s="6"/>
      <c r="Z1263" s="110"/>
      <c r="AB1263" s="6"/>
      <c r="AD1263" s="6"/>
      <c r="AE1263" s="6"/>
      <c r="AF1263" s="126"/>
      <c r="AJ1263" s="6"/>
      <c r="AL1263" s="110"/>
      <c r="AM1263" s="110"/>
      <c r="AN1263" s="110"/>
      <c r="AP1263" s="6"/>
      <c r="AW1263" s="6"/>
      <c r="AX1263" s="6"/>
      <c r="AZ1263" s="110"/>
      <c r="BB1263" s="6"/>
      <c r="BD1263" s="6"/>
      <c r="BE1263" s="6"/>
      <c r="BV1263" s="17"/>
      <c r="BX1263" s="17"/>
      <c r="BZ1263" s="17"/>
    </row>
    <row r="1264" spans="4:78" x14ac:dyDescent="0.3">
      <c r="D1264" s="153"/>
      <c r="E1264" s="6"/>
      <c r="G1264" s="6"/>
      <c r="J1264" s="6"/>
      <c r="N1264" s="154"/>
      <c r="O1264" s="6"/>
      <c r="S1264" s="6"/>
      <c r="V1264" s="6"/>
      <c r="X1264" s="6"/>
      <c r="Z1264" s="110"/>
      <c r="AB1264" s="6"/>
      <c r="AD1264" s="6"/>
      <c r="AE1264" s="6"/>
      <c r="AF1264" s="126"/>
      <c r="AJ1264" s="6"/>
      <c r="AL1264" s="110"/>
      <c r="AM1264" s="110"/>
      <c r="AN1264" s="110"/>
      <c r="AP1264" s="6"/>
      <c r="AW1264" s="6"/>
      <c r="AX1264" s="6"/>
      <c r="AZ1264" s="110"/>
      <c r="BB1264" s="6"/>
      <c r="BD1264" s="6"/>
      <c r="BE1264" s="6"/>
      <c r="BV1264" s="17"/>
      <c r="BX1264" s="17"/>
      <c r="BZ1264" s="17"/>
    </row>
    <row r="1265" spans="4:78" x14ac:dyDescent="0.3">
      <c r="D1265" s="153"/>
      <c r="E1265" s="6"/>
      <c r="G1265" s="6"/>
      <c r="J1265" s="6"/>
      <c r="N1265" s="154"/>
      <c r="O1265" s="6"/>
      <c r="S1265" s="6"/>
      <c r="V1265" s="6"/>
      <c r="X1265" s="6"/>
      <c r="Z1265" s="110"/>
      <c r="AB1265" s="6"/>
      <c r="AD1265" s="6"/>
      <c r="AE1265" s="6"/>
      <c r="AF1265" s="126"/>
      <c r="AJ1265" s="6"/>
      <c r="AL1265" s="110"/>
      <c r="AM1265" s="110"/>
      <c r="AN1265" s="110"/>
      <c r="AP1265" s="6"/>
      <c r="AW1265" s="6"/>
      <c r="AX1265" s="6"/>
      <c r="AZ1265" s="110"/>
      <c r="BB1265" s="6"/>
      <c r="BD1265" s="6"/>
      <c r="BE1265" s="6"/>
      <c r="BV1265" s="17"/>
      <c r="BX1265" s="17"/>
      <c r="BZ1265" s="17"/>
    </row>
    <row r="1266" spans="4:78" x14ac:dyDescent="0.3">
      <c r="D1266" s="153"/>
      <c r="E1266" s="6"/>
      <c r="G1266" s="6"/>
      <c r="J1266" s="6"/>
      <c r="N1266" s="154"/>
      <c r="O1266" s="6"/>
      <c r="S1266" s="6"/>
      <c r="V1266" s="6"/>
      <c r="X1266" s="6"/>
      <c r="Z1266" s="110"/>
      <c r="AB1266" s="6"/>
      <c r="AD1266" s="6"/>
      <c r="AE1266" s="6"/>
      <c r="AF1266" s="126"/>
      <c r="AJ1266" s="6"/>
      <c r="AL1266" s="110"/>
      <c r="AM1266" s="110"/>
      <c r="AN1266" s="110"/>
      <c r="AP1266" s="6"/>
      <c r="AW1266" s="6"/>
      <c r="AX1266" s="6"/>
      <c r="AZ1266" s="110"/>
      <c r="BB1266" s="6"/>
      <c r="BD1266" s="6"/>
      <c r="BE1266" s="6"/>
      <c r="BV1266" s="17"/>
      <c r="BX1266" s="17"/>
      <c r="BZ1266" s="17"/>
    </row>
    <row r="1267" spans="4:78" x14ac:dyDescent="0.3">
      <c r="D1267" s="153"/>
      <c r="E1267" s="6"/>
      <c r="G1267" s="6"/>
      <c r="J1267" s="6"/>
      <c r="N1267" s="154"/>
      <c r="O1267" s="6"/>
      <c r="S1267" s="6"/>
      <c r="V1267" s="6"/>
      <c r="X1267" s="6"/>
      <c r="Z1267" s="110"/>
      <c r="AB1267" s="6"/>
      <c r="AD1267" s="6"/>
      <c r="AE1267" s="6"/>
      <c r="AF1267" s="126"/>
      <c r="AJ1267" s="6"/>
      <c r="AL1267" s="110"/>
      <c r="AM1267" s="110"/>
      <c r="AN1267" s="110"/>
      <c r="AP1267" s="6"/>
      <c r="AW1267" s="6"/>
      <c r="AX1267" s="6"/>
      <c r="AZ1267" s="110"/>
      <c r="BB1267" s="6"/>
      <c r="BD1267" s="6"/>
      <c r="BE1267" s="6"/>
      <c r="BV1267" s="17"/>
      <c r="BX1267" s="17"/>
      <c r="BZ1267" s="17"/>
    </row>
    <row r="1268" spans="4:78" x14ac:dyDescent="0.3">
      <c r="D1268" s="153"/>
      <c r="E1268" s="6"/>
      <c r="G1268" s="6"/>
      <c r="J1268" s="6"/>
      <c r="N1268" s="154"/>
      <c r="O1268" s="6"/>
      <c r="S1268" s="6"/>
      <c r="V1268" s="6"/>
      <c r="X1268" s="6"/>
      <c r="Z1268" s="110"/>
      <c r="AB1268" s="6"/>
      <c r="AD1268" s="6"/>
      <c r="AE1268" s="6"/>
      <c r="AF1268" s="126"/>
      <c r="AJ1268" s="6"/>
      <c r="AL1268" s="110"/>
      <c r="AM1268" s="110"/>
      <c r="AN1268" s="110"/>
      <c r="AP1268" s="6"/>
      <c r="AW1268" s="6"/>
      <c r="AX1268" s="6"/>
      <c r="AZ1268" s="110"/>
      <c r="BB1268" s="6"/>
      <c r="BD1268" s="6"/>
      <c r="BE1268" s="6"/>
      <c r="BV1268" s="17"/>
      <c r="BX1268" s="17"/>
      <c r="BZ1268" s="17"/>
    </row>
    <row r="1269" spans="4:78" x14ac:dyDescent="0.3">
      <c r="D1269" s="153"/>
      <c r="E1269" s="6"/>
      <c r="G1269" s="6"/>
      <c r="J1269" s="6"/>
      <c r="N1269" s="154"/>
      <c r="O1269" s="6"/>
      <c r="S1269" s="6"/>
      <c r="V1269" s="6"/>
      <c r="X1269" s="6"/>
      <c r="Z1269" s="110"/>
      <c r="AB1269" s="6"/>
      <c r="AD1269" s="6"/>
      <c r="AE1269" s="6"/>
      <c r="AF1269" s="126"/>
      <c r="AJ1269" s="6"/>
      <c r="AL1269" s="110"/>
      <c r="AM1269" s="110"/>
      <c r="AN1269" s="110"/>
      <c r="AP1269" s="6"/>
      <c r="AW1269" s="6"/>
      <c r="AX1269" s="6"/>
      <c r="AZ1269" s="110"/>
      <c r="BB1269" s="6"/>
      <c r="BD1269" s="6"/>
      <c r="BE1269" s="6"/>
      <c r="BV1269" s="17"/>
      <c r="BX1269" s="17"/>
      <c r="BZ1269" s="17"/>
    </row>
    <row r="1270" spans="4:78" x14ac:dyDescent="0.3">
      <c r="D1270" s="153"/>
      <c r="E1270" s="6"/>
      <c r="G1270" s="6"/>
      <c r="J1270" s="6"/>
      <c r="N1270" s="154"/>
      <c r="O1270" s="6"/>
      <c r="S1270" s="6"/>
      <c r="V1270" s="6"/>
      <c r="X1270" s="6"/>
      <c r="Z1270" s="110"/>
      <c r="AB1270" s="6"/>
      <c r="AD1270" s="6"/>
      <c r="AE1270" s="6"/>
      <c r="AF1270" s="126"/>
      <c r="AJ1270" s="6"/>
      <c r="AL1270" s="110"/>
      <c r="AM1270" s="110"/>
      <c r="AN1270" s="110"/>
      <c r="AP1270" s="6"/>
      <c r="AW1270" s="6"/>
      <c r="AX1270" s="6"/>
      <c r="AZ1270" s="110"/>
      <c r="BB1270" s="6"/>
      <c r="BD1270" s="6"/>
      <c r="BE1270" s="6"/>
      <c r="BV1270" s="17"/>
      <c r="BX1270" s="17"/>
      <c r="BZ1270" s="17"/>
    </row>
    <row r="1271" spans="4:78" x14ac:dyDescent="0.3">
      <c r="D1271" s="153"/>
      <c r="E1271" s="6"/>
      <c r="G1271" s="6"/>
      <c r="J1271" s="6"/>
      <c r="N1271" s="154"/>
      <c r="O1271" s="6"/>
      <c r="S1271" s="6"/>
      <c r="V1271" s="6"/>
      <c r="X1271" s="6"/>
      <c r="Z1271" s="110"/>
      <c r="AB1271" s="6"/>
      <c r="AD1271" s="6"/>
      <c r="AE1271" s="6"/>
      <c r="AF1271" s="126"/>
      <c r="AJ1271" s="6"/>
      <c r="AL1271" s="110"/>
      <c r="AM1271" s="110"/>
      <c r="AN1271" s="110"/>
      <c r="AP1271" s="6"/>
      <c r="AW1271" s="6"/>
      <c r="AX1271" s="6"/>
      <c r="AZ1271" s="110"/>
      <c r="BB1271" s="6"/>
      <c r="BD1271" s="6"/>
      <c r="BE1271" s="6"/>
      <c r="BV1271" s="17"/>
      <c r="BX1271" s="17"/>
      <c r="BZ1271" s="17"/>
    </row>
    <row r="1272" spans="4:78" x14ac:dyDescent="0.3">
      <c r="D1272" s="153"/>
      <c r="E1272" s="6"/>
      <c r="G1272" s="6"/>
      <c r="J1272" s="6"/>
      <c r="N1272" s="154"/>
      <c r="O1272" s="6"/>
      <c r="S1272" s="6"/>
      <c r="V1272" s="6"/>
      <c r="X1272" s="6"/>
      <c r="Z1272" s="110"/>
      <c r="AB1272" s="6"/>
      <c r="AD1272" s="6"/>
      <c r="AE1272" s="6"/>
      <c r="AF1272" s="126"/>
      <c r="AJ1272" s="6"/>
      <c r="AL1272" s="110"/>
      <c r="AM1272" s="110"/>
      <c r="AN1272" s="110"/>
      <c r="AP1272" s="6"/>
      <c r="AW1272" s="6"/>
      <c r="AX1272" s="6"/>
      <c r="AZ1272" s="110"/>
      <c r="BB1272" s="6"/>
      <c r="BD1272" s="6"/>
      <c r="BE1272" s="6"/>
      <c r="BV1272" s="17"/>
      <c r="BX1272" s="17"/>
      <c r="BZ1272" s="17"/>
    </row>
    <row r="1273" spans="4:78" x14ac:dyDescent="0.3">
      <c r="D1273" s="153"/>
      <c r="E1273" s="6"/>
      <c r="G1273" s="6"/>
      <c r="J1273" s="6"/>
      <c r="N1273" s="154"/>
      <c r="O1273" s="6"/>
      <c r="S1273" s="6"/>
      <c r="V1273" s="6"/>
      <c r="X1273" s="6"/>
      <c r="Z1273" s="110"/>
      <c r="AB1273" s="6"/>
      <c r="AD1273" s="6"/>
      <c r="AE1273" s="6"/>
      <c r="AF1273" s="126"/>
      <c r="AJ1273" s="6"/>
      <c r="AL1273" s="110"/>
      <c r="AM1273" s="110"/>
      <c r="AN1273" s="110"/>
      <c r="AP1273" s="6"/>
      <c r="AW1273" s="6"/>
      <c r="AX1273" s="6"/>
      <c r="AZ1273" s="110"/>
      <c r="BB1273" s="6"/>
      <c r="BD1273" s="6"/>
      <c r="BE1273" s="6"/>
      <c r="BV1273" s="17"/>
      <c r="BX1273" s="17"/>
      <c r="BZ1273" s="17"/>
    </row>
    <row r="1274" spans="4:78" x14ac:dyDescent="0.3">
      <c r="D1274" s="153"/>
      <c r="E1274" s="6"/>
      <c r="G1274" s="6"/>
      <c r="J1274" s="6"/>
      <c r="N1274" s="154"/>
      <c r="O1274" s="6"/>
      <c r="S1274" s="6"/>
      <c r="V1274" s="6"/>
      <c r="X1274" s="6"/>
      <c r="Z1274" s="110"/>
      <c r="AB1274" s="6"/>
      <c r="AD1274" s="6"/>
      <c r="AE1274" s="6"/>
      <c r="AF1274" s="126"/>
      <c r="AJ1274" s="6"/>
      <c r="AL1274" s="110"/>
      <c r="AM1274" s="110"/>
      <c r="AN1274" s="110"/>
      <c r="AP1274" s="6"/>
      <c r="AW1274" s="6"/>
      <c r="AX1274" s="6"/>
      <c r="AZ1274" s="110"/>
      <c r="BB1274" s="6"/>
      <c r="BD1274" s="6"/>
      <c r="BE1274" s="6"/>
      <c r="BV1274" s="17"/>
      <c r="BX1274" s="17"/>
      <c r="BZ1274" s="17"/>
    </row>
    <row r="1275" spans="4:78" x14ac:dyDescent="0.3">
      <c r="D1275" s="153"/>
      <c r="E1275" s="6"/>
      <c r="G1275" s="6"/>
      <c r="J1275" s="6"/>
      <c r="N1275" s="154"/>
      <c r="O1275" s="6"/>
      <c r="S1275" s="6"/>
      <c r="V1275" s="6"/>
      <c r="X1275" s="6"/>
      <c r="Z1275" s="110"/>
      <c r="AB1275" s="6"/>
      <c r="AD1275" s="6"/>
      <c r="AE1275" s="6"/>
      <c r="AF1275" s="126"/>
      <c r="AJ1275" s="6"/>
      <c r="AL1275" s="110"/>
      <c r="AM1275" s="110"/>
      <c r="AN1275" s="110"/>
      <c r="AP1275" s="6"/>
      <c r="AW1275" s="6"/>
      <c r="AX1275" s="6"/>
      <c r="AZ1275" s="110"/>
      <c r="BB1275" s="6"/>
      <c r="BD1275" s="6"/>
      <c r="BE1275" s="6"/>
      <c r="BV1275" s="17"/>
      <c r="BX1275" s="17"/>
      <c r="BZ1275" s="17"/>
    </row>
    <row r="1276" spans="4:78" x14ac:dyDescent="0.3">
      <c r="D1276" s="153"/>
      <c r="E1276" s="6"/>
      <c r="G1276" s="6"/>
      <c r="J1276" s="6"/>
      <c r="N1276" s="154"/>
      <c r="O1276" s="6"/>
      <c r="S1276" s="6"/>
      <c r="V1276" s="6"/>
      <c r="X1276" s="6"/>
      <c r="Z1276" s="110"/>
      <c r="AB1276" s="6"/>
      <c r="AD1276" s="6"/>
      <c r="AE1276" s="6"/>
      <c r="AF1276" s="126"/>
      <c r="AJ1276" s="6"/>
      <c r="AL1276" s="110"/>
      <c r="AM1276" s="110"/>
      <c r="AN1276" s="110"/>
      <c r="AP1276" s="6"/>
      <c r="AW1276" s="6"/>
      <c r="AX1276" s="6"/>
      <c r="AZ1276" s="110"/>
      <c r="BB1276" s="6"/>
      <c r="BD1276" s="6"/>
      <c r="BE1276" s="6"/>
      <c r="BV1276" s="17"/>
      <c r="BX1276" s="17"/>
      <c r="BZ1276" s="17"/>
    </row>
    <row r="1277" spans="4:78" x14ac:dyDescent="0.3">
      <c r="D1277" s="153"/>
      <c r="E1277" s="6"/>
      <c r="G1277" s="6"/>
      <c r="J1277" s="6"/>
      <c r="N1277" s="154"/>
      <c r="O1277" s="6"/>
      <c r="S1277" s="6"/>
      <c r="V1277" s="6"/>
      <c r="X1277" s="6"/>
      <c r="Z1277" s="110"/>
      <c r="AB1277" s="6"/>
      <c r="AD1277" s="6"/>
      <c r="AE1277" s="6"/>
      <c r="AF1277" s="126"/>
      <c r="AJ1277" s="6"/>
      <c r="AL1277" s="110"/>
      <c r="AM1277" s="110"/>
      <c r="AN1277" s="110"/>
      <c r="AP1277" s="6"/>
      <c r="AW1277" s="6"/>
      <c r="AX1277" s="6"/>
      <c r="AZ1277" s="110"/>
      <c r="BB1277" s="6"/>
      <c r="BD1277" s="6"/>
      <c r="BE1277" s="6"/>
      <c r="BV1277" s="17"/>
      <c r="BX1277" s="17"/>
      <c r="BZ1277" s="17"/>
    </row>
    <row r="1278" spans="4:78" x14ac:dyDescent="0.3">
      <c r="D1278" s="153"/>
      <c r="E1278" s="6"/>
      <c r="G1278" s="6"/>
      <c r="J1278" s="6"/>
      <c r="N1278" s="154"/>
      <c r="O1278" s="6"/>
      <c r="S1278" s="6"/>
      <c r="V1278" s="6"/>
      <c r="X1278" s="6"/>
      <c r="Z1278" s="110"/>
      <c r="AB1278" s="6"/>
      <c r="AD1278" s="6"/>
      <c r="AE1278" s="6"/>
      <c r="AF1278" s="126"/>
      <c r="AJ1278" s="6"/>
      <c r="AL1278" s="110"/>
      <c r="AM1278" s="110"/>
      <c r="AN1278" s="110"/>
      <c r="AP1278" s="6"/>
      <c r="AW1278" s="6"/>
      <c r="AX1278" s="6"/>
      <c r="AZ1278" s="110"/>
      <c r="BB1278" s="6"/>
      <c r="BD1278" s="6"/>
      <c r="BE1278" s="6"/>
      <c r="BV1278" s="17"/>
      <c r="BX1278" s="17"/>
      <c r="BZ1278" s="17"/>
    </row>
    <row r="1279" spans="4:78" x14ac:dyDescent="0.3">
      <c r="D1279" s="153"/>
      <c r="E1279" s="6"/>
      <c r="G1279" s="6"/>
      <c r="J1279" s="6"/>
      <c r="N1279" s="154"/>
      <c r="O1279" s="6"/>
      <c r="S1279" s="6"/>
      <c r="V1279" s="6"/>
      <c r="X1279" s="6"/>
      <c r="Z1279" s="110"/>
      <c r="AB1279" s="6"/>
      <c r="AD1279" s="6"/>
      <c r="AE1279" s="6"/>
      <c r="AF1279" s="126"/>
      <c r="AJ1279" s="6"/>
      <c r="AL1279" s="110"/>
      <c r="AM1279" s="110"/>
      <c r="AN1279" s="110"/>
      <c r="AP1279" s="6"/>
      <c r="AW1279" s="6"/>
      <c r="AX1279" s="6"/>
      <c r="AZ1279" s="110"/>
      <c r="BB1279" s="6"/>
      <c r="BD1279" s="6"/>
      <c r="BE1279" s="6"/>
      <c r="BV1279" s="17"/>
      <c r="BX1279" s="17"/>
      <c r="BZ1279" s="17"/>
    </row>
    <row r="1280" spans="4:78" x14ac:dyDescent="0.3">
      <c r="D1280" s="153"/>
      <c r="E1280" s="6"/>
      <c r="G1280" s="6"/>
      <c r="J1280" s="6"/>
      <c r="N1280" s="154"/>
      <c r="O1280" s="6"/>
      <c r="S1280" s="6"/>
      <c r="V1280" s="6"/>
      <c r="X1280" s="6"/>
      <c r="Z1280" s="110"/>
      <c r="AB1280" s="6"/>
      <c r="AD1280" s="6"/>
      <c r="AE1280" s="6"/>
      <c r="AF1280" s="126"/>
      <c r="AJ1280" s="6"/>
      <c r="AL1280" s="110"/>
      <c r="AM1280" s="110"/>
      <c r="AN1280" s="110"/>
      <c r="AP1280" s="6"/>
      <c r="AW1280" s="6"/>
      <c r="AX1280" s="6"/>
      <c r="AZ1280" s="110"/>
      <c r="BB1280" s="6"/>
      <c r="BD1280" s="6"/>
      <c r="BE1280" s="6"/>
      <c r="BV1280" s="17"/>
      <c r="BX1280" s="17"/>
      <c r="BZ1280" s="17"/>
    </row>
    <row r="1281" spans="4:78" x14ac:dyDescent="0.3">
      <c r="D1281" s="153"/>
      <c r="E1281" s="6"/>
      <c r="G1281" s="6"/>
      <c r="J1281" s="6"/>
      <c r="N1281" s="154"/>
      <c r="O1281" s="6"/>
      <c r="S1281" s="6"/>
      <c r="V1281" s="6"/>
      <c r="X1281" s="6"/>
      <c r="Z1281" s="110"/>
      <c r="AB1281" s="6"/>
      <c r="AD1281" s="6"/>
      <c r="AE1281" s="6"/>
      <c r="AF1281" s="126"/>
      <c r="AJ1281" s="6"/>
      <c r="AL1281" s="110"/>
      <c r="AM1281" s="110"/>
      <c r="AN1281" s="110"/>
      <c r="AP1281" s="6"/>
      <c r="AW1281" s="6"/>
      <c r="AX1281" s="6"/>
      <c r="AZ1281" s="110"/>
      <c r="BB1281" s="6"/>
      <c r="BD1281" s="6"/>
      <c r="BE1281" s="6"/>
      <c r="BV1281" s="17"/>
      <c r="BX1281" s="17"/>
      <c r="BZ1281" s="17"/>
    </row>
    <row r="1282" spans="4:78" x14ac:dyDescent="0.3">
      <c r="D1282" s="153"/>
      <c r="E1282" s="6"/>
      <c r="G1282" s="6"/>
      <c r="J1282" s="6"/>
      <c r="N1282" s="154"/>
      <c r="O1282" s="6"/>
      <c r="S1282" s="6"/>
      <c r="V1282" s="6"/>
      <c r="X1282" s="6"/>
      <c r="Z1282" s="110"/>
      <c r="AB1282" s="6"/>
      <c r="AD1282" s="6"/>
      <c r="AE1282" s="6"/>
      <c r="AF1282" s="126"/>
      <c r="AJ1282" s="6"/>
      <c r="AL1282" s="110"/>
      <c r="AM1282" s="110"/>
      <c r="AN1282" s="110"/>
      <c r="AP1282" s="6"/>
      <c r="AW1282" s="6"/>
      <c r="AX1282" s="6"/>
      <c r="AZ1282" s="110"/>
      <c r="BB1282" s="6"/>
      <c r="BD1282" s="6"/>
      <c r="BE1282" s="6"/>
      <c r="BV1282" s="17"/>
      <c r="BX1282" s="17"/>
      <c r="BZ1282" s="17"/>
    </row>
    <row r="1283" spans="4:78" x14ac:dyDescent="0.3">
      <c r="D1283" s="153"/>
      <c r="E1283" s="6"/>
      <c r="G1283" s="6"/>
      <c r="J1283" s="6"/>
      <c r="N1283" s="154"/>
      <c r="O1283" s="6"/>
      <c r="S1283" s="6"/>
      <c r="V1283" s="6"/>
      <c r="X1283" s="6"/>
      <c r="Z1283" s="110"/>
      <c r="AB1283" s="6"/>
      <c r="AD1283" s="6"/>
      <c r="AE1283" s="6"/>
      <c r="AF1283" s="126"/>
      <c r="AJ1283" s="6"/>
      <c r="AL1283" s="110"/>
      <c r="AM1283" s="110"/>
      <c r="AN1283" s="110"/>
      <c r="AP1283" s="6"/>
      <c r="AW1283" s="6"/>
      <c r="AX1283" s="6"/>
      <c r="AZ1283" s="110"/>
      <c r="BB1283" s="6"/>
      <c r="BD1283" s="6"/>
      <c r="BE1283" s="6"/>
      <c r="BV1283" s="17"/>
      <c r="BX1283" s="17"/>
      <c r="BZ1283" s="17"/>
    </row>
    <row r="1284" spans="4:78" x14ac:dyDescent="0.3">
      <c r="D1284" s="153"/>
      <c r="E1284" s="6"/>
      <c r="G1284" s="6"/>
      <c r="J1284" s="6"/>
      <c r="N1284" s="154"/>
      <c r="O1284" s="6"/>
      <c r="S1284" s="6"/>
      <c r="V1284" s="6"/>
      <c r="X1284" s="6"/>
      <c r="Z1284" s="110"/>
      <c r="AB1284" s="6"/>
      <c r="AD1284" s="6"/>
      <c r="AE1284" s="6"/>
      <c r="AF1284" s="126"/>
      <c r="AJ1284" s="6"/>
      <c r="AL1284" s="110"/>
      <c r="AM1284" s="110"/>
      <c r="AN1284" s="110"/>
      <c r="AP1284" s="6"/>
      <c r="AW1284" s="6"/>
      <c r="AX1284" s="6"/>
      <c r="AZ1284" s="110"/>
      <c r="BB1284" s="6"/>
      <c r="BD1284" s="6"/>
      <c r="BE1284" s="6"/>
      <c r="BV1284" s="17"/>
      <c r="BX1284" s="17"/>
      <c r="BZ1284" s="17"/>
    </row>
    <row r="1285" spans="4:78" x14ac:dyDescent="0.3">
      <c r="D1285" s="153"/>
      <c r="E1285" s="6"/>
      <c r="G1285" s="6"/>
      <c r="J1285" s="6"/>
      <c r="N1285" s="154"/>
      <c r="O1285" s="6"/>
      <c r="S1285" s="6"/>
      <c r="V1285" s="6"/>
      <c r="X1285" s="6"/>
      <c r="Z1285" s="110"/>
      <c r="AB1285" s="6"/>
      <c r="AD1285" s="6"/>
      <c r="AE1285" s="6"/>
      <c r="AF1285" s="126"/>
      <c r="AJ1285" s="6"/>
      <c r="AL1285" s="110"/>
      <c r="AM1285" s="110"/>
      <c r="AN1285" s="110"/>
      <c r="AP1285" s="6"/>
      <c r="AW1285" s="6"/>
      <c r="AX1285" s="6"/>
      <c r="AZ1285" s="110"/>
      <c r="BB1285" s="6"/>
      <c r="BD1285" s="6"/>
      <c r="BE1285" s="6"/>
      <c r="BV1285" s="17"/>
      <c r="BX1285" s="17"/>
      <c r="BZ1285" s="17"/>
    </row>
    <row r="1286" spans="4:78" x14ac:dyDescent="0.3">
      <c r="D1286" s="153"/>
      <c r="E1286" s="6"/>
      <c r="G1286" s="6"/>
      <c r="J1286" s="6"/>
      <c r="N1286" s="154"/>
      <c r="O1286" s="6"/>
      <c r="S1286" s="6"/>
      <c r="V1286" s="6"/>
      <c r="X1286" s="6"/>
      <c r="Z1286" s="110"/>
      <c r="AB1286" s="6"/>
      <c r="AD1286" s="6"/>
      <c r="AE1286" s="6"/>
      <c r="AF1286" s="126"/>
      <c r="AJ1286" s="6"/>
      <c r="AL1286" s="110"/>
      <c r="AM1286" s="110"/>
      <c r="AN1286" s="110"/>
      <c r="AP1286" s="6"/>
      <c r="AW1286" s="6"/>
      <c r="AX1286" s="6"/>
      <c r="AZ1286" s="110"/>
      <c r="BB1286" s="6"/>
      <c r="BD1286" s="6"/>
      <c r="BE1286" s="6"/>
      <c r="BV1286" s="17"/>
      <c r="BX1286" s="17"/>
      <c r="BZ1286" s="17"/>
    </row>
    <row r="1287" spans="4:78" x14ac:dyDescent="0.3">
      <c r="D1287" s="153"/>
      <c r="E1287" s="6"/>
      <c r="G1287" s="6"/>
      <c r="J1287" s="6"/>
      <c r="N1287" s="154"/>
      <c r="O1287" s="6"/>
      <c r="S1287" s="6"/>
      <c r="V1287" s="6"/>
      <c r="X1287" s="6"/>
      <c r="Z1287" s="110"/>
      <c r="AB1287" s="6"/>
      <c r="AD1287" s="6"/>
      <c r="AE1287" s="6"/>
      <c r="AF1287" s="126"/>
      <c r="AJ1287" s="6"/>
      <c r="AL1287" s="110"/>
      <c r="AM1287" s="110"/>
      <c r="AN1287" s="110"/>
      <c r="AP1287" s="6"/>
      <c r="AW1287" s="6"/>
      <c r="AX1287" s="6"/>
      <c r="AZ1287" s="110"/>
      <c r="BB1287" s="6"/>
      <c r="BD1287" s="6"/>
      <c r="BE1287" s="6"/>
      <c r="BV1287" s="17"/>
      <c r="BX1287" s="17"/>
      <c r="BZ1287" s="17"/>
    </row>
    <row r="1288" spans="4:78" x14ac:dyDescent="0.3">
      <c r="D1288" s="153"/>
      <c r="E1288" s="6"/>
      <c r="G1288" s="6"/>
      <c r="J1288" s="6"/>
      <c r="N1288" s="154"/>
      <c r="O1288" s="6"/>
      <c r="S1288" s="6"/>
      <c r="V1288" s="6"/>
      <c r="X1288" s="6"/>
      <c r="Z1288" s="110"/>
      <c r="AB1288" s="6"/>
      <c r="AD1288" s="6"/>
      <c r="AE1288" s="6"/>
      <c r="AF1288" s="126"/>
      <c r="AJ1288" s="6"/>
      <c r="AL1288" s="110"/>
      <c r="AM1288" s="110"/>
      <c r="AN1288" s="110"/>
      <c r="AP1288" s="6"/>
      <c r="AW1288" s="6"/>
      <c r="AX1288" s="6"/>
      <c r="AZ1288" s="110"/>
      <c r="BB1288" s="6"/>
      <c r="BD1288" s="6"/>
      <c r="BE1288" s="6"/>
      <c r="BV1288" s="17"/>
      <c r="BX1288" s="17"/>
      <c r="BZ1288" s="17"/>
    </row>
    <row r="1289" spans="4:78" x14ac:dyDescent="0.3">
      <c r="D1289" s="153"/>
      <c r="E1289" s="6"/>
      <c r="G1289" s="6"/>
      <c r="J1289" s="6"/>
      <c r="N1289" s="154"/>
      <c r="O1289" s="6"/>
      <c r="S1289" s="6"/>
      <c r="V1289" s="6"/>
      <c r="X1289" s="6"/>
      <c r="Z1289" s="110"/>
      <c r="AB1289" s="6"/>
      <c r="AD1289" s="6"/>
      <c r="AE1289" s="6"/>
      <c r="AF1289" s="126"/>
      <c r="AJ1289" s="6"/>
      <c r="AL1289" s="110"/>
      <c r="AM1289" s="110"/>
      <c r="AN1289" s="110"/>
      <c r="AP1289" s="6"/>
      <c r="AW1289" s="6"/>
      <c r="AX1289" s="6"/>
      <c r="AZ1289" s="110"/>
      <c r="BB1289" s="6"/>
      <c r="BD1289" s="6"/>
      <c r="BE1289" s="6"/>
      <c r="BV1289" s="17"/>
      <c r="BX1289" s="17"/>
      <c r="BZ1289" s="17"/>
    </row>
    <row r="1290" spans="4:78" x14ac:dyDescent="0.3">
      <c r="D1290" s="153"/>
      <c r="E1290" s="6"/>
      <c r="G1290" s="6"/>
      <c r="J1290" s="6"/>
      <c r="N1290" s="154"/>
      <c r="O1290" s="6"/>
      <c r="S1290" s="6"/>
      <c r="V1290" s="6"/>
      <c r="X1290" s="6"/>
      <c r="Z1290" s="110"/>
      <c r="AB1290" s="6"/>
      <c r="AD1290" s="6"/>
      <c r="AE1290" s="6"/>
      <c r="AF1290" s="126"/>
      <c r="AJ1290" s="6"/>
      <c r="AL1290" s="110"/>
      <c r="AM1290" s="110"/>
      <c r="AN1290" s="110"/>
      <c r="AP1290" s="6"/>
      <c r="AW1290" s="6"/>
      <c r="AX1290" s="6"/>
      <c r="AZ1290" s="110"/>
      <c r="BB1290" s="6"/>
      <c r="BD1290" s="6"/>
      <c r="BE1290" s="6"/>
      <c r="BV1290" s="17"/>
      <c r="BX1290" s="17"/>
      <c r="BZ1290" s="17"/>
    </row>
    <row r="1291" spans="4:78" x14ac:dyDescent="0.3">
      <c r="D1291" s="153"/>
      <c r="E1291" s="6"/>
      <c r="G1291" s="6"/>
      <c r="J1291" s="6"/>
      <c r="N1291" s="154"/>
      <c r="O1291" s="6"/>
      <c r="S1291" s="6"/>
      <c r="V1291" s="6"/>
      <c r="X1291" s="6"/>
      <c r="Z1291" s="110"/>
      <c r="AB1291" s="6"/>
      <c r="AD1291" s="6"/>
      <c r="AE1291" s="6"/>
      <c r="AF1291" s="126"/>
      <c r="AJ1291" s="6"/>
      <c r="AL1291" s="110"/>
      <c r="AM1291" s="110"/>
      <c r="AN1291" s="110"/>
      <c r="AP1291" s="6"/>
      <c r="AW1291" s="6"/>
      <c r="AX1291" s="6"/>
      <c r="AZ1291" s="110"/>
      <c r="BB1291" s="6"/>
      <c r="BD1291" s="6"/>
      <c r="BE1291" s="6"/>
      <c r="BV1291" s="17"/>
      <c r="BX1291" s="17"/>
      <c r="BZ1291" s="17"/>
    </row>
    <row r="1292" spans="4:78" x14ac:dyDescent="0.3">
      <c r="D1292" s="153"/>
      <c r="E1292" s="6"/>
      <c r="G1292" s="6"/>
      <c r="J1292" s="6"/>
      <c r="N1292" s="154"/>
      <c r="O1292" s="6"/>
      <c r="S1292" s="6"/>
      <c r="V1292" s="6"/>
      <c r="X1292" s="6"/>
      <c r="Z1292" s="110"/>
      <c r="AB1292" s="6"/>
      <c r="AD1292" s="6"/>
      <c r="AE1292" s="6"/>
      <c r="AF1292" s="126"/>
      <c r="AJ1292" s="6"/>
      <c r="AL1292" s="110"/>
      <c r="AM1292" s="110"/>
      <c r="AN1292" s="110"/>
      <c r="AP1292" s="6"/>
      <c r="AW1292" s="6"/>
      <c r="AX1292" s="6"/>
      <c r="AZ1292" s="110"/>
      <c r="BB1292" s="6"/>
      <c r="BD1292" s="6"/>
      <c r="BE1292" s="6"/>
      <c r="BV1292" s="17"/>
      <c r="BX1292" s="17"/>
      <c r="BZ1292" s="17"/>
    </row>
    <row r="1293" spans="4:78" x14ac:dyDescent="0.3">
      <c r="D1293" s="153"/>
      <c r="E1293" s="6"/>
      <c r="G1293" s="6"/>
      <c r="J1293" s="6"/>
      <c r="N1293" s="154"/>
      <c r="O1293" s="6"/>
      <c r="S1293" s="6"/>
      <c r="V1293" s="6"/>
      <c r="X1293" s="6"/>
      <c r="Z1293" s="110"/>
      <c r="AB1293" s="6"/>
      <c r="AD1293" s="6"/>
      <c r="AE1293" s="6"/>
      <c r="AF1293" s="126"/>
      <c r="AJ1293" s="6"/>
      <c r="AL1293" s="110"/>
      <c r="AM1293" s="110"/>
      <c r="AN1293" s="110"/>
      <c r="AP1293" s="6"/>
      <c r="AW1293" s="6"/>
      <c r="AX1293" s="6"/>
      <c r="AZ1293" s="110"/>
      <c r="BB1293" s="6"/>
      <c r="BD1293" s="6"/>
      <c r="BE1293" s="6"/>
      <c r="BV1293" s="17"/>
      <c r="BX1293" s="17"/>
      <c r="BZ1293" s="17"/>
    </row>
    <row r="1294" spans="4:78" x14ac:dyDescent="0.3">
      <c r="D1294" s="153"/>
      <c r="E1294" s="6"/>
      <c r="G1294" s="6"/>
      <c r="J1294" s="6"/>
      <c r="N1294" s="154"/>
      <c r="O1294" s="6"/>
      <c r="S1294" s="6"/>
      <c r="V1294" s="6"/>
      <c r="X1294" s="6"/>
      <c r="Z1294" s="110"/>
      <c r="AB1294" s="6"/>
      <c r="AD1294" s="6"/>
      <c r="AE1294" s="6"/>
      <c r="AF1294" s="126"/>
      <c r="AJ1294" s="6"/>
      <c r="AL1294" s="110"/>
      <c r="AM1294" s="110"/>
      <c r="AN1294" s="110"/>
      <c r="AP1294" s="6"/>
      <c r="AW1294" s="6"/>
      <c r="AX1294" s="6"/>
      <c r="AZ1294" s="110"/>
      <c r="BB1294" s="6"/>
      <c r="BD1294" s="6"/>
      <c r="BE1294" s="6"/>
      <c r="BV1294" s="17"/>
      <c r="BX1294" s="17"/>
      <c r="BZ1294" s="17"/>
    </row>
    <row r="1295" spans="4:78" x14ac:dyDescent="0.3">
      <c r="D1295" s="153"/>
      <c r="E1295" s="6"/>
      <c r="G1295" s="6"/>
      <c r="J1295" s="6"/>
      <c r="N1295" s="154"/>
      <c r="O1295" s="6"/>
      <c r="S1295" s="6"/>
      <c r="V1295" s="6"/>
      <c r="X1295" s="6"/>
      <c r="Z1295" s="110"/>
      <c r="AB1295" s="6"/>
      <c r="AD1295" s="6"/>
      <c r="AE1295" s="6"/>
      <c r="AF1295" s="126"/>
      <c r="AJ1295" s="6"/>
      <c r="AL1295" s="110"/>
      <c r="AM1295" s="110"/>
      <c r="AN1295" s="110"/>
      <c r="AP1295" s="6"/>
      <c r="AW1295" s="6"/>
      <c r="AX1295" s="6"/>
      <c r="AZ1295" s="110"/>
      <c r="BB1295" s="6"/>
      <c r="BD1295" s="6"/>
      <c r="BE1295" s="6"/>
      <c r="BV1295" s="17"/>
      <c r="BX1295" s="17"/>
      <c r="BZ1295" s="17"/>
    </row>
    <row r="1296" spans="4:78" x14ac:dyDescent="0.3">
      <c r="D1296" s="153"/>
      <c r="E1296" s="6"/>
      <c r="G1296" s="6"/>
      <c r="J1296" s="6"/>
      <c r="N1296" s="154"/>
      <c r="O1296" s="6"/>
      <c r="S1296" s="6"/>
      <c r="V1296" s="6"/>
      <c r="X1296" s="6"/>
      <c r="Z1296" s="110"/>
      <c r="AB1296" s="6"/>
      <c r="AD1296" s="6"/>
      <c r="AE1296" s="6"/>
      <c r="AF1296" s="126"/>
      <c r="AJ1296" s="6"/>
      <c r="AL1296" s="110"/>
      <c r="AM1296" s="110"/>
      <c r="AN1296" s="110"/>
      <c r="AP1296" s="6"/>
      <c r="AW1296" s="6"/>
      <c r="AX1296" s="6"/>
      <c r="AZ1296" s="110"/>
      <c r="BB1296" s="6"/>
      <c r="BD1296" s="6"/>
      <c r="BE1296" s="6"/>
      <c r="BV1296" s="17"/>
      <c r="BX1296" s="17"/>
      <c r="BZ1296" s="17"/>
    </row>
    <row r="1297" spans="4:78" x14ac:dyDescent="0.3">
      <c r="D1297" s="153"/>
      <c r="E1297" s="6"/>
      <c r="G1297" s="6"/>
      <c r="J1297" s="6"/>
      <c r="N1297" s="154"/>
      <c r="O1297" s="6"/>
      <c r="S1297" s="6"/>
      <c r="V1297" s="6"/>
      <c r="X1297" s="6"/>
      <c r="Z1297" s="110"/>
      <c r="AB1297" s="6"/>
      <c r="AD1297" s="6"/>
      <c r="AE1297" s="6"/>
      <c r="AF1297" s="126"/>
      <c r="AJ1297" s="6"/>
      <c r="AL1297" s="110"/>
      <c r="AM1297" s="110"/>
      <c r="AN1297" s="110"/>
      <c r="AP1297" s="6"/>
      <c r="AW1297" s="6"/>
      <c r="AX1297" s="6"/>
      <c r="AZ1297" s="110"/>
      <c r="BB1297" s="6"/>
      <c r="BD1297" s="6"/>
      <c r="BE1297" s="6"/>
      <c r="BV1297" s="17"/>
      <c r="BX1297" s="17"/>
      <c r="BZ1297" s="17"/>
    </row>
    <row r="1298" spans="4:78" x14ac:dyDescent="0.3">
      <c r="D1298" s="153"/>
      <c r="E1298" s="6"/>
      <c r="G1298" s="6"/>
      <c r="J1298" s="6"/>
      <c r="N1298" s="154"/>
      <c r="O1298" s="6"/>
      <c r="S1298" s="6"/>
      <c r="V1298" s="6"/>
      <c r="X1298" s="6"/>
      <c r="Z1298" s="110"/>
      <c r="AB1298" s="6"/>
      <c r="AD1298" s="6"/>
      <c r="AE1298" s="6"/>
      <c r="AF1298" s="126"/>
      <c r="AJ1298" s="6"/>
      <c r="AL1298" s="110"/>
      <c r="AM1298" s="110"/>
      <c r="AN1298" s="110"/>
      <c r="AP1298" s="6"/>
      <c r="AW1298" s="6"/>
      <c r="AX1298" s="6"/>
      <c r="AZ1298" s="110"/>
      <c r="BB1298" s="6"/>
      <c r="BD1298" s="6"/>
      <c r="BE1298" s="6"/>
      <c r="BV1298" s="17"/>
      <c r="BX1298" s="17"/>
      <c r="BZ1298" s="17"/>
    </row>
    <row r="1299" spans="4:78" x14ac:dyDescent="0.3">
      <c r="D1299" s="153"/>
      <c r="E1299" s="6"/>
      <c r="G1299" s="6"/>
      <c r="J1299" s="6"/>
      <c r="N1299" s="154"/>
      <c r="O1299" s="6"/>
      <c r="S1299" s="6"/>
      <c r="V1299" s="6"/>
      <c r="X1299" s="6"/>
      <c r="Z1299" s="110"/>
      <c r="AB1299" s="6"/>
      <c r="AD1299" s="6"/>
      <c r="AE1299" s="6"/>
      <c r="AF1299" s="126"/>
      <c r="AJ1299" s="6"/>
      <c r="AL1299" s="110"/>
      <c r="AM1299" s="110"/>
      <c r="AN1299" s="110"/>
      <c r="AP1299" s="6"/>
      <c r="AW1299" s="6"/>
      <c r="AX1299" s="6"/>
      <c r="AZ1299" s="110"/>
      <c r="BB1299" s="6"/>
      <c r="BD1299" s="6"/>
      <c r="BE1299" s="6"/>
      <c r="BV1299" s="17"/>
      <c r="BX1299" s="17"/>
      <c r="BZ1299" s="17"/>
    </row>
    <row r="1300" spans="4:78" x14ac:dyDescent="0.3">
      <c r="D1300" s="153"/>
      <c r="E1300" s="6"/>
      <c r="G1300" s="6"/>
      <c r="J1300" s="6"/>
      <c r="N1300" s="154"/>
      <c r="O1300" s="6"/>
      <c r="S1300" s="6"/>
      <c r="V1300" s="6"/>
      <c r="X1300" s="6"/>
      <c r="Z1300" s="110"/>
      <c r="AB1300" s="6"/>
      <c r="AD1300" s="6"/>
      <c r="AE1300" s="6"/>
      <c r="AF1300" s="126"/>
      <c r="AJ1300" s="6"/>
      <c r="AL1300" s="110"/>
      <c r="AM1300" s="110"/>
      <c r="AN1300" s="110"/>
      <c r="AP1300" s="6"/>
      <c r="AW1300" s="6"/>
      <c r="AX1300" s="6"/>
      <c r="AZ1300" s="110"/>
      <c r="BB1300" s="6"/>
      <c r="BD1300" s="6"/>
      <c r="BE1300" s="6"/>
      <c r="BV1300" s="17"/>
      <c r="BX1300" s="17"/>
      <c r="BZ1300" s="17"/>
    </row>
    <row r="1301" spans="4:78" x14ac:dyDescent="0.3">
      <c r="D1301" s="153"/>
      <c r="E1301" s="6"/>
      <c r="G1301" s="6"/>
      <c r="J1301" s="6"/>
      <c r="N1301" s="154"/>
      <c r="O1301" s="6"/>
      <c r="S1301" s="6"/>
      <c r="V1301" s="6"/>
      <c r="X1301" s="6"/>
      <c r="Z1301" s="110"/>
      <c r="AB1301" s="6"/>
      <c r="AD1301" s="6"/>
      <c r="AE1301" s="6"/>
      <c r="AF1301" s="126"/>
      <c r="AJ1301" s="6"/>
      <c r="AL1301" s="110"/>
      <c r="AM1301" s="110"/>
      <c r="AN1301" s="110"/>
      <c r="AP1301" s="6"/>
      <c r="AW1301" s="6"/>
      <c r="AX1301" s="6"/>
      <c r="AZ1301" s="110"/>
      <c r="BB1301" s="6"/>
      <c r="BD1301" s="6"/>
      <c r="BE1301" s="6"/>
      <c r="BV1301" s="17"/>
      <c r="BX1301" s="17"/>
      <c r="BZ1301" s="17"/>
    </row>
    <row r="1302" spans="4:78" x14ac:dyDescent="0.3">
      <c r="D1302" s="153"/>
      <c r="E1302" s="6"/>
      <c r="G1302" s="6"/>
      <c r="J1302" s="6"/>
      <c r="N1302" s="154"/>
      <c r="O1302" s="6"/>
      <c r="S1302" s="6"/>
      <c r="V1302" s="6"/>
      <c r="X1302" s="6"/>
      <c r="Z1302" s="110"/>
      <c r="AB1302" s="6"/>
      <c r="AD1302" s="6"/>
      <c r="AE1302" s="6"/>
      <c r="AF1302" s="126"/>
      <c r="AJ1302" s="6"/>
      <c r="AL1302" s="110"/>
      <c r="AM1302" s="110"/>
      <c r="AN1302" s="110"/>
      <c r="AP1302" s="6"/>
      <c r="AW1302" s="6"/>
      <c r="AX1302" s="6"/>
      <c r="AZ1302" s="110"/>
      <c r="BB1302" s="6"/>
      <c r="BD1302" s="6"/>
      <c r="BE1302" s="6"/>
      <c r="BV1302" s="17"/>
      <c r="BX1302" s="17"/>
      <c r="BZ1302" s="17"/>
    </row>
    <row r="1303" spans="4:78" x14ac:dyDescent="0.3">
      <c r="D1303" s="153"/>
      <c r="E1303" s="6"/>
      <c r="G1303" s="6"/>
      <c r="J1303" s="6"/>
      <c r="N1303" s="154"/>
      <c r="O1303" s="6"/>
      <c r="S1303" s="6"/>
      <c r="V1303" s="6"/>
      <c r="X1303" s="6"/>
      <c r="Z1303" s="110"/>
      <c r="AB1303" s="6"/>
      <c r="AD1303" s="6"/>
      <c r="AE1303" s="6"/>
      <c r="AF1303" s="126"/>
      <c r="AJ1303" s="6"/>
      <c r="AL1303" s="110"/>
      <c r="AM1303" s="110"/>
      <c r="AN1303" s="110"/>
      <c r="AP1303" s="6"/>
      <c r="AW1303" s="6"/>
      <c r="AX1303" s="6"/>
      <c r="AZ1303" s="110"/>
      <c r="BB1303" s="6"/>
      <c r="BD1303" s="6"/>
      <c r="BE1303" s="6"/>
      <c r="BV1303" s="17"/>
      <c r="BX1303" s="17"/>
      <c r="BZ1303" s="17"/>
    </row>
    <row r="1304" spans="4:78" x14ac:dyDescent="0.3">
      <c r="D1304" s="153"/>
      <c r="E1304" s="6"/>
      <c r="G1304" s="6"/>
      <c r="J1304" s="6"/>
      <c r="N1304" s="154"/>
      <c r="O1304" s="6"/>
      <c r="S1304" s="6"/>
      <c r="V1304" s="6"/>
      <c r="X1304" s="6"/>
      <c r="Z1304" s="110"/>
      <c r="AB1304" s="6"/>
      <c r="AD1304" s="6"/>
      <c r="AE1304" s="6"/>
      <c r="AF1304" s="126"/>
      <c r="AJ1304" s="6"/>
      <c r="AL1304" s="110"/>
      <c r="AM1304" s="110"/>
      <c r="AN1304" s="110"/>
      <c r="AP1304" s="6"/>
      <c r="AW1304" s="6"/>
      <c r="AX1304" s="6"/>
      <c r="AZ1304" s="110"/>
      <c r="BB1304" s="6"/>
      <c r="BD1304" s="6"/>
      <c r="BE1304" s="6"/>
      <c r="BV1304" s="17"/>
      <c r="BX1304" s="17"/>
      <c r="BZ1304" s="17"/>
    </row>
    <row r="1305" spans="4:78" x14ac:dyDescent="0.3">
      <c r="D1305" s="153"/>
      <c r="E1305" s="6"/>
      <c r="G1305" s="6"/>
      <c r="J1305" s="6"/>
      <c r="N1305" s="154"/>
      <c r="O1305" s="6"/>
      <c r="S1305" s="6"/>
      <c r="V1305" s="6"/>
      <c r="X1305" s="6"/>
      <c r="Z1305" s="110"/>
      <c r="AB1305" s="6"/>
      <c r="AD1305" s="6"/>
      <c r="AE1305" s="6"/>
      <c r="AF1305" s="126"/>
      <c r="AJ1305" s="6"/>
      <c r="AL1305" s="110"/>
      <c r="AM1305" s="110"/>
      <c r="AN1305" s="110"/>
      <c r="AP1305" s="6"/>
      <c r="AW1305" s="6"/>
      <c r="AX1305" s="6"/>
      <c r="AZ1305" s="110"/>
      <c r="BB1305" s="6"/>
      <c r="BD1305" s="6"/>
      <c r="BE1305" s="6"/>
      <c r="BV1305" s="17"/>
      <c r="BX1305" s="17"/>
      <c r="BZ1305" s="17"/>
    </row>
    <row r="1306" spans="4:78" x14ac:dyDescent="0.3">
      <c r="D1306" s="153"/>
      <c r="E1306" s="6"/>
      <c r="G1306" s="6"/>
      <c r="J1306" s="6"/>
      <c r="N1306" s="154"/>
      <c r="O1306" s="6"/>
      <c r="S1306" s="6"/>
      <c r="V1306" s="6"/>
      <c r="X1306" s="6"/>
      <c r="Z1306" s="110"/>
      <c r="AB1306" s="6"/>
      <c r="AD1306" s="6"/>
      <c r="AE1306" s="6"/>
      <c r="AF1306" s="126"/>
      <c r="AJ1306" s="6"/>
      <c r="AL1306" s="110"/>
      <c r="AM1306" s="110"/>
      <c r="AN1306" s="110"/>
      <c r="AP1306" s="6"/>
      <c r="AW1306" s="6"/>
      <c r="AX1306" s="6"/>
      <c r="AZ1306" s="110"/>
      <c r="BB1306" s="6"/>
      <c r="BD1306" s="6"/>
      <c r="BE1306" s="6"/>
      <c r="BV1306" s="17"/>
      <c r="BX1306" s="17"/>
      <c r="BZ1306" s="17"/>
    </row>
    <row r="1307" spans="4:78" x14ac:dyDescent="0.3">
      <c r="D1307" s="153"/>
      <c r="E1307" s="6"/>
      <c r="G1307" s="6"/>
      <c r="J1307" s="6"/>
      <c r="N1307" s="154"/>
      <c r="O1307" s="6"/>
      <c r="S1307" s="6"/>
      <c r="V1307" s="6"/>
      <c r="X1307" s="6"/>
      <c r="Z1307" s="110"/>
      <c r="AB1307" s="6"/>
      <c r="AD1307" s="6"/>
      <c r="AE1307" s="6"/>
      <c r="AF1307" s="126"/>
      <c r="AJ1307" s="6"/>
      <c r="AL1307" s="110"/>
      <c r="AM1307" s="110"/>
      <c r="AN1307" s="110"/>
      <c r="AP1307" s="6"/>
      <c r="AW1307" s="6"/>
      <c r="AX1307" s="6"/>
      <c r="AZ1307" s="110"/>
      <c r="BB1307" s="6"/>
      <c r="BD1307" s="6"/>
      <c r="BE1307" s="6"/>
      <c r="BV1307" s="17"/>
      <c r="BX1307" s="17"/>
      <c r="BZ1307" s="17"/>
    </row>
    <row r="1308" spans="4:78" x14ac:dyDescent="0.3">
      <c r="D1308" s="153"/>
      <c r="E1308" s="6"/>
      <c r="G1308" s="6"/>
      <c r="J1308" s="6"/>
      <c r="N1308" s="154"/>
      <c r="O1308" s="6"/>
      <c r="S1308" s="6"/>
      <c r="V1308" s="6"/>
      <c r="X1308" s="6"/>
      <c r="Z1308" s="110"/>
      <c r="AB1308" s="6"/>
      <c r="AD1308" s="6"/>
      <c r="AE1308" s="6"/>
      <c r="AF1308" s="126"/>
      <c r="AJ1308" s="6"/>
      <c r="AL1308" s="110"/>
      <c r="AM1308" s="110"/>
      <c r="AN1308" s="110"/>
      <c r="AP1308" s="6"/>
      <c r="AW1308" s="6"/>
      <c r="AX1308" s="6"/>
      <c r="AZ1308" s="110"/>
      <c r="BB1308" s="6"/>
      <c r="BD1308" s="6"/>
      <c r="BE1308" s="6"/>
      <c r="BV1308" s="17"/>
      <c r="BX1308" s="17"/>
      <c r="BZ1308" s="17"/>
    </row>
    <row r="1309" spans="4:78" x14ac:dyDescent="0.3">
      <c r="D1309" s="153"/>
      <c r="E1309" s="6"/>
      <c r="G1309" s="6"/>
      <c r="J1309" s="6"/>
      <c r="N1309" s="154"/>
      <c r="O1309" s="6"/>
      <c r="S1309" s="6"/>
      <c r="V1309" s="6"/>
      <c r="X1309" s="6"/>
      <c r="Z1309" s="110"/>
      <c r="AB1309" s="6"/>
      <c r="AD1309" s="6"/>
      <c r="AE1309" s="6"/>
      <c r="AF1309" s="126"/>
      <c r="AJ1309" s="6"/>
      <c r="AL1309" s="110"/>
      <c r="AM1309" s="110"/>
      <c r="AN1309" s="110"/>
      <c r="AP1309" s="6"/>
      <c r="AW1309" s="6"/>
      <c r="AX1309" s="6"/>
      <c r="AZ1309" s="110"/>
      <c r="BB1309" s="6"/>
      <c r="BD1309" s="6"/>
      <c r="BE1309" s="6"/>
      <c r="BV1309" s="17"/>
      <c r="BX1309" s="17"/>
      <c r="BZ1309" s="17"/>
    </row>
    <row r="1310" spans="4:78" x14ac:dyDescent="0.3">
      <c r="D1310" s="153"/>
      <c r="E1310" s="6"/>
      <c r="G1310" s="6"/>
      <c r="J1310" s="6"/>
      <c r="N1310" s="154"/>
      <c r="O1310" s="6"/>
      <c r="S1310" s="6"/>
      <c r="V1310" s="6"/>
      <c r="X1310" s="6"/>
      <c r="Z1310" s="110"/>
      <c r="AB1310" s="6"/>
      <c r="AD1310" s="6"/>
      <c r="AE1310" s="6"/>
      <c r="AF1310" s="126"/>
      <c r="AJ1310" s="6"/>
      <c r="AL1310" s="110"/>
      <c r="AM1310" s="110"/>
      <c r="AN1310" s="110"/>
      <c r="AP1310" s="6"/>
      <c r="AW1310" s="6"/>
      <c r="AX1310" s="6"/>
      <c r="AZ1310" s="110"/>
      <c r="BB1310" s="6"/>
      <c r="BD1310" s="6"/>
      <c r="BE1310" s="6"/>
      <c r="BV1310" s="17"/>
      <c r="BX1310" s="17"/>
      <c r="BZ1310" s="17"/>
    </row>
    <row r="1311" spans="4:78" x14ac:dyDescent="0.3">
      <c r="D1311" s="153"/>
      <c r="E1311" s="6"/>
      <c r="G1311" s="6"/>
      <c r="J1311" s="6"/>
      <c r="N1311" s="154"/>
      <c r="O1311" s="6"/>
      <c r="S1311" s="6"/>
      <c r="V1311" s="6"/>
      <c r="X1311" s="6"/>
      <c r="Z1311" s="110"/>
      <c r="AB1311" s="6"/>
      <c r="AD1311" s="6"/>
      <c r="AE1311" s="6"/>
      <c r="AF1311" s="126"/>
      <c r="AJ1311" s="6"/>
      <c r="AL1311" s="110"/>
      <c r="AM1311" s="110"/>
      <c r="AN1311" s="110"/>
      <c r="AP1311" s="6"/>
      <c r="AW1311" s="6"/>
      <c r="AX1311" s="6"/>
      <c r="AZ1311" s="110"/>
      <c r="BB1311" s="6"/>
      <c r="BD1311" s="6"/>
      <c r="BE1311" s="6"/>
      <c r="BV1311" s="17"/>
      <c r="BX1311" s="17"/>
      <c r="BZ1311" s="17"/>
    </row>
    <row r="1312" spans="4:78" x14ac:dyDescent="0.3">
      <c r="D1312" s="153"/>
      <c r="E1312" s="6"/>
      <c r="G1312" s="6"/>
      <c r="J1312" s="6"/>
      <c r="N1312" s="154"/>
      <c r="O1312" s="6"/>
      <c r="S1312" s="6"/>
      <c r="V1312" s="6"/>
      <c r="X1312" s="6"/>
      <c r="Z1312" s="110"/>
      <c r="AB1312" s="6"/>
      <c r="AD1312" s="6"/>
      <c r="AE1312" s="6"/>
      <c r="AF1312" s="126"/>
      <c r="AJ1312" s="6"/>
      <c r="AL1312" s="110"/>
      <c r="AM1312" s="110"/>
      <c r="AN1312" s="110"/>
      <c r="AP1312" s="6"/>
      <c r="AW1312" s="6"/>
      <c r="AX1312" s="6"/>
      <c r="AZ1312" s="110"/>
      <c r="BB1312" s="6"/>
      <c r="BD1312" s="6"/>
      <c r="BE1312" s="6"/>
      <c r="BV1312" s="17"/>
      <c r="BX1312" s="17"/>
      <c r="BZ1312" s="17"/>
    </row>
    <row r="1313" spans="4:78" x14ac:dyDescent="0.3">
      <c r="D1313" s="153"/>
      <c r="E1313" s="6"/>
      <c r="G1313" s="6"/>
      <c r="J1313" s="6"/>
      <c r="N1313" s="154"/>
      <c r="O1313" s="6"/>
      <c r="S1313" s="6"/>
      <c r="V1313" s="6"/>
      <c r="X1313" s="6"/>
      <c r="Z1313" s="110"/>
      <c r="AB1313" s="6"/>
      <c r="AD1313" s="6"/>
      <c r="AE1313" s="6"/>
      <c r="AF1313" s="126"/>
      <c r="AJ1313" s="6"/>
      <c r="AL1313" s="110"/>
      <c r="AM1313" s="110"/>
      <c r="AN1313" s="110"/>
      <c r="AP1313" s="6"/>
      <c r="AW1313" s="6"/>
      <c r="AX1313" s="6"/>
      <c r="AZ1313" s="110"/>
      <c r="BB1313" s="6"/>
      <c r="BD1313" s="6"/>
      <c r="BE1313" s="6"/>
      <c r="BV1313" s="17"/>
      <c r="BX1313" s="17"/>
      <c r="BZ1313" s="17"/>
    </row>
    <row r="1314" spans="4:78" x14ac:dyDescent="0.3">
      <c r="D1314" s="153"/>
      <c r="E1314" s="6"/>
      <c r="G1314" s="6"/>
      <c r="J1314" s="6"/>
      <c r="N1314" s="154"/>
      <c r="O1314" s="6"/>
      <c r="S1314" s="6"/>
      <c r="V1314" s="6"/>
      <c r="X1314" s="6"/>
      <c r="Z1314" s="110"/>
      <c r="AB1314" s="6"/>
      <c r="AD1314" s="6"/>
      <c r="AE1314" s="6"/>
      <c r="AF1314" s="126"/>
      <c r="AJ1314" s="6"/>
      <c r="AL1314" s="110"/>
      <c r="AM1314" s="110"/>
      <c r="AN1314" s="110"/>
      <c r="AP1314" s="6"/>
      <c r="AW1314" s="6"/>
      <c r="AX1314" s="6"/>
      <c r="AZ1314" s="110"/>
      <c r="BB1314" s="6"/>
      <c r="BD1314" s="6"/>
      <c r="BE1314" s="6"/>
      <c r="BV1314" s="17"/>
      <c r="BX1314" s="17"/>
      <c r="BZ1314" s="17"/>
    </row>
    <row r="1315" spans="4:78" x14ac:dyDescent="0.3">
      <c r="D1315" s="153"/>
      <c r="E1315" s="6"/>
      <c r="G1315" s="6"/>
      <c r="J1315" s="6"/>
      <c r="N1315" s="154"/>
      <c r="O1315" s="6"/>
      <c r="S1315" s="6"/>
      <c r="V1315" s="6"/>
      <c r="X1315" s="6"/>
      <c r="Z1315" s="110"/>
      <c r="AB1315" s="6"/>
      <c r="AD1315" s="6"/>
      <c r="AE1315" s="6"/>
      <c r="AF1315" s="126"/>
      <c r="AJ1315" s="6"/>
      <c r="AL1315" s="110"/>
      <c r="AM1315" s="110"/>
      <c r="AN1315" s="110"/>
      <c r="AP1315" s="6"/>
      <c r="AW1315" s="6"/>
      <c r="AX1315" s="6"/>
      <c r="AZ1315" s="110"/>
      <c r="BB1315" s="6"/>
      <c r="BD1315" s="6"/>
      <c r="BE1315" s="6"/>
      <c r="BV1315" s="17"/>
      <c r="BX1315" s="17"/>
      <c r="BZ1315" s="17"/>
    </row>
    <row r="1316" spans="4:78" x14ac:dyDescent="0.3">
      <c r="D1316" s="153"/>
      <c r="E1316" s="6"/>
      <c r="G1316" s="6"/>
      <c r="J1316" s="6"/>
      <c r="N1316" s="154"/>
      <c r="O1316" s="6"/>
      <c r="S1316" s="6"/>
      <c r="V1316" s="6"/>
      <c r="X1316" s="6"/>
      <c r="Z1316" s="110"/>
      <c r="AB1316" s="6"/>
      <c r="AD1316" s="6"/>
      <c r="AE1316" s="6"/>
      <c r="AF1316" s="126"/>
      <c r="AJ1316" s="6"/>
      <c r="AL1316" s="110"/>
      <c r="AM1316" s="110"/>
      <c r="AN1316" s="110"/>
      <c r="AP1316" s="6"/>
      <c r="AW1316" s="6"/>
      <c r="AX1316" s="6"/>
      <c r="AZ1316" s="110"/>
      <c r="BB1316" s="6"/>
      <c r="BD1316" s="6"/>
      <c r="BE1316" s="6"/>
      <c r="BV1316" s="17"/>
      <c r="BX1316" s="17"/>
      <c r="BZ1316" s="17"/>
    </row>
    <row r="1317" spans="4:78" x14ac:dyDescent="0.3">
      <c r="D1317" s="153"/>
      <c r="E1317" s="6"/>
      <c r="G1317" s="6"/>
      <c r="J1317" s="6"/>
      <c r="N1317" s="154"/>
      <c r="O1317" s="6"/>
      <c r="S1317" s="6"/>
      <c r="V1317" s="6"/>
      <c r="X1317" s="6"/>
      <c r="Z1317" s="110"/>
      <c r="AB1317" s="6"/>
      <c r="AD1317" s="6"/>
      <c r="AE1317" s="6"/>
      <c r="AF1317" s="126"/>
      <c r="AJ1317" s="6"/>
      <c r="AL1317" s="110"/>
      <c r="AM1317" s="110"/>
      <c r="AN1317" s="110"/>
      <c r="AP1317" s="6"/>
      <c r="AW1317" s="6"/>
      <c r="AX1317" s="6"/>
      <c r="AZ1317" s="110"/>
      <c r="BB1317" s="6"/>
      <c r="BD1317" s="6"/>
      <c r="BE1317" s="6"/>
      <c r="BV1317" s="17"/>
      <c r="BX1317" s="17"/>
      <c r="BZ1317" s="17"/>
    </row>
    <row r="1318" spans="4:78" x14ac:dyDescent="0.3">
      <c r="D1318" s="153"/>
      <c r="E1318" s="6"/>
      <c r="G1318" s="6"/>
      <c r="J1318" s="6"/>
      <c r="N1318" s="154"/>
      <c r="O1318" s="6"/>
      <c r="S1318" s="6"/>
      <c r="V1318" s="6"/>
      <c r="X1318" s="6"/>
      <c r="Z1318" s="110"/>
      <c r="AB1318" s="6"/>
      <c r="AD1318" s="6"/>
      <c r="AE1318" s="6"/>
      <c r="AF1318" s="126"/>
      <c r="AJ1318" s="6"/>
      <c r="AL1318" s="110"/>
      <c r="AM1318" s="110"/>
      <c r="AN1318" s="110"/>
      <c r="AP1318" s="6"/>
      <c r="AW1318" s="6"/>
      <c r="AX1318" s="6"/>
      <c r="AZ1318" s="110"/>
      <c r="BB1318" s="6"/>
      <c r="BD1318" s="6"/>
      <c r="BE1318" s="6"/>
      <c r="BV1318" s="17"/>
      <c r="BX1318" s="17"/>
      <c r="BZ1318" s="17"/>
    </row>
    <row r="1319" spans="4:78" x14ac:dyDescent="0.3">
      <c r="D1319" s="153"/>
      <c r="E1319" s="6"/>
      <c r="G1319" s="6"/>
      <c r="J1319" s="6"/>
      <c r="N1319" s="154"/>
      <c r="O1319" s="6"/>
      <c r="S1319" s="6"/>
      <c r="V1319" s="6"/>
      <c r="X1319" s="6"/>
      <c r="Z1319" s="110"/>
      <c r="AB1319" s="6"/>
      <c r="AD1319" s="6"/>
      <c r="AE1319" s="6"/>
      <c r="AF1319" s="126"/>
      <c r="AJ1319" s="6"/>
      <c r="AL1319" s="110"/>
      <c r="AM1319" s="110"/>
      <c r="AN1319" s="110"/>
      <c r="AP1319" s="6"/>
      <c r="AW1319" s="6"/>
      <c r="AX1319" s="6"/>
      <c r="AZ1319" s="110"/>
      <c r="BB1319" s="6"/>
      <c r="BD1319" s="6"/>
      <c r="BE1319" s="6"/>
      <c r="BV1319" s="17"/>
      <c r="BX1319" s="17"/>
      <c r="BZ1319" s="17"/>
    </row>
    <row r="1320" spans="4:78" x14ac:dyDescent="0.3">
      <c r="D1320" s="153"/>
      <c r="E1320" s="6"/>
      <c r="G1320" s="6"/>
      <c r="J1320" s="6"/>
      <c r="N1320" s="154"/>
      <c r="O1320" s="6"/>
      <c r="S1320" s="6"/>
      <c r="V1320" s="6"/>
      <c r="X1320" s="6"/>
      <c r="Z1320" s="110"/>
      <c r="AB1320" s="6"/>
      <c r="AD1320" s="6"/>
      <c r="AE1320" s="6"/>
      <c r="AF1320" s="126"/>
      <c r="AJ1320" s="6"/>
      <c r="AL1320" s="110"/>
      <c r="AM1320" s="110"/>
      <c r="AN1320" s="110"/>
      <c r="AP1320" s="6"/>
      <c r="AW1320" s="6"/>
      <c r="AX1320" s="6"/>
      <c r="AZ1320" s="110"/>
      <c r="BB1320" s="6"/>
      <c r="BD1320" s="6"/>
      <c r="BE1320" s="6"/>
      <c r="BV1320" s="17"/>
      <c r="BX1320" s="17"/>
      <c r="BZ1320" s="17"/>
    </row>
    <row r="1321" spans="4:78" x14ac:dyDescent="0.3">
      <c r="D1321" s="153"/>
      <c r="E1321" s="6"/>
      <c r="G1321" s="6"/>
      <c r="J1321" s="6"/>
      <c r="N1321" s="154"/>
      <c r="O1321" s="6"/>
      <c r="S1321" s="6"/>
      <c r="V1321" s="6"/>
      <c r="X1321" s="6"/>
      <c r="Z1321" s="110"/>
      <c r="AB1321" s="6"/>
      <c r="AD1321" s="6"/>
      <c r="AE1321" s="6"/>
      <c r="AF1321" s="126"/>
      <c r="AJ1321" s="6"/>
      <c r="AL1321" s="110"/>
      <c r="AM1321" s="110"/>
      <c r="AN1321" s="110"/>
      <c r="AP1321" s="6"/>
      <c r="AW1321" s="6"/>
      <c r="AX1321" s="6"/>
      <c r="AZ1321" s="110"/>
      <c r="BB1321" s="6"/>
      <c r="BD1321" s="6"/>
      <c r="BE1321" s="6"/>
      <c r="BV1321" s="17"/>
      <c r="BX1321" s="17"/>
      <c r="BZ1321" s="17"/>
    </row>
    <row r="1322" spans="4:78" x14ac:dyDescent="0.3">
      <c r="D1322" s="153"/>
      <c r="E1322" s="6"/>
      <c r="G1322" s="6"/>
      <c r="J1322" s="6"/>
      <c r="N1322" s="154"/>
      <c r="O1322" s="6"/>
      <c r="S1322" s="6"/>
      <c r="V1322" s="6"/>
      <c r="X1322" s="6"/>
      <c r="Z1322" s="110"/>
      <c r="AB1322" s="6"/>
      <c r="AD1322" s="6"/>
      <c r="AE1322" s="6"/>
      <c r="AF1322" s="126"/>
      <c r="AJ1322" s="6"/>
      <c r="AL1322" s="110"/>
      <c r="AM1322" s="110"/>
      <c r="AN1322" s="110"/>
      <c r="AP1322" s="6"/>
      <c r="AW1322" s="6"/>
      <c r="AX1322" s="6"/>
      <c r="AZ1322" s="110"/>
      <c r="BB1322" s="6"/>
      <c r="BD1322" s="6"/>
      <c r="BE1322" s="6"/>
      <c r="BV1322" s="17"/>
      <c r="BX1322" s="17"/>
      <c r="BZ1322" s="17"/>
    </row>
    <row r="1323" spans="4:78" x14ac:dyDescent="0.3">
      <c r="D1323" s="153"/>
      <c r="E1323" s="6"/>
      <c r="G1323" s="6"/>
      <c r="J1323" s="6"/>
      <c r="N1323" s="154"/>
      <c r="O1323" s="6"/>
      <c r="S1323" s="6"/>
      <c r="V1323" s="6"/>
      <c r="X1323" s="6"/>
      <c r="Z1323" s="110"/>
      <c r="AB1323" s="6"/>
      <c r="AD1323" s="6"/>
      <c r="AE1323" s="6"/>
      <c r="AF1323" s="126"/>
      <c r="AJ1323" s="6"/>
      <c r="AL1323" s="110"/>
      <c r="AM1323" s="110"/>
      <c r="AN1323" s="110"/>
      <c r="AP1323" s="6"/>
      <c r="AW1323" s="6"/>
      <c r="AX1323" s="6"/>
      <c r="AZ1323" s="110"/>
      <c r="BB1323" s="6"/>
      <c r="BD1323" s="6"/>
      <c r="BE1323" s="6"/>
      <c r="BV1323" s="17"/>
      <c r="BX1323" s="17"/>
      <c r="BZ1323" s="17"/>
    </row>
    <row r="1324" spans="4:78" x14ac:dyDescent="0.3">
      <c r="D1324" s="153"/>
      <c r="E1324" s="6"/>
      <c r="G1324" s="6"/>
      <c r="J1324" s="6"/>
      <c r="N1324" s="154"/>
      <c r="O1324" s="6"/>
      <c r="S1324" s="6"/>
      <c r="V1324" s="6"/>
      <c r="X1324" s="6"/>
      <c r="Z1324" s="110"/>
      <c r="AB1324" s="6"/>
      <c r="AD1324" s="6"/>
      <c r="AE1324" s="6"/>
      <c r="AF1324" s="126"/>
      <c r="AJ1324" s="6"/>
      <c r="AL1324" s="110"/>
      <c r="AM1324" s="110"/>
      <c r="AN1324" s="110"/>
      <c r="AP1324" s="6"/>
      <c r="AW1324" s="6"/>
      <c r="AX1324" s="6"/>
      <c r="AZ1324" s="110"/>
      <c r="BB1324" s="6"/>
      <c r="BD1324" s="6"/>
      <c r="BE1324" s="6"/>
      <c r="BV1324" s="17"/>
      <c r="BX1324" s="17"/>
      <c r="BZ1324" s="17"/>
    </row>
    <row r="1325" spans="4:78" x14ac:dyDescent="0.3">
      <c r="D1325" s="153"/>
      <c r="E1325" s="6"/>
      <c r="G1325" s="6"/>
      <c r="J1325" s="6"/>
      <c r="N1325" s="154"/>
      <c r="O1325" s="6"/>
      <c r="S1325" s="6"/>
      <c r="V1325" s="6"/>
      <c r="X1325" s="6"/>
      <c r="Z1325" s="110"/>
      <c r="AB1325" s="6"/>
      <c r="AD1325" s="6"/>
      <c r="AE1325" s="6"/>
      <c r="AF1325" s="126"/>
      <c r="AJ1325" s="6"/>
      <c r="AL1325" s="110"/>
      <c r="AM1325" s="110"/>
      <c r="AN1325" s="110"/>
      <c r="AP1325" s="6"/>
      <c r="AW1325" s="6"/>
      <c r="AX1325" s="6"/>
      <c r="AZ1325" s="110"/>
      <c r="BB1325" s="6"/>
      <c r="BD1325" s="6"/>
      <c r="BE1325" s="6"/>
      <c r="BV1325" s="17"/>
      <c r="BX1325" s="17"/>
      <c r="BZ1325" s="17"/>
    </row>
    <row r="1326" spans="4:78" x14ac:dyDescent="0.3">
      <c r="D1326" s="153"/>
      <c r="E1326" s="6"/>
      <c r="G1326" s="6"/>
      <c r="J1326" s="6"/>
      <c r="N1326" s="154"/>
      <c r="O1326" s="6"/>
      <c r="S1326" s="6"/>
      <c r="V1326" s="6"/>
      <c r="X1326" s="6"/>
      <c r="Z1326" s="110"/>
      <c r="AB1326" s="6"/>
      <c r="AD1326" s="6"/>
      <c r="AE1326" s="6"/>
      <c r="AF1326" s="126"/>
      <c r="AJ1326" s="6"/>
      <c r="AL1326" s="110"/>
      <c r="AM1326" s="110"/>
      <c r="AN1326" s="110"/>
      <c r="AP1326" s="6"/>
      <c r="AW1326" s="6"/>
      <c r="AX1326" s="6"/>
      <c r="AZ1326" s="110"/>
      <c r="BB1326" s="6"/>
      <c r="BD1326" s="6"/>
      <c r="BE1326" s="6"/>
      <c r="BV1326" s="17"/>
      <c r="BX1326" s="17"/>
      <c r="BZ1326" s="17"/>
    </row>
    <row r="1327" spans="4:78" x14ac:dyDescent="0.3">
      <c r="D1327" s="153"/>
      <c r="E1327" s="6"/>
      <c r="G1327" s="6"/>
      <c r="J1327" s="6"/>
      <c r="N1327" s="154"/>
      <c r="O1327" s="6"/>
      <c r="S1327" s="6"/>
      <c r="V1327" s="6"/>
      <c r="X1327" s="6"/>
      <c r="Z1327" s="110"/>
      <c r="AB1327" s="6"/>
      <c r="AD1327" s="6"/>
      <c r="AE1327" s="6"/>
      <c r="AF1327" s="126"/>
      <c r="AJ1327" s="6"/>
      <c r="AL1327" s="110"/>
      <c r="AM1327" s="110"/>
      <c r="AN1327" s="110"/>
      <c r="AP1327" s="6"/>
      <c r="AW1327" s="6"/>
      <c r="AX1327" s="6"/>
      <c r="AZ1327" s="110"/>
      <c r="BB1327" s="6"/>
      <c r="BD1327" s="6"/>
      <c r="BE1327" s="6"/>
      <c r="BV1327" s="17"/>
      <c r="BX1327" s="17"/>
      <c r="BZ1327" s="17"/>
    </row>
    <row r="1328" spans="4:78" x14ac:dyDescent="0.3">
      <c r="D1328" s="153"/>
      <c r="E1328" s="6"/>
      <c r="G1328" s="6"/>
      <c r="J1328" s="6"/>
      <c r="N1328" s="154"/>
      <c r="O1328" s="6"/>
      <c r="S1328" s="6"/>
      <c r="V1328" s="6"/>
      <c r="X1328" s="6"/>
      <c r="Z1328" s="110"/>
      <c r="AB1328" s="6"/>
      <c r="AD1328" s="6"/>
      <c r="AE1328" s="6"/>
      <c r="AF1328" s="126"/>
      <c r="AJ1328" s="6"/>
      <c r="AL1328" s="110"/>
      <c r="AM1328" s="110"/>
      <c r="AN1328" s="110"/>
      <c r="AP1328" s="6"/>
      <c r="AW1328" s="6"/>
      <c r="AX1328" s="6"/>
      <c r="AZ1328" s="110"/>
      <c r="BB1328" s="6"/>
      <c r="BD1328" s="6"/>
      <c r="BE1328" s="6"/>
      <c r="BV1328" s="17"/>
      <c r="BX1328" s="17"/>
      <c r="BZ1328" s="17"/>
    </row>
    <row r="1329" spans="4:78" x14ac:dyDescent="0.3">
      <c r="D1329" s="153"/>
      <c r="E1329" s="6"/>
      <c r="G1329" s="6"/>
      <c r="J1329" s="6"/>
      <c r="N1329" s="154"/>
      <c r="O1329" s="6"/>
      <c r="S1329" s="6"/>
      <c r="V1329" s="6"/>
      <c r="X1329" s="6"/>
      <c r="Z1329" s="110"/>
      <c r="AB1329" s="6"/>
      <c r="AD1329" s="6"/>
      <c r="AE1329" s="6"/>
      <c r="AF1329" s="126"/>
      <c r="AJ1329" s="6"/>
      <c r="AL1329" s="110"/>
      <c r="AM1329" s="110"/>
      <c r="AN1329" s="110"/>
      <c r="AP1329" s="6"/>
      <c r="AW1329" s="6"/>
      <c r="AX1329" s="6"/>
      <c r="AZ1329" s="110"/>
      <c r="BB1329" s="6"/>
      <c r="BD1329" s="6"/>
      <c r="BE1329" s="6"/>
      <c r="BV1329" s="17"/>
      <c r="BX1329" s="17"/>
      <c r="BZ1329" s="17"/>
    </row>
    <row r="1330" spans="4:78" x14ac:dyDescent="0.3">
      <c r="D1330" s="153"/>
      <c r="E1330" s="6"/>
      <c r="G1330" s="6"/>
      <c r="J1330" s="6"/>
      <c r="N1330" s="154"/>
      <c r="O1330" s="6"/>
      <c r="S1330" s="6"/>
      <c r="V1330" s="6"/>
      <c r="X1330" s="6"/>
      <c r="Z1330" s="110"/>
      <c r="AB1330" s="6"/>
      <c r="AD1330" s="6"/>
      <c r="AE1330" s="6"/>
      <c r="AF1330" s="126"/>
      <c r="AJ1330" s="6"/>
      <c r="AL1330" s="110"/>
      <c r="AM1330" s="110"/>
      <c r="AN1330" s="110"/>
      <c r="AP1330" s="6"/>
      <c r="AW1330" s="6"/>
      <c r="AX1330" s="6"/>
      <c r="AZ1330" s="110"/>
      <c r="BB1330" s="6"/>
      <c r="BD1330" s="6"/>
      <c r="BE1330" s="6"/>
      <c r="BV1330" s="17"/>
      <c r="BX1330" s="17"/>
      <c r="BZ1330" s="17"/>
    </row>
    <row r="1331" spans="4:78" x14ac:dyDescent="0.3">
      <c r="D1331" s="153"/>
      <c r="E1331" s="6"/>
      <c r="G1331" s="6"/>
      <c r="J1331" s="6"/>
      <c r="N1331" s="154"/>
      <c r="O1331" s="6"/>
      <c r="S1331" s="6"/>
      <c r="V1331" s="6"/>
      <c r="X1331" s="6"/>
      <c r="Z1331" s="110"/>
      <c r="AB1331" s="6"/>
      <c r="AD1331" s="6"/>
      <c r="AE1331" s="6"/>
      <c r="AF1331" s="126"/>
      <c r="AJ1331" s="6"/>
      <c r="AL1331" s="110"/>
      <c r="AM1331" s="110"/>
      <c r="AN1331" s="110"/>
      <c r="AP1331" s="6"/>
      <c r="AW1331" s="6"/>
      <c r="AX1331" s="6"/>
      <c r="AZ1331" s="110"/>
      <c r="BB1331" s="6"/>
      <c r="BD1331" s="6"/>
      <c r="BE1331" s="6"/>
      <c r="BV1331" s="17"/>
      <c r="BX1331" s="17"/>
      <c r="BZ1331" s="17"/>
    </row>
    <row r="1332" spans="4:78" x14ac:dyDescent="0.3">
      <c r="D1332" s="153"/>
      <c r="E1332" s="6"/>
      <c r="G1332" s="6"/>
      <c r="J1332" s="6"/>
      <c r="N1332" s="154"/>
      <c r="O1332" s="6"/>
      <c r="S1332" s="6"/>
      <c r="V1332" s="6"/>
      <c r="X1332" s="6"/>
      <c r="Z1332" s="110"/>
      <c r="AB1332" s="6"/>
      <c r="AD1332" s="6"/>
      <c r="AE1332" s="6"/>
      <c r="AF1332" s="126"/>
      <c r="AJ1332" s="6"/>
      <c r="AL1332" s="110"/>
      <c r="AM1332" s="110"/>
      <c r="AN1332" s="110"/>
      <c r="AP1332" s="6"/>
      <c r="AW1332" s="6"/>
      <c r="AX1332" s="6"/>
      <c r="AZ1332" s="110"/>
      <c r="BB1332" s="6"/>
      <c r="BD1332" s="6"/>
      <c r="BE1332" s="6"/>
      <c r="BV1332" s="17"/>
      <c r="BX1332" s="17"/>
      <c r="BZ1332" s="17"/>
    </row>
    <row r="1333" spans="4:78" x14ac:dyDescent="0.3">
      <c r="D1333" s="153"/>
      <c r="E1333" s="6"/>
      <c r="G1333" s="6"/>
      <c r="J1333" s="6"/>
      <c r="N1333" s="154"/>
      <c r="O1333" s="6"/>
      <c r="S1333" s="6"/>
      <c r="V1333" s="6"/>
      <c r="X1333" s="6"/>
      <c r="Z1333" s="110"/>
      <c r="AB1333" s="6"/>
      <c r="AD1333" s="6"/>
      <c r="AE1333" s="6"/>
      <c r="AF1333" s="126"/>
      <c r="AJ1333" s="6"/>
      <c r="AL1333" s="110"/>
      <c r="AM1333" s="110"/>
      <c r="AN1333" s="110"/>
      <c r="AP1333" s="6"/>
      <c r="AW1333" s="6"/>
      <c r="AX1333" s="6"/>
      <c r="AZ1333" s="110"/>
      <c r="BB1333" s="6"/>
      <c r="BD1333" s="6"/>
      <c r="BE1333" s="6"/>
      <c r="BV1333" s="17"/>
      <c r="BX1333" s="17"/>
      <c r="BZ1333" s="17"/>
    </row>
    <row r="1334" spans="4:78" x14ac:dyDescent="0.3">
      <c r="D1334" s="153"/>
      <c r="E1334" s="6"/>
      <c r="G1334" s="6"/>
      <c r="J1334" s="6"/>
      <c r="N1334" s="154"/>
      <c r="O1334" s="6"/>
      <c r="S1334" s="6"/>
      <c r="V1334" s="6"/>
      <c r="X1334" s="6"/>
      <c r="Z1334" s="110"/>
      <c r="AB1334" s="6"/>
      <c r="AD1334" s="6"/>
      <c r="AE1334" s="6"/>
      <c r="AF1334" s="126"/>
      <c r="AJ1334" s="6"/>
      <c r="AL1334" s="110"/>
      <c r="AM1334" s="110"/>
      <c r="AN1334" s="110"/>
      <c r="AP1334" s="6"/>
      <c r="AW1334" s="6"/>
      <c r="AX1334" s="6"/>
      <c r="AZ1334" s="110"/>
      <c r="BB1334" s="6"/>
      <c r="BD1334" s="6"/>
      <c r="BE1334" s="6"/>
      <c r="BV1334" s="17"/>
      <c r="BX1334" s="17"/>
      <c r="BZ1334" s="17"/>
    </row>
    <row r="1335" spans="4:78" x14ac:dyDescent="0.3">
      <c r="D1335" s="153"/>
      <c r="E1335" s="6"/>
      <c r="G1335" s="6"/>
      <c r="J1335" s="6"/>
      <c r="N1335" s="154"/>
      <c r="O1335" s="6"/>
      <c r="S1335" s="6"/>
      <c r="V1335" s="6"/>
      <c r="X1335" s="6"/>
      <c r="Z1335" s="110"/>
      <c r="AB1335" s="6"/>
      <c r="AD1335" s="6"/>
      <c r="AE1335" s="6"/>
      <c r="AF1335" s="126"/>
      <c r="AJ1335" s="6"/>
      <c r="AL1335" s="110"/>
      <c r="AM1335" s="110"/>
      <c r="AN1335" s="110"/>
      <c r="AP1335" s="6"/>
      <c r="AW1335" s="6"/>
      <c r="AX1335" s="6"/>
      <c r="AZ1335" s="110"/>
      <c r="BB1335" s="6"/>
      <c r="BD1335" s="6"/>
      <c r="BE1335" s="6"/>
      <c r="BV1335" s="17"/>
      <c r="BX1335" s="17"/>
      <c r="BZ1335" s="17"/>
    </row>
    <row r="1336" spans="4:78" x14ac:dyDescent="0.3">
      <c r="D1336" s="153"/>
      <c r="E1336" s="6"/>
      <c r="G1336" s="6"/>
      <c r="J1336" s="6"/>
      <c r="N1336" s="154"/>
      <c r="O1336" s="6"/>
      <c r="S1336" s="6"/>
      <c r="V1336" s="6"/>
      <c r="X1336" s="6"/>
      <c r="Z1336" s="110"/>
      <c r="AB1336" s="6"/>
      <c r="AD1336" s="6"/>
      <c r="AE1336" s="6"/>
      <c r="AF1336" s="126"/>
      <c r="AJ1336" s="6"/>
      <c r="AL1336" s="110"/>
      <c r="AM1336" s="110"/>
      <c r="AN1336" s="110"/>
      <c r="AP1336" s="6"/>
      <c r="AW1336" s="6"/>
      <c r="AX1336" s="6"/>
      <c r="AZ1336" s="110"/>
      <c r="BB1336" s="6"/>
      <c r="BD1336" s="6"/>
      <c r="BE1336" s="6"/>
      <c r="BV1336" s="17"/>
      <c r="BX1336" s="17"/>
      <c r="BZ1336" s="17"/>
    </row>
    <row r="1337" spans="4:78" x14ac:dyDescent="0.3">
      <c r="D1337" s="153"/>
      <c r="E1337" s="6"/>
      <c r="G1337" s="6"/>
      <c r="J1337" s="6"/>
      <c r="N1337" s="154"/>
      <c r="O1337" s="6"/>
      <c r="S1337" s="6"/>
      <c r="V1337" s="6"/>
      <c r="X1337" s="6"/>
      <c r="Z1337" s="110"/>
      <c r="AB1337" s="6"/>
      <c r="AD1337" s="6"/>
      <c r="AE1337" s="6"/>
      <c r="AF1337" s="126"/>
      <c r="AJ1337" s="6"/>
      <c r="AL1337" s="110"/>
      <c r="AM1337" s="110"/>
      <c r="AN1337" s="110"/>
      <c r="AP1337" s="6"/>
      <c r="AW1337" s="6"/>
      <c r="AX1337" s="6"/>
      <c r="AZ1337" s="110"/>
      <c r="BB1337" s="6"/>
      <c r="BD1337" s="6"/>
      <c r="BE1337" s="6"/>
      <c r="BV1337" s="17"/>
      <c r="BX1337" s="17"/>
      <c r="BZ1337" s="17"/>
    </row>
    <row r="1338" spans="4:78" x14ac:dyDescent="0.3">
      <c r="D1338" s="153"/>
      <c r="E1338" s="6"/>
      <c r="G1338" s="6"/>
      <c r="J1338" s="6"/>
      <c r="N1338" s="154"/>
      <c r="O1338" s="6"/>
      <c r="S1338" s="6"/>
      <c r="V1338" s="6"/>
      <c r="X1338" s="6"/>
      <c r="Z1338" s="110"/>
      <c r="AB1338" s="6"/>
      <c r="AD1338" s="6"/>
      <c r="AE1338" s="6"/>
      <c r="AF1338" s="126"/>
      <c r="AJ1338" s="6"/>
      <c r="AL1338" s="110"/>
      <c r="AM1338" s="110"/>
      <c r="AN1338" s="110"/>
      <c r="AP1338" s="6"/>
      <c r="AW1338" s="6"/>
      <c r="AX1338" s="6"/>
      <c r="AZ1338" s="110"/>
      <c r="BB1338" s="6"/>
      <c r="BD1338" s="6"/>
      <c r="BE1338" s="6"/>
      <c r="BV1338" s="17"/>
      <c r="BX1338" s="17"/>
      <c r="BZ1338" s="17"/>
    </row>
    <row r="1339" spans="4:78" x14ac:dyDescent="0.3">
      <c r="D1339" s="153"/>
      <c r="E1339" s="6"/>
      <c r="G1339" s="6"/>
      <c r="J1339" s="6"/>
      <c r="N1339" s="154"/>
      <c r="O1339" s="6"/>
      <c r="S1339" s="6"/>
      <c r="V1339" s="6"/>
      <c r="X1339" s="6"/>
      <c r="Z1339" s="110"/>
      <c r="AB1339" s="6"/>
      <c r="AD1339" s="6"/>
      <c r="AE1339" s="6"/>
      <c r="AF1339" s="126"/>
      <c r="AJ1339" s="6"/>
      <c r="AL1339" s="110"/>
      <c r="AM1339" s="110"/>
      <c r="AN1339" s="110"/>
      <c r="AP1339" s="6"/>
      <c r="AW1339" s="6"/>
      <c r="AX1339" s="6"/>
      <c r="AZ1339" s="110"/>
      <c r="BB1339" s="6"/>
      <c r="BD1339" s="6"/>
      <c r="BE1339" s="6"/>
      <c r="BV1339" s="17"/>
      <c r="BX1339" s="17"/>
      <c r="BZ1339" s="17"/>
    </row>
    <row r="1340" spans="4:78" x14ac:dyDescent="0.3">
      <c r="D1340" s="153"/>
      <c r="E1340" s="6"/>
      <c r="G1340" s="6"/>
      <c r="J1340" s="6"/>
      <c r="N1340" s="154"/>
      <c r="O1340" s="6"/>
      <c r="S1340" s="6"/>
      <c r="V1340" s="6"/>
      <c r="X1340" s="6"/>
      <c r="Z1340" s="110"/>
      <c r="AB1340" s="6"/>
      <c r="AD1340" s="6"/>
      <c r="AE1340" s="6"/>
      <c r="AF1340" s="126"/>
      <c r="AJ1340" s="6"/>
      <c r="AL1340" s="110"/>
      <c r="AM1340" s="110"/>
      <c r="AN1340" s="110"/>
      <c r="AP1340" s="6"/>
      <c r="AW1340" s="6"/>
      <c r="AX1340" s="6"/>
      <c r="AZ1340" s="110"/>
      <c r="BB1340" s="6"/>
      <c r="BD1340" s="6"/>
      <c r="BE1340" s="6"/>
      <c r="BV1340" s="17"/>
      <c r="BX1340" s="17"/>
      <c r="BZ1340" s="17"/>
    </row>
    <row r="1341" spans="4:78" x14ac:dyDescent="0.3">
      <c r="D1341" s="153"/>
      <c r="E1341" s="6"/>
      <c r="G1341" s="6"/>
      <c r="J1341" s="6"/>
      <c r="N1341" s="154"/>
      <c r="O1341" s="6"/>
      <c r="S1341" s="6"/>
      <c r="V1341" s="6"/>
      <c r="X1341" s="6"/>
      <c r="Z1341" s="110"/>
      <c r="AB1341" s="6"/>
      <c r="AD1341" s="6"/>
      <c r="AE1341" s="6"/>
      <c r="AF1341" s="126"/>
      <c r="AJ1341" s="6"/>
      <c r="AL1341" s="110"/>
      <c r="AM1341" s="110"/>
      <c r="AN1341" s="110"/>
      <c r="AP1341" s="6"/>
      <c r="AW1341" s="6"/>
      <c r="AX1341" s="6"/>
      <c r="AZ1341" s="110"/>
      <c r="BB1341" s="6"/>
      <c r="BD1341" s="6"/>
      <c r="BE1341" s="6"/>
      <c r="BV1341" s="17"/>
      <c r="BX1341" s="17"/>
      <c r="BZ1341" s="17"/>
    </row>
    <row r="1342" spans="4:78" x14ac:dyDescent="0.3">
      <c r="D1342" s="153"/>
      <c r="E1342" s="6"/>
      <c r="G1342" s="6"/>
      <c r="J1342" s="6"/>
      <c r="N1342" s="154"/>
      <c r="O1342" s="6"/>
      <c r="S1342" s="6"/>
      <c r="V1342" s="6"/>
      <c r="X1342" s="6"/>
      <c r="Z1342" s="110"/>
      <c r="AB1342" s="6"/>
      <c r="AD1342" s="6"/>
      <c r="AE1342" s="6"/>
      <c r="AF1342" s="126"/>
      <c r="AJ1342" s="6"/>
      <c r="AL1342" s="110"/>
      <c r="AM1342" s="110"/>
      <c r="AN1342" s="110"/>
      <c r="AP1342" s="6"/>
      <c r="AW1342" s="6"/>
      <c r="AX1342" s="6"/>
      <c r="AZ1342" s="110"/>
      <c r="BB1342" s="6"/>
      <c r="BD1342" s="6"/>
      <c r="BE1342" s="6"/>
      <c r="BV1342" s="17"/>
      <c r="BX1342" s="17"/>
      <c r="BZ1342" s="17"/>
    </row>
    <row r="1343" spans="4:78" x14ac:dyDescent="0.3">
      <c r="D1343" s="153"/>
      <c r="E1343" s="6"/>
      <c r="G1343" s="6"/>
      <c r="J1343" s="6"/>
      <c r="N1343" s="154"/>
      <c r="O1343" s="6"/>
      <c r="S1343" s="6"/>
      <c r="V1343" s="6"/>
      <c r="X1343" s="6"/>
      <c r="Z1343" s="110"/>
      <c r="AB1343" s="6"/>
      <c r="AD1343" s="6"/>
      <c r="AE1343" s="6"/>
      <c r="AF1343" s="126"/>
      <c r="AJ1343" s="6"/>
      <c r="AL1343" s="110"/>
      <c r="AM1343" s="110"/>
      <c r="AN1343" s="110"/>
      <c r="AP1343" s="6"/>
      <c r="AW1343" s="6"/>
      <c r="AX1343" s="6"/>
      <c r="AZ1343" s="110"/>
      <c r="BB1343" s="6"/>
      <c r="BD1343" s="6"/>
      <c r="BE1343" s="6"/>
      <c r="BV1343" s="17"/>
      <c r="BX1343" s="17"/>
      <c r="BZ1343" s="17"/>
    </row>
    <row r="1344" spans="4:78" x14ac:dyDescent="0.3">
      <c r="D1344" s="153"/>
      <c r="E1344" s="6"/>
      <c r="G1344" s="6"/>
      <c r="J1344" s="6"/>
      <c r="N1344" s="154"/>
      <c r="O1344" s="6"/>
      <c r="S1344" s="6"/>
      <c r="V1344" s="6"/>
      <c r="X1344" s="6"/>
      <c r="Z1344" s="110"/>
      <c r="AB1344" s="6"/>
      <c r="AD1344" s="6"/>
      <c r="AE1344" s="6"/>
      <c r="AF1344" s="126"/>
      <c r="AJ1344" s="6"/>
      <c r="AL1344" s="110"/>
      <c r="AM1344" s="110"/>
      <c r="AN1344" s="110"/>
      <c r="AP1344" s="6"/>
      <c r="AW1344" s="6"/>
      <c r="AX1344" s="6"/>
      <c r="AZ1344" s="110"/>
      <c r="BB1344" s="6"/>
      <c r="BD1344" s="6"/>
      <c r="BE1344" s="6"/>
      <c r="BV1344" s="17"/>
      <c r="BX1344" s="17"/>
      <c r="BZ1344" s="17"/>
    </row>
    <row r="1345" spans="4:78" x14ac:dyDescent="0.3">
      <c r="D1345" s="153"/>
      <c r="E1345" s="6"/>
      <c r="G1345" s="6"/>
      <c r="J1345" s="6"/>
      <c r="N1345" s="154"/>
      <c r="O1345" s="6"/>
      <c r="S1345" s="6"/>
      <c r="V1345" s="6"/>
      <c r="X1345" s="6"/>
      <c r="Z1345" s="110"/>
      <c r="AB1345" s="6"/>
      <c r="AD1345" s="6"/>
      <c r="AE1345" s="6"/>
      <c r="AF1345" s="126"/>
      <c r="AJ1345" s="6"/>
      <c r="AL1345" s="110"/>
      <c r="AM1345" s="110"/>
      <c r="AN1345" s="110"/>
      <c r="AP1345" s="6"/>
      <c r="AW1345" s="6"/>
      <c r="AX1345" s="6"/>
      <c r="AZ1345" s="110"/>
      <c r="BB1345" s="6"/>
      <c r="BD1345" s="6"/>
      <c r="BE1345" s="6"/>
      <c r="BV1345" s="17"/>
      <c r="BX1345" s="17"/>
      <c r="BZ1345" s="17"/>
    </row>
    <row r="1346" spans="4:78" x14ac:dyDescent="0.3">
      <c r="D1346" s="153"/>
      <c r="E1346" s="6"/>
      <c r="G1346" s="6"/>
      <c r="J1346" s="6"/>
      <c r="N1346" s="154"/>
      <c r="O1346" s="6"/>
      <c r="S1346" s="6"/>
      <c r="V1346" s="6"/>
      <c r="X1346" s="6"/>
      <c r="Z1346" s="110"/>
      <c r="AB1346" s="6"/>
      <c r="AD1346" s="6"/>
      <c r="AE1346" s="6"/>
      <c r="AF1346" s="126"/>
      <c r="AJ1346" s="6"/>
      <c r="AL1346" s="110"/>
      <c r="AM1346" s="110"/>
      <c r="AN1346" s="110"/>
      <c r="AP1346" s="6"/>
      <c r="AW1346" s="6"/>
      <c r="AX1346" s="6"/>
      <c r="AZ1346" s="110"/>
      <c r="BB1346" s="6"/>
      <c r="BD1346" s="6"/>
      <c r="BE1346" s="6"/>
      <c r="BV1346" s="17"/>
      <c r="BX1346" s="17"/>
      <c r="BZ1346" s="17"/>
    </row>
    <row r="1347" spans="4:78" x14ac:dyDescent="0.3">
      <c r="D1347" s="153"/>
      <c r="E1347" s="6"/>
      <c r="G1347" s="6"/>
      <c r="J1347" s="6"/>
      <c r="N1347" s="154"/>
      <c r="O1347" s="6"/>
      <c r="S1347" s="6"/>
      <c r="V1347" s="6"/>
      <c r="X1347" s="6"/>
      <c r="Z1347" s="110"/>
      <c r="AB1347" s="6"/>
      <c r="AD1347" s="6"/>
      <c r="AE1347" s="6"/>
      <c r="AF1347" s="126"/>
      <c r="AJ1347" s="6"/>
      <c r="AL1347" s="110"/>
      <c r="AM1347" s="110"/>
      <c r="AN1347" s="110"/>
      <c r="AP1347" s="6"/>
      <c r="AW1347" s="6"/>
      <c r="AX1347" s="6"/>
      <c r="AZ1347" s="110"/>
      <c r="BB1347" s="6"/>
      <c r="BD1347" s="6"/>
      <c r="BE1347" s="6"/>
      <c r="BV1347" s="17"/>
      <c r="BX1347" s="17"/>
      <c r="BZ1347" s="17"/>
    </row>
    <row r="1348" spans="4:78" x14ac:dyDescent="0.3">
      <c r="D1348" s="153"/>
      <c r="E1348" s="6"/>
      <c r="G1348" s="6"/>
      <c r="J1348" s="6"/>
      <c r="N1348" s="154"/>
      <c r="O1348" s="6"/>
      <c r="S1348" s="6"/>
      <c r="V1348" s="6"/>
      <c r="X1348" s="6"/>
      <c r="Z1348" s="110"/>
      <c r="AB1348" s="6"/>
      <c r="AD1348" s="6"/>
      <c r="AE1348" s="6"/>
      <c r="AF1348" s="126"/>
      <c r="AJ1348" s="6"/>
      <c r="AL1348" s="110"/>
      <c r="AM1348" s="110"/>
      <c r="AN1348" s="110"/>
      <c r="AP1348" s="6"/>
      <c r="AW1348" s="6"/>
      <c r="AX1348" s="6"/>
      <c r="AZ1348" s="110"/>
      <c r="BB1348" s="6"/>
      <c r="BD1348" s="6"/>
      <c r="BE1348" s="6"/>
      <c r="BV1348" s="17"/>
      <c r="BX1348" s="17"/>
      <c r="BZ1348" s="17"/>
    </row>
    <row r="1349" spans="4:78" x14ac:dyDescent="0.3">
      <c r="D1349" s="153"/>
      <c r="E1349" s="6"/>
      <c r="G1349" s="6"/>
      <c r="J1349" s="6"/>
      <c r="N1349" s="154"/>
      <c r="O1349" s="6"/>
      <c r="S1349" s="6"/>
      <c r="V1349" s="6"/>
      <c r="X1349" s="6"/>
      <c r="Z1349" s="110"/>
      <c r="AB1349" s="6"/>
      <c r="AD1349" s="6"/>
      <c r="AE1349" s="6"/>
      <c r="AF1349" s="126"/>
      <c r="AJ1349" s="6"/>
      <c r="AL1349" s="110"/>
      <c r="AM1349" s="110"/>
      <c r="AN1349" s="110"/>
      <c r="AP1349" s="6"/>
      <c r="AW1349" s="6"/>
      <c r="AX1349" s="6"/>
      <c r="AZ1349" s="110"/>
      <c r="BB1349" s="6"/>
      <c r="BD1349" s="6"/>
      <c r="BE1349" s="6"/>
      <c r="BV1349" s="17"/>
      <c r="BX1349" s="17"/>
      <c r="BZ1349" s="17"/>
    </row>
    <row r="1350" spans="4:78" x14ac:dyDescent="0.3">
      <c r="D1350" s="153"/>
      <c r="E1350" s="6"/>
      <c r="G1350" s="6"/>
      <c r="J1350" s="6"/>
      <c r="N1350" s="154"/>
      <c r="O1350" s="6"/>
      <c r="S1350" s="6"/>
      <c r="V1350" s="6"/>
      <c r="X1350" s="6"/>
      <c r="Z1350" s="110"/>
      <c r="AB1350" s="6"/>
      <c r="AD1350" s="6"/>
      <c r="AE1350" s="6"/>
      <c r="AF1350" s="126"/>
      <c r="AJ1350" s="6"/>
      <c r="AL1350" s="110"/>
      <c r="AM1350" s="110"/>
      <c r="AN1350" s="110"/>
      <c r="AP1350" s="6"/>
      <c r="AW1350" s="6"/>
      <c r="AX1350" s="6"/>
      <c r="AZ1350" s="110"/>
      <c r="BB1350" s="6"/>
      <c r="BD1350" s="6"/>
      <c r="BE1350" s="6"/>
      <c r="BV1350" s="17"/>
      <c r="BX1350" s="17"/>
      <c r="BZ1350" s="17"/>
    </row>
    <row r="1351" spans="4:78" x14ac:dyDescent="0.3">
      <c r="D1351" s="153"/>
      <c r="E1351" s="6"/>
      <c r="G1351" s="6"/>
      <c r="J1351" s="6"/>
      <c r="N1351" s="154"/>
      <c r="O1351" s="6"/>
      <c r="S1351" s="6"/>
      <c r="V1351" s="6"/>
      <c r="X1351" s="6"/>
      <c r="Z1351" s="110"/>
      <c r="AB1351" s="6"/>
      <c r="AD1351" s="6"/>
      <c r="AE1351" s="6"/>
      <c r="AF1351" s="126"/>
      <c r="AJ1351" s="6"/>
      <c r="AL1351" s="110"/>
      <c r="AM1351" s="110"/>
      <c r="AN1351" s="110"/>
      <c r="AP1351" s="6"/>
      <c r="AW1351" s="6"/>
      <c r="AX1351" s="6"/>
      <c r="AZ1351" s="110"/>
      <c r="BB1351" s="6"/>
      <c r="BD1351" s="6"/>
      <c r="BE1351" s="6"/>
      <c r="BV1351" s="17"/>
      <c r="BX1351" s="17"/>
      <c r="BZ1351" s="17"/>
    </row>
    <row r="1352" spans="4:78" x14ac:dyDescent="0.3">
      <c r="D1352" s="153"/>
      <c r="E1352" s="6"/>
      <c r="G1352" s="6"/>
      <c r="J1352" s="6"/>
      <c r="N1352" s="154"/>
      <c r="O1352" s="6"/>
      <c r="S1352" s="6"/>
      <c r="V1352" s="6"/>
      <c r="X1352" s="6"/>
      <c r="Z1352" s="110"/>
      <c r="AB1352" s="6"/>
      <c r="AD1352" s="6"/>
      <c r="AE1352" s="6"/>
      <c r="AF1352" s="126"/>
      <c r="AJ1352" s="6"/>
      <c r="AL1352" s="110"/>
      <c r="AM1352" s="110"/>
      <c r="AN1352" s="110"/>
      <c r="AP1352" s="6"/>
      <c r="AW1352" s="6"/>
      <c r="AX1352" s="6"/>
      <c r="AZ1352" s="110"/>
      <c r="BB1352" s="6"/>
      <c r="BD1352" s="6"/>
      <c r="BE1352" s="6"/>
      <c r="BV1352" s="17"/>
      <c r="BX1352" s="17"/>
      <c r="BZ1352" s="17"/>
    </row>
    <row r="1353" spans="4:78" x14ac:dyDescent="0.3">
      <c r="D1353" s="153"/>
      <c r="E1353" s="6"/>
      <c r="G1353" s="6"/>
      <c r="J1353" s="6"/>
      <c r="N1353" s="154"/>
      <c r="O1353" s="6"/>
      <c r="S1353" s="6"/>
      <c r="V1353" s="6"/>
      <c r="X1353" s="6"/>
      <c r="Z1353" s="110"/>
      <c r="AB1353" s="6"/>
      <c r="AD1353" s="6"/>
      <c r="AE1353" s="6"/>
      <c r="AF1353" s="126"/>
      <c r="AJ1353" s="6"/>
      <c r="AL1353" s="110"/>
      <c r="AM1353" s="110"/>
      <c r="AN1353" s="110"/>
      <c r="AP1353" s="6"/>
      <c r="AW1353" s="6"/>
      <c r="AX1353" s="6"/>
      <c r="AZ1353" s="110"/>
      <c r="BB1353" s="6"/>
      <c r="BD1353" s="6"/>
      <c r="BE1353" s="6"/>
      <c r="BV1353" s="17"/>
      <c r="BX1353" s="17"/>
      <c r="BZ1353" s="17"/>
    </row>
    <row r="1354" spans="4:78" x14ac:dyDescent="0.3">
      <c r="D1354" s="153"/>
      <c r="E1354" s="6"/>
      <c r="G1354" s="6"/>
      <c r="J1354" s="6"/>
      <c r="N1354" s="154"/>
      <c r="O1354" s="6"/>
      <c r="S1354" s="6"/>
      <c r="V1354" s="6"/>
      <c r="X1354" s="6"/>
      <c r="Z1354" s="110"/>
      <c r="AB1354" s="6"/>
      <c r="AD1354" s="6"/>
      <c r="AE1354" s="6"/>
      <c r="AF1354" s="126"/>
      <c r="AJ1354" s="6"/>
      <c r="AL1354" s="110"/>
      <c r="AM1354" s="110"/>
      <c r="AN1354" s="110"/>
      <c r="AP1354" s="6"/>
      <c r="AW1354" s="6"/>
      <c r="AX1354" s="6"/>
      <c r="AZ1354" s="110"/>
      <c r="BB1354" s="6"/>
      <c r="BD1354" s="6"/>
      <c r="BE1354" s="6"/>
      <c r="BV1354" s="17"/>
      <c r="BX1354" s="17"/>
      <c r="BZ1354" s="17"/>
    </row>
    <row r="1355" spans="4:78" x14ac:dyDescent="0.3">
      <c r="D1355" s="153"/>
      <c r="E1355" s="6"/>
      <c r="G1355" s="6"/>
      <c r="J1355" s="6"/>
      <c r="N1355" s="154"/>
      <c r="O1355" s="6"/>
      <c r="S1355" s="6"/>
      <c r="V1355" s="6"/>
      <c r="X1355" s="6"/>
      <c r="Z1355" s="110"/>
      <c r="AB1355" s="6"/>
      <c r="AD1355" s="6"/>
      <c r="AE1355" s="6"/>
      <c r="AF1355" s="126"/>
      <c r="AJ1355" s="6"/>
      <c r="AL1355" s="110"/>
      <c r="AM1355" s="110"/>
      <c r="AN1355" s="110"/>
      <c r="AP1355" s="6"/>
      <c r="AW1355" s="6"/>
      <c r="AX1355" s="6"/>
      <c r="AZ1355" s="110"/>
      <c r="BB1355" s="6"/>
      <c r="BD1355" s="6"/>
      <c r="BE1355" s="6"/>
      <c r="BV1355" s="17"/>
      <c r="BX1355" s="17"/>
      <c r="BZ1355" s="17"/>
    </row>
    <row r="1356" spans="4:78" x14ac:dyDescent="0.3">
      <c r="D1356" s="153"/>
      <c r="E1356" s="6"/>
      <c r="G1356" s="6"/>
      <c r="J1356" s="6"/>
      <c r="N1356" s="154"/>
      <c r="O1356" s="6"/>
      <c r="S1356" s="6"/>
      <c r="V1356" s="6"/>
      <c r="X1356" s="6"/>
      <c r="Z1356" s="110"/>
      <c r="AB1356" s="6"/>
      <c r="AD1356" s="6"/>
      <c r="AE1356" s="6"/>
      <c r="AF1356" s="126"/>
      <c r="AJ1356" s="6"/>
      <c r="AL1356" s="110"/>
      <c r="AM1356" s="110"/>
      <c r="AN1356" s="110"/>
      <c r="AP1356" s="6"/>
      <c r="AW1356" s="6"/>
      <c r="AX1356" s="6"/>
      <c r="AZ1356" s="110"/>
      <c r="BB1356" s="6"/>
      <c r="BD1356" s="6"/>
      <c r="BE1356" s="6"/>
      <c r="BV1356" s="17"/>
      <c r="BX1356" s="17"/>
      <c r="BZ1356" s="17"/>
    </row>
    <row r="1357" spans="4:78" x14ac:dyDescent="0.3">
      <c r="D1357" s="153"/>
      <c r="E1357" s="6"/>
      <c r="G1357" s="6"/>
      <c r="J1357" s="6"/>
      <c r="N1357" s="154"/>
      <c r="O1357" s="6"/>
      <c r="S1357" s="6"/>
      <c r="V1357" s="6"/>
      <c r="X1357" s="6"/>
      <c r="Z1357" s="110"/>
      <c r="AB1357" s="6"/>
      <c r="AD1357" s="6"/>
      <c r="AE1357" s="6"/>
      <c r="AF1357" s="126"/>
      <c r="AJ1357" s="6"/>
      <c r="AL1357" s="110"/>
      <c r="AM1357" s="110"/>
      <c r="AN1357" s="110"/>
      <c r="AP1357" s="6"/>
      <c r="AW1357" s="6"/>
      <c r="AX1357" s="6"/>
      <c r="AZ1357" s="110"/>
      <c r="BB1357" s="6"/>
      <c r="BD1357" s="6"/>
      <c r="BE1357" s="6"/>
      <c r="BV1357" s="17"/>
      <c r="BX1357" s="17"/>
      <c r="BZ1357" s="17"/>
    </row>
    <row r="1358" spans="4:78" x14ac:dyDescent="0.3">
      <c r="D1358" s="153"/>
      <c r="E1358" s="6"/>
      <c r="G1358" s="6"/>
      <c r="J1358" s="6"/>
      <c r="N1358" s="154"/>
      <c r="O1358" s="6"/>
      <c r="S1358" s="6"/>
      <c r="V1358" s="6"/>
      <c r="X1358" s="6"/>
      <c r="Z1358" s="110"/>
      <c r="AB1358" s="6"/>
      <c r="AD1358" s="6"/>
      <c r="AE1358" s="6"/>
      <c r="AF1358" s="126"/>
      <c r="AJ1358" s="6"/>
      <c r="AL1358" s="110"/>
      <c r="AM1358" s="110"/>
      <c r="AN1358" s="110"/>
      <c r="AP1358" s="6"/>
      <c r="AW1358" s="6"/>
      <c r="AX1358" s="6"/>
      <c r="AZ1358" s="110"/>
      <c r="BB1358" s="6"/>
      <c r="BD1358" s="6"/>
      <c r="BE1358" s="6"/>
      <c r="BV1358" s="17"/>
      <c r="BX1358" s="17"/>
      <c r="BZ1358" s="17"/>
    </row>
    <row r="1359" spans="4:78" x14ac:dyDescent="0.3">
      <c r="D1359" s="153"/>
      <c r="E1359" s="6"/>
      <c r="G1359" s="6"/>
      <c r="J1359" s="6"/>
      <c r="N1359" s="154"/>
      <c r="O1359" s="6"/>
      <c r="S1359" s="6"/>
      <c r="V1359" s="6"/>
      <c r="X1359" s="6"/>
      <c r="Z1359" s="110"/>
      <c r="AB1359" s="6"/>
      <c r="AD1359" s="6"/>
      <c r="AE1359" s="6"/>
      <c r="AF1359" s="126"/>
      <c r="AJ1359" s="6"/>
      <c r="AL1359" s="110"/>
      <c r="AM1359" s="110"/>
      <c r="AN1359" s="110"/>
      <c r="AP1359" s="6"/>
      <c r="AW1359" s="6"/>
      <c r="AX1359" s="6"/>
      <c r="AZ1359" s="110"/>
      <c r="BB1359" s="6"/>
      <c r="BD1359" s="6"/>
      <c r="BE1359" s="6"/>
      <c r="BV1359" s="17"/>
      <c r="BX1359" s="17"/>
      <c r="BZ1359" s="17"/>
    </row>
    <row r="1360" spans="4:78" x14ac:dyDescent="0.3">
      <c r="D1360" s="153"/>
      <c r="E1360" s="6"/>
      <c r="G1360" s="6"/>
      <c r="J1360" s="6"/>
      <c r="N1360" s="154"/>
      <c r="O1360" s="6"/>
      <c r="S1360" s="6"/>
      <c r="V1360" s="6"/>
      <c r="X1360" s="6"/>
      <c r="Z1360" s="110"/>
      <c r="AB1360" s="6"/>
      <c r="AD1360" s="6"/>
      <c r="AE1360" s="6"/>
      <c r="AF1360" s="126"/>
      <c r="AJ1360" s="6"/>
      <c r="AL1360" s="110"/>
      <c r="AM1360" s="110"/>
      <c r="AN1360" s="110"/>
      <c r="AP1360" s="6"/>
      <c r="AW1360" s="6"/>
      <c r="AX1360" s="6"/>
      <c r="AZ1360" s="110"/>
      <c r="BB1360" s="6"/>
      <c r="BD1360" s="6"/>
      <c r="BE1360" s="6"/>
      <c r="BV1360" s="17"/>
      <c r="BX1360" s="17"/>
      <c r="BZ1360" s="17"/>
    </row>
    <row r="1361" spans="4:78" x14ac:dyDescent="0.3">
      <c r="D1361" s="153"/>
      <c r="E1361" s="6"/>
      <c r="G1361" s="6"/>
      <c r="J1361" s="6"/>
      <c r="N1361" s="154"/>
      <c r="O1361" s="6"/>
      <c r="S1361" s="6"/>
      <c r="V1361" s="6"/>
      <c r="X1361" s="6"/>
      <c r="Z1361" s="110"/>
      <c r="AB1361" s="6"/>
      <c r="AD1361" s="6"/>
      <c r="AE1361" s="6"/>
      <c r="AF1361" s="126"/>
      <c r="AJ1361" s="6"/>
      <c r="AL1361" s="110"/>
      <c r="AM1361" s="110"/>
      <c r="AN1361" s="110"/>
      <c r="AP1361" s="6"/>
      <c r="AW1361" s="6"/>
      <c r="AX1361" s="6"/>
      <c r="AZ1361" s="110"/>
      <c r="BB1361" s="6"/>
      <c r="BD1361" s="6"/>
      <c r="BE1361" s="6"/>
      <c r="BV1361" s="17"/>
      <c r="BX1361" s="17"/>
      <c r="BZ1361" s="17"/>
    </row>
    <row r="1362" spans="4:78" x14ac:dyDescent="0.3">
      <c r="D1362" s="153"/>
      <c r="E1362" s="6"/>
      <c r="G1362" s="6"/>
      <c r="J1362" s="6"/>
      <c r="N1362" s="154"/>
      <c r="O1362" s="6"/>
      <c r="S1362" s="6"/>
      <c r="V1362" s="6"/>
      <c r="X1362" s="6"/>
      <c r="Z1362" s="110"/>
      <c r="AB1362" s="6"/>
      <c r="AD1362" s="6"/>
      <c r="AE1362" s="6"/>
      <c r="AF1362" s="126"/>
      <c r="AJ1362" s="6"/>
      <c r="AL1362" s="110"/>
      <c r="AM1362" s="110"/>
      <c r="AN1362" s="110"/>
      <c r="AP1362" s="6"/>
      <c r="AW1362" s="6"/>
      <c r="AX1362" s="6"/>
      <c r="AZ1362" s="110"/>
      <c r="BB1362" s="6"/>
      <c r="BD1362" s="6"/>
      <c r="BE1362" s="6"/>
      <c r="BV1362" s="17"/>
      <c r="BX1362" s="17"/>
      <c r="BZ1362" s="17"/>
    </row>
    <row r="1363" spans="4:78" x14ac:dyDescent="0.3">
      <c r="D1363" s="153"/>
      <c r="E1363" s="6"/>
      <c r="G1363" s="6"/>
      <c r="J1363" s="6"/>
      <c r="N1363" s="154"/>
      <c r="O1363" s="6"/>
      <c r="S1363" s="6"/>
      <c r="V1363" s="6"/>
      <c r="X1363" s="6"/>
      <c r="Z1363" s="110"/>
      <c r="AB1363" s="6"/>
      <c r="AD1363" s="6"/>
      <c r="AE1363" s="6"/>
      <c r="AF1363" s="126"/>
      <c r="AJ1363" s="6"/>
      <c r="AL1363" s="110"/>
      <c r="AM1363" s="110"/>
      <c r="AN1363" s="110"/>
      <c r="AP1363" s="6"/>
      <c r="AW1363" s="6"/>
      <c r="AX1363" s="6"/>
      <c r="AZ1363" s="110"/>
      <c r="BB1363" s="6"/>
      <c r="BD1363" s="6"/>
      <c r="BE1363" s="6"/>
      <c r="BV1363" s="17"/>
      <c r="BX1363" s="17"/>
      <c r="BZ1363" s="17"/>
    </row>
    <row r="1364" spans="4:78" x14ac:dyDescent="0.3">
      <c r="D1364" s="153"/>
      <c r="E1364" s="6"/>
      <c r="G1364" s="6"/>
      <c r="J1364" s="6"/>
      <c r="N1364" s="154"/>
      <c r="O1364" s="6"/>
      <c r="S1364" s="6"/>
      <c r="V1364" s="6"/>
      <c r="X1364" s="6"/>
      <c r="Z1364" s="110"/>
      <c r="AB1364" s="6"/>
      <c r="AD1364" s="6"/>
      <c r="AE1364" s="6"/>
      <c r="AF1364" s="126"/>
      <c r="AJ1364" s="6"/>
      <c r="AL1364" s="110"/>
      <c r="AM1364" s="110"/>
      <c r="AN1364" s="110"/>
      <c r="AP1364" s="6"/>
      <c r="AW1364" s="6"/>
      <c r="AX1364" s="6"/>
      <c r="AZ1364" s="110"/>
      <c r="BB1364" s="6"/>
      <c r="BD1364" s="6"/>
      <c r="BE1364" s="6"/>
      <c r="BV1364" s="17"/>
      <c r="BX1364" s="17"/>
      <c r="BZ1364" s="17"/>
    </row>
    <row r="1365" spans="4:78" x14ac:dyDescent="0.3">
      <c r="D1365" s="153"/>
      <c r="E1365" s="6"/>
      <c r="G1365" s="6"/>
      <c r="J1365" s="6"/>
      <c r="N1365" s="154"/>
      <c r="O1365" s="6"/>
      <c r="S1365" s="6"/>
      <c r="V1365" s="6"/>
      <c r="X1365" s="6"/>
      <c r="Z1365" s="110"/>
      <c r="AB1365" s="6"/>
      <c r="AD1365" s="6"/>
      <c r="AE1365" s="6"/>
      <c r="AF1365" s="126"/>
      <c r="AJ1365" s="6"/>
      <c r="AL1365" s="110"/>
      <c r="AM1365" s="110"/>
      <c r="AN1365" s="110"/>
      <c r="AP1365" s="6"/>
      <c r="AW1365" s="6"/>
      <c r="AX1365" s="6"/>
      <c r="AZ1365" s="110"/>
      <c r="BB1365" s="6"/>
      <c r="BD1365" s="6"/>
      <c r="BE1365" s="6"/>
      <c r="BV1365" s="17"/>
      <c r="BX1365" s="17"/>
      <c r="BZ1365" s="17"/>
    </row>
    <row r="1366" spans="4:78" x14ac:dyDescent="0.3">
      <c r="D1366" s="153"/>
      <c r="E1366" s="6"/>
      <c r="G1366" s="6"/>
      <c r="J1366" s="6"/>
      <c r="N1366" s="154"/>
      <c r="O1366" s="6"/>
      <c r="S1366" s="6"/>
      <c r="V1366" s="6"/>
      <c r="X1366" s="6"/>
      <c r="Z1366" s="110"/>
      <c r="AB1366" s="6"/>
      <c r="AD1366" s="6"/>
      <c r="AE1366" s="6"/>
      <c r="AF1366" s="126"/>
      <c r="AJ1366" s="6"/>
      <c r="AL1366" s="110"/>
      <c r="AM1366" s="110"/>
      <c r="AN1366" s="110"/>
      <c r="AP1366" s="6"/>
      <c r="AW1366" s="6"/>
      <c r="AX1366" s="6"/>
      <c r="AZ1366" s="110"/>
      <c r="BB1366" s="6"/>
      <c r="BD1366" s="6"/>
      <c r="BE1366" s="6"/>
      <c r="BV1366" s="17"/>
      <c r="BX1366" s="17"/>
      <c r="BZ1366" s="17"/>
    </row>
    <row r="1367" spans="4:78" x14ac:dyDescent="0.3">
      <c r="D1367" s="153"/>
      <c r="E1367" s="6"/>
      <c r="G1367" s="6"/>
      <c r="J1367" s="6"/>
      <c r="N1367" s="154"/>
      <c r="O1367" s="6"/>
      <c r="S1367" s="6"/>
      <c r="V1367" s="6"/>
      <c r="X1367" s="6"/>
      <c r="Z1367" s="110"/>
      <c r="AB1367" s="6"/>
      <c r="AD1367" s="6"/>
      <c r="AE1367" s="6"/>
      <c r="AF1367" s="126"/>
      <c r="AJ1367" s="6"/>
      <c r="AL1367" s="110"/>
      <c r="AM1367" s="110"/>
      <c r="AN1367" s="110"/>
      <c r="AP1367" s="6"/>
      <c r="AW1367" s="6"/>
      <c r="AX1367" s="6"/>
      <c r="AZ1367" s="110"/>
      <c r="BB1367" s="6"/>
      <c r="BD1367" s="6"/>
      <c r="BE1367" s="6"/>
      <c r="BV1367" s="17"/>
      <c r="BX1367" s="17"/>
      <c r="BZ1367" s="17"/>
    </row>
    <row r="1368" spans="4:78" x14ac:dyDescent="0.3">
      <c r="D1368" s="153"/>
      <c r="E1368" s="6"/>
      <c r="G1368" s="6"/>
      <c r="J1368" s="6"/>
      <c r="N1368" s="154"/>
      <c r="O1368" s="6"/>
      <c r="S1368" s="6"/>
      <c r="V1368" s="6"/>
      <c r="X1368" s="6"/>
      <c r="Z1368" s="110"/>
      <c r="AB1368" s="6"/>
      <c r="AD1368" s="6"/>
      <c r="AE1368" s="6"/>
      <c r="AF1368" s="126"/>
      <c r="AJ1368" s="6"/>
      <c r="AL1368" s="110"/>
      <c r="AM1368" s="110"/>
      <c r="AN1368" s="110"/>
      <c r="AP1368" s="6"/>
      <c r="AW1368" s="6"/>
      <c r="AX1368" s="6"/>
      <c r="AZ1368" s="110"/>
      <c r="BB1368" s="6"/>
      <c r="BD1368" s="6"/>
      <c r="BE1368" s="6"/>
      <c r="BV1368" s="17"/>
      <c r="BX1368" s="17"/>
      <c r="BZ1368" s="17"/>
    </row>
    <row r="1369" spans="4:78" x14ac:dyDescent="0.3">
      <c r="D1369" s="153"/>
      <c r="E1369" s="6"/>
      <c r="G1369" s="6"/>
      <c r="J1369" s="6"/>
      <c r="N1369" s="154"/>
      <c r="O1369" s="6"/>
      <c r="S1369" s="6"/>
      <c r="V1369" s="6"/>
      <c r="X1369" s="6"/>
      <c r="Z1369" s="110"/>
      <c r="AB1369" s="6"/>
      <c r="AD1369" s="6"/>
      <c r="AE1369" s="6"/>
      <c r="AF1369" s="126"/>
      <c r="AJ1369" s="6"/>
      <c r="AL1369" s="110"/>
      <c r="AM1369" s="110"/>
      <c r="AN1369" s="110"/>
      <c r="AP1369" s="6"/>
      <c r="AW1369" s="6"/>
      <c r="AX1369" s="6"/>
      <c r="AZ1369" s="110"/>
      <c r="BB1369" s="6"/>
      <c r="BD1369" s="6"/>
      <c r="BE1369" s="6"/>
      <c r="BV1369" s="17"/>
      <c r="BX1369" s="17"/>
      <c r="BZ1369" s="17"/>
    </row>
    <row r="1370" spans="4:78" x14ac:dyDescent="0.3">
      <c r="D1370" s="153"/>
      <c r="E1370" s="6"/>
      <c r="G1370" s="6"/>
      <c r="J1370" s="6"/>
      <c r="N1370" s="154"/>
      <c r="O1370" s="6"/>
      <c r="S1370" s="6"/>
      <c r="V1370" s="6"/>
      <c r="X1370" s="6"/>
      <c r="Z1370" s="110"/>
      <c r="AB1370" s="6"/>
      <c r="AD1370" s="6"/>
      <c r="AE1370" s="6"/>
      <c r="AF1370" s="126"/>
      <c r="AJ1370" s="6"/>
      <c r="AL1370" s="110"/>
      <c r="AM1370" s="110"/>
      <c r="AN1370" s="110"/>
      <c r="AP1370" s="6"/>
      <c r="AW1370" s="6"/>
      <c r="AX1370" s="6"/>
      <c r="AZ1370" s="110"/>
      <c r="BB1370" s="6"/>
      <c r="BD1370" s="6"/>
      <c r="BE1370" s="6"/>
      <c r="BV1370" s="17"/>
      <c r="BX1370" s="17"/>
      <c r="BZ1370" s="17"/>
    </row>
    <row r="1371" spans="4:78" x14ac:dyDescent="0.3">
      <c r="D1371" s="153"/>
      <c r="E1371" s="6"/>
      <c r="G1371" s="6"/>
      <c r="J1371" s="6"/>
      <c r="N1371" s="154"/>
      <c r="O1371" s="6"/>
      <c r="S1371" s="6"/>
      <c r="V1371" s="6"/>
      <c r="X1371" s="6"/>
      <c r="Z1371" s="110"/>
      <c r="AB1371" s="6"/>
      <c r="AD1371" s="6"/>
      <c r="AE1371" s="6"/>
      <c r="AF1371" s="126"/>
      <c r="AJ1371" s="6"/>
      <c r="AL1371" s="110"/>
      <c r="AM1371" s="110"/>
      <c r="AN1371" s="110"/>
      <c r="AP1371" s="6"/>
      <c r="AW1371" s="6"/>
      <c r="AX1371" s="6"/>
      <c r="AZ1371" s="110"/>
      <c r="BB1371" s="6"/>
      <c r="BD1371" s="6"/>
      <c r="BE1371" s="6"/>
      <c r="BV1371" s="17"/>
      <c r="BX1371" s="17"/>
      <c r="BZ1371" s="17"/>
    </row>
    <row r="1372" spans="4:78" x14ac:dyDescent="0.3">
      <c r="D1372" s="153"/>
      <c r="E1372" s="6"/>
      <c r="G1372" s="6"/>
      <c r="J1372" s="6"/>
      <c r="N1372" s="154"/>
      <c r="O1372" s="6"/>
      <c r="S1372" s="6"/>
      <c r="V1372" s="6"/>
      <c r="X1372" s="6"/>
      <c r="Z1372" s="110"/>
      <c r="AB1372" s="6"/>
      <c r="AD1372" s="6"/>
      <c r="AE1372" s="6"/>
      <c r="AF1372" s="126"/>
      <c r="AJ1372" s="6"/>
      <c r="AL1372" s="110"/>
      <c r="AM1372" s="110"/>
      <c r="AN1372" s="110"/>
      <c r="AP1372" s="6"/>
      <c r="AW1372" s="6"/>
      <c r="AX1372" s="6"/>
      <c r="AZ1372" s="110"/>
      <c r="BB1372" s="6"/>
      <c r="BD1372" s="6"/>
      <c r="BE1372" s="6"/>
      <c r="BV1372" s="17"/>
      <c r="BX1372" s="17"/>
      <c r="BZ1372" s="17"/>
    </row>
    <row r="1373" spans="4:78" x14ac:dyDescent="0.3">
      <c r="D1373" s="153"/>
      <c r="E1373" s="6"/>
      <c r="G1373" s="6"/>
      <c r="J1373" s="6"/>
      <c r="N1373" s="154"/>
      <c r="O1373" s="6"/>
      <c r="S1373" s="6"/>
      <c r="V1373" s="6"/>
      <c r="X1373" s="6"/>
      <c r="Z1373" s="110"/>
      <c r="AB1373" s="6"/>
      <c r="AD1373" s="6"/>
      <c r="AE1373" s="6"/>
      <c r="AF1373" s="126"/>
      <c r="AJ1373" s="6"/>
      <c r="AL1373" s="110"/>
      <c r="AM1373" s="110"/>
      <c r="AN1373" s="110"/>
      <c r="AP1373" s="6"/>
      <c r="AW1373" s="6"/>
      <c r="AX1373" s="6"/>
      <c r="AZ1373" s="110"/>
      <c r="BB1373" s="6"/>
      <c r="BD1373" s="6"/>
      <c r="BE1373" s="6"/>
      <c r="BV1373" s="17"/>
      <c r="BX1373" s="17"/>
      <c r="BZ1373" s="17"/>
    </row>
    <row r="1374" spans="4:78" x14ac:dyDescent="0.3">
      <c r="D1374" s="153"/>
      <c r="E1374" s="6"/>
      <c r="G1374" s="6"/>
      <c r="J1374" s="6"/>
      <c r="N1374" s="154"/>
      <c r="O1374" s="6"/>
      <c r="S1374" s="6"/>
      <c r="V1374" s="6"/>
      <c r="X1374" s="6"/>
      <c r="Z1374" s="110"/>
      <c r="AB1374" s="6"/>
      <c r="AD1374" s="6"/>
      <c r="AE1374" s="6"/>
      <c r="AF1374" s="126"/>
      <c r="AJ1374" s="6"/>
      <c r="AL1374" s="110"/>
      <c r="AM1374" s="110"/>
      <c r="AN1374" s="110"/>
      <c r="AP1374" s="6"/>
      <c r="AW1374" s="6"/>
      <c r="AX1374" s="6"/>
      <c r="AZ1374" s="110"/>
      <c r="BB1374" s="6"/>
      <c r="BD1374" s="6"/>
      <c r="BE1374" s="6"/>
      <c r="BV1374" s="17"/>
      <c r="BX1374" s="17"/>
      <c r="BZ1374" s="17"/>
    </row>
    <row r="1375" spans="4:78" x14ac:dyDescent="0.3">
      <c r="D1375" s="153"/>
      <c r="E1375" s="6"/>
      <c r="G1375" s="6"/>
      <c r="J1375" s="6"/>
      <c r="N1375" s="154"/>
      <c r="O1375" s="6"/>
      <c r="S1375" s="6"/>
      <c r="V1375" s="6"/>
      <c r="X1375" s="6"/>
      <c r="Z1375" s="110"/>
      <c r="AB1375" s="6"/>
      <c r="AD1375" s="6"/>
      <c r="AE1375" s="6"/>
      <c r="AF1375" s="126"/>
      <c r="AJ1375" s="6"/>
      <c r="AL1375" s="110"/>
      <c r="AM1375" s="110"/>
      <c r="AN1375" s="110"/>
      <c r="AP1375" s="6"/>
      <c r="AW1375" s="6"/>
      <c r="AX1375" s="6"/>
      <c r="AZ1375" s="110"/>
      <c r="BB1375" s="6"/>
      <c r="BD1375" s="6"/>
      <c r="BE1375" s="6"/>
      <c r="BV1375" s="17"/>
      <c r="BX1375" s="17"/>
      <c r="BZ1375" s="17"/>
    </row>
    <row r="1376" spans="4:78" x14ac:dyDescent="0.3">
      <c r="D1376" s="153"/>
      <c r="E1376" s="6"/>
      <c r="G1376" s="6"/>
      <c r="J1376" s="6"/>
      <c r="N1376" s="154"/>
      <c r="O1376" s="6"/>
      <c r="S1376" s="6"/>
      <c r="V1376" s="6"/>
      <c r="X1376" s="6"/>
      <c r="Z1376" s="110"/>
      <c r="AB1376" s="6"/>
      <c r="AD1376" s="6"/>
      <c r="AE1376" s="6"/>
      <c r="AF1376" s="126"/>
      <c r="AJ1376" s="6"/>
      <c r="AL1376" s="110"/>
      <c r="AM1376" s="110"/>
      <c r="AN1376" s="110"/>
      <c r="AP1376" s="6"/>
      <c r="AW1376" s="6"/>
      <c r="AX1376" s="6"/>
      <c r="AZ1376" s="110"/>
      <c r="BB1376" s="6"/>
      <c r="BD1376" s="6"/>
      <c r="BE1376" s="6"/>
      <c r="BV1376" s="17"/>
      <c r="BX1376" s="17"/>
      <c r="BZ1376" s="17"/>
    </row>
    <row r="1377" spans="4:78" x14ac:dyDescent="0.3">
      <c r="D1377" s="153"/>
      <c r="E1377" s="6"/>
      <c r="G1377" s="6"/>
      <c r="J1377" s="6"/>
      <c r="N1377" s="154"/>
      <c r="O1377" s="6"/>
      <c r="S1377" s="6"/>
      <c r="V1377" s="6"/>
      <c r="X1377" s="6"/>
      <c r="Z1377" s="110"/>
      <c r="AB1377" s="6"/>
      <c r="AD1377" s="6"/>
      <c r="AE1377" s="6"/>
      <c r="AF1377" s="126"/>
      <c r="AJ1377" s="6"/>
      <c r="AL1377" s="110"/>
      <c r="AM1377" s="110"/>
      <c r="AN1377" s="110"/>
      <c r="AP1377" s="6"/>
      <c r="AW1377" s="6"/>
      <c r="AX1377" s="6"/>
      <c r="AZ1377" s="110"/>
      <c r="BB1377" s="6"/>
      <c r="BD1377" s="6"/>
      <c r="BE1377" s="6"/>
      <c r="BV1377" s="17"/>
      <c r="BX1377" s="17"/>
      <c r="BZ1377" s="17"/>
    </row>
    <row r="1378" spans="4:78" x14ac:dyDescent="0.3">
      <c r="D1378" s="153"/>
      <c r="E1378" s="6"/>
      <c r="G1378" s="6"/>
      <c r="J1378" s="6"/>
      <c r="N1378" s="154"/>
      <c r="O1378" s="6"/>
      <c r="S1378" s="6"/>
      <c r="V1378" s="6"/>
      <c r="X1378" s="6"/>
      <c r="Z1378" s="110"/>
      <c r="AB1378" s="6"/>
      <c r="AD1378" s="6"/>
      <c r="AE1378" s="6"/>
      <c r="AF1378" s="126"/>
      <c r="AJ1378" s="6"/>
      <c r="AL1378" s="110"/>
      <c r="AM1378" s="110"/>
      <c r="AN1378" s="110"/>
      <c r="AP1378" s="6"/>
      <c r="AW1378" s="6"/>
      <c r="AX1378" s="6"/>
      <c r="AZ1378" s="110"/>
      <c r="BB1378" s="6"/>
      <c r="BD1378" s="6"/>
      <c r="BE1378" s="6"/>
      <c r="BV1378" s="17"/>
      <c r="BX1378" s="17"/>
      <c r="BZ1378" s="17"/>
    </row>
    <row r="1379" spans="4:78" x14ac:dyDescent="0.3">
      <c r="D1379" s="153"/>
      <c r="E1379" s="6"/>
      <c r="G1379" s="6"/>
      <c r="J1379" s="6"/>
      <c r="N1379" s="154"/>
      <c r="O1379" s="6"/>
      <c r="S1379" s="6"/>
      <c r="V1379" s="6"/>
      <c r="X1379" s="6"/>
      <c r="Z1379" s="110"/>
      <c r="AB1379" s="6"/>
      <c r="AD1379" s="6"/>
      <c r="AE1379" s="6"/>
      <c r="AF1379" s="126"/>
      <c r="AJ1379" s="6"/>
      <c r="AL1379" s="110"/>
      <c r="AM1379" s="110"/>
      <c r="AN1379" s="110"/>
      <c r="AP1379" s="6"/>
      <c r="AW1379" s="6"/>
      <c r="AX1379" s="6"/>
      <c r="AZ1379" s="110"/>
      <c r="BB1379" s="6"/>
      <c r="BD1379" s="6"/>
      <c r="BE1379" s="6"/>
      <c r="BV1379" s="17"/>
      <c r="BX1379" s="17"/>
      <c r="BZ1379" s="17"/>
    </row>
    <row r="1380" spans="4:78" x14ac:dyDescent="0.3">
      <c r="D1380" s="153"/>
      <c r="E1380" s="6"/>
      <c r="G1380" s="6"/>
      <c r="J1380" s="6"/>
      <c r="N1380" s="154"/>
      <c r="O1380" s="6"/>
      <c r="S1380" s="6"/>
      <c r="V1380" s="6"/>
      <c r="X1380" s="6"/>
      <c r="Z1380" s="110"/>
      <c r="AB1380" s="6"/>
      <c r="AD1380" s="6"/>
      <c r="AE1380" s="6"/>
      <c r="AF1380" s="126"/>
      <c r="AJ1380" s="6"/>
      <c r="AL1380" s="110"/>
      <c r="AM1380" s="110"/>
      <c r="AN1380" s="110"/>
      <c r="AP1380" s="6"/>
      <c r="AW1380" s="6"/>
      <c r="AX1380" s="6"/>
      <c r="AZ1380" s="110"/>
      <c r="BB1380" s="6"/>
      <c r="BD1380" s="6"/>
      <c r="BE1380" s="6"/>
      <c r="BV1380" s="17"/>
      <c r="BX1380" s="17"/>
      <c r="BZ1380" s="17"/>
    </row>
    <row r="1381" spans="4:78" x14ac:dyDescent="0.3">
      <c r="D1381" s="153"/>
      <c r="E1381" s="6"/>
      <c r="G1381" s="6"/>
      <c r="J1381" s="6"/>
      <c r="N1381" s="154"/>
      <c r="O1381" s="6"/>
      <c r="S1381" s="6"/>
      <c r="V1381" s="6"/>
      <c r="X1381" s="6"/>
      <c r="Z1381" s="110"/>
      <c r="AB1381" s="6"/>
      <c r="AD1381" s="6"/>
      <c r="AE1381" s="6"/>
      <c r="AF1381" s="126"/>
      <c r="AJ1381" s="6"/>
      <c r="AL1381" s="110"/>
      <c r="AM1381" s="110"/>
      <c r="AN1381" s="110"/>
      <c r="AP1381" s="6"/>
      <c r="AW1381" s="6"/>
      <c r="AX1381" s="6"/>
      <c r="AZ1381" s="110"/>
      <c r="BB1381" s="6"/>
      <c r="BD1381" s="6"/>
      <c r="BE1381" s="6"/>
      <c r="BV1381" s="17"/>
      <c r="BX1381" s="17"/>
      <c r="BZ1381" s="17"/>
    </row>
    <row r="1382" spans="4:78" x14ac:dyDescent="0.3">
      <c r="D1382" s="153"/>
      <c r="E1382" s="6"/>
      <c r="G1382" s="6"/>
      <c r="J1382" s="6"/>
      <c r="N1382" s="154"/>
      <c r="O1382" s="6"/>
      <c r="S1382" s="6"/>
      <c r="V1382" s="6"/>
      <c r="X1382" s="6"/>
      <c r="Z1382" s="110"/>
      <c r="AB1382" s="6"/>
      <c r="AD1382" s="6"/>
      <c r="AE1382" s="6"/>
      <c r="AF1382" s="126"/>
      <c r="AJ1382" s="6"/>
      <c r="AL1382" s="110"/>
      <c r="AM1382" s="110"/>
      <c r="AN1382" s="110"/>
      <c r="AP1382" s="6"/>
      <c r="AW1382" s="6"/>
      <c r="AX1382" s="6"/>
      <c r="AZ1382" s="110"/>
      <c r="BB1382" s="6"/>
      <c r="BD1382" s="6"/>
      <c r="BE1382" s="6"/>
      <c r="BV1382" s="17"/>
      <c r="BX1382" s="17"/>
      <c r="BZ1382" s="17"/>
    </row>
    <row r="1383" spans="4:78" x14ac:dyDescent="0.3">
      <c r="D1383" s="153"/>
      <c r="E1383" s="6"/>
      <c r="G1383" s="6"/>
      <c r="J1383" s="6"/>
      <c r="N1383" s="154"/>
      <c r="O1383" s="6"/>
      <c r="S1383" s="6"/>
      <c r="V1383" s="6"/>
      <c r="X1383" s="6"/>
      <c r="Z1383" s="110"/>
      <c r="AB1383" s="6"/>
      <c r="AD1383" s="6"/>
      <c r="AE1383" s="6"/>
      <c r="AF1383" s="126"/>
      <c r="AJ1383" s="6"/>
      <c r="AL1383" s="110"/>
      <c r="AM1383" s="110"/>
      <c r="AN1383" s="110"/>
      <c r="AP1383" s="6"/>
      <c r="AW1383" s="6"/>
      <c r="AX1383" s="6"/>
      <c r="AZ1383" s="110"/>
      <c r="BB1383" s="6"/>
      <c r="BD1383" s="6"/>
      <c r="BE1383" s="6"/>
      <c r="BV1383" s="17"/>
      <c r="BX1383" s="17"/>
      <c r="BZ1383" s="17"/>
    </row>
    <row r="1384" spans="4:78" x14ac:dyDescent="0.3">
      <c r="D1384" s="153"/>
      <c r="E1384" s="6"/>
      <c r="G1384" s="6"/>
      <c r="J1384" s="6"/>
      <c r="N1384" s="154"/>
      <c r="O1384" s="6"/>
      <c r="S1384" s="6"/>
      <c r="V1384" s="6"/>
      <c r="X1384" s="6"/>
      <c r="Z1384" s="110"/>
      <c r="AB1384" s="6"/>
      <c r="AD1384" s="6"/>
      <c r="AE1384" s="6"/>
      <c r="AF1384" s="126"/>
      <c r="AJ1384" s="6"/>
      <c r="AL1384" s="110"/>
      <c r="AM1384" s="110"/>
      <c r="AN1384" s="110"/>
      <c r="AP1384" s="6"/>
      <c r="AW1384" s="6"/>
      <c r="AX1384" s="6"/>
      <c r="AZ1384" s="110"/>
      <c r="BB1384" s="6"/>
      <c r="BD1384" s="6"/>
      <c r="BE1384" s="6"/>
      <c r="BV1384" s="17"/>
      <c r="BX1384" s="17"/>
      <c r="BZ1384" s="17"/>
    </row>
    <row r="1385" spans="4:78" x14ac:dyDescent="0.3">
      <c r="D1385" s="153"/>
      <c r="E1385" s="6"/>
      <c r="G1385" s="6"/>
      <c r="J1385" s="6"/>
      <c r="N1385" s="154"/>
      <c r="O1385" s="6"/>
      <c r="S1385" s="6"/>
      <c r="V1385" s="6"/>
      <c r="X1385" s="6"/>
      <c r="Z1385" s="110"/>
      <c r="AB1385" s="6"/>
      <c r="AD1385" s="6"/>
      <c r="AE1385" s="6"/>
      <c r="AF1385" s="126"/>
      <c r="AJ1385" s="6"/>
      <c r="AL1385" s="110"/>
      <c r="AM1385" s="110"/>
      <c r="AN1385" s="110"/>
      <c r="AP1385" s="6"/>
      <c r="AW1385" s="6"/>
      <c r="AX1385" s="6"/>
      <c r="AZ1385" s="110"/>
      <c r="BB1385" s="6"/>
      <c r="BD1385" s="6"/>
      <c r="BE1385" s="6"/>
      <c r="BV1385" s="17"/>
      <c r="BX1385" s="17"/>
      <c r="BZ1385" s="17"/>
    </row>
    <row r="1386" spans="4:78" x14ac:dyDescent="0.3">
      <c r="D1386" s="153"/>
      <c r="E1386" s="6"/>
      <c r="G1386" s="6"/>
      <c r="J1386" s="6"/>
      <c r="N1386" s="154"/>
      <c r="O1386" s="6"/>
      <c r="S1386" s="6"/>
      <c r="V1386" s="6"/>
      <c r="X1386" s="6"/>
      <c r="Z1386" s="110"/>
      <c r="AB1386" s="6"/>
      <c r="AD1386" s="6"/>
      <c r="AE1386" s="6"/>
      <c r="AF1386" s="126"/>
      <c r="AJ1386" s="6"/>
      <c r="AL1386" s="110"/>
      <c r="AM1386" s="110"/>
      <c r="AN1386" s="110"/>
      <c r="AP1386" s="6"/>
      <c r="AW1386" s="6"/>
      <c r="AX1386" s="6"/>
      <c r="AZ1386" s="110"/>
      <c r="BB1386" s="6"/>
      <c r="BD1386" s="6"/>
      <c r="BE1386" s="6"/>
      <c r="BV1386" s="17"/>
      <c r="BX1386" s="17"/>
      <c r="BZ1386" s="17"/>
    </row>
    <row r="1387" spans="4:78" x14ac:dyDescent="0.3">
      <c r="D1387" s="153"/>
      <c r="E1387" s="6"/>
      <c r="G1387" s="6"/>
      <c r="J1387" s="6"/>
      <c r="N1387" s="154"/>
      <c r="O1387" s="6"/>
      <c r="S1387" s="6"/>
      <c r="V1387" s="6"/>
      <c r="X1387" s="6"/>
      <c r="Z1387" s="110"/>
      <c r="AB1387" s="6"/>
      <c r="AD1387" s="6"/>
      <c r="AE1387" s="6"/>
      <c r="AF1387" s="126"/>
      <c r="AJ1387" s="6"/>
      <c r="AL1387" s="110"/>
      <c r="AM1387" s="110"/>
      <c r="AN1387" s="110"/>
      <c r="AP1387" s="6"/>
      <c r="AW1387" s="6"/>
      <c r="AX1387" s="6"/>
      <c r="AZ1387" s="110"/>
      <c r="BB1387" s="6"/>
      <c r="BD1387" s="6"/>
      <c r="BE1387" s="6"/>
      <c r="BV1387" s="17"/>
      <c r="BX1387" s="17"/>
      <c r="BZ1387" s="17"/>
    </row>
    <row r="1388" spans="4:78" x14ac:dyDescent="0.3">
      <c r="D1388" s="153"/>
      <c r="E1388" s="6"/>
      <c r="G1388" s="6"/>
      <c r="J1388" s="6"/>
      <c r="N1388" s="154"/>
      <c r="O1388" s="6"/>
      <c r="S1388" s="6"/>
      <c r="V1388" s="6"/>
      <c r="X1388" s="6"/>
      <c r="Z1388" s="110"/>
      <c r="AB1388" s="6"/>
      <c r="AD1388" s="6"/>
      <c r="AE1388" s="6"/>
      <c r="AF1388" s="126"/>
      <c r="AJ1388" s="6"/>
      <c r="AL1388" s="110"/>
      <c r="AM1388" s="110"/>
      <c r="AN1388" s="110"/>
      <c r="AP1388" s="6"/>
      <c r="AW1388" s="6"/>
      <c r="AX1388" s="6"/>
      <c r="AZ1388" s="110"/>
      <c r="BB1388" s="6"/>
      <c r="BD1388" s="6"/>
      <c r="BE1388" s="6"/>
      <c r="BV1388" s="17"/>
      <c r="BX1388" s="17"/>
      <c r="BZ1388" s="17"/>
    </row>
    <row r="1389" spans="4:78" x14ac:dyDescent="0.3">
      <c r="D1389" s="153"/>
      <c r="E1389" s="6"/>
      <c r="G1389" s="6"/>
      <c r="J1389" s="6"/>
      <c r="N1389" s="154"/>
      <c r="O1389" s="6"/>
      <c r="S1389" s="6"/>
      <c r="V1389" s="6"/>
      <c r="X1389" s="6"/>
      <c r="Z1389" s="110"/>
      <c r="AB1389" s="6"/>
      <c r="AD1389" s="6"/>
      <c r="AE1389" s="6"/>
      <c r="AF1389" s="126"/>
      <c r="AJ1389" s="6"/>
      <c r="AL1389" s="110"/>
      <c r="AM1389" s="110"/>
      <c r="AN1389" s="110"/>
      <c r="AP1389" s="6"/>
      <c r="AW1389" s="6"/>
      <c r="AX1389" s="6"/>
      <c r="AZ1389" s="110"/>
      <c r="BB1389" s="6"/>
      <c r="BD1389" s="6"/>
      <c r="BE1389" s="6"/>
      <c r="BV1389" s="17"/>
      <c r="BX1389" s="17"/>
      <c r="BZ1389" s="17"/>
    </row>
    <row r="1390" spans="4:78" x14ac:dyDescent="0.3">
      <c r="D1390" s="153"/>
      <c r="E1390" s="6"/>
      <c r="G1390" s="6"/>
      <c r="J1390" s="6"/>
      <c r="N1390" s="154"/>
      <c r="O1390" s="6"/>
      <c r="S1390" s="6"/>
      <c r="V1390" s="6"/>
      <c r="X1390" s="6"/>
      <c r="Z1390" s="110"/>
      <c r="AB1390" s="6"/>
      <c r="AD1390" s="6"/>
      <c r="AE1390" s="6"/>
      <c r="AF1390" s="126"/>
      <c r="AJ1390" s="6"/>
      <c r="AL1390" s="110"/>
      <c r="AM1390" s="110"/>
      <c r="AN1390" s="110"/>
      <c r="AP1390" s="6"/>
      <c r="AW1390" s="6"/>
      <c r="AX1390" s="6"/>
      <c r="AZ1390" s="110"/>
      <c r="BB1390" s="6"/>
      <c r="BD1390" s="6"/>
      <c r="BE1390" s="6"/>
      <c r="BV1390" s="17"/>
      <c r="BX1390" s="17"/>
      <c r="BZ1390" s="17"/>
    </row>
    <row r="1391" spans="4:78" x14ac:dyDescent="0.3">
      <c r="D1391" s="153"/>
      <c r="E1391" s="6"/>
      <c r="G1391" s="6"/>
      <c r="J1391" s="6"/>
      <c r="N1391" s="154"/>
      <c r="O1391" s="6"/>
      <c r="S1391" s="6"/>
      <c r="V1391" s="6"/>
      <c r="X1391" s="6"/>
      <c r="Z1391" s="110"/>
      <c r="AB1391" s="6"/>
      <c r="AD1391" s="6"/>
      <c r="AE1391" s="6"/>
      <c r="AF1391" s="126"/>
      <c r="AJ1391" s="6"/>
      <c r="AL1391" s="110"/>
      <c r="AM1391" s="110"/>
      <c r="AN1391" s="110"/>
      <c r="AP1391" s="6"/>
      <c r="AW1391" s="6"/>
      <c r="AX1391" s="6"/>
      <c r="AZ1391" s="110"/>
      <c r="BB1391" s="6"/>
      <c r="BD1391" s="6"/>
      <c r="BE1391" s="6"/>
      <c r="BV1391" s="17"/>
      <c r="BX1391" s="17"/>
      <c r="BZ1391" s="17"/>
    </row>
    <row r="1392" spans="4:78" x14ac:dyDescent="0.3">
      <c r="D1392" s="153"/>
      <c r="E1392" s="6"/>
      <c r="G1392" s="6"/>
      <c r="J1392" s="6"/>
      <c r="N1392" s="154"/>
      <c r="O1392" s="6"/>
      <c r="S1392" s="6"/>
      <c r="V1392" s="6"/>
      <c r="X1392" s="6"/>
      <c r="Z1392" s="110"/>
      <c r="AB1392" s="6"/>
      <c r="AD1392" s="6"/>
      <c r="AE1392" s="6"/>
      <c r="AF1392" s="126"/>
      <c r="AJ1392" s="6"/>
      <c r="AL1392" s="110"/>
      <c r="AM1392" s="110"/>
      <c r="AN1392" s="110"/>
      <c r="AP1392" s="6"/>
      <c r="AW1392" s="6"/>
      <c r="AX1392" s="6"/>
      <c r="AZ1392" s="110"/>
      <c r="BB1392" s="6"/>
      <c r="BD1392" s="6"/>
      <c r="BE1392" s="6"/>
      <c r="BV1392" s="17"/>
      <c r="BX1392" s="17"/>
      <c r="BZ1392" s="17"/>
    </row>
    <row r="1393" spans="4:78" x14ac:dyDescent="0.3">
      <c r="D1393" s="153"/>
      <c r="E1393" s="6"/>
      <c r="G1393" s="6"/>
      <c r="J1393" s="6"/>
      <c r="N1393" s="154"/>
      <c r="O1393" s="6"/>
      <c r="S1393" s="6"/>
      <c r="V1393" s="6"/>
      <c r="X1393" s="6"/>
      <c r="Z1393" s="110"/>
      <c r="AB1393" s="6"/>
      <c r="AD1393" s="6"/>
      <c r="AE1393" s="6"/>
      <c r="AF1393" s="126"/>
      <c r="AJ1393" s="6"/>
      <c r="AL1393" s="110"/>
      <c r="AM1393" s="110"/>
      <c r="AN1393" s="110"/>
      <c r="AP1393" s="6"/>
      <c r="AW1393" s="6"/>
      <c r="AX1393" s="6"/>
      <c r="AZ1393" s="110"/>
      <c r="BB1393" s="6"/>
      <c r="BD1393" s="6"/>
      <c r="BE1393" s="6"/>
      <c r="BV1393" s="17"/>
      <c r="BX1393" s="17"/>
      <c r="BZ1393" s="17"/>
    </row>
    <row r="1394" spans="4:78" x14ac:dyDescent="0.3">
      <c r="D1394" s="153"/>
      <c r="E1394" s="6"/>
      <c r="G1394" s="6"/>
      <c r="J1394" s="6"/>
      <c r="N1394" s="154"/>
      <c r="O1394" s="6"/>
      <c r="S1394" s="6"/>
      <c r="V1394" s="6"/>
      <c r="X1394" s="6"/>
      <c r="Z1394" s="110"/>
      <c r="AB1394" s="6"/>
      <c r="AD1394" s="6"/>
      <c r="AE1394" s="6"/>
      <c r="AF1394" s="126"/>
      <c r="AJ1394" s="6"/>
      <c r="AL1394" s="110"/>
      <c r="AM1394" s="110"/>
      <c r="AN1394" s="110"/>
      <c r="AP1394" s="6"/>
      <c r="AW1394" s="6"/>
      <c r="AX1394" s="6"/>
      <c r="AZ1394" s="110"/>
      <c r="BB1394" s="6"/>
      <c r="BD1394" s="6"/>
      <c r="BE1394" s="6"/>
      <c r="BV1394" s="17"/>
      <c r="BX1394" s="17"/>
      <c r="BZ1394" s="17"/>
    </row>
    <row r="1395" spans="4:78" x14ac:dyDescent="0.3">
      <c r="D1395" s="153"/>
      <c r="E1395" s="6"/>
      <c r="G1395" s="6"/>
      <c r="J1395" s="6"/>
      <c r="N1395" s="154"/>
      <c r="O1395" s="6"/>
      <c r="S1395" s="6"/>
      <c r="V1395" s="6"/>
      <c r="X1395" s="6"/>
      <c r="Z1395" s="110"/>
      <c r="AB1395" s="6"/>
      <c r="AD1395" s="6"/>
      <c r="AE1395" s="6"/>
      <c r="AF1395" s="126"/>
      <c r="AJ1395" s="6"/>
      <c r="AL1395" s="110"/>
      <c r="AM1395" s="110"/>
      <c r="AN1395" s="110"/>
      <c r="AP1395" s="6"/>
      <c r="AW1395" s="6"/>
      <c r="AX1395" s="6"/>
      <c r="AZ1395" s="110"/>
      <c r="BB1395" s="6"/>
      <c r="BD1395" s="6"/>
      <c r="BE1395" s="6"/>
      <c r="BV1395" s="17"/>
      <c r="BX1395" s="17"/>
      <c r="BZ1395" s="17"/>
    </row>
    <row r="1396" spans="4:78" x14ac:dyDescent="0.3">
      <c r="D1396" s="153"/>
      <c r="E1396" s="6"/>
      <c r="G1396" s="6"/>
      <c r="J1396" s="6"/>
      <c r="N1396" s="154"/>
      <c r="O1396" s="6"/>
      <c r="S1396" s="6"/>
      <c r="V1396" s="6"/>
      <c r="X1396" s="6"/>
      <c r="Z1396" s="110"/>
      <c r="AB1396" s="6"/>
      <c r="AD1396" s="6"/>
      <c r="AE1396" s="6"/>
      <c r="AF1396" s="126"/>
      <c r="AJ1396" s="6"/>
      <c r="AL1396" s="110"/>
      <c r="AM1396" s="110"/>
      <c r="AN1396" s="110"/>
      <c r="AP1396" s="6"/>
      <c r="AW1396" s="6"/>
      <c r="AX1396" s="6"/>
      <c r="AZ1396" s="110"/>
      <c r="BB1396" s="6"/>
      <c r="BD1396" s="6"/>
      <c r="BE1396" s="6"/>
      <c r="BV1396" s="17"/>
      <c r="BX1396" s="17"/>
      <c r="BZ1396" s="17"/>
    </row>
    <row r="1397" spans="4:78" x14ac:dyDescent="0.3">
      <c r="D1397" s="153"/>
      <c r="E1397" s="6"/>
      <c r="G1397" s="6"/>
      <c r="J1397" s="6"/>
      <c r="N1397" s="154"/>
      <c r="O1397" s="6"/>
      <c r="S1397" s="6"/>
      <c r="V1397" s="6"/>
      <c r="X1397" s="6"/>
      <c r="Z1397" s="110"/>
      <c r="AB1397" s="6"/>
      <c r="AD1397" s="6"/>
      <c r="AE1397" s="6"/>
      <c r="AF1397" s="126"/>
      <c r="AJ1397" s="6"/>
      <c r="AL1397" s="110"/>
      <c r="AM1397" s="110"/>
      <c r="AN1397" s="110"/>
      <c r="AP1397" s="6"/>
      <c r="AW1397" s="6"/>
      <c r="AX1397" s="6"/>
      <c r="AZ1397" s="110"/>
      <c r="BB1397" s="6"/>
      <c r="BD1397" s="6"/>
      <c r="BE1397" s="6"/>
      <c r="BV1397" s="17"/>
      <c r="BX1397" s="17"/>
      <c r="BZ1397" s="17"/>
    </row>
    <row r="1398" spans="4:78" x14ac:dyDescent="0.3">
      <c r="D1398" s="153"/>
      <c r="E1398" s="6"/>
      <c r="G1398" s="6"/>
      <c r="J1398" s="6"/>
      <c r="N1398" s="154"/>
      <c r="O1398" s="6"/>
      <c r="S1398" s="6"/>
      <c r="V1398" s="6"/>
      <c r="X1398" s="6"/>
      <c r="Z1398" s="110"/>
      <c r="AB1398" s="6"/>
      <c r="AD1398" s="6"/>
      <c r="AE1398" s="6"/>
      <c r="AF1398" s="126"/>
      <c r="AJ1398" s="6"/>
      <c r="AL1398" s="110"/>
      <c r="AM1398" s="110"/>
      <c r="AN1398" s="110"/>
      <c r="AP1398" s="6"/>
      <c r="AW1398" s="6"/>
      <c r="AX1398" s="6"/>
      <c r="AZ1398" s="110"/>
      <c r="BB1398" s="6"/>
      <c r="BD1398" s="6"/>
      <c r="BE1398" s="6"/>
      <c r="BV1398" s="17"/>
      <c r="BX1398" s="17"/>
      <c r="BZ1398" s="17"/>
    </row>
    <row r="1399" spans="4:78" x14ac:dyDescent="0.3">
      <c r="D1399" s="153"/>
      <c r="E1399" s="6"/>
      <c r="G1399" s="6"/>
      <c r="J1399" s="6"/>
      <c r="N1399" s="154"/>
      <c r="O1399" s="6"/>
      <c r="S1399" s="6"/>
      <c r="V1399" s="6"/>
      <c r="X1399" s="6"/>
      <c r="Z1399" s="110"/>
      <c r="AB1399" s="6"/>
      <c r="AD1399" s="6"/>
      <c r="AE1399" s="6"/>
      <c r="AF1399" s="126"/>
      <c r="AJ1399" s="6"/>
      <c r="AL1399" s="110"/>
      <c r="AM1399" s="110"/>
      <c r="AN1399" s="110"/>
      <c r="AP1399" s="6"/>
      <c r="AW1399" s="6"/>
      <c r="AX1399" s="6"/>
      <c r="AZ1399" s="110"/>
      <c r="BB1399" s="6"/>
      <c r="BD1399" s="6"/>
      <c r="BE1399" s="6"/>
      <c r="BV1399" s="17"/>
      <c r="BX1399" s="17"/>
      <c r="BZ1399" s="17"/>
    </row>
    <row r="1400" spans="4:78" x14ac:dyDescent="0.3">
      <c r="D1400" s="153"/>
      <c r="E1400" s="6"/>
      <c r="G1400" s="6"/>
      <c r="J1400" s="6"/>
      <c r="N1400" s="154"/>
      <c r="O1400" s="6"/>
      <c r="S1400" s="6"/>
      <c r="V1400" s="6"/>
      <c r="X1400" s="6"/>
      <c r="Z1400" s="110"/>
      <c r="AB1400" s="6"/>
      <c r="AD1400" s="6"/>
      <c r="AE1400" s="6"/>
      <c r="AF1400" s="126"/>
      <c r="AJ1400" s="6"/>
      <c r="AL1400" s="110"/>
      <c r="AM1400" s="110"/>
      <c r="AN1400" s="110"/>
      <c r="AP1400" s="6"/>
      <c r="AW1400" s="6"/>
      <c r="AX1400" s="6"/>
      <c r="AZ1400" s="110"/>
      <c r="BB1400" s="6"/>
      <c r="BD1400" s="6"/>
      <c r="BE1400" s="6"/>
      <c r="BV1400" s="17"/>
      <c r="BX1400" s="17"/>
      <c r="BZ1400" s="17"/>
    </row>
    <row r="1401" spans="4:78" x14ac:dyDescent="0.3">
      <c r="D1401" s="153"/>
      <c r="E1401" s="6"/>
      <c r="G1401" s="6"/>
      <c r="J1401" s="6"/>
      <c r="N1401" s="154"/>
      <c r="O1401" s="6"/>
      <c r="S1401" s="6"/>
      <c r="V1401" s="6"/>
      <c r="X1401" s="6"/>
      <c r="Z1401" s="110"/>
      <c r="AB1401" s="6"/>
      <c r="AD1401" s="6"/>
      <c r="AE1401" s="6"/>
      <c r="AF1401" s="126"/>
      <c r="AJ1401" s="6"/>
      <c r="AL1401" s="110"/>
      <c r="AM1401" s="110"/>
      <c r="AN1401" s="110"/>
      <c r="AP1401" s="6"/>
      <c r="AW1401" s="6"/>
      <c r="AX1401" s="6"/>
      <c r="AZ1401" s="110"/>
      <c r="BB1401" s="6"/>
      <c r="BD1401" s="6"/>
      <c r="BE1401" s="6"/>
      <c r="BV1401" s="17"/>
      <c r="BX1401" s="17"/>
      <c r="BZ1401" s="17"/>
    </row>
    <row r="1402" spans="4:78" x14ac:dyDescent="0.3">
      <c r="D1402" s="153"/>
      <c r="E1402" s="6"/>
      <c r="G1402" s="6"/>
      <c r="J1402" s="6"/>
      <c r="N1402" s="154"/>
      <c r="O1402" s="6"/>
      <c r="S1402" s="6"/>
      <c r="V1402" s="6"/>
      <c r="X1402" s="6"/>
      <c r="Z1402" s="110"/>
      <c r="AB1402" s="6"/>
      <c r="AD1402" s="6"/>
      <c r="AE1402" s="6"/>
      <c r="AF1402" s="126"/>
      <c r="AJ1402" s="6"/>
      <c r="AL1402" s="110"/>
      <c r="AM1402" s="110"/>
      <c r="AN1402" s="110"/>
      <c r="AP1402" s="6"/>
      <c r="AW1402" s="6"/>
      <c r="AX1402" s="6"/>
      <c r="AZ1402" s="110"/>
      <c r="BB1402" s="6"/>
      <c r="BD1402" s="6"/>
      <c r="BE1402" s="6"/>
      <c r="BV1402" s="17"/>
      <c r="BX1402" s="17"/>
      <c r="BZ1402" s="17"/>
    </row>
    <row r="1403" spans="4:78" x14ac:dyDescent="0.3">
      <c r="D1403" s="153"/>
      <c r="E1403" s="6"/>
      <c r="G1403" s="6"/>
      <c r="J1403" s="6"/>
      <c r="N1403" s="154"/>
      <c r="O1403" s="6"/>
      <c r="S1403" s="6"/>
      <c r="V1403" s="6"/>
      <c r="X1403" s="6"/>
      <c r="Z1403" s="110"/>
      <c r="AB1403" s="6"/>
      <c r="AD1403" s="6"/>
      <c r="AE1403" s="6"/>
      <c r="AF1403" s="126"/>
      <c r="AJ1403" s="6"/>
      <c r="AL1403" s="110"/>
      <c r="AM1403" s="110"/>
      <c r="AN1403" s="110"/>
      <c r="AP1403" s="6"/>
      <c r="AW1403" s="6"/>
      <c r="AX1403" s="6"/>
      <c r="AZ1403" s="110"/>
      <c r="BB1403" s="6"/>
      <c r="BD1403" s="6"/>
      <c r="BE1403" s="6"/>
      <c r="BV1403" s="17"/>
      <c r="BX1403" s="17"/>
      <c r="BZ1403" s="17"/>
    </row>
    <row r="1404" spans="4:78" x14ac:dyDescent="0.3">
      <c r="D1404" s="153"/>
      <c r="E1404" s="6"/>
      <c r="G1404" s="6"/>
      <c r="J1404" s="6"/>
      <c r="N1404" s="154"/>
      <c r="O1404" s="6"/>
      <c r="S1404" s="6"/>
      <c r="V1404" s="6"/>
      <c r="X1404" s="6"/>
      <c r="Z1404" s="110"/>
      <c r="AB1404" s="6"/>
      <c r="AD1404" s="6"/>
      <c r="AE1404" s="6"/>
      <c r="AF1404" s="126"/>
      <c r="AJ1404" s="6"/>
      <c r="AL1404" s="110"/>
      <c r="AM1404" s="110"/>
      <c r="AN1404" s="110"/>
      <c r="AP1404" s="6"/>
      <c r="AW1404" s="6"/>
      <c r="AX1404" s="6"/>
      <c r="AZ1404" s="110"/>
      <c r="BB1404" s="6"/>
      <c r="BD1404" s="6"/>
      <c r="BE1404" s="6"/>
      <c r="BV1404" s="17"/>
      <c r="BX1404" s="17"/>
      <c r="BZ1404" s="17"/>
    </row>
    <row r="1405" spans="4:78" x14ac:dyDescent="0.3">
      <c r="D1405" s="153"/>
      <c r="E1405" s="6"/>
      <c r="G1405" s="6"/>
      <c r="J1405" s="6"/>
      <c r="N1405" s="154"/>
      <c r="O1405" s="6"/>
      <c r="S1405" s="6"/>
      <c r="V1405" s="6"/>
      <c r="X1405" s="6"/>
      <c r="Z1405" s="110"/>
      <c r="AB1405" s="6"/>
      <c r="AD1405" s="6"/>
      <c r="AE1405" s="6"/>
      <c r="AF1405" s="126"/>
      <c r="AJ1405" s="6"/>
      <c r="AL1405" s="110"/>
      <c r="AM1405" s="110"/>
      <c r="AN1405" s="110"/>
      <c r="AP1405" s="6"/>
      <c r="AW1405" s="6"/>
      <c r="AX1405" s="6"/>
      <c r="AZ1405" s="110"/>
      <c r="BB1405" s="6"/>
      <c r="BD1405" s="6"/>
      <c r="BE1405" s="6"/>
      <c r="BV1405" s="17"/>
      <c r="BX1405" s="17"/>
      <c r="BZ1405" s="17"/>
    </row>
    <row r="1406" spans="4:78" x14ac:dyDescent="0.3">
      <c r="D1406" s="153"/>
      <c r="E1406" s="6"/>
      <c r="G1406" s="6"/>
      <c r="J1406" s="6"/>
      <c r="N1406" s="154"/>
      <c r="O1406" s="6"/>
      <c r="S1406" s="6"/>
      <c r="V1406" s="6"/>
      <c r="X1406" s="6"/>
      <c r="Z1406" s="110"/>
      <c r="AB1406" s="6"/>
      <c r="AD1406" s="6"/>
      <c r="AE1406" s="6"/>
      <c r="AF1406" s="126"/>
      <c r="AJ1406" s="6"/>
      <c r="AL1406" s="110"/>
      <c r="AM1406" s="110"/>
      <c r="AN1406" s="110"/>
      <c r="AP1406" s="6"/>
      <c r="AW1406" s="6"/>
      <c r="AX1406" s="6"/>
      <c r="AZ1406" s="110"/>
      <c r="BB1406" s="6"/>
      <c r="BD1406" s="6"/>
      <c r="BE1406" s="6"/>
      <c r="BV1406" s="17"/>
      <c r="BX1406" s="17"/>
      <c r="BZ1406" s="17"/>
    </row>
    <row r="1407" spans="4:78" x14ac:dyDescent="0.3">
      <c r="D1407" s="153"/>
      <c r="E1407" s="6"/>
      <c r="G1407" s="6"/>
      <c r="J1407" s="6"/>
      <c r="N1407" s="154"/>
      <c r="O1407" s="6"/>
      <c r="S1407" s="6"/>
      <c r="V1407" s="6"/>
      <c r="X1407" s="6"/>
      <c r="Z1407" s="110"/>
      <c r="AB1407" s="6"/>
      <c r="AD1407" s="6"/>
      <c r="AE1407" s="6"/>
      <c r="AF1407" s="126"/>
      <c r="AJ1407" s="6"/>
      <c r="AL1407" s="110"/>
      <c r="AM1407" s="110"/>
      <c r="AN1407" s="110"/>
      <c r="AP1407" s="6"/>
      <c r="AW1407" s="6"/>
      <c r="AX1407" s="6"/>
      <c r="AZ1407" s="110"/>
      <c r="BB1407" s="6"/>
      <c r="BD1407" s="6"/>
      <c r="BE1407" s="6"/>
      <c r="BV1407" s="17"/>
      <c r="BX1407" s="17"/>
      <c r="BZ1407" s="17"/>
    </row>
    <row r="1408" spans="4:78" x14ac:dyDescent="0.3">
      <c r="D1408" s="153"/>
      <c r="E1408" s="6"/>
      <c r="G1408" s="6"/>
      <c r="J1408" s="6"/>
      <c r="N1408" s="154"/>
      <c r="O1408" s="6"/>
      <c r="S1408" s="6"/>
      <c r="V1408" s="6"/>
      <c r="X1408" s="6"/>
      <c r="Z1408" s="110"/>
      <c r="AB1408" s="6"/>
      <c r="AD1408" s="6"/>
      <c r="AE1408" s="6"/>
      <c r="AF1408" s="126"/>
      <c r="AJ1408" s="6"/>
      <c r="AL1408" s="110"/>
      <c r="AM1408" s="110"/>
      <c r="AN1408" s="110"/>
      <c r="AP1408" s="6"/>
      <c r="AW1408" s="6"/>
      <c r="AX1408" s="6"/>
      <c r="AZ1408" s="110"/>
      <c r="BB1408" s="6"/>
      <c r="BD1408" s="6"/>
      <c r="BE1408" s="6"/>
      <c r="BV1408" s="17"/>
      <c r="BX1408" s="17"/>
      <c r="BZ1408" s="17"/>
    </row>
    <row r="1409" spans="4:78" x14ac:dyDescent="0.3">
      <c r="D1409" s="153"/>
      <c r="E1409" s="6"/>
      <c r="G1409" s="6"/>
      <c r="J1409" s="6"/>
      <c r="N1409" s="154"/>
      <c r="O1409" s="6"/>
      <c r="S1409" s="6"/>
      <c r="V1409" s="6"/>
      <c r="X1409" s="6"/>
      <c r="Z1409" s="110"/>
      <c r="AB1409" s="6"/>
      <c r="AD1409" s="6"/>
      <c r="AE1409" s="6"/>
      <c r="AF1409" s="126"/>
      <c r="AJ1409" s="6"/>
      <c r="AL1409" s="110"/>
      <c r="AM1409" s="110"/>
      <c r="AN1409" s="110"/>
      <c r="AP1409" s="6"/>
      <c r="AW1409" s="6"/>
      <c r="AX1409" s="6"/>
      <c r="AZ1409" s="110"/>
      <c r="BB1409" s="6"/>
      <c r="BD1409" s="6"/>
      <c r="BE1409" s="6"/>
      <c r="BV1409" s="17"/>
      <c r="BX1409" s="17"/>
      <c r="BZ1409" s="17"/>
    </row>
    <row r="1410" spans="4:78" x14ac:dyDescent="0.3">
      <c r="D1410" s="153"/>
      <c r="E1410" s="6"/>
      <c r="G1410" s="6"/>
      <c r="J1410" s="6"/>
      <c r="N1410" s="154"/>
      <c r="O1410" s="6"/>
      <c r="S1410" s="6"/>
      <c r="V1410" s="6"/>
      <c r="X1410" s="6"/>
      <c r="Z1410" s="110"/>
      <c r="AB1410" s="6"/>
      <c r="AD1410" s="6"/>
      <c r="AE1410" s="6"/>
      <c r="AF1410" s="126"/>
      <c r="AJ1410" s="6"/>
      <c r="AL1410" s="110"/>
      <c r="AM1410" s="110"/>
      <c r="AN1410" s="110"/>
      <c r="AP1410" s="6"/>
      <c r="AW1410" s="6"/>
      <c r="AX1410" s="6"/>
      <c r="AZ1410" s="110"/>
      <c r="BB1410" s="6"/>
      <c r="BD1410" s="6"/>
      <c r="BE1410" s="6"/>
      <c r="BV1410" s="17"/>
      <c r="BX1410" s="17"/>
      <c r="BZ1410" s="17"/>
    </row>
    <row r="1411" spans="4:78" x14ac:dyDescent="0.3">
      <c r="D1411" s="153"/>
      <c r="E1411" s="6"/>
      <c r="G1411" s="6"/>
      <c r="J1411" s="6"/>
      <c r="N1411" s="154"/>
      <c r="O1411" s="6"/>
      <c r="S1411" s="6"/>
      <c r="V1411" s="6"/>
      <c r="X1411" s="6"/>
      <c r="Z1411" s="110"/>
      <c r="AB1411" s="6"/>
      <c r="AD1411" s="6"/>
      <c r="AE1411" s="6"/>
      <c r="AF1411" s="126"/>
      <c r="AJ1411" s="6"/>
      <c r="AL1411" s="110"/>
      <c r="AM1411" s="110"/>
      <c r="AN1411" s="110"/>
      <c r="AP1411" s="6"/>
      <c r="AW1411" s="6"/>
      <c r="AX1411" s="6"/>
      <c r="AZ1411" s="110"/>
      <c r="BB1411" s="6"/>
      <c r="BD1411" s="6"/>
      <c r="BE1411" s="6"/>
      <c r="BV1411" s="17"/>
      <c r="BX1411" s="17"/>
      <c r="BZ1411" s="17"/>
    </row>
    <row r="1412" spans="4:78" x14ac:dyDescent="0.3">
      <c r="D1412" s="153"/>
      <c r="E1412" s="6"/>
      <c r="G1412" s="6"/>
      <c r="J1412" s="6"/>
      <c r="N1412" s="154"/>
      <c r="O1412" s="6"/>
      <c r="S1412" s="6"/>
      <c r="V1412" s="6"/>
      <c r="X1412" s="6"/>
      <c r="Z1412" s="110"/>
      <c r="AB1412" s="6"/>
      <c r="AD1412" s="6"/>
      <c r="AE1412" s="6"/>
      <c r="AF1412" s="126"/>
      <c r="AJ1412" s="6"/>
      <c r="AL1412" s="110"/>
      <c r="AM1412" s="110"/>
      <c r="AN1412" s="110"/>
      <c r="AP1412" s="6"/>
      <c r="AW1412" s="6"/>
      <c r="AX1412" s="6"/>
      <c r="AZ1412" s="110"/>
      <c r="BB1412" s="6"/>
      <c r="BD1412" s="6"/>
      <c r="BE1412" s="6"/>
      <c r="BV1412" s="17"/>
      <c r="BX1412" s="17"/>
      <c r="BZ1412" s="17"/>
    </row>
    <row r="1413" spans="4:78" x14ac:dyDescent="0.3">
      <c r="D1413" s="153"/>
      <c r="E1413" s="6"/>
      <c r="G1413" s="6"/>
      <c r="J1413" s="6"/>
      <c r="N1413" s="154"/>
      <c r="O1413" s="6"/>
      <c r="S1413" s="6"/>
      <c r="V1413" s="6"/>
      <c r="X1413" s="6"/>
      <c r="Z1413" s="110"/>
      <c r="AB1413" s="6"/>
      <c r="AD1413" s="6"/>
      <c r="AE1413" s="6"/>
      <c r="AF1413" s="126"/>
      <c r="AJ1413" s="6"/>
      <c r="AL1413" s="110"/>
      <c r="AM1413" s="110"/>
      <c r="AN1413" s="110"/>
      <c r="AP1413" s="6"/>
      <c r="AW1413" s="6"/>
      <c r="AX1413" s="6"/>
      <c r="AZ1413" s="110"/>
      <c r="BB1413" s="6"/>
      <c r="BD1413" s="6"/>
      <c r="BE1413" s="6"/>
      <c r="BV1413" s="17"/>
      <c r="BX1413" s="17"/>
      <c r="BZ1413" s="17"/>
    </row>
    <row r="1414" spans="4:78" x14ac:dyDescent="0.3">
      <c r="D1414" s="153"/>
      <c r="E1414" s="6"/>
      <c r="G1414" s="6"/>
      <c r="J1414" s="6"/>
      <c r="N1414" s="154"/>
      <c r="O1414" s="6"/>
      <c r="S1414" s="6"/>
      <c r="V1414" s="6"/>
      <c r="X1414" s="6"/>
      <c r="Z1414" s="110"/>
      <c r="AB1414" s="6"/>
      <c r="AD1414" s="6"/>
      <c r="AE1414" s="6"/>
      <c r="AF1414" s="126"/>
      <c r="AJ1414" s="6"/>
      <c r="AL1414" s="110"/>
      <c r="AM1414" s="110"/>
      <c r="AN1414" s="110"/>
      <c r="AP1414" s="6"/>
      <c r="AW1414" s="6"/>
      <c r="AX1414" s="6"/>
      <c r="AZ1414" s="110"/>
      <c r="BB1414" s="6"/>
      <c r="BD1414" s="6"/>
      <c r="BE1414" s="6"/>
      <c r="BV1414" s="17"/>
      <c r="BX1414" s="17"/>
      <c r="BZ1414" s="17"/>
    </row>
    <row r="1415" spans="4:78" x14ac:dyDescent="0.3">
      <c r="D1415" s="153"/>
      <c r="E1415" s="6"/>
      <c r="G1415" s="6"/>
      <c r="J1415" s="6"/>
      <c r="N1415" s="154"/>
      <c r="O1415" s="6"/>
      <c r="S1415" s="6"/>
      <c r="V1415" s="6"/>
      <c r="X1415" s="6"/>
      <c r="Z1415" s="110"/>
      <c r="AB1415" s="6"/>
      <c r="AD1415" s="6"/>
      <c r="AE1415" s="6"/>
      <c r="AF1415" s="126"/>
      <c r="AJ1415" s="6"/>
      <c r="AL1415" s="110"/>
      <c r="AM1415" s="110"/>
      <c r="AN1415" s="110"/>
      <c r="AP1415" s="6"/>
      <c r="AW1415" s="6"/>
      <c r="AX1415" s="6"/>
      <c r="AZ1415" s="110"/>
      <c r="BB1415" s="6"/>
      <c r="BD1415" s="6"/>
      <c r="BE1415" s="6"/>
      <c r="BV1415" s="17"/>
      <c r="BX1415" s="17"/>
      <c r="BZ1415" s="17"/>
    </row>
    <row r="1416" spans="4:78" x14ac:dyDescent="0.3">
      <c r="D1416" s="153"/>
      <c r="E1416" s="6"/>
      <c r="G1416" s="6"/>
      <c r="J1416" s="6"/>
      <c r="N1416" s="154"/>
      <c r="O1416" s="6"/>
      <c r="S1416" s="6"/>
      <c r="V1416" s="6"/>
      <c r="X1416" s="6"/>
      <c r="Z1416" s="110"/>
      <c r="AB1416" s="6"/>
      <c r="AD1416" s="6"/>
      <c r="AE1416" s="6"/>
      <c r="AF1416" s="126"/>
      <c r="AJ1416" s="6"/>
      <c r="AL1416" s="110"/>
      <c r="AM1416" s="110"/>
      <c r="AN1416" s="110"/>
      <c r="AP1416" s="6"/>
      <c r="AW1416" s="6"/>
      <c r="AX1416" s="6"/>
      <c r="AZ1416" s="110"/>
      <c r="BB1416" s="6"/>
      <c r="BD1416" s="6"/>
      <c r="BE1416" s="6"/>
      <c r="BV1416" s="17"/>
      <c r="BX1416" s="17"/>
      <c r="BZ1416" s="17"/>
    </row>
    <row r="1417" spans="4:78" x14ac:dyDescent="0.3">
      <c r="D1417" s="153"/>
      <c r="E1417" s="6"/>
      <c r="G1417" s="6"/>
      <c r="J1417" s="6"/>
      <c r="N1417" s="154"/>
      <c r="O1417" s="6"/>
      <c r="S1417" s="6"/>
      <c r="V1417" s="6"/>
      <c r="X1417" s="6"/>
      <c r="Z1417" s="110"/>
      <c r="AB1417" s="6"/>
      <c r="AD1417" s="6"/>
      <c r="AE1417" s="6"/>
      <c r="AF1417" s="126"/>
      <c r="AJ1417" s="6"/>
      <c r="AL1417" s="110"/>
      <c r="AM1417" s="110"/>
      <c r="AN1417" s="110"/>
      <c r="AP1417" s="6"/>
      <c r="AW1417" s="6"/>
      <c r="AX1417" s="6"/>
      <c r="AZ1417" s="110"/>
      <c r="BB1417" s="6"/>
      <c r="BD1417" s="6"/>
      <c r="BE1417" s="6"/>
      <c r="BV1417" s="17"/>
      <c r="BX1417" s="17"/>
      <c r="BZ1417" s="17"/>
    </row>
    <row r="1418" spans="4:78" x14ac:dyDescent="0.3">
      <c r="D1418" s="153"/>
      <c r="E1418" s="6"/>
      <c r="G1418" s="6"/>
      <c r="J1418" s="6"/>
      <c r="N1418" s="154"/>
      <c r="O1418" s="6"/>
      <c r="S1418" s="6"/>
      <c r="V1418" s="6"/>
      <c r="X1418" s="6"/>
      <c r="Z1418" s="110"/>
      <c r="AB1418" s="6"/>
      <c r="AD1418" s="6"/>
      <c r="AE1418" s="6"/>
      <c r="AF1418" s="126"/>
      <c r="AJ1418" s="6"/>
      <c r="AL1418" s="110"/>
      <c r="AM1418" s="110"/>
      <c r="AN1418" s="110"/>
      <c r="AP1418" s="6"/>
      <c r="AW1418" s="6"/>
      <c r="AX1418" s="6"/>
      <c r="AZ1418" s="110"/>
      <c r="BB1418" s="6"/>
      <c r="BD1418" s="6"/>
      <c r="BE1418" s="6"/>
      <c r="BV1418" s="17"/>
      <c r="BX1418" s="17"/>
      <c r="BZ1418" s="17"/>
    </row>
    <row r="1419" spans="4:78" x14ac:dyDescent="0.3">
      <c r="D1419" s="153"/>
      <c r="E1419" s="6"/>
      <c r="G1419" s="6"/>
      <c r="J1419" s="6"/>
      <c r="N1419" s="154"/>
      <c r="O1419" s="6"/>
      <c r="S1419" s="6"/>
      <c r="V1419" s="6"/>
      <c r="X1419" s="6"/>
      <c r="Z1419" s="110"/>
      <c r="AB1419" s="6"/>
      <c r="AD1419" s="6"/>
      <c r="AE1419" s="6"/>
      <c r="AF1419" s="126"/>
      <c r="AJ1419" s="6"/>
      <c r="AL1419" s="110"/>
      <c r="AM1419" s="110"/>
      <c r="AN1419" s="110"/>
      <c r="AP1419" s="6"/>
      <c r="AW1419" s="6"/>
      <c r="AX1419" s="6"/>
      <c r="AZ1419" s="110"/>
      <c r="BB1419" s="6"/>
      <c r="BD1419" s="6"/>
      <c r="BE1419" s="6"/>
      <c r="BV1419" s="17"/>
      <c r="BX1419" s="17"/>
      <c r="BZ1419" s="17"/>
    </row>
    <row r="1420" spans="4:78" x14ac:dyDescent="0.3">
      <c r="D1420" s="153"/>
      <c r="E1420" s="6"/>
      <c r="G1420" s="6"/>
      <c r="J1420" s="6"/>
      <c r="N1420" s="154"/>
      <c r="O1420" s="6"/>
      <c r="S1420" s="6"/>
      <c r="V1420" s="6"/>
      <c r="X1420" s="6"/>
      <c r="Z1420" s="110"/>
      <c r="AB1420" s="6"/>
      <c r="AD1420" s="6"/>
      <c r="AE1420" s="6"/>
      <c r="AF1420" s="126"/>
      <c r="AJ1420" s="6"/>
      <c r="AL1420" s="110"/>
      <c r="AM1420" s="110"/>
      <c r="AN1420" s="110"/>
      <c r="AP1420" s="6"/>
      <c r="AW1420" s="6"/>
      <c r="AX1420" s="6"/>
      <c r="AZ1420" s="110"/>
      <c r="BB1420" s="6"/>
      <c r="BD1420" s="6"/>
      <c r="BE1420" s="6"/>
      <c r="BV1420" s="17"/>
      <c r="BX1420" s="17"/>
      <c r="BZ1420" s="17"/>
    </row>
    <row r="1421" spans="4:78" x14ac:dyDescent="0.3">
      <c r="D1421" s="153"/>
      <c r="E1421" s="6"/>
      <c r="G1421" s="6"/>
      <c r="J1421" s="6"/>
      <c r="N1421" s="154"/>
      <c r="O1421" s="6"/>
      <c r="S1421" s="6"/>
      <c r="V1421" s="6"/>
      <c r="X1421" s="6"/>
      <c r="Z1421" s="110"/>
      <c r="AB1421" s="6"/>
      <c r="AD1421" s="6"/>
      <c r="AE1421" s="6"/>
      <c r="AF1421" s="126"/>
      <c r="AJ1421" s="6"/>
      <c r="AL1421" s="110"/>
      <c r="AM1421" s="110"/>
      <c r="AN1421" s="110"/>
      <c r="AP1421" s="6"/>
      <c r="AW1421" s="6"/>
      <c r="AX1421" s="6"/>
      <c r="AZ1421" s="110"/>
      <c r="BB1421" s="6"/>
      <c r="BD1421" s="6"/>
      <c r="BE1421" s="6"/>
      <c r="BV1421" s="17"/>
      <c r="BX1421" s="17"/>
      <c r="BZ1421" s="17"/>
    </row>
    <row r="1422" spans="4:78" x14ac:dyDescent="0.3">
      <c r="D1422" s="153"/>
      <c r="E1422" s="6"/>
      <c r="G1422" s="6"/>
      <c r="J1422" s="6"/>
      <c r="N1422" s="154"/>
      <c r="O1422" s="6"/>
      <c r="S1422" s="6"/>
      <c r="V1422" s="6"/>
      <c r="X1422" s="6"/>
      <c r="Z1422" s="110"/>
      <c r="AB1422" s="6"/>
      <c r="AD1422" s="6"/>
      <c r="AE1422" s="6"/>
      <c r="AF1422" s="126"/>
      <c r="AJ1422" s="6"/>
      <c r="AL1422" s="110"/>
      <c r="AM1422" s="110"/>
      <c r="AN1422" s="110"/>
      <c r="AP1422" s="6"/>
      <c r="AW1422" s="6"/>
      <c r="AX1422" s="6"/>
      <c r="AZ1422" s="110"/>
      <c r="BB1422" s="6"/>
      <c r="BD1422" s="6"/>
      <c r="BE1422" s="6"/>
      <c r="BV1422" s="17"/>
      <c r="BX1422" s="17"/>
      <c r="BZ1422" s="17"/>
    </row>
    <row r="1423" spans="4:78" x14ac:dyDescent="0.3">
      <c r="D1423" s="153"/>
      <c r="E1423" s="6"/>
      <c r="G1423" s="6"/>
      <c r="J1423" s="6"/>
      <c r="N1423" s="154"/>
      <c r="O1423" s="6"/>
      <c r="S1423" s="6"/>
      <c r="V1423" s="6"/>
      <c r="X1423" s="6"/>
      <c r="Z1423" s="110"/>
      <c r="AB1423" s="6"/>
      <c r="AD1423" s="6"/>
      <c r="AE1423" s="6"/>
      <c r="AF1423" s="126"/>
      <c r="AJ1423" s="6"/>
      <c r="AL1423" s="110"/>
      <c r="AM1423" s="110"/>
      <c r="AN1423" s="110"/>
      <c r="AP1423" s="6"/>
      <c r="AW1423" s="6"/>
      <c r="AX1423" s="6"/>
      <c r="AZ1423" s="110"/>
      <c r="BB1423" s="6"/>
      <c r="BD1423" s="6"/>
      <c r="BE1423" s="6"/>
      <c r="BV1423" s="17"/>
      <c r="BX1423" s="17"/>
      <c r="BZ1423" s="17"/>
    </row>
    <row r="1424" spans="4:78" x14ac:dyDescent="0.3">
      <c r="D1424" s="153"/>
      <c r="E1424" s="6"/>
      <c r="G1424" s="6"/>
      <c r="J1424" s="6"/>
      <c r="N1424" s="154"/>
      <c r="O1424" s="6"/>
      <c r="S1424" s="6"/>
      <c r="V1424" s="6"/>
      <c r="X1424" s="6"/>
      <c r="Z1424" s="110"/>
      <c r="AB1424" s="6"/>
      <c r="AD1424" s="6"/>
      <c r="AE1424" s="6"/>
      <c r="AF1424" s="126"/>
      <c r="AJ1424" s="6"/>
      <c r="AL1424" s="110"/>
      <c r="AM1424" s="110"/>
      <c r="AN1424" s="110"/>
      <c r="AP1424" s="6"/>
      <c r="AW1424" s="6"/>
      <c r="AX1424" s="6"/>
      <c r="AZ1424" s="110"/>
      <c r="BB1424" s="6"/>
      <c r="BD1424" s="6"/>
      <c r="BE1424" s="6"/>
      <c r="BV1424" s="17"/>
      <c r="BX1424" s="17"/>
      <c r="BZ1424" s="17"/>
    </row>
    <row r="1425" spans="4:78" x14ac:dyDescent="0.3">
      <c r="D1425" s="153"/>
      <c r="E1425" s="6"/>
      <c r="G1425" s="6"/>
      <c r="J1425" s="6"/>
      <c r="N1425" s="154"/>
      <c r="O1425" s="6"/>
      <c r="S1425" s="6"/>
      <c r="V1425" s="6"/>
      <c r="X1425" s="6"/>
      <c r="Z1425" s="110"/>
      <c r="AB1425" s="6"/>
      <c r="AD1425" s="6"/>
      <c r="AE1425" s="6"/>
      <c r="AF1425" s="126"/>
      <c r="AJ1425" s="6"/>
      <c r="AL1425" s="110"/>
      <c r="AM1425" s="110"/>
      <c r="AN1425" s="110"/>
      <c r="AP1425" s="6"/>
      <c r="AW1425" s="6"/>
      <c r="AX1425" s="6"/>
      <c r="AZ1425" s="110"/>
      <c r="BB1425" s="6"/>
      <c r="BD1425" s="6"/>
      <c r="BE1425" s="6"/>
      <c r="BV1425" s="17"/>
      <c r="BX1425" s="17"/>
      <c r="BZ1425" s="17"/>
    </row>
    <row r="1426" spans="4:78" x14ac:dyDescent="0.3">
      <c r="D1426" s="153"/>
      <c r="E1426" s="6"/>
      <c r="G1426" s="6"/>
      <c r="J1426" s="6"/>
      <c r="N1426" s="154"/>
      <c r="O1426" s="6"/>
      <c r="S1426" s="6"/>
      <c r="V1426" s="6"/>
      <c r="X1426" s="6"/>
      <c r="Z1426" s="110"/>
      <c r="AB1426" s="6"/>
      <c r="AD1426" s="6"/>
      <c r="AE1426" s="6"/>
      <c r="AF1426" s="126"/>
      <c r="AJ1426" s="6"/>
      <c r="AL1426" s="110"/>
      <c r="AM1426" s="110"/>
      <c r="AN1426" s="110"/>
      <c r="AP1426" s="6"/>
      <c r="AW1426" s="6"/>
      <c r="AX1426" s="6"/>
      <c r="AZ1426" s="110"/>
      <c r="BB1426" s="6"/>
      <c r="BD1426" s="6"/>
      <c r="BE1426" s="6"/>
      <c r="BV1426" s="17"/>
      <c r="BX1426" s="17"/>
      <c r="BZ1426" s="17"/>
    </row>
    <row r="1427" spans="4:78" x14ac:dyDescent="0.3">
      <c r="D1427" s="153"/>
      <c r="E1427" s="6"/>
      <c r="G1427" s="6"/>
      <c r="J1427" s="6"/>
      <c r="N1427" s="154"/>
      <c r="O1427" s="6"/>
      <c r="S1427" s="6"/>
      <c r="V1427" s="6"/>
      <c r="X1427" s="6"/>
      <c r="Z1427" s="110"/>
      <c r="AB1427" s="6"/>
      <c r="AD1427" s="6"/>
      <c r="AE1427" s="6"/>
      <c r="AF1427" s="126"/>
      <c r="AJ1427" s="6"/>
      <c r="AL1427" s="110"/>
      <c r="AM1427" s="110"/>
      <c r="AN1427" s="110"/>
      <c r="AP1427" s="6"/>
      <c r="AW1427" s="6"/>
      <c r="AX1427" s="6"/>
      <c r="AZ1427" s="110"/>
      <c r="BB1427" s="6"/>
      <c r="BD1427" s="6"/>
      <c r="BE1427" s="6"/>
      <c r="BV1427" s="17"/>
      <c r="BX1427" s="17"/>
      <c r="BZ1427" s="17"/>
    </row>
    <row r="1428" spans="4:78" x14ac:dyDescent="0.3">
      <c r="D1428" s="153"/>
      <c r="E1428" s="6"/>
      <c r="G1428" s="6"/>
      <c r="J1428" s="6"/>
      <c r="N1428" s="154"/>
      <c r="O1428" s="6"/>
      <c r="S1428" s="6"/>
      <c r="V1428" s="6"/>
      <c r="X1428" s="6"/>
      <c r="Z1428" s="110"/>
      <c r="AB1428" s="6"/>
      <c r="AD1428" s="6"/>
      <c r="AE1428" s="6"/>
      <c r="AF1428" s="126"/>
      <c r="AJ1428" s="6"/>
      <c r="AL1428" s="110"/>
      <c r="AM1428" s="110"/>
      <c r="AN1428" s="110"/>
      <c r="AP1428" s="6"/>
      <c r="AW1428" s="6"/>
      <c r="AX1428" s="6"/>
      <c r="AZ1428" s="110"/>
      <c r="BB1428" s="6"/>
      <c r="BD1428" s="6"/>
      <c r="BE1428" s="6"/>
      <c r="BV1428" s="17"/>
      <c r="BX1428" s="17"/>
      <c r="BZ1428" s="17"/>
    </row>
    <row r="1429" spans="4:78" x14ac:dyDescent="0.3">
      <c r="D1429" s="153"/>
      <c r="E1429" s="6"/>
      <c r="G1429" s="6"/>
      <c r="J1429" s="6"/>
      <c r="N1429" s="154"/>
      <c r="O1429" s="6"/>
      <c r="S1429" s="6"/>
      <c r="V1429" s="6"/>
      <c r="X1429" s="6"/>
      <c r="Z1429" s="110"/>
      <c r="AB1429" s="6"/>
      <c r="AD1429" s="6"/>
      <c r="AE1429" s="6"/>
      <c r="AF1429" s="126"/>
      <c r="AJ1429" s="6"/>
      <c r="AL1429" s="110"/>
      <c r="AM1429" s="110"/>
      <c r="AN1429" s="110"/>
      <c r="AP1429" s="6"/>
      <c r="AW1429" s="6"/>
      <c r="AX1429" s="6"/>
      <c r="AZ1429" s="110"/>
      <c r="BB1429" s="6"/>
      <c r="BD1429" s="6"/>
      <c r="BE1429" s="6"/>
      <c r="BV1429" s="17"/>
      <c r="BX1429" s="17"/>
      <c r="BZ1429" s="17"/>
    </row>
    <row r="1430" spans="4:78" x14ac:dyDescent="0.3">
      <c r="D1430" s="153"/>
      <c r="E1430" s="6"/>
      <c r="G1430" s="6"/>
      <c r="J1430" s="6"/>
      <c r="N1430" s="154"/>
      <c r="O1430" s="6"/>
      <c r="S1430" s="6"/>
      <c r="V1430" s="6"/>
      <c r="X1430" s="6"/>
      <c r="Z1430" s="110"/>
      <c r="AB1430" s="6"/>
      <c r="AD1430" s="6"/>
      <c r="AE1430" s="6"/>
      <c r="AF1430" s="126"/>
      <c r="AJ1430" s="6"/>
      <c r="AL1430" s="110"/>
      <c r="AM1430" s="110"/>
      <c r="AN1430" s="110"/>
      <c r="AP1430" s="6"/>
      <c r="AW1430" s="6"/>
      <c r="AX1430" s="6"/>
      <c r="AZ1430" s="110"/>
      <c r="BB1430" s="6"/>
      <c r="BD1430" s="6"/>
      <c r="BE1430" s="6"/>
      <c r="BV1430" s="17"/>
      <c r="BX1430" s="17"/>
      <c r="BZ1430" s="17"/>
    </row>
    <row r="1431" spans="4:78" x14ac:dyDescent="0.3">
      <c r="D1431" s="153"/>
      <c r="E1431" s="6"/>
      <c r="G1431" s="6"/>
      <c r="J1431" s="6"/>
      <c r="N1431" s="154"/>
      <c r="O1431" s="6"/>
      <c r="S1431" s="6"/>
      <c r="V1431" s="6"/>
      <c r="X1431" s="6"/>
      <c r="Z1431" s="110"/>
      <c r="AB1431" s="6"/>
      <c r="AD1431" s="6"/>
      <c r="AE1431" s="6"/>
      <c r="AF1431" s="126"/>
      <c r="AJ1431" s="6"/>
      <c r="AL1431" s="110"/>
      <c r="AM1431" s="110"/>
      <c r="AN1431" s="110"/>
      <c r="AP1431" s="6"/>
      <c r="AW1431" s="6"/>
      <c r="AX1431" s="6"/>
      <c r="AZ1431" s="110"/>
      <c r="BB1431" s="6"/>
      <c r="BD1431" s="6"/>
      <c r="BE1431" s="6"/>
      <c r="BV1431" s="17"/>
      <c r="BX1431" s="17"/>
      <c r="BZ1431" s="17"/>
    </row>
    <row r="1432" spans="4:78" x14ac:dyDescent="0.3">
      <c r="D1432" s="153"/>
      <c r="E1432" s="6"/>
      <c r="G1432" s="6"/>
      <c r="J1432" s="6"/>
      <c r="N1432" s="154"/>
      <c r="O1432" s="6"/>
      <c r="S1432" s="6"/>
      <c r="V1432" s="6"/>
      <c r="X1432" s="6"/>
      <c r="Z1432" s="110"/>
      <c r="AB1432" s="6"/>
      <c r="AD1432" s="6"/>
      <c r="AE1432" s="6"/>
      <c r="AF1432" s="126"/>
      <c r="AJ1432" s="6"/>
      <c r="AL1432" s="110"/>
      <c r="AM1432" s="110"/>
      <c r="AN1432" s="110"/>
      <c r="AP1432" s="6"/>
      <c r="AW1432" s="6"/>
      <c r="AX1432" s="6"/>
      <c r="AZ1432" s="110"/>
      <c r="BB1432" s="6"/>
      <c r="BD1432" s="6"/>
      <c r="BE1432" s="6"/>
      <c r="BV1432" s="17"/>
      <c r="BX1432" s="17"/>
      <c r="BZ1432" s="17"/>
    </row>
    <row r="1433" spans="4:78" x14ac:dyDescent="0.3">
      <c r="D1433" s="153"/>
      <c r="E1433" s="6"/>
      <c r="G1433" s="6"/>
      <c r="J1433" s="6"/>
      <c r="N1433" s="154"/>
      <c r="O1433" s="6"/>
      <c r="S1433" s="6"/>
      <c r="V1433" s="6"/>
      <c r="X1433" s="6"/>
      <c r="Z1433" s="110"/>
      <c r="AB1433" s="6"/>
      <c r="AD1433" s="6"/>
      <c r="AE1433" s="6"/>
      <c r="AF1433" s="126"/>
      <c r="AJ1433" s="6"/>
      <c r="AL1433" s="110"/>
      <c r="AM1433" s="110"/>
      <c r="AN1433" s="110"/>
      <c r="AP1433" s="6"/>
      <c r="AW1433" s="6"/>
      <c r="AX1433" s="6"/>
      <c r="AZ1433" s="110"/>
      <c r="BB1433" s="6"/>
      <c r="BD1433" s="6"/>
      <c r="BE1433" s="6"/>
      <c r="BV1433" s="17"/>
      <c r="BX1433" s="17"/>
      <c r="BZ1433" s="17"/>
    </row>
    <row r="1434" spans="4:78" x14ac:dyDescent="0.3">
      <c r="D1434" s="153"/>
      <c r="E1434" s="6"/>
      <c r="G1434" s="6"/>
      <c r="J1434" s="6"/>
      <c r="N1434" s="154"/>
      <c r="O1434" s="6"/>
      <c r="S1434" s="6"/>
      <c r="V1434" s="6"/>
      <c r="X1434" s="6"/>
      <c r="Z1434" s="110"/>
      <c r="AB1434" s="6"/>
      <c r="AD1434" s="6"/>
      <c r="AE1434" s="6"/>
      <c r="AF1434" s="126"/>
      <c r="AJ1434" s="6"/>
      <c r="AL1434" s="110"/>
      <c r="AM1434" s="110"/>
      <c r="AN1434" s="110"/>
      <c r="AP1434" s="6"/>
      <c r="AW1434" s="6"/>
      <c r="AX1434" s="6"/>
      <c r="AZ1434" s="110"/>
      <c r="BB1434" s="6"/>
      <c r="BD1434" s="6"/>
      <c r="BE1434" s="6"/>
      <c r="BV1434" s="17"/>
      <c r="BX1434" s="17"/>
      <c r="BZ1434" s="17"/>
    </row>
    <row r="1435" spans="4:78" x14ac:dyDescent="0.3">
      <c r="D1435" s="153"/>
      <c r="E1435" s="6"/>
      <c r="G1435" s="6"/>
      <c r="J1435" s="6"/>
      <c r="N1435" s="154"/>
      <c r="O1435" s="6"/>
      <c r="S1435" s="6"/>
      <c r="V1435" s="6"/>
      <c r="X1435" s="6"/>
      <c r="Z1435" s="110"/>
      <c r="AB1435" s="6"/>
      <c r="AD1435" s="6"/>
      <c r="AE1435" s="6"/>
      <c r="AF1435" s="126"/>
      <c r="AJ1435" s="6"/>
      <c r="AL1435" s="110"/>
      <c r="AM1435" s="110"/>
      <c r="AN1435" s="110"/>
      <c r="AP1435" s="6"/>
      <c r="AW1435" s="6"/>
      <c r="AX1435" s="6"/>
      <c r="AZ1435" s="110"/>
      <c r="BB1435" s="6"/>
      <c r="BD1435" s="6"/>
      <c r="BE1435" s="6"/>
      <c r="BV1435" s="17"/>
      <c r="BX1435" s="17"/>
      <c r="BZ1435" s="17"/>
    </row>
    <row r="1436" spans="4:78" x14ac:dyDescent="0.3">
      <c r="D1436" s="153"/>
      <c r="E1436" s="6"/>
      <c r="G1436" s="6"/>
      <c r="J1436" s="6"/>
      <c r="N1436" s="154"/>
      <c r="O1436" s="6"/>
      <c r="S1436" s="6"/>
      <c r="V1436" s="6"/>
      <c r="X1436" s="6"/>
      <c r="Z1436" s="110"/>
      <c r="AB1436" s="6"/>
      <c r="AD1436" s="6"/>
      <c r="AE1436" s="6"/>
      <c r="AF1436" s="126"/>
      <c r="AJ1436" s="6"/>
      <c r="AL1436" s="110"/>
      <c r="AM1436" s="110"/>
      <c r="AN1436" s="110"/>
      <c r="AP1436" s="6"/>
      <c r="AW1436" s="6"/>
      <c r="AX1436" s="6"/>
      <c r="AZ1436" s="110"/>
      <c r="BB1436" s="6"/>
      <c r="BD1436" s="6"/>
      <c r="BE1436" s="6"/>
      <c r="BV1436" s="17"/>
      <c r="BX1436" s="17"/>
      <c r="BZ1436" s="17"/>
    </row>
    <row r="1437" spans="4:78" x14ac:dyDescent="0.3">
      <c r="D1437" s="153"/>
      <c r="E1437" s="6"/>
      <c r="G1437" s="6"/>
      <c r="J1437" s="6"/>
      <c r="N1437" s="154"/>
      <c r="O1437" s="6"/>
      <c r="S1437" s="6"/>
      <c r="V1437" s="6"/>
      <c r="X1437" s="6"/>
      <c r="Z1437" s="110"/>
      <c r="AB1437" s="6"/>
      <c r="AD1437" s="6"/>
      <c r="AE1437" s="6"/>
      <c r="AF1437" s="126"/>
      <c r="AJ1437" s="6"/>
      <c r="AL1437" s="110"/>
      <c r="AM1437" s="110"/>
      <c r="AN1437" s="110"/>
      <c r="AP1437" s="6"/>
      <c r="AW1437" s="6"/>
      <c r="AX1437" s="6"/>
      <c r="AZ1437" s="110"/>
      <c r="BB1437" s="6"/>
      <c r="BD1437" s="6"/>
      <c r="BE1437" s="6"/>
      <c r="BV1437" s="17"/>
      <c r="BX1437" s="17"/>
      <c r="BZ1437" s="17"/>
    </row>
    <row r="1438" spans="4:78" x14ac:dyDescent="0.3">
      <c r="D1438" s="153"/>
      <c r="E1438" s="6"/>
      <c r="G1438" s="6"/>
      <c r="J1438" s="6"/>
      <c r="N1438" s="154"/>
      <c r="O1438" s="6"/>
      <c r="S1438" s="6"/>
      <c r="V1438" s="6"/>
      <c r="X1438" s="6"/>
      <c r="Z1438" s="110"/>
      <c r="AB1438" s="6"/>
      <c r="AD1438" s="6"/>
      <c r="AE1438" s="6"/>
      <c r="AF1438" s="126"/>
      <c r="AJ1438" s="6"/>
      <c r="AL1438" s="110"/>
      <c r="AM1438" s="110"/>
      <c r="AN1438" s="110"/>
      <c r="AP1438" s="6"/>
      <c r="AW1438" s="6"/>
      <c r="AX1438" s="6"/>
      <c r="AZ1438" s="110"/>
      <c r="BB1438" s="6"/>
      <c r="BD1438" s="6"/>
      <c r="BE1438" s="6"/>
      <c r="BV1438" s="17"/>
      <c r="BX1438" s="17"/>
      <c r="BZ1438" s="17"/>
    </row>
    <row r="1439" spans="4:78" x14ac:dyDescent="0.3">
      <c r="D1439" s="153"/>
      <c r="E1439" s="6"/>
      <c r="G1439" s="6"/>
      <c r="J1439" s="6"/>
      <c r="N1439" s="154"/>
      <c r="O1439" s="6"/>
      <c r="S1439" s="6"/>
      <c r="V1439" s="6"/>
      <c r="X1439" s="6"/>
      <c r="Z1439" s="110"/>
      <c r="AB1439" s="6"/>
      <c r="AD1439" s="6"/>
      <c r="AE1439" s="6"/>
      <c r="AF1439" s="126"/>
      <c r="AJ1439" s="6"/>
      <c r="AL1439" s="110"/>
      <c r="AM1439" s="110"/>
      <c r="AN1439" s="110"/>
      <c r="AP1439" s="6"/>
      <c r="AW1439" s="6"/>
      <c r="AX1439" s="6"/>
      <c r="AZ1439" s="110"/>
      <c r="BB1439" s="6"/>
      <c r="BD1439" s="6"/>
      <c r="BE1439" s="6"/>
      <c r="BV1439" s="17"/>
      <c r="BX1439" s="17"/>
      <c r="BZ1439" s="17"/>
    </row>
    <row r="1440" spans="4:78" x14ac:dyDescent="0.3">
      <c r="D1440" s="153"/>
      <c r="E1440" s="6"/>
      <c r="G1440" s="6"/>
      <c r="J1440" s="6"/>
      <c r="N1440" s="154"/>
      <c r="O1440" s="6"/>
      <c r="S1440" s="6"/>
      <c r="V1440" s="6"/>
      <c r="X1440" s="6"/>
      <c r="Z1440" s="110"/>
      <c r="AB1440" s="6"/>
      <c r="AD1440" s="6"/>
      <c r="AE1440" s="6"/>
      <c r="AF1440" s="126"/>
      <c r="AJ1440" s="6"/>
      <c r="AL1440" s="110"/>
      <c r="AM1440" s="110"/>
      <c r="AN1440" s="110"/>
      <c r="AP1440" s="6"/>
      <c r="AW1440" s="6"/>
      <c r="AX1440" s="6"/>
      <c r="AZ1440" s="110"/>
      <c r="BB1440" s="6"/>
      <c r="BD1440" s="6"/>
      <c r="BE1440" s="6"/>
      <c r="BV1440" s="17"/>
      <c r="BX1440" s="17"/>
      <c r="BZ1440" s="17"/>
    </row>
    <row r="1441" spans="4:78" x14ac:dyDescent="0.3">
      <c r="D1441" s="153"/>
      <c r="E1441" s="6"/>
      <c r="G1441" s="6"/>
      <c r="J1441" s="6"/>
      <c r="N1441" s="154"/>
      <c r="O1441" s="6"/>
      <c r="S1441" s="6"/>
      <c r="V1441" s="6"/>
      <c r="X1441" s="6"/>
      <c r="Z1441" s="110"/>
      <c r="AB1441" s="6"/>
      <c r="AD1441" s="6"/>
      <c r="AE1441" s="6"/>
      <c r="AF1441" s="126"/>
      <c r="AJ1441" s="6"/>
      <c r="AL1441" s="110"/>
      <c r="AM1441" s="110"/>
      <c r="AN1441" s="110"/>
      <c r="AP1441" s="6"/>
      <c r="AW1441" s="6"/>
      <c r="AX1441" s="6"/>
      <c r="AZ1441" s="110"/>
      <c r="BB1441" s="6"/>
      <c r="BD1441" s="6"/>
      <c r="BE1441" s="6"/>
      <c r="BV1441" s="17"/>
      <c r="BX1441" s="17"/>
      <c r="BZ1441" s="17"/>
    </row>
    <row r="1442" spans="4:78" x14ac:dyDescent="0.3">
      <c r="D1442" s="153"/>
      <c r="E1442" s="6"/>
      <c r="G1442" s="6"/>
      <c r="J1442" s="6"/>
      <c r="N1442" s="154"/>
      <c r="O1442" s="6"/>
      <c r="S1442" s="6"/>
      <c r="V1442" s="6"/>
      <c r="X1442" s="6"/>
      <c r="Z1442" s="110"/>
      <c r="AB1442" s="6"/>
      <c r="AD1442" s="6"/>
      <c r="AE1442" s="6"/>
      <c r="AF1442" s="126"/>
      <c r="AJ1442" s="6"/>
      <c r="AL1442" s="110"/>
      <c r="AM1442" s="110"/>
      <c r="AN1442" s="110"/>
      <c r="AP1442" s="6"/>
      <c r="AW1442" s="6"/>
      <c r="AX1442" s="6"/>
      <c r="AZ1442" s="110"/>
      <c r="BB1442" s="6"/>
      <c r="BD1442" s="6"/>
      <c r="BE1442" s="6"/>
      <c r="BV1442" s="17"/>
      <c r="BX1442" s="17"/>
      <c r="BZ1442" s="17"/>
    </row>
    <row r="1443" spans="4:78" x14ac:dyDescent="0.3">
      <c r="D1443" s="153"/>
      <c r="E1443" s="6"/>
      <c r="G1443" s="6"/>
      <c r="J1443" s="6"/>
      <c r="N1443" s="154"/>
      <c r="O1443" s="6"/>
      <c r="S1443" s="6"/>
      <c r="V1443" s="6"/>
      <c r="X1443" s="6"/>
      <c r="Z1443" s="110"/>
      <c r="AB1443" s="6"/>
      <c r="AD1443" s="6"/>
      <c r="AE1443" s="6"/>
      <c r="AF1443" s="126"/>
      <c r="AJ1443" s="6"/>
      <c r="AL1443" s="110"/>
      <c r="AM1443" s="110"/>
      <c r="AN1443" s="110"/>
      <c r="AP1443" s="6"/>
      <c r="AW1443" s="6"/>
      <c r="AX1443" s="6"/>
      <c r="AZ1443" s="110"/>
      <c r="BB1443" s="6"/>
      <c r="BD1443" s="6"/>
      <c r="BE1443" s="6"/>
      <c r="BV1443" s="17"/>
      <c r="BX1443" s="17"/>
      <c r="BZ1443" s="17"/>
    </row>
    <row r="1444" spans="4:78" x14ac:dyDescent="0.3">
      <c r="D1444" s="153"/>
      <c r="E1444" s="6"/>
      <c r="G1444" s="6"/>
      <c r="J1444" s="6"/>
      <c r="N1444" s="154"/>
      <c r="O1444" s="6"/>
      <c r="S1444" s="6"/>
      <c r="V1444" s="6"/>
      <c r="X1444" s="6"/>
      <c r="Z1444" s="110"/>
      <c r="AB1444" s="6"/>
      <c r="AD1444" s="6"/>
      <c r="AE1444" s="6"/>
      <c r="AF1444" s="126"/>
      <c r="AJ1444" s="6"/>
      <c r="AL1444" s="110"/>
      <c r="AM1444" s="110"/>
      <c r="AN1444" s="110"/>
      <c r="AP1444" s="6"/>
      <c r="AW1444" s="6"/>
      <c r="AX1444" s="6"/>
      <c r="AZ1444" s="110"/>
      <c r="BB1444" s="6"/>
      <c r="BD1444" s="6"/>
      <c r="BE1444" s="6"/>
      <c r="BV1444" s="17"/>
      <c r="BX1444" s="17"/>
      <c r="BZ1444" s="17"/>
    </row>
    <row r="1445" spans="4:78" x14ac:dyDescent="0.3">
      <c r="D1445" s="153"/>
      <c r="E1445" s="6"/>
      <c r="G1445" s="6"/>
      <c r="J1445" s="6"/>
      <c r="N1445" s="154"/>
      <c r="O1445" s="6"/>
      <c r="S1445" s="6"/>
      <c r="V1445" s="6"/>
      <c r="X1445" s="6"/>
      <c r="Z1445" s="110"/>
      <c r="AB1445" s="6"/>
      <c r="AD1445" s="6"/>
      <c r="AE1445" s="6"/>
      <c r="AF1445" s="126"/>
      <c r="AJ1445" s="6"/>
      <c r="AL1445" s="110"/>
      <c r="AM1445" s="110"/>
      <c r="AN1445" s="110"/>
      <c r="AP1445" s="6"/>
      <c r="AW1445" s="6"/>
      <c r="AX1445" s="6"/>
      <c r="AZ1445" s="110"/>
      <c r="BB1445" s="6"/>
      <c r="BD1445" s="6"/>
      <c r="BE1445" s="6"/>
      <c r="BV1445" s="17"/>
      <c r="BX1445" s="17"/>
      <c r="BZ1445" s="17"/>
    </row>
    <row r="1446" spans="4:78" x14ac:dyDescent="0.3">
      <c r="D1446" s="153"/>
      <c r="E1446" s="6"/>
      <c r="G1446" s="6"/>
      <c r="J1446" s="6"/>
      <c r="N1446" s="154"/>
      <c r="O1446" s="6"/>
      <c r="S1446" s="6"/>
      <c r="V1446" s="6"/>
      <c r="X1446" s="6"/>
      <c r="Z1446" s="110"/>
      <c r="AB1446" s="6"/>
      <c r="AD1446" s="6"/>
      <c r="AE1446" s="6"/>
      <c r="AF1446" s="126"/>
      <c r="AJ1446" s="6"/>
      <c r="AL1446" s="110"/>
      <c r="AM1446" s="110"/>
      <c r="AN1446" s="110"/>
      <c r="AP1446" s="6"/>
      <c r="AW1446" s="6"/>
      <c r="AX1446" s="6"/>
      <c r="AZ1446" s="110"/>
      <c r="BB1446" s="6"/>
      <c r="BD1446" s="6"/>
      <c r="BE1446" s="6"/>
      <c r="BV1446" s="17"/>
      <c r="BX1446" s="17"/>
      <c r="BZ1446" s="17"/>
    </row>
    <row r="1447" spans="4:78" x14ac:dyDescent="0.3">
      <c r="D1447" s="153"/>
      <c r="E1447" s="6"/>
      <c r="G1447" s="6"/>
      <c r="J1447" s="6"/>
      <c r="N1447" s="154"/>
      <c r="O1447" s="6"/>
      <c r="S1447" s="6"/>
      <c r="V1447" s="6"/>
      <c r="X1447" s="6"/>
      <c r="Z1447" s="110"/>
      <c r="AB1447" s="6"/>
      <c r="AD1447" s="6"/>
      <c r="AE1447" s="6"/>
      <c r="AF1447" s="126"/>
      <c r="AJ1447" s="6"/>
      <c r="AL1447" s="110"/>
      <c r="AM1447" s="110"/>
      <c r="AN1447" s="110"/>
      <c r="AP1447" s="6"/>
      <c r="AW1447" s="6"/>
      <c r="AX1447" s="6"/>
      <c r="AZ1447" s="110"/>
      <c r="BB1447" s="6"/>
      <c r="BD1447" s="6"/>
      <c r="BE1447" s="6"/>
      <c r="BV1447" s="17"/>
      <c r="BX1447" s="17"/>
      <c r="BZ1447" s="17"/>
    </row>
    <row r="1448" spans="4:78" x14ac:dyDescent="0.3">
      <c r="D1448" s="153"/>
      <c r="E1448" s="6"/>
      <c r="G1448" s="6"/>
      <c r="J1448" s="6"/>
      <c r="N1448" s="154"/>
      <c r="O1448" s="6"/>
      <c r="S1448" s="6"/>
      <c r="V1448" s="6"/>
      <c r="X1448" s="6"/>
      <c r="Z1448" s="110"/>
      <c r="AB1448" s="6"/>
      <c r="AD1448" s="6"/>
      <c r="AE1448" s="6"/>
      <c r="AF1448" s="126"/>
      <c r="AJ1448" s="6"/>
      <c r="AL1448" s="110"/>
      <c r="AM1448" s="110"/>
      <c r="AN1448" s="110"/>
      <c r="AP1448" s="6"/>
      <c r="AW1448" s="6"/>
      <c r="AX1448" s="6"/>
      <c r="AZ1448" s="110"/>
      <c r="BB1448" s="6"/>
      <c r="BD1448" s="6"/>
      <c r="BE1448" s="6"/>
      <c r="BV1448" s="17"/>
      <c r="BX1448" s="17"/>
      <c r="BZ1448" s="17"/>
    </row>
    <row r="1449" spans="4:78" x14ac:dyDescent="0.3">
      <c r="D1449" s="153"/>
      <c r="E1449" s="6"/>
      <c r="G1449" s="6"/>
      <c r="J1449" s="6"/>
      <c r="N1449" s="154"/>
      <c r="O1449" s="6"/>
      <c r="S1449" s="6"/>
      <c r="V1449" s="6"/>
      <c r="X1449" s="6"/>
      <c r="Z1449" s="110"/>
      <c r="AB1449" s="6"/>
      <c r="AD1449" s="6"/>
      <c r="AE1449" s="6"/>
      <c r="AF1449" s="126"/>
      <c r="AJ1449" s="6"/>
      <c r="AL1449" s="110"/>
      <c r="AM1449" s="110"/>
      <c r="AN1449" s="110"/>
      <c r="AP1449" s="6"/>
      <c r="AW1449" s="6"/>
      <c r="AX1449" s="6"/>
      <c r="AZ1449" s="110"/>
      <c r="BB1449" s="6"/>
      <c r="BD1449" s="6"/>
      <c r="BE1449" s="6"/>
      <c r="BV1449" s="17"/>
      <c r="BX1449" s="17"/>
      <c r="BZ1449" s="17"/>
    </row>
    <row r="1450" spans="4:78" x14ac:dyDescent="0.3">
      <c r="D1450" s="153"/>
      <c r="E1450" s="6"/>
      <c r="G1450" s="6"/>
      <c r="J1450" s="6"/>
      <c r="N1450" s="154"/>
      <c r="O1450" s="6"/>
      <c r="S1450" s="6"/>
      <c r="V1450" s="6"/>
      <c r="X1450" s="6"/>
      <c r="Z1450" s="110"/>
      <c r="AB1450" s="6"/>
      <c r="AD1450" s="6"/>
      <c r="AE1450" s="6"/>
      <c r="AF1450" s="126"/>
      <c r="AJ1450" s="6"/>
      <c r="AL1450" s="110"/>
      <c r="AM1450" s="110"/>
      <c r="AN1450" s="110"/>
      <c r="AP1450" s="6"/>
      <c r="AW1450" s="6"/>
      <c r="AX1450" s="6"/>
      <c r="AZ1450" s="110"/>
      <c r="BB1450" s="6"/>
      <c r="BD1450" s="6"/>
      <c r="BE1450" s="6"/>
      <c r="BV1450" s="17"/>
      <c r="BX1450" s="17"/>
      <c r="BZ1450" s="17"/>
    </row>
    <row r="1451" spans="4:78" x14ac:dyDescent="0.3">
      <c r="D1451" s="153"/>
      <c r="E1451" s="6"/>
      <c r="G1451" s="6"/>
      <c r="J1451" s="6"/>
      <c r="N1451" s="154"/>
      <c r="O1451" s="6"/>
      <c r="S1451" s="6"/>
      <c r="V1451" s="6"/>
      <c r="X1451" s="6"/>
      <c r="Z1451" s="110"/>
      <c r="AB1451" s="6"/>
      <c r="AD1451" s="6"/>
      <c r="AE1451" s="6"/>
      <c r="AF1451" s="126"/>
      <c r="AJ1451" s="6"/>
      <c r="AL1451" s="110"/>
      <c r="AM1451" s="110"/>
      <c r="AN1451" s="110"/>
      <c r="AP1451" s="6"/>
      <c r="AW1451" s="6"/>
      <c r="AX1451" s="6"/>
      <c r="AZ1451" s="110"/>
      <c r="BB1451" s="6"/>
      <c r="BD1451" s="6"/>
      <c r="BE1451" s="6"/>
      <c r="BV1451" s="17"/>
      <c r="BX1451" s="17"/>
      <c r="BZ1451" s="17"/>
    </row>
    <row r="1452" spans="4:78" x14ac:dyDescent="0.3">
      <c r="D1452" s="153"/>
      <c r="E1452" s="6"/>
      <c r="G1452" s="6"/>
      <c r="J1452" s="6"/>
      <c r="N1452" s="154"/>
      <c r="O1452" s="6"/>
      <c r="S1452" s="6"/>
      <c r="V1452" s="6"/>
      <c r="X1452" s="6"/>
      <c r="Z1452" s="110"/>
      <c r="AB1452" s="6"/>
      <c r="AD1452" s="6"/>
      <c r="AE1452" s="6"/>
      <c r="AF1452" s="126"/>
      <c r="AJ1452" s="6"/>
      <c r="AL1452" s="110"/>
      <c r="AM1452" s="110"/>
      <c r="AN1452" s="110"/>
      <c r="AP1452" s="6"/>
      <c r="AW1452" s="6"/>
      <c r="AX1452" s="6"/>
      <c r="AZ1452" s="110"/>
      <c r="BB1452" s="6"/>
      <c r="BD1452" s="6"/>
      <c r="BE1452" s="6"/>
      <c r="BV1452" s="17"/>
      <c r="BX1452" s="17"/>
      <c r="BZ1452" s="17"/>
    </row>
    <row r="1453" spans="4:78" x14ac:dyDescent="0.3">
      <c r="D1453" s="153"/>
      <c r="E1453" s="6"/>
      <c r="G1453" s="6"/>
      <c r="J1453" s="6"/>
      <c r="N1453" s="154"/>
      <c r="O1453" s="6"/>
      <c r="S1453" s="6"/>
      <c r="V1453" s="6"/>
      <c r="X1453" s="6"/>
      <c r="Z1453" s="110"/>
      <c r="AB1453" s="6"/>
      <c r="AD1453" s="6"/>
      <c r="AE1453" s="6"/>
      <c r="AF1453" s="126"/>
      <c r="AJ1453" s="6"/>
      <c r="AL1453" s="110"/>
      <c r="AM1453" s="110"/>
      <c r="AN1453" s="110"/>
      <c r="AP1453" s="6"/>
      <c r="AW1453" s="6"/>
      <c r="AX1453" s="6"/>
      <c r="AZ1453" s="110"/>
      <c r="BB1453" s="6"/>
      <c r="BD1453" s="6"/>
      <c r="BE1453" s="6"/>
      <c r="BV1453" s="17"/>
      <c r="BX1453" s="17"/>
      <c r="BZ1453" s="17"/>
    </row>
    <row r="1454" spans="4:78" x14ac:dyDescent="0.3">
      <c r="D1454" s="153"/>
      <c r="E1454" s="6"/>
      <c r="G1454" s="6"/>
      <c r="J1454" s="6"/>
      <c r="N1454" s="154"/>
      <c r="O1454" s="6"/>
      <c r="S1454" s="6"/>
      <c r="V1454" s="6"/>
      <c r="X1454" s="6"/>
      <c r="Z1454" s="110"/>
      <c r="AB1454" s="6"/>
      <c r="AD1454" s="6"/>
      <c r="AE1454" s="6"/>
      <c r="AF1454" s="126"/>
      <c r="AJ1454" s="6"/>
      <c r="AL1454" s="110"/>
      <c r="AM1454" s="110"/>
      <c r="AN1454" s="110"/>
      <c r="AP1454" s="6"/>
      <c r="AW1454" s="6"/>
      <c r="AX1454" s="6"/>
      <c r="AZ1454" s="110"/>
      <c r="BB1454" s="6"/>
      <c r="BD1454" s="6"/>
      <c r="BE1454" s="6"/>
      <c r="BV1454" s="17"/>
      <c r="BX1454" s="17"/>
      <c r="BZ1454" s="17"/>
    </row>
    <row r="1455" spans="4:78" x14ac:dyDescent="0.3">
      <c r="D1455" s="153"/>
      <c r="E1455" s="6"/>
      <c r="G1455" s="6"/>
      <c r="J1455" s="6"/>
      <c r="N1455" s="154"/>
      <c r="O1455" s="6"/>
      <c r="S1455" s="6"/>
      <c r="V1455" s="6"/>
      <c r="X1455" s="6"/>
      <c r="Z1455" s="110"/>
      <c r="AB1455" s="6"/>
      <c r="AD1455" s="6"/>
      <c r="AE1455" s="6"/>
      <c r="AF1455" s="126"/>
      <c r="AJ1455" s="6"/>
      <c r="AL1455" s="110"/>
      <c r="AM1455" s="110"/>
      <c r="AN1455" s="110"/>
      <c r="AP1455" s="6"/>
      <c r="AW1455" s="6"/>
      <c r="AX1455" s="6"/>
      <c r="AZ1455" s="110"/>
      <c r="BB1455" s="6"/>
      <c r="BD1455" s="6"/>
      <c r="BE1455" s="6"/>
      <c r="BV1455" s="17"/>
      <c r="BX1455" s="17"/>
      <c r="BZ1455" s="17"/>
    </row>
    <row r="1456" spans="4:78" x14ac:dyDescent="0.3">
      <c r="D1456" s="153"/>
      <c r="E1456" s="6"/>
      <c r="G1456" s="6"/>
      <c r="J1456" s="6"/>
      <c r="N1456" s="154"/>
      <c r="O1456" s="6"/>
      <c r="S1456" s="6"/>
      <c r="V1456" s="6"/>
      <c r="X1456" s="6"/>
      <c r="Z1456" s="110"/>
      <c r="AB1456" s="6"/>
      <c r="AD1456" s="6"/>
      <c r="AE1456" s="6"/>
      <c r="AF1456" s="126"/>
      <c r="AJ1456" s="6"/>
      <c r="AL1456" s="110"/>
      <c r="AM1456" s="110"/>
      <c r="AN1456" s="110"/>
      <c r="AP1456" s="6"/>
      <c r="AW1456" s="6"/>
      <c r="AX1456" s="6"/>
      <c r="AZ1456" s="110"/>
      <c r="BB1456" s="6"/>
      <c r="BD1456" s="6"/>
      <c r="BE1456" s="6"/>
      <c r="BV1456" s="17"/>
      <c r="BX1456" s="17"/>
      <c r="BZ1456" s="17"/>
    </row>
    <row r="1457" spans="4:78" x14ac:dyDescent="0.3">
      <c r="D1457" s="153"/>
      <c r="E1457" s="6"/>
      <c r="G1457" s="6"/>
      <c r="J1457" s="6"/>
      <c r="N1457" s="154"/>
      <c r="O1457" s="6"/>
      <c r="S1457" s="6"/>
      <c r="V1457" s="6"/>
      <c r="X1457" s="6"/>
      <c r="Z1457" s="110"/>
      <c r="AB1457" s="6"/>
      <c r="AD1457" s="6"/>
      <c r="AE1457" s="6"/>
      <c r="AF1457" s="126"/>
      <c r="AJ1457" s="6"/>
      <c r="AL1457" s="110"/>
      <c r="AM1457" s="110"/>
      <c r="AN1457" s="110"/>
      <c r="AP1457" s="6"/>
      <c r="AW1457" s="6"/>
      <c r="AX1457" s="6"/>
      <c r="AZ1457" s="110"/>
      <c r="BB1457" s="6"/>
      <c r="BD1457" s="6"/>
      <c r="BE1457" s="6"/>
      <c r="BV1457" s="17"/>
      <c r="BX1457" s="17"/>
      <c r="BZ1457" s="17"/>
    </row>
    <row r="1458" spans="4:78" x14ac:dyDescent="0.3">
      <c r="D1458" s="153"/>
      <c r="E1458" s="6"/>
      <c r="G1458" s="6"/>
      <c r="J1458" s="6"/>
      <c r="N1458" s="154"/>
      <c r="O1458" s="6"/>
      <c r="S1458" s="6"/>
      <c r="V1458" s="6"/>
      <c r="X1458" s="6"/>
      <c r="Z1458" s="110"/>
      <c r="AB1458" s="6"/>
      <c r="AD1458" s="6"/>
      <c r="AE1458" s="6"/>
      <c r="AF1458" s="126"/>
      <c r="AJ1458" s="6"/>
      <c r="AL1458" s="110"/>
      <c r="AM1458" s="110"/>
      <c r="AN1458" s="110"/>
      <c r="AP1458" s="6"/>
      <c r="AW1458" s="6"/>
      <c r="AX1458" s="6"/>
      <c r="AZ1458" s="110"/>
      <c r="BB1458" s="6"/>
      <c r="BD1458" s="6"/>
      <c r="BE1458" s="6"/>
      <c r="BV1458" s="17"/>
      <c r="BX1458" s="17"/>
      <c r="BZ1458" s="17"/>
    </row>
    <row r="1459" spans="4:78" x14ac:dyDescent="0.3">
      <c r="D1459" s="153"/>
      <c r="E1459" s="6"/>
      <c r="G1459" s="6"/>
      <c r="J1459" s="6"/>
      <c r="N1459" s="154"/>
      <c r="O1459" s="6"/>
      <c r="S1459" s="6"/>
      <c r="V1459" s="6"/>
      <c r="X1459" s="6"/>
      <c r="Z1459" s="110"/>
      <c r="AB1459" s="6"/>
      <c r="AD1459" s="6"/>
      <c r="AE1459" s="6"/>
      <c r="AF1459" s="126"/>
      <c r="AJ1459" s="6"/>
      <c r="AL1459" s="110"/>
      <c r="AM1459" s="110"/>
      <c r="AN1459" s="110"/>
      <c r="AP1459" s="6"/>
      <c r="AW1459" s="6"/>
      <c r="AX1459" s="6"/>
      <c r="AZ1459" s="110"/>
      <c r="BB1459" s="6"/>
      <c r="BD1459" s="6"/>
      <c r="BE1459" s="6"/>
      <c r="BV1459" s="17"/>
      <c r="BX1459" s="17"/>
      <c r="BZ1459" s="17"/>
    </row>
    <row r="1460" spans="4:78" x14ac:dyDescent="0.3">
      <c r="D1460" s="153"/>
      <c r="E1460" s="6"/>
      <c r="G1460" s="6"/>
      <c r="J1460" s="6"/>
      <c r="N1460" s="154"/>
      <c r="O1460" s="6"/>
      <c r="S1460" s="6"/>
      <c r="V1460" s="6"/>
      <c r="X1460" s="6"/>
      <c r="Z1460" s="110"/>
      <c r="AB1460" s="6"/>
      <c r="AD1460" s="6"/>
      <c r="AE1460" s="6"/>
      <c r="AF1460" s="126"/>
      <c r="AJ1460" s="6"/>
      <c r="AL1460" s="110"/>
      <c r="AM1460" s="110"/>
      <c r="AN1460" s="110"/>
      <c r="AP1460" s="6"/>
      <c r="AW1460" s="6"/>
      <c r="AX1460" s="6"/>
      <c r="AZ1460" s="110"/>
      <c r="BB1460" s="6"/>
      <c r="BD1460" s="6"/>
      <c r="BE1460" s="6"/>
      <c r="BV1460" s="17"/>
      <c r="BX1460" s="17"/>
      <c r="BZ1460" s="17"/>
    </row>
    <row r="1461" spans="4:78" x14ac:dyDescent="0.3">
      <c r="D1461" s="153"/>
      <c r="E1461" s="6"/>
      <c r="G1461" s="6"/>
      <c r="J1461" s="6"/>
      <c r="N1461" s="154"/>
      <c r="O1461" s="6"/>
      <c r="S1461" s="6"/>
      <c r="V1461" s="6"/>
      <c r="X1461" s="6"/>
      <c r="Z1461" s="110"/>
      <c r="AB1461" s="6"/>
      <c r="AD1461" s="6"/>
      <c r="AE1461" s="6"/>
      <c r="AF1461" s="126"/>
      <c r="AJ1461" s="6"/>
      <c r="AL1461" s="110"/>
      <c r="AM1461" s="110"/>
      <c r="AN1461" s="110"/>
      <c r="AP1461" s="6"/>
      <c r="AW1461" s="6"/>
      <c r="AX1461" s="6"/>
      <c r="AZ1461" s="110"/>
      <c r="BB1461" s="6"/>
      <c r="BD1461" s="6"/>
      <c r="BE1461" s="6"/>
      <c r="BV1461" s="17"/>
      <c r="BX1461" s="17"/>
      <c r="BZ1461" s="17"/>
    </row>
    <row r="1462" spans="4:78" x14ac:dyDescent="0.3">
      <c r="D1462" s="153"/>
      <c r="E1462" s="6"/>
      <c r="G1462" s="6"/>
      <c r="J1462" s="6"/>
      <c r="N1462" s="154"/>
      <c r="O1462" s="6"/>
      <c r="S1462" s="6"/>
      <c r="V1462" s="6"/>
      <c r="X1462" s="6"/>
      <c r="Z1462" s="110"/>
      <c r="AB1462" s="6"/>
      <c r="AD1462" s="6"/>
      <c r="AE1462" s="6"/>
      <c r="AF1462" s="126"/>
      <c r="AJ1462" s="6"/>
      <c r="AL1462" s="110"/>
      <c r="AM1462" s="110"/>
      <c r="AN1462" s="110"/>
      <c r="AP1462" s="6"/>
      <c r="AW1462" s="6"/>
      <c r="AX1462" s="6"/>
      <c r="AZ1462" s="110"/>
      <c r="BB1462" s="6"/>
      <c r="BD1462" s="6"/>
      <c r="BE1462" s="6"/>
      <c r="BV1462" s="17"/>
      <c r="BX1462" s="17"/>
      <c r="BZ1462" s="17"/>
    </row>
    <row r="1463" spans="4:78" x14ac:dyDescent="0.3">
      <c r="D1463" s="153"/>
      <c r="E1463" s="6"/>
      <c r="G1463" s="6"/>
      <c r="J1463" s="6"/>
      <c r="N1463" s="154"/>
      <c r="O1463" s="6"/>
      <c r="S1463" s="6"/>
      <c r="V1463" s="6"/>
      <c r="X1463" s="6"/>
      <c r="Z1463" s="110"/>
      <c r="AB1463" s="6"/>
      <c r="AD1463" s="6"/>
      <c r="AE1463" s="6"/>
      <c r="AF1463" s="126"/>
      <c r="AJ1463" s="6"/>
      <c r="AL1463" s="110"/>
      <c r="AM1463" s="110"/>
      <c r="AN1463" s="110"/>
      <c r="AP1463" s="6"/>
      <c r="AW1463" s="6"/>
      <c r="AX1463" s="6"/>
      <c r="AZ1463" s="110"/>
      <c r="BB1463" s="6"/>
      <c r="BD1463" s="6"/>
      <c r="BE1463" s="6"/>
      <c r="BV1463" s="17"/>
      <c r="BX1463" s="17"/>
      <c r="BZ1463" s="17"/>
    </row>
    <row r="1464" spans="4:78" x14ac:dyDescent="0.3">
      <c r="D1464" s="153"/>
      <c r="E1464" s="6"/>
      <c r="G1464" s="6"/>
      <c r="J1464" s="6"/>
      <c r="N1464" s="154"/>
      <c r="O1464" s="6"/>
      <c r="S1464" s="6"/>
      <c r="V1464" s="6"/>
      <c r="X1464" s="6"/>
      <c r="Z1464" s="110"/>
      <c r="AB1464" s="6"/>
      <c r="AD1464" s="6"/>
      <c r="AE1464" s="6"/>
      <c r="AF1464" s="126"/>
      <c r="AJ1464" s="6"/>
      <c r="AL1464" s="110"/>
      <c r="AM1464" s="110"/>
      <c r="AN1464" s="110"/>
      <c r="AP1464" s="6"/>
      <c r="AW1464" s="6"/>
      <c r="AX1464" s="6"/>
      <c r="AZ1464" s="110"/>
      <c r="BB1464" s="6"/>
      <c r="BD1464" s="6"/>
      <c r="BE1464" s="6"/>
      <c r="BV1464" s="17"/>
      <c r="BX1464" s="17"/>
      <c r="BZ1464" s="17"/>
    </row>
    <row r="1465" spans="4:78" x14ac:dyDescent="0.3">
      <c r="D1465" s="153"/>
      <c r="E1465" s="6"/>
      <c r="G1465" s="6"/>
      <c r="J1465" s="6"/>
      <c r="N1465" s="154"/>
      <c r="O1465" s="6"/>
      <c r="S1465" s="6"/>
      <c r="V1465" s="6"/>
      <c r="X1465" s="6"/>
      <c r="Z1465" s="110"/>
      <c r="AB1465" s="6"/>
      <c r="AD1465" s="6"/>
      <c r="AE1465" s="6"/>
      <c r="AF1465" s="126"/>
      <c r="AJ1465" s="6"/>
      <c r="AL1465" s="110"/>
      <c r="AM1465" s="110"/>
      <c r="AN1465" s="110"/>
      <c r="AP1465" s="6"/>
      <c r="AW1465" s="6"/>
      <c r="AX1465" s="6"/>
      <c r="AZ1465" s="110"/>
      <c r="BB1465" s="6"/>
      <c r="BD1465" s="6"/>
      <c r="BE1465" s="6"/>
      <c r="BV1465" s="17"/>
      <c r="BX1465" s="17"/>
      <c r="BZ1465" s="17"/>
    </row>
    <row r="1466" spans="4:78" x14ac:dyDescent="0.3">
      <c r="D1466" s="153"/>
      <c r="E1466" s="6"/>
      <c r="G1466" s="6"/>
      <c r="J1466" s="6"/>
      <c r="N1466" s="154"/>
      <c r="O1466" s="6"/>
      <c r="S1466" s="6"/>
      <c r="V1466" s="6"/>
      <c r="X1466" s="6"/>
      <c r="Z1466" s="110"/>
      <c r="AB1466" s="6"/>
      <c r="AD1466" s="6"/>
      <c r="AE1466" s="6"/>
      <c r="AF1466" s="126"/>
      <c r="AJ1466" s="6"/>
      <c r="AL1466" s="110"/>
      <c r="AM1466" s="110"/>
      <c r="AN1466" s="110"/>
      <c r="AP1466" s="6"/>
      <c r="AW1466" s="6"/>
      <c r="AX1466" s="6"/>
      <c r="AZ1466" s="110"/>
      <c r="BB1466" s="6"/>
      <c r="BD1466" s="6"/>
      <c r="BE1466" s="6"/>
      <c r="BV1466" s="17"/>
      <c r="BX1466" s="17"/>
      <c r="BZ1466" s="17"/>
    </row>
    <row r="1467" spans="4:78" x14ac:dyDescent="0.3">
      <c r="D1467" s="153"/>
      <c r="E1467" s="6"/>
      <c r="G1467" s="6"/>
      <c r="J1467" s="6"/>
      <c r="N1467" s="154"/>
      <c r="O1467" s="6"/>
      <c r="S1467" s="6"/>
      <c r="V1467" s="6"/>
      <c r="X1467" s="6"/>
      <c r="Z1467" s="110"/>
      <c r="AB1467" s="6"/>
      <c r="AD1467" s="6"/>
      <c r="AE1467" s="6"/>
      <c r="AF1467" s="126"/>
      <c r="AJ1467" s="6"/>
      <c r="AL1467" s="110"/>
      <c r="AM1467" s="110"/>
      <c r="AN1467" s="110"/>
      <c r="AP1467" s="6"/>
      <c r="AW1467" s="6"/>
      <c r="AX1467" s="6"/>
      <c r="AZ1467" s="110"/>
      <c r="BB1467" s="6"/>
      <c r="BD1467" s="6"/>
      <c r="BE1467" s="6"/>
      <c r="BV1467" s="17"/>
      <c r="BX1467" s="17"/>
      <c r="BZ1467" s="17"/>
    </row>
    <row r="1468" spans="4:78" x14ac:dyDescent="0.3">
      <c r="D1468" s="153"/>
      <c r="E1468" s="6"/>
      <c r="G1468" s="6"/>
      <c r="J1468" s="6"/>
      <c r="N1468" s="154"/>
      <c r="O1468" s="6"/>
      <c r="S1468" s="6"/>
      <c r="V1468" s="6"/>
      <c r="X1468" s="6"/>
      <c r="Z1468" s="110"/>
      <c r="AB1468" s="6"/>
      <c r="AD1468" s="6"/>
      <c r="AE1468" s="6"/>
      <c r="AF1468" s="126"/>
      <c r="AJ1468" s="6"/>
      <c r="AL1468" s="110"/>
      <c r="AM1468" s="110"/>
      <c r="AN1468" s="110"/>
      <c r="AP1468" s="6"/>
      <c r="AW1468" s="6"/>
      <c r="AX1468" s="6"/>
      <c r="AZ1468" s="110"/>
      <c r="BB1468" s="6"/>
      <c r="BD1468" s="6"/>
      <c r="BE1468" s="6"/>
      <c r="BV1468" s="17"/>
      <c r="BX1468" s="17"/>
      <c r="BZ1468" s="17"/>
    </row>
    <row r="1469" spans="4:78" x14ac:dyDescent="0.3">
      <c r="D1469" s="153"/>
      <c r="E1469" s="6"/>
      <c r="G1469" s="6"/>
      <c r="J1469" s="6"/>
      <c r="N1469" s="154"/>
      <c r="O1469" s="6"/>
      <c r="S1469" s="6"/>
      <c r="V1469" s="6"/>
      <c r="X1469" s="6"/>
      <c r="Z1469" s="110"/>
      <c r="AB1469" s="6"/>
      <c r="AD1469" s="6"/>
      <c r="AE1469" s="6"/>
      <c r="AF1469" s="126"/>
      <c r="AJ1469" s="6"/>
      <c r="AL1469" s="110"/>
      <c r="AM1469" s="110"/>
      <c r="AN1469" s="110"/>
      <c r="AP1469" s="6"/>
      <c r="AW1469" s="6"/>
      <c r="AX1469" s="6"/>
      <c r="AZ1469" s="110"/>
      <c r="BB1469" s="6"/>
      <c r="BD1469" s="6"/>
      <c r="BE1469" s="6"/>
      <c r="BV1469" s="17"/>
      <c r="BX1469" s="17"/>
      <c r="BZ1469" s="17"/>
    </row>
    <row r="1470" spans="4:78" x14ac:dyDescent="0.3">
      <c r="D1470" s="153"/>
      <c r="E1470" s="6"/>
      <c r="G1470" s="6"/>
      <c r="J1470" s="6"/>
      <c r="N1470" s="154"/>
      <c r="O1470" s="6"/>
      <c r="S1470" s="6"/>
      <c r="V1470" s="6"/>
      <c r="X1470" s="6"/>
      <c r="Z1470" s="110"/>
      <c r="AB1470" s="6"/>
      <c r="AD1470" s="6"/>
      <c r="AE1470" s="6"/>
      <c r="AF1470" s="126"/>
      <c r="AJ1470" s="6"/>
      <c r="AL1470" s="110"/>
      <c r="AM1470" s="110"/>
      <c r="AN1470" s="110"/>
      <c r="AP1470" s="6"/>
      <c r="AW1470" s="6"/>
      <c r="AX1470" s="6"/>
      <c r="AZ1470" s="110"/>
      <c r="BB1470" s="6"/>
      <c r="BD1470" s="6"/>
      <c r="BE1470" s="6"/>
      <c r="BV1470" s="17"/>
      <c r="BX1470" s="17"/>
      <c r="BZ1470" s="17"/>
    </row>
    <row r="1471" spans="4:78" x14ac:dyDescent="0.3">
      <c r="D1471" s="153"/>
      <c r="E1471" s="6"/>
      <c r="G1471" s="6"/>
      <c r="J1471" s="6"/>
      <c r="N1471" s="154"/>
      <c r="O1471" s="6"/>
      <c r="S1471" s="6"/>
      <c r="V1471" s="6"/>
      <c r="X1471" s="6"/>
      <c r="Z1471" s="110"/>
      <c r="AB1471" s="6"/>
      <c r="AD1471" s="6"/>
      <c r="AE1471" s="6"/>
      <c r="AF1471" s="126"/>
      <c r="AJ1471" s="6"/>
      <c r="AL1471" s="110"/>
      <c r="AM1471" s="110"/>
      <c r="AN1471" s="110"/>
      <c r="AP1471" s="6"/>
      <c r="AW1471" s="6"/>
      <c r="AX1471" s="6"/>
      <c r="AZ1471" s="110"/>
      <c r="BB1471" s="6"/>
      <c r="BD1471" s="6"/>
      <c r="BE1471" s="6"/>
      <c r="BV1471" s="17"/>
      <c r="BX1471" s="17"/>
      <c r="BZ1471" s="17"/>
    </row>
    <row r="1472" spans="4:78" x14ac:dyDescent="0.3">
      <c r="D1472" s="153"/>
      <c r="E1472" s="6"/>
      <c r="G1472" s="6"/>
      <c r="J1472" s="6"/>
      <c r="N1472" s="154"/>
      <c r="O1472" s="6"/>
      <c r="S1472" s="6"/>
      <c r="V1472" s="6"/>
      <c r="X1472" s="6"/>
      <c r="Z1472" s="110"/>
      <c r="AB1472" s="6"/>
      <c r="AD1472" s="6"/>
      <c r="AE1472" s="6"/>
      <c r="AF1472" s="126"/>
      <c r="AJ1472" s="6"/>
      <c r="AL1472" s="110"/>
      <c r="AM1472" s="110"/>
      <c r="AN1472" s="110"/>
      <c r="AP1472" s="6"/>
      <c r="AW1472" s="6"/>
      <c r="AX1472" s="6"/>
      <c r="AZ1472" s="110"/>
      <c r="BB1472" s="6"/>
      <c r="BD1472" s="6"/>
      <c r="BE1472" s="6"/>
      <c r="BV1472" s="17"/>
      <c r="BX1472" s="17"/>
      <c r="BZ1472" s="17"/>
    </row>
    <row r="1473" spans="4:78" x14ac:dyDescent="0.3">
      <c r="D1473" s="153"/>
      <c r="E1473" s="6"/>
      <c r="G1473" s="6"/>
      <c r="J1473" s="6"/>
      <c r="N1473" s="154"/>
      <c r="O1473" s="6"/>
      <c r="S1473" s="6"/>
      <c r="V1473" s="6"/>
      <c r="X1473" s="6"/>
      <c r="Z1473" s="110"/>
      <c r="AB1473" s="6"/>
      <c r="AD1473" s="6"/>
      <c r="AE1473" s="6"/>
      <c r="AF1473" s="126"/>
      <c r="AJ1473" s="6"/>
      <c r="AL1473" s="110"/>
      <c r="AM1473" s="110"/>
      <c r="AN1473" s="110"/>
      <c r="AP1473" s="6"/>
      <c r="AW1473" s="6"/>
      <c r="AX1473" s="6"/>
      <c r="AZ1473" s="110"/>
      <c r="BB1473" s="6"/>
      <c r="BD1473" s="6"/>
      <c r="BE1473" s="6"/>
      <c r="BV1473" s="17"/>
      <c r="BX1473" s="17"/>
      <c r="BZ1473" s="17"/>
    </row>
    <row r="1474" spans="4:78" x14ac:dyDescent="0.3">
      <c r="D1474" s="153"/>
      <c r="E1474" s="6"/>
      <c r="G1474" s="6"/>
      <c r="J1474" s="6"/>
      <c r="N1474" s="154"/>
      <c r="O1474" s="6"/>
      <c r="S1474" s="6"/>
      <c r="V1474" s="6"/>
      <c r="X1474" s="6"/>
      <c r="Z1474" s="110"/>
      <c r="AB1474" s="6"/>
      <c r="AD1474" s="6"/>
      <c r="AE1474" s="6"/>
      <c r="AF1474" s="126"/>
      <c r="AJ1474" s="6"/>
      <c r="AL1474" s="110"/>
      <c r="AM1474" s="110"/>
      <c r="AN1474" s="110"/>
      <c r="AP1474" s="6"/>
      <c r="AW1474" s="6"/>
      <c r="AX1474" s="6"/>
      <c r="AZ1474" s="110"/>
      <c r="BB1474" s="6"/>
      <c r="BD1474" s="6"/>
      <c r="BE1474" s="6"/>
      <c r="BV1474" s="17"/>
      <c r="BX1474" s="17"/>
      <c r="BZ1474" s="17"/>
    </row>
    <row r="1475" spans="4:78" x14ac:dyDescent="0.3">
      <c r="D1475" s="153"/>
      <c r="E1475" s="6"/>
      <c r="G1475" s="6"/>
      <c r="J1475" s="6"/>
      <c r="N1475" s="154"/>
      <c r="O1475" s="6"/>
      <c r="S1475" s="6"/>
      <c r="V1475" s="6"/>
      <c r="X1475" s="6"/>
      <c r="Z1475" s="110"/>
      <c r="AB1475" s="6"/>
      <c r="AD1475" s="6"/>
      <c r="AE1475" s="6"/>
      <c r="AF1475" s="126"/>
      <c r="AJ1475" s="6"/>
      <c r="AL1475" s="110"/>
      <c r="AM1475" s="110"/>
      <c r="AN1475" s="110"/>
      <c r="AP1475" s="6"/>
      <c r="AW1475" s="6"/>
      <c r="AX1475" s="6"/>
      <c r="AZ1475" s="110"/>
      <c r="BB1475" s="6"/>
      <c r="BD1475" s="6"/>
      <c r="BE1475" s="6"/>
      <c r="BV1475" s="17"/>
      <c r="BX1475" s="17"/>
      <c r="BZ1475" s="17"/>
    </row>
    <row r="1476" spans="4:78" x14ac:dyDescent="0.3">
      <c r="D1476" s="153"/>
      <c r="E1476" s="6"/>
      <c r="G1476" s="6"/>
      <c r="J1476" s="6"/>
      <c r="N1476" s="154"/>
      <c r="O1476" s="6"/>
      <c r="S1476" s="6"/>
      <c r="V1476" s="6"/>
      <c r="X1476" s="6"/>
      <c r="Z1476" s="110"/>
      <c r="AB1476" s="6"/>
      <c r="AD1476" s="6"/>
      <c r="AE1476" s="6"/>
      <c r="AF1476" s="126"/>
      <c r="AJ1476" s="6"/>
      <c r="AL1476" s="110"/>
      <c r="AM1476" s="110"/>
      <c r="AN1476" s="110"/>
      <c r="AP1476" s="6"/>
      <c r="AW1476" s="6"/>
      <c r="AX1476" s="6"/>
      <c r="AZ1476" s="110"/>
      <c r="BB1476" s="6"/>
      <c r="BD1476" s="6"/>
      <c r="BE1476" s="6"/>
      <c r="BV1476" s="17"/>
      <c r="BX1476" s="17"/>
      <c r="BZ1476" s="17"/>
    </row>
    <row r="1477" spans="4:78" x14ac:dyDescent="0.3">
      <c r="D1477" s="153"/>
      <c r="E1477" s="6"/>
      <c r="G1477" s="6"/>
      <c r="J1477" s="6"/>
      <c r="N1477" s="154"/>
      <c r="O1477" s="6"/>
      <c r="S1477" s="6"/>
      <c r="V1477" s="6"/>
      <c r="X1477" s="6"/>
      <c r="Z1477" s="110"/>
      <c r="AB1477" s="6"/>
      <c r="AD1477" s="6"/>
      <c r="AE1477" s="6"/>
      <c r="AF1477" s="126"/>
      <c r="AJ1477" s="6"/>
      <c r="AL1477" s="110"/>
      <c r="AM1477" s="110"/>
      <c r="AN1477" s="110"/>
      <c r="AP1477" s="6"/>
      <c r="AW1477" s="6"/>
      <c r="AX1477" s="6"/>
      <c r="AZ1477" s="110"/>
      <c r="BB1477" s="6"/>
      <c r="BD1477" s="6"/>
      <c r="BE1477" s="6"/>
      <c r="BV1477" s="17"/>
      <c r="BX1477" s="17"/>
      <c r="BZ1477" s="17"/>
    </row>
    <row r="1478" spans="4:78" x14ac:dyDescent="0.3">
      <c r="D1478" s="153"/>
      <c r="E1478" s="6"/>
      <c r="G1478" s="6"/>
      <c r="J1478" s="6"/>
      <c r="N1478" s="154"/>
      <c r="O1478" s="6"/>
      <c r="S1478" s="6"/>
      <c r="V1478" s="6"/>
      <c r="X1478" s="6"/>
      <c r="Z1478" s="110"/>
      <c r="AB1478" s="6"/>
      <c r="AD1478" s="6"/>
      <c r="AE1478" s="6"/>
      <c r="AF1478" s="126"/>
      <c r="AJ1478" s="6"/>
      <c r="AL1478" s="110"/>
      <c r="AM1478" s="110"/>
      <c r="AN1478" s="110"/>
      <c r="AP1478" s="6"/>
      <c r="AW1478" s="6"/>
      <c r="AX1478" s="6"/>
      <c r="AZ1478" s="110"/>
      <c r="BB1478" s="6"/>
      <c r="BD1478" s="6"/>
      <c r="BE1478" s="6"/>
      <c r="BV1478" s="17"/>
      <c r="BX1478" s="17"/>
      <c r="BZ1478" s="17"/>
    </row>
    <row r="1479" spans="4:78" x14ac:dyDescent="0.3">
      <c r="D1479" s="153"/>
      <c r="E1479" s="6"/>
      <c r="G1479" s="6"/>
      <c r="J1479" s="6"/>
      <c r="N1479" s="154"/>
      <c r="O1479" s="6"/>
      <c r="S1479" s="6"/>
      <c r="V1479" s="6"/>
      <c r="X1479" s="6"/>
      <c r="Z1479" s="110"/>
      <c r="AB1479" s="6"/>
      <c r="AD1479" s="6"/>
      <c r="AE1479" s="6"/>
      <c r="AF1479" s="126"/>
      <c r="AJ1479" s="6"/>
      <c r="AL1479" s="110"/>
      <c r="AM1479" s="110"/>
      <c r="AN1479" s="110"/>
      <c r="AP1479" s="6"/>
      <c r="AW1479" s="6"/>
      <c r="AX1479" s="6"/>
      <c r="AZ1479" s="110"/>
      <c r="BB1479" s="6"/>
      <c r="BD1479" s="6"/>
      <c r="BE1479" s="6"/>
      <c r="BV1479" s="17"/>
      <c r="BX1479" s="17"/>
      <c r="BZ1479" s="17"/>
    </row>
    <row r="1480" spans="4:78" x14ac:dyDescent="0.3">
      <c r="D1480" s="153"/>
      <c r="E1480" s="6"/>
      <c r="G1480" s="6"/>
      <c r="J1480" s="6"/>
      <c r="N1480" s="154"/>
      <c r="O1480" s="6"/>
      <c r="S1480" s="6"/>
      <c r="V1480" s="6"/>
      <c r="X1480" s="6"/>
      <c r="Z1480" s="110"/>
      <c r="AB1480" s="6"/>
      <c r="AD1480" s="6"/>
      <c r="AE1480" s="6"/>
      <c r="AF1480" s="126"/>
      <c r="AJ1480" s="6"/>
      <c r="AL1480" s="110"/>
      <c r="AM1480" s="110"/>
      <c r="AN1480" s="110"/>
      <c r="AP1480" s="6"/>
      <c r="AW1480" s="6"/>
      <c r="AX1480" s="6"/>
      <c r="AZ1480" s="110"/>
      <c r="BB1480" s="6"/>
      <c r="BD1480" s="6"/>
      <c r="BE1480" s="6"/>
      <c r="BV1480" s="17"/>
      <c r="BX1480" s="17"/>
      <c r="BZ1480" s="17"/>
    </row>
    <row r="1481" spans="4:78" x14ac:dyDescent="0.3">
      <c r="D1481" s="153"/>
      <c r="E1481" s="6"/>
      <c r="G1481" s="6"/>
      <c r="J1481" s="6"/>
      <c r="N1481" s="154"/>
      <c r="O1481" s="6"/>
      <c r="S1481" s="6"/>
      <c r="V1481" s="6"/>
      <c r="X1481" s="6"/>
      <c r="Z1481" s="110"/>
      <c r="AB1481" s="6"/>
      <c r="AD1481" s="6"/>
      <c r="AE1481" s="6"/>
      <c r="AF1481" s="126"/>
      <c r="AJ1481" s="6"/>
      <c r="AL1481" s="110"/>
      <c r="AM1481" s="110"/>
      <c r="AN1481" s="110"/>
      <c r="AP1481" s="6"/>
      <c r="AW1481" s="6"/>
      <c r="AX1481" s="6"/>
      <c r="AZ1481" s="110"/>
      <c r="BB1481" s="6"/>
      <c r="BD1481" s="6"/>
      <c r="BE1481" s="6"/>
      <c r="BV1481" s="17"/>
      <c r="BX1481" s="17"/>
      <c r="BZ1481" s="17"/>
    </row>
    <row r="1482" spans="4:78" x14ac:dyDescent="0.3">
      <c r="D1482" s="153"/>
      <c r="E1482" s="6"/>
      <c r="G1482" s="6"/>
      <c r="J1482" s="6"/>
      <c r="N1482" s="154"/>
      <c r="O1482" s="6"/>
      <c r="S1482" s="6"/>
      <c r="V1482" s="6"/>
      <c r="X1482" s="6"/>
      <c r="Z1482" s="110"/>
      <c r="AB1482" s="6"/>
      <c r="AD1482" s="6"/>
      <c r="AE1482" s="6"/>
      <c r="AF1482" s="126"/>
      <c r="AJ1482" s="6"/>
      <c r="AL1482" s="110"/>
      <c r="AM1482" s="110"/>
      <c r="AN1482" s="110"/>
      <c r="AP1482" s="6"/>
      <c r="AW1482" s="6"/>
      <c r="AX1482" s="6"/>
      <c r="AZ1482" s="110"/>
      <c r="BB1482" s="6"/>
      <c r="BD1482" s="6"/>
      <c r="BE1482" s="6"/>
      <c r="BV1482" s="17"/>
      <c r="BX1482" s="17"/>
      <c r="BZ1482" s="17"/>
    </row>
    <row r="1483" spans="4:78" x14ac:dyDescent="0.3">
      <c r="D1483" s="153"/>
      <c r="E1483" s="6"/>
      <c r="G1483" s="6"/>
      <c r="J1483" s="6"/>
      <c r="N1483" s="154"/>
      <c r="O1483" s="6"/>
      <c r="S1483" s="6"/>
      <c r="V1483" s="6"/>
      <c r="X1483" s="6"/>
      <c r="Z1483" s="110"/>
      <c r="AB1483" s="6"/>
      <c r="AD1483" s="6"/>
      <c r="AE1483" s="6"/>
      <c r="AF1483" s="126"/>
      <c r="AJ1483" s="6"/>
      <c r="AL1483" s="110"/>
      <c r="AM1483" s="110"/>
      <c r="AN1483" s="110"/>
      <c r="AP1483" s="6"/>
      <c r="AW1483" s="6"/>
      <c r="AX1483" s="6"/>
      <c r="AZ1483" s="110"/>
      <c r="BB1483" s="6"/>
      <c r="BD1483" s="6"/>
      <c r="BE1483" s="6"/>
      <c r="BV1483" s="17"/>
      <c r="BX1483" s="17"/>
      <c r="BZ1483" s="17"/>
    </row>
    <row r="1484" spans="4:78" x14ac:dyDescent="0.3">
      <c r="D1484" s="153"/>
      <c r="E1484" s="6"/>
      <c r="G1484" s="6"/>
      <c r="J1484" s="6"/>
      <c r="N1484" s="154"/>
      <c r="O1484" s="6"/>
      <c r="S1484" s="6"/>
      <c r="V1484" s="6"/>
      <c r="X1484" s="6"/>
      <c r="Z1484" s="110"/>
      <c r="AB1484" s="6"/>
      <c r="AD1484" s="6"/>
      <c r="AE1484" s="6"/>
      <c r="AF1484" s="126"/>
      <c r="AJ1484" s="6"/>
      <c r="AL1484" s="110"/>
      <c r="AM1484" s="110"/>
      <c r="AN1484" s="110"/>
      <c r="AP1484" s="6"/>
      <c r="AW1484" s="6"/>
      <c r="AX1484" s="6"/>
      <c r="AZ1484" s="110"/>
      <c r="BB1484" s="6"/>
      <c r="BD1484" s="6"/>
      <c r="BE1484" s="6"/>
      <c r="BV1484" s="17"/>
      <c r="BX1484" s="17"/>
      <c r="BZ1484" s="17"/>
    </row>
    <row r="1485" spans="4:78" x14ac:dyDescent="0.3">
      <c r="D1485" s="153"/>
      <c r="E1485" s="6"/>
      <c r="G1485" s="6"/>
      <c r="J1485" s="6"/>
      <c r="N1485" s="154"/>
      <c r="O1485" s="6"/>
      <c r="S1485" s="6"/>
      <c r="V1485" s="6"/>
      <c r="X1485" s="6"/>
      <c r="Z1485" s="110"/>
      <c r="AB1485" s="6"/>
      <c r="AD1485" s="6"/>
      <c r="AE1485" s="6"/>
      <c r="AF1485" s="126"/>
      <c r="AJ1485" s="6"/>
      <c r="AL1485" s="110"/>
      <c r="AM1485" s="110"/>
      <c r="AN1485" s="110"/>
      <c r="AP1485" s="6"/>
      <c r="AW1485" s="6"/>
      <c r="AX1485" s="6"/>
      <c r="AZ1485" s="110"/>
      <c r="BB1485" s="6"/>
      <c r="BD1485" s="6"/>
      <c r="BE1485" s="6"/>
      <c r="BV1485" s="17"/>
      <c r="BX1485" s="17"/>
      <c r="BZ1485" s="17"/>
    </row>
    <row r="1486" spans="4:78" x14ac:dyDescent="0.3">
      <c r="D1486" s="153"/>
      <c r="E1486" s="6"/>
      <c r="G1486" s="6"/>
      <c r="J1486" s="6"/>
      <c r="N1486" s="154"/>
      <c r="O1486" s="6"/>
      <c r="S1486" s="6"/>
      <c r="V1486" s="6"/>
      <c r="X1486" s="6"/>
      <c r="Z1486" s="110"/>
      <c r="AB1486" s="6"/>
      <c r="AD1486" s="6"/>
      <c r="AE1486" s="6"/>
      <c r="AF1486" s="126"/>
      <c r="AJ1486" s="6"/>
      <c r="AL1486" s="110"/>
      <c r="AM1486" s="110"/>
      <c r="AN1486" s="110"/>
      <c r="AP1486" s="6"/>
      <c r="AW1486" s="6"/>
      <c r="AX1486" s="6"/>
      <c r="AZ1486" s="110"/>
      <c r="BB1486" s="6"/>
      <c r="BD1486" s="6"/>
      <c r="BE1486" s="6"/>
      <c r="BV1486" s="17"/>
      <c r="BX1486" s="17"/>
      <c r="BZ1486" s="17"/>
    </row>
    <row r="1487" spans="4:78" x14ac:dyDescent="0.3">
      <c r="D1487" s="153"/>
      <c r="E1487" s="6"/>
      <c r="G1487" s="6"/>
      <c r="J1487" s="6"/>
      <c r="N1487" s="154"/>
      <c r="O1487" s="6"/>
      <c r="S1487" s="6"/>
      <c r="V1487" s="6"/>
      <c r="X1487" s="6"/>
      <c r="Z1487" s="110"/>
      <c r="AB1487" s="6"/>
      <c r="AD1487" s="6"/>
      <c r="AE1487" s="6"/>
      <c r="AF1487" s="126"/>
      <c r="AJ1487" s="6"/>
      <c r="AL1487" s="110"/>
      <c r="AM1487" s="110"/>
      <c r="AN1487" s="110"/>
      <c r="AP1487" s="6"/>
      <c r="AW1487" s="6"/>
      <c r="AX1487" s="6"/>
      <c r="AZ1487" s="110"/>
      <c r="BB1487" s="6"/>
      <c r="BD1487" s="6"/>
      <c r="BE1487" s="6"/>
      <c r="BV1487" s="17"/>
      <c r="BX1487" s="17"/>
      <c r="BZ1487" s="17"/>
    </row>
    <row r="1488" spans="4:78" x14ac:dyDescent="0.3">
      <c r="D1488" s="153"/>
      <c r="E1488" s="6"/>
      <c r="G1488" s="6"/>
      <c r="J1488" s="6"/>
      <c r="N1488" s="154"/>
      <c r="O1488" s="6"/>
      <c r="S1488" s="6"/>
      <c r="V1488" s="6"/>
      <c r="X1488" s="6"/>
      <c r="Z1488" s="110"/>
      <c r="AB1488" s="6"/>
      <c r="AD1488" s="6"/>
      <c r="AE1488" s="6"/>
      <c r="AF1488" s="126"/>
      <c r="AJ1488" s="6"/>
      <c r="AL1488" s="110"/>
      <c r="AM1488" s="110"/>
      <c r="AN1488" s="110"/>
      <c r="AP1488" s="6"/>
      <c r="AW1488" s="6"/>
      <c r="AX1488" s="6"/>
      <c r="AZ1488" s="110"/>
      <c r="BB1488" s="6"/>
      <c r="BD1488" s="6"/>
      <c r="BE1488" s="6"/>
      <c r="BV1488" s="17"/>
      <c r="BX1488" s="17"/>
      <c r="BZ1488" s="17"/>
    </row>
    <row r="1489" spans="4:78" x14ac:dyDescent="0.3">
      <c r="D1489" s="153"/>
      <c r="E1489" s="6"/>
      <c r="G1489" s="6"/>
      <c r="J1489" s="6"/>
      <c r="N1489" s="154"/>
      <c r="O1489" s="6"/>
      <c r="S1489" s="6"/>
      <c r="V1489" s="6"/>
      <c r="X1489" s="6"/>
      <c r="Z1489" s="110"/>
      <c r="AB1489" s="6"/>
      <c r="AD1489" s="6"/>
      <c r="AE1489" s="6"/>
      <c r="AF1489" s="126"/>
      <c r="AJ1489" s="6"/>
      <c r="AL1489" s="110"/>
      <c r="AM1489" s="110"/>
      <c r="AN1489" s="110"/>
      <c r="AP1489" s="6"/>
      <c r="AW1489" s="6"/>
      <c r="AX1489" s="6"/>
      <c r="AZ1489" s="110"/>
      <c r="BB1489" s="6"/>
      <c r="BD1489" s="6"/>
      <c r="BE1489" s="6"/>
      <c r="BV1489" s="17"/>
      <c r="BX1489" s="17"/>
      <c r="BZ1489" s="17"/>
    </row>
    <row r="1490" spans="4:78" x14ac:dyDescent="0.3">
      <c r="D1490" s="153"/>
      <c r="E1490" s="6"/>
      <c r="G1490" s="6"/>
      <c r="J1490" s="6"/>
      <c r="N1490" s="154"/>
      <c r="O1490" s="6"/>
      <c r="S1490" s="6"/>
      <c r="V1490" s="6"/>
      <c r="X1490" s="6"/>
      <c r="Z1490" s="110"/>
      <c r="AB1490" s="6"/>
      <c r="AD1490" s="6"/>
      <c r="AE1490" s="6"/>
      <c r="AF1490" s="126"/>
      <c r="AJ1490" s="6"/>
      <c r="AL1490" s="110"/>
      <c r="AM1490" s="110"/>
      <c r="AN1490" s="110"/>
      <c r="AP1490" s="6"/>
      <c r="AW1490" s="6"/>
      <c r="AX1490" s="6"/>
      <c r="AZ1490" s="110"/>
      <c r="BB1490" s="6"/>
      <c r="BD1490" s="6"/>
      <c r="BE1490" s="6"/>
      <c r="BV1490" s="17"/>
      <c r="BX1490" s="17"/>
      <c r="BZ1490" s="17"/>
    </row>
    <row r="1491" spans="4:78" x14ac:dyDescent="0.3">
      <c r="D1491" s="153"/>
      <c r="E1491" s="6"/>
      <c r="G1491" s="6"/>
      <c r="J1491" s="6"/>
      <c r="N1491" s="154"/>
      <c r="O1491" s="6"/>
      <c r="S1491" s="6"/>
      <c r="V1491" s="6"/>
      <c r="X1491" s="6"/>
      <c r="Z1491" s="110"/>
      <c r="AB1491" s="6"/>
      <c r="AD1491" s="6"/>
      <c r="AE1491" s="6"/>
      <c r="AF1491" s="126"/>
      <c r="AJ1491" s="6"/>
      <c r="AL1491" s="110"/>
      <c r="AM1491" s="110"/>
      <c r="AN1491" s="110"/>
      <c r="AP1491" s="6"/>
      <c r="AW1491" s="6"/>
      <c r="AX1491" s="6"/>
      <c r="AZ1491" s="110"/>
      <c r="BB1491" s="6"/>
      <c r="BD1491" s="6"/>
      <c r="BE1491" s="6"/>
      <c r="BV1491" s="17"/>
      <c r="BX1491" s="17"/>
      <c r="BZ1491" s="17"/>
    </row>
    <row r="1492" spans="4:78" x14ac:dyDescent="0.3">
      <c r="D1492" s="153"/>
      <c r="E1492" s="6"/>
      <c r="G1492" s="6"/>
      <c r="J1492" s="6"/>
      <c r="N1492" s="154"/>
      <c r="O1492" s="6"/>
      <c r="S1492" s="6"/>
      <c r="V1492" s="6"/>
      <c r="X1492" s="6"/>
      <c r="Z1492" s="110"/>
      <c r="AB1492" s="6"/>
      <c r="AD1492" s="6"/>
      <c r="AE1492" s="6"/>
      <c r="AF1492" s="126"/>
      <c r="AJ1492" s="6"/>
      <c r="AL1492" s="110"/>
      <c r="AM1492" s="110"/>
      <c r="AN1492" s="110"/>
      <c r="AP1492" s="6"/>
      <c r="AW1492" s="6"/>
      <c r="AX1492" s="6"/>
      <c r="AZ1492" s="110"/>
      <c r="BB1492" s="6"/>
      <c r="BD1492" s="6"/>
      <c r="BE1492" s="6"/>
      <c r="BV1492" s="17"/>
      <c r="BX1492" s="17"/>
      <c r="BZ1492" s="17"/>
    </row>
    <row r="1493" spans="4:78" x14ac:dyDescent="0.3">
      <c r="D1493" s="153"/>
      <c r="E1493" s="6"/>
      <c r="G1493" s="6"/>
      <c r="J1493" s="6"/>
      <c r="N1493" s="154"/>
      <c r="O1493" s="6"/>
      <c r="S1493" s="6"/>
      <c r="V1493" s="6"/>
      <c r="X1493" s="6"/>
      <c r="Z1493" s="110"/>
      <c r="AB1493" s="6"/>
      <c r="AD1493" s="6"/>
      <c r="AE1493" s="6"/>
      <c r="AF1493" s="126"/>
      <c r="AJ1493" s="6"/>
      <c r="AL1493" s="110"/>
      <c r="AM1493" s="110"/>
      <c r="AN1493" s="110"/>
      <c r="AP1493" s="6"/>
      <c r="AW1493" s="6"/>
      <c r="AX1493" s="6"/>
      <c r="AZ1493" s="110"/>
      <c r="BB1493" s="6"/>
      <c r="BD1493" s="6"/>
      <c r="BE1493" s="6"/>
      <c r="BV1493" s="17"/>
      <c r="BX1493" s="17"/>
      <c r="BZ1493" s="17"/>
    </row>
    <row r="1494" spans="4:78" x14ac:dyDescent="0.3">
      <c r="D1494" s="153"/>
      <c r="E1494" s="6"/>
      <c r="G1494" s="6"/>
      <c r="J1494" s="6"/>
      <c r="N1494" s="154"/>
      <c r="O1494" s="6"/>
      <c r="S1494" s="6"/>
      <c r="V1494" s="6"/>
      <c r="X1494" s="6"/>
      <c r="Z1494" s="110"/>
      <c r="AB1494" s="6"/>
      <c r="AD1494" s="6"/>
      <c r="AE1494" s="6"/>
      <c r="AF1494" s="126"/>
      <c r="AJ1494" s="6"/>
      <c r="AL1494" s="110"/>
      <c r="AM1494" s="110"/>
      <c r="AN1494" s="110"/>
      <c r="AP1494" s="6"/>
      <c r="AW1494" s="6"/>
      <c r="AX1494" s="6"/>
      <c r="AZ1494" s="110"/>
      <c r="BB1494" s="6"/>
      <c r="BD1494" s="6"/>
      <c r="BE1494" s="6"/>
      <c r="BV1494" s="17"/>
      <c r="BX1494" s="17"/>
      <c r="BZ1494" s="17"/>
    </row>
    <row r="1495" spans="4:78" x14ac:dyDescent="0.3">
      <c r="D1495" s="153"/>
      <c r="E1495" s="6"/>
      <c r="G1495" s="6"/>
      <c r="J1495" s="6"/>
      <c r="N1495" s="154"/>
      <c r="O1495" s="6"/>
      <c r="S1495" s="6"/>
      <c r="V1495" s="6"/>
      <c r="X1495" s="6"/>
      <c r="Z1495" s="110"/>
      <c r="AB1495" s="6"/>
      <c r="AD1495" s="6"/>
      <c r="AE1495" s="6"/>
      <c r="AF1495" s="126"/>
      <c r="AJ1495" s="6"/>
      <c r="AL1495" s="110"/>
      <c r="AM1495" s="110"/>
      <c r="AN1495" s="110"/>
      <c r="AP1495" s="6"/>
      <c r="AW1495" s="6"/>
      <c r="AX1495" s="6"/>
      <c r="AZ1495" s="110"/>
      <c r="BB1495" s="6"/>
      <c r="BD1495" s="6"/>
      <c r="BE1495" s="6"/>
      <c r="BV1495" s="17"/>
      <c r="BX1495" s="17"/>
      <c r="BZ1495" s="17"/>
    </row>
    <row r="1496" spans="4:78" x14ac:dyDescent="0.3">
      <c r="D1496" s="153"/>
      <c r="E1496" s="6"/>
      <c r="G1496" s="6"/>
      <c r="J1496" s="6"/>
      <c r="N1496" s="154"/>
      <c r="O1496" s="6"/>
      <c r="S1496" s="6"/>
      <c r="V1496" s="6"/>
      <c r="X1496" s="6"/>
      <c r="Z1496" s="110"/>
      <c r="AB1496" s="6"/>
      <c r="AD1496" s="6"/>
      <c r="AE1496" s="6"/>
      <c r="AF1496" s="126"/>
      <c r="AJ1496" s="6"/>
      <c r="AL1496" s="110"/>
      <c r="AM1496" s="110"/>
      <c r="AN1496" s="110"/>
      <c r="AP1496" s="6"/>
      <c r="AW1496" s="6"/>
      <c r="AX1496" s="6"/>
      <c r="AZ1496" s="110"/>
      <c r="BB1496" s="6"/>
      <c r="BD1496" s="6"/>
      <c r="BE1496" s="6"/>
      <c r="BV1496" s="17"/>
      <c r="BX1496" s="17"/>
      <c r="BZ1496" s="17"/>
    </row>
    <row r="1497" spans="4:78" x14ac:dyDescent="0.3">
      <c r="D1497" s="153"/>
      <c r="E1497" s="6"/>
      <c r="G1497" s="6"/>
      <c r="J1497" s="6"/>
      <c r="N1497" s="154"/>
      <c r="O1497" s="6"/>
      <c r="S1497" s="6"/>
      <c r="V1497" s="6"/>
      <c r="X1497" s="6"/>
      <c r="Z1497" s="110"/>
      <c r="AB1497" s="6"/>
      <c r="AD1497" s="6"/>
      <c r="AE1497" s="6"/>
      <c r="AF1497" s="126"/>
      <c r="AJ1497" s="6"/>
      <c r="AL1497" s="110"/>
      <c r="AM1497" s="110"/>
      <c r="AN1497" s="110"/>
      <c r="AP1497" s="6"/>
      <c r="AW1497" s="6"/>
      <c r="AX1497" s="6"/>
      <c r="AZ1497" s="110"/>
      <c r="BB1497" s="6"/>
      <c r="BD1497" s="6"/>
      <c r="BE1497" s="6"/>
      <c r="BV1497" s="17"/>
      <c r="BX1497" s="17"/>
      <c r="BZ1497" s="17"/>
    </row>
    <row r="1498" spans="4:78" x14ac:dyDescent="0.3">
      <c r="D1498" s="153"/>
      <c r="E1498" s="6"/>
      <c r="G1498" s="6"/>
      <c r="J1498" s="6"/>
      <c r="N1498" s="154"/>
      <c r="O1498" s="6"/>
      <c r="S1498" s="6"/>
      <c r="V1498" s="6"/>
      <c r="X1498" s="6"/>
      <c r="Z1498" s="110"/>
      <c r="AB1498" s="6"/>
      <c r="AD1498" s="6"/>
      <c r="AE1498" s="6"/>
      <c r="AF1498" s="126"/>
      <c r="AJ1498" s="6"/>
      <c r="AL1498" s="110"/>
      <c r="AM1498" s="110"/>
      <c r="AN1498" s="110"/>
      <c r="AP1498" s="6"/>
      <c r="AW1498" s="6"/>
      <c r="AX1498" s="6"/>
      <c r="AZ1498" s="110"/>
      <c r="BB1498" s="6"/>
      <c r="BD1498" s="6"/>
      <c r="BE1498" s="6"/>
      <c r="BV1498" s="17"/>
      <c r="BX1498" s="17"/>
      <c r="BZ1498" s="17"/>
    </row>
    <row r="1499" spans="4:78" x14ac:dyDescent="0.3">
      <c r="D1499" s="153"/>
      <c r="E1499" s="6"/>
      <c r="G1499" s="6"/>
      <c r="J1499" s="6"/>
      <c r="N1499" s="154"/>
      <c r="O1499" s="6"/>
      <c r="S1499" s="6"/>
      <c r="V1499" s="6"/>
      <c r="X1499" s="6"/>
      <c r="Z1499" s="110"/>
      <c r="AB1499" s="6"/>
      <c r="AD1499" s="6"/>
      <c r="AE1499" s="6"/>
      <c r="AF1499" s="126"/>
      <c r="AJ1499" s="6"/>
      <c r="AL1499" s="110"/>
      <c r="AM1499" s="110"/>
      <c r="AN1499" s="110"/>
      <c r="AP1499" s="6"/>
      <c r="AW1499" s="6"/>
      <c r="AX1499" s="6"/>
      <c r="AZ1499" s="110"/>
      <c r="BB1499" s="6"/>
      <c r="BD1499" s="6"/>
      <c r="BE1499" s="6"/>
      <c r="BV1499" s="17"/>
      <c r="BX1499" s="17"/>
      <c r="BZ1499" s="17"/>
    </row>
    <row r="1500" spans="4:78" x14ac:dyDescent="0.3">
      <c r="D1500" s="153"/>
      <c r="E1500" s="6"/>
      <c r="G1500" s="6"/>
      <c r="J1500" s="6"/>
      <c r="N1500" s="154"/>
      <c r="O1500" s="6"/>
      <c r="S1500" s="6"/>
      <c r="V1500" s="6"/>
      <c r="X1500" s="6"/>
      <c r="Z1500" s="110"/>
      <c r="AB1500" s="6"/>
      <c r="AD1500" s="6"/>
      <c r="AE1500" s="6"/>
      <c r="AF1500" s="126"/>
      <c r="AJ1500" s="6"/>
      <c r="AL1500" s="110"/>
      <c r="AM1500" s="110"/>
      <c r="AN1500" s="110"/>
      <c r="AP1500" s="6"/>
      <c r="AW1500" s="6"/>
      <c r="AX1500" s="6"/>
      <c r="AZ1500" s="110"/>
      <c r="BB1500" s="6"/>
      <c r="BD1500" s="6"/>
      <c r="BE1500" s="6"/>
      <c r="BV1500" s="17"/>
      <c r="BX1500" s="17"/>
      <c r="BZ1500" s="17"/>
    </row>
    <row r="1501" spans="4:78" x14ac:dyDescent="0.3">
      <c r="D1501" s="153"/>
      <c r="E1501" s="6"/>
      <c r="G1501" s="6"/>
      <c r="J1501" s="6"/>
      <c r="N1501" s="154"/>
      <c r="O1501" s="6"/>
      <c r="S1501" s="6"/>
      <c r="V1501" s="6"/>
      <c r="X1501" s="6"/>
      <c r="Z1501" s="110"/>
      <c r="AB1501" s="6"/>
      <c r="AD1501" s="6"/>
      <c r="AE1501" s="6"/>
      <c r="AF1501" s="126"/>
      <c r="AJ1501" s="6"/>
      <c r="AL1501" s="110"/>
      <c r="AM1501" s="110"/>
      <c r="AN1501" s="110"/>
      <c r="AP1501" s="6"/>
      <c r="AW1501" s="6"/>
      <c r="AX1501" s="6"/>
      <c r="AZ1501" s="110"/>
      <c r="BB1501" s="6"/>
      <c r="BD1501" s="6"/>
      <c r="BE1501" s="6"/>
      <c r="BV1501" s="17"/>
      <c r="BX1501" s="17"/>
      <c r="BZ1501" s="17"/>
    </row>
    <row r="1502" spans="4:78" x14ac:dyDescent="0.3">
      <c r="D1502" s="153"/>
      <c r="E1502" s="6"/>
      <c r="G1502" s="6"/>
      <c r="J1502" s="6"/>
      <c r="N1502" s="154"/>
      <c r="O1502" s="6"/>
      <c r="S1502" s="6"/>
      <c r="V1502" s="6"/>
      <c r="X1502" s="6"/>
      <c r="Z1502" s="110"/>
      <c r="AB1502" s="6"/>
      <c r="AD1502" s="6"/>
      <c r="AE1502" s="6"/>
      <c r="AF1502" s="126"/>
      <c r="AJ1502" s="6"/>
      <c r="AL1502" s="110"/>
      <c r="AM1502" s="110"/>
      <c r="AN1502" s="110"/>
      <c r="AP1502" s="6"/>
      <c r="AW1502" s="6"/>
      <c r="AX1502" s="6"/>
      <c r="AZ1502" s="110"/>
      <c r="BB1502" s="6"/>
      <c r="BD1502" s="6"/>
      <c r="BE1502" s="6"/>
      <c r="BV1502" s="17"/>
      <c r="BX1502" s="17"/>
      <c r="BZ1502" s="17"/>
    </row>
    <row r="1503" spans="4:78" x14ac:dyDescent="0.3">
      <c r="D1503" s="153"/>
      <c r="E1503" s="6"/>
      <c r="G1503" s="6"/>
      <c r="J1503" s="6"/>
      <c r="N1503" s="154"/>
      <c r="O1503" s="6"/>
      <c r="S1503" s="6"/>
      <c r="V1503" s="6"/>
      <c r="X1503" s="6"/>
      <c r="Z1503" s="110"/>
      <c r="AB1503" s="6"/>
      <c r="AD1503" s="6"/>
      <c r="AE1503" s="6"/>
      <c r="AF1503" s="126"/>
      <c r="AJ1503" s="6"/>
      <c r="AL1503" s="110"/>
      <c r="AM1503" s="110"/>
      <c r="AN1503" s="110"/>
      <c r="AP1503" s="6"/>
      <c r="AW1503" s="6"/>
      <c r="AX1503" s="6"/>
      <c r="AZ1503" s="110"/>
      <c r="BB1503" s="6"/>
      <c r="BD1503" s="6"/>
      <c r="BE1503" s="6"/>
      <c r="BV1503" s="17"/>
      <c r="BX1503" s="17"/>
      <c r="BZ1503" s="17"/>
    </row>
    <row r="1504" spans="4:78" x14ac:dyDescent="0.3">
      <c r="D1504" s="153"/>
      <c r="E1504" s="6"/>
      <c r="G1504" s="6"/>
      <c r="J1504" s="6"/>
      <c r="N1504" s="154"/>
      <c r="O1504" s="6"/>
      <c r="S1504" s="6"/>
      <c r="V1504" s="6"/>
      <c r="X1504" s="6"/>
      <c r="Z1504" s="110"/>
      <c r="AB1504" s="6"/>
      <c r="AD1504" s="6"/>
      <c r="AE1504" s="6"/>
      <c r="AF1504" s="126"/>
      <c r="AJ1504" s="6"/>
      <c r="AL1504" s="110"/>
      <c r="AM1504" s="110"/>
      <c r="AN1504" s="110"/>
      <c r="AP1504" s="6"/>
      <c r="AW1504" s="6"/>
      <c r="AX1504" s="6"/>
      <c r="AZ1504" s="110"/>
      <c r="BB1504" s="6"/>
      <c r="BD1504" s="6"/>
      <c r="BE1504" s="6"/>
      <c r="BV1504" s="17"/>
      <c r="BX1504" s="17"/>
      <c r="BZ1504" s="17"/>
    </row>
    <row r="1505" spans="4:78" x14ac:dyDescent="0.3">
      <c r="D1505" s="153"/>
      <c r="E1505" s="6"/>
      <c r="G1505" s="6"/>
      <c r="J1505" s="6"/>
      <c r="N1505" s="154"/>
      <c r="O1505" s="6"/>
      <c r="S1505" s="6"/>
      <c r="V1505" s="6"/>
      <c r="X1505" s="6"/>
      <c r="Z1505" s="110"/>
      <c r="AB1505" s="6"/>
      <c r="AD1505" s="6"/>
      <c r="AE1505" s="6"/>
      <c r="AF1505" s="126"/>
      <c r="AJ1505" s="6"/>
      <c r="AL1505" s="110"/>
      <c r="AM1505" s="110"/>
      <c r="AN1505" s="110"/>
      <c r="AP1505" s="6"/>
      <c r="AW1505" s="6"/>
      <c r="AX1505" s="6"/>
      <c r="AZ1505" s="110"/>
      <c r="BB1505" s="6"/>
      <c r="BD1505" s="6"/>
      <c r="BE1505" s="6"/>
      <c r="BV1505" s="17"/>
      <c r="BX1505" s="17"/>
      <c r="BZ1505" s="17"/>
    </row>
    <row r="1506" spans="4:78" x14ac:dyDescent="0.3">
      <c r="D1506" s="153"/>
      <c r="E1506" s="6"/>
      <c r="G1506" s="6"/>
      <c r="J1506" s="6"/>
      <c r="N1506" s="154"/>
      <c r="O1506" s="6"/>
      <c r="S1506" s="6"/>
      <c r="V1506" s="6"/>
      <c r="X1506" s="6"/>
      <c r="Z1506" s="110"/>
      <c r="AB1506" s="6"/>
      <c r="AD1506" s="6"/>
      <c r="AE1506" s="6"/>
      <c r="AF1506" s="126"/>
      <c r="AJ1506" s="6"/>
      <c r="AL1506" s="110"/>
      <c r="AM1506" s="110"/>
      <c r="AN1506" s="110"/>
      <c r="AP1506" s="6"/>
      <c r="AW1506" s="6"/>
      <c r="AX1506" s="6"/>
      <c r="AZ1506" s="110"/>
      <c r="BB1506" s="6"/>
      <c r="BD1506" s="6"/>
      <c r="BE1506" s="6"/>
      <c r="BV1506" s="17"/>
      <c r="BX1506" s="17"/>
      <c r="BZ1506" s="17"/>
    </row>
    <row r="1507" spans="4:78" x14ac:dyDescent="0.3">
      <c r="D1507" s="153"/>
      <c r="E1507" s="6"/>
      <c r="G1507" s="6"/>
      <c r="J1507" s="6"/>
      <c r="N1507" s="154"/>
      <c r="O1507" s="6"/>
      <c r="S1507" s="6"/>
      <c r="V1507" s="6"/>
      <c r="X1507" s="6"/>
      <c r="Z1507" s="110"/>
      <c r="AB1507" s="6"/>
      <c r="AD1507" s="6"/>
      <c r="AE1507" s="6"/>
      <c r="AF1507" s="126"/>
      <c r="AJ1507" s="6"/>
      <c r="AL1507" s="110"/>
      <c r="AM1507" s="110"/>
      <c r="AN1507" s="110"/>
      <c r="AP1507" s="6"/>
      <c r="AW1507" s="6"/>
      <c r="AX1507" s="6"/>
      <c r="AZ1507" s="110"/>
      <c r="BB1507" s="6"/>
      <c r="BD1507" s="6"/>
      <c r="BE1507" s="6"/>
      <c r="BV1507" s="17"/>
      <c r="BX1507" s="17"/>
      <c r="BZ1507" s="17"/>
    </row>
    <row r="1508" spans="4:78" x14ac:dyDescent="0.3">
      <c r="D1508" s="153"/>
      <c r="E1508" s="6"/>
      <c r="G1508" s="6"/>
      <c r="J1508" s="6"/>
      <c r="N1508" s="154"/>
      <c r="O1508" s="6"/>
      <c r="S1508" s="6"/>
      <c r="V1508" s="6"/>
      <c r="X1508" s="6"/>
      <c r="Z1508" s="110"/>
      <c r="AB1508" s="6"/>
      <c r="AD1508" s="6"/>
      <c r="AE1508" s="6"/>
      <c r="AF1508" s="126"/>
      <c r="AJ1508" s="6"/>
      <c r="AL1508" s="110"/>
      <c r="AM1508" s="110"/>
      <c r="AN1508" s="110"/>
      <c r="AP1508" s="6"/>
      <c r="AW1508" s="6"/>
      <c r="AX1508" s="6"/>
      <c r="AZ1508" s="110"/>
      <c r="BB1508" s="6"/>
      <c r="BD1508" s="6"/>
      <c r="BE1508" s="6"/>
      <c r="BV1508" s="17"/>
      <c r="BX1508" s="17"/>
      <c r="BZ1508" s="17"/>
    </row>
    <row r="1509" spans="4:78" x14ac:dyDescent="0.3">
      <c r="D1509" s="153"/>
      <c r="E1509" s="6"/>
      <c r="G1509" s="6"/>
      <c r="J1509" s="6"/>
      <c r="N1509" s="154"/>
      <c r="O1509" s="6"/>
      <c r="S1509" s="6"/>
      <c r="V1509" s="6"/>
      <c r="X1509" s="6"/>
      <c r="Z1509" s="110"/>
      <c r="AB1509" s="6"/>
      <c r="AD1509" s="6"/>
      <c r="AE1509" s="6"/>
      <c r="AF1509" s="126"/>
      <c r="AJ1509" s="6"/>
      <c r="AL1509" s="110"/>
      <c r="AM1509" s="110"/>
      <c r="AN1509" s="110"/>
      <c r="AP1509" s="6"/>
      <c r="AW1509" s="6"/>
      <c r="AX1509" s="6"/>
      <c r="AZ1509" s="110"/>
      <c r="BB1509" s="6"/>
      <c r="BD1509" s="6"/>
      <c r="BE1509" s="6"/>
      <c r="BV1509" s="17"/>
      <c r="BX1509" s="17"/>
      <c r="BZ1509" s="17"/>
    </row>
    <row r="1510" spans="4:78" x14ac:dyDescent="0.3">
      <c r="D1510" s="153"/>
      <c r="E1510" s="6"/>
      <c r="G1510" s="6"/>
      <c r="J1510" s="6"/>
      <c r="N1510" s="154"/>
      <c r="O1510" s="6"/>
      <c r="S1510" s="6"/>
      <c r="V1510" s="6"/>
      <c r="X1510" s="6"/>
      <c r="Z1510" s="110"/>
      <c r="AB1510" s="6"/>
      <c r="AD1510" s="6"/>
      <c r="AE1510" s="6"/>
      <c r="AF1510" s="126"/>
      <c r="AJ1510" s="6"/>
      <c r="AL1510" s="110"/>
      <c r="AM1510" s="110"/>
      <c r="AN1510" s="110"/>
      <c r="AP1510" s="6"/>
      <c r="AW1510" s="6"/>
      <c r="AX1510" s="6"/>
      <c r="AZ1510" s="110"/>
      <c r="BB1510" s="6"/>
      <c r="BD1510" s="6"/>
      <c r="BE1510" s="6"/>
      <c r="BV1510" s="17"/>
      <c r="BX1510" s="17"/>
      <c r="BZ1510" s="17"/>
    </row>
    <row r="1511" spans="4:78" x14ac:dyDescent="0.3">
      <c r="D1511" s="153"/>
      <c r="E1511" s="6"/>
      <c r="G1511" s="6"/>
      <c r="J1511" s="6"/>
      <c r="N1511" s="154"/>
      <c r="O1511" s="6"/>
      <c r="S1511" s="6"/>
      <c r="V1511" s="6"/>
      <c r="X1511" s="6"/>
      <c r="Z1511" s="110"/>
      <c r="AB1511" s="6"/>
      <c r="AD1511" s="6"/>
      <c r="AE1511" s="6"/>
      <c r="AF1511" s="126"/>
      <c r="AJ1511" s="6"/>
      <c r="AL1511" s="110"/>
      <c r="AM1511" s="110"/>
      <c r="AN1511" s="110"/>
      <c r="AP1511" s="6"/>
      <c r="AW1511" s="6"/>
      <c r="AX1511" s="6"/>
      <c r="AZ1511" s="110"/>
      <c r="BB1511" s="6"/>
      <c r="BD1511" s="6"/>
      <c r="BE1511" s="6"/>
      <c r="BV1511" s="17"/>
      <c r="BX1511" s="17"/>
      <c r="BZ1511" s="17"/>
    </row>
    <row r="1512" spans="4:78" x14ac:dyDescent="0.3">
      <c r="D1512" s="153"/>
      <c r="E1512" s="6"/>
      <c r="G1512" s="6"/>
      <c r="J1512" s="6"/>
      <c r="N1512" s="154"/>
      <c r="O1512" s="6"/>
      <c r="S1512" s="6"/>
      <c r="V1512" s="6"/>
      <c r="X1512" s="6"/>
      <c r="Z1512" s="110"/>
      <c r="AB1512" s="6"/>
      <c r="AD1512" s="6"/>
      <c r="AE1512" s="6"/>
      <c r="AF1512" s="126"/>
      <c r="AJ1512" s="6"/>
      <c r="AL1512" s="110"/>
      <c r="AM1512" s="110"/>
      <c r="AN1512" s="110"/>
      <c r="AP1512" s="6"/>
      <c r="AW1512" s="6"/>
      <c r="AX1512" s="6"/>
      <c r="AZ1512" s="110"/>
      <c r="BB1512" s="6"/>
      <c r="BD1512" s="6"/>
      <c r="BE1512" s="6"/>
      <c r="BV1512" s="17"/>
      <c r="BX1512" s="17"/>
      <c r="BZ1512" s="17"/>
    </row>
    <row r="1513" spans="4:78" x14ac:dyDescent="0.3">
      <c r="D1513" s="153"/>
      <c r="E1513" s="6"/>
      <c r="G1513" s="6"/>
      <c r="J1513" s="6"/>
      <c r="N1513" s="154"/>
      <c r="O1513" s="6"/>
      <c r="S1513" s="6"/>
      <c r="V1513" s="6"/>
      <c r="X1513" s="6"/>
      <c r="Z1513" s="110"/>
      <c r="AB1513" s="6"/>
      <c r="AD1513" s="6"/>
      <c r="AE1513" s="6"/>
      <c r="AF1513" s="126"/>
      <c r="AJ1513" s="6"/>
      <c r="AL1513" s="110"/>
      <c r="AM1513" s="110"/>
      <c r="AN1513" s="110"/>
      <c r="AP1513" s="6"/>
      <c r="AW1513" s="6"/>
      <c r="AX1513" s="6"/>
      <c r="AZ1513" s="110"/>
      <c r="BB1513" s="6"/>
      <c r="BD1513" s="6"/>
      <c r="BE1513" s="6"/>
      <c r="BV1513" s="17"/>
      <c r="BX1513" s="17"/>
      <c r="BZ1513" s="17"/>
    </row>
    <row r="1514" spans="4:78" x14ac:dyDescent="0.3">
      <c r="D1514" s="153"/>
      <c r="E1514" s="6"/>
      <c r="G1514" s="6"/>
      <c r="J1514" s="6"/>
      <c r="N1514" s="154"/>
      <c r="O1514" s="6"/>
      <c r="S1514" s="6"/>
      <c r="V1514" s="6"/>
      <c r="X1514" s="6"/>
      <c r="Z1514" s="110"/>
      <c r="AB1514" s="6"/>
      <c r="AD1514" s="6"/>
      <c r="AE1514" s="6"/>
      <c r="AF1514" s="126"/>
      <c r="AJ1514" s="6"/>
      <c r="AL1514" s="110"/>
      <c r="AM1514" s="110"/>
      <c r="AN1514" s="110"/>
      <c r="AP1514" s="6"/>
      <c r="AW1514" s="6"/>
      <c r="AX1514" s="6"/>
      <c r="AZ1514" s="110"/>
      <c r="BB1514" s="6"/>
      <c r="BD1514" s="6"/>
      <c r="BE1514" s="6"/>
      <c r="BV1514" s="17"/>
      <c r="BX1514" s="17"/>
      <c r="BZ1514" s="17"/>
    </row>
    <row r="1515" spans="4:78" x14ac:dyDescent="0.3">
      <c r="D1515" s="153"/>
      <c r="E1515" s="6"/>
      <c r="G1515" s="6"/>
      <c r="J1515" s="6"/>
      <c r="N1515" s="154"/>
      <c r="O1515" s="6"/>
      <c r="S1515" s="6"/>
      <c r="V1515" s="6"/>
      <c r="X1515" s="6"/>
      <c r="Z1515" s="110"/>
      <c r="AB1515" s="6"/>
      <c r="AD1515" s="6"/>
      <c r="AE1515" s="6"/>
      <c r="AF1515" s="126"/>
      <c r="AJ1515" s="6"/>
      <c r="AL1515" s="110"/>
      <c r="AM1515" s="110"/>
      <c r="AN1515" s="110"/>
      <c r="AP1515" s="6"/>
      <c r="AW1515" s="6"/>
      <c r="AX1515" s="6"/>
      <c r="AZ1515" s="110"/>
      <c r="BB1515" s="6"/>
      <c r="BD1515" s="6"/>
      <c r="BE1515" s="6"/>
      <c r="BV1515" s="17"/>
      <c r="BX1515" s="17"/>
      <c r="BZ1515" s="17"/>
    </row>
    <row r="1516" spans="4:78" x14ac:dyDescent="0.3">
      <c r="D1516" s="153"/>
      <c r="E1516" s="6"/>
      <c r="G1516" s="6"/>
      <c r="J1516" s="6"/>
      <c r="N1516" s="154"/>
      <c r="O1516" s="6"/>
      <c r="S1516" s="6"/>
      <c r="V1516" s="6"/>
      <c r="X1516" s="6"/>
      <c r="Z1516" s="110"/>
      <c r="AB1516" s="6"/>
      <c r="AD1516" s="6"/>
      <c r="AE1516" s="6"/>
      <c r="AF1516" s="126"/>
      <c r="AJ1516" s="6"/>
      <c r="AL1516" s="110"/>
      <c r="AM1516" s="110"/>
      <c r="AN1516" s="110"/>
      <c r="AP1516" s="6"/>
      <c r="AW1516" s="6"/>
      <c r="AX1516" s="6"/>
      <c r="AZ1516" s="110"/>
      <c r="BB1516" s="6"/>
      <c r="BD1516" s="6"/>
      <c r="BE1516" s="6"/>
      <c r="BV1516" s="17"/>
      <c r="BX1516" s="17"/>
      <c r="BZ1516" s="17"/>
    </row>
    <row r="1517" spans="4:78" x14ac:dyDescent="0.3">
      <c r="D1517" s="153"/>
      <c r="E1517" s="6"/>
      <c r="G1517" s="6"/>
      <c r="J1517" s="6"/>
      <c r="N1517" s="154"/>
      <c r="O1517" s="6"/>
      <c r="S1517" s="6"/>
      <c r="V1517" s="6"/>
      <c r="X1517" s="6"/>
      <c r="Z1517" s="110"/>
      <c r="AB1517" s="6"/>
      <c r="AD1517" s="6"/>
      <c r="AE1517" s="6"/>
      <c r="AF1517" s="126"/>
      <c r="AJ1517" s="6"/>
      <c r="AL1517" s="110"/>
      <c r="AM1517" s="110"/>
      <c r="AN1517" s="110"/>
      <c r="AP1517" s="6"/>
      <c r="AW1517" s="6"/>
      <c r="AX1517" s="6"/>
      <c r="AZ1517" s="110"/>
      <c r="BB1517" s="6"/>
      <c r="BD1517" s="6"/>
      <c r="BE1517" s="6"/>
      <c r="BV1517" s="17"/>
      <c r="BX1517" s="17"/>
      <c r="BZ1517" s="17"/>
    </row>
    <row r="1518" spans="4:78" x14ac:dyDescent="0.3">
      <c r="D1518" s="153"/>
      <c r="E1518" s="6"/>
      <c r="G1518" s="6"/>
      <c r="J1518" s="6"/>
      <c r="N1518" s="154"/>
      <c r="O1518" s="6"/>
      <c r="S1518" s="6"/>
      <c r="V1518" s="6"/>
      <c r="X1518" s="6"/>
      <c r="Z1518" s="110"/>
      <c r="AB1518" s="6"/>
      <c r="AD1518" s="6"/>
      <c r="AE1518" s="6"/>
      <c r="AF1518" s="126"/>
      <c r="AJ1518" s="6"/>
      <c r="AL1518" s="110"/>
      <c r="AM1518" s="110"/>
      <c r="AN1518" s="110"/>
      <c r="AP1518" s="6"/>
      <c r="AW1518" s="6"/>
      <c r="AX1518" s="6"/>
      <c r="AZ1518" s="110"/>
      <c r="BB1518" s="6"/>
      <c r="BD1518" s="6"/>
      <c r="BE1518" s="6"/>
      <c r="BV1518" s="17"/>
      <c r="BX1518" s="17"/>
      <c r="BZ1518" s="17"/>
    </row>
    <row r="1519" spans="4:78" x14ac:dyDescent="0.3">
      <c r="D1519" s="153"/>
      <c r="E1519" s="6"/>
      <c r="G1519" s="6"/>
      <c r="J1519" s="6"/>
      <c r="N1519" s="154"/>
      <c r="O1519" s="6"/>
      <c r="S1519" s="6"/>
      <c r="V1519" s="6"/>
      <c r="X1519" s="6"/>
      <c r="Z1519" s="110"/>
      <c r="AB1519" s="6"/>
      <c r="AD1519" s="6"/>
      <c r="AE1519" s="6"/>
      <c r="AF1519" s="126"/>
      <c r="AJ1519" s="6"/>
      <c r="AL1519" s="110"/>
      <c r="AM1519" s="110"/>
      <c r="AN1519" s="110"/>
      <c r="AP1519" s="6"/>
      <c r="AW1519" s="6"/>
      <c r="AX1519" s="6"/>
      <c r="AZ1519" s="110"/>
      <c r="BB1519" s="6"/>
      <c r="BD1519" s="6"/>
      <c r="BE1519" s="6"/>
      <c r="BV1519" s="17"/>
      <c r="BX1519" s="17"/>
      <c r="BZ1519" s="17"/>
    </row>
    <row r="1520" spans="4:78" x14ac:dyDescent="0.3">
      <c r="D1520" s="153"/>
      <c r="E1520" s="6"/>
      <c r="G1520" s="6"/>
      <c r="J1520" s="6"/>
      <c r="N1520" s="154"/>
      <c r="O1520" s="6"/>
      <c r="S1520" s="6"/>
      <c r="V1520" s="6"/>
      <c r="X1520" s="6"/>
      <c r="Z1520" s="110"/>
      <c r="AB1520" s="6"/>
      <c r="AD1520" s="6"/>
      <c r="AE1520" s="6"/>
      <c r="AF1520" s="126"/>
      <c r="AJ1520" s="6"/>
      <c r="AL1520" s="110"/>
      <c r="AM1520" s="110"/>
      <c r="AN1520" s="110"/>
      <c r="AP1520" s="6"/>
      <c r="AW1520" s="6"/>
      <c r="AX1520" s="6"/>
      <c r="AZ1520" s="110"/>
      <c r="BB1520" s="6"/>
      <c r="BD1520" s="6"/>
      <c r="BE1520" s="6"/>
      <c r="BV1520" s="17"/>
      <c r="BX1520" s="17"/>
      <c r="BZ1520" s="17"/>
    </row>
    <row r="1521" spans="4:78" x14ac:dyDescent="0.3">
      <c r="D1521" s="153"/>
      <c r="E1521" s="6"/>
      <c r="G1521" s="6"/>
      <c r="J1521" s="6"/>
      <c r="N1521" s="154"/>
      <c r="O1521" s="6"/>
      <c r="S1521" s="6"/>
      <c r="V1521" s="6"/>
      <c r="X1521" s="6"/>
      <c r="Z1521" s="110"/>
      <c r="AB1521" s="6"/>
      <c r="AD1521" s="6"/>
      <c r="AE1521" s="6"/>
      <c r="AF1521" s="126"/>
      <c r="AJ1521" s="6"/>
      <c r="AL1521" s="110"/>
      <c r="AM1521" s="110"/>
      <c r="AN1521" s="110"/>
      <c r="AP1521" s="6"/>
      <c r="AW1521" s="6"/>
      <c r="AX1521" s="6"/>
      <c r="AZ1521" s="110"/>
      <c r="BB1521" s="6"/>
      <c r="BD1521" s="6"/>
      <c r="BE1521" s="6"/>
      <c r="BV1521" s="17"/>
      <c r="BX1521" s="17"/>
      <c r="BZ1521" s="17"/>
    </row>
    <row r="1522" spans="4:78" x14ac:dyDescent="0.3">
      <c r="D1522" s="153"/>
      <c r="E1522" s="6"/>
      <c r="G1522" s="6"/>
      <c r="J1522" s="6"/>
      <c r="N1522" s="154"/>
      <c r="O1522" s="6"/>
      <c r="S1522" s="6"/>
      <c r="V1522" s="6"/>
      <c r="X1522" s="6"/>
      <c r="Z1522" s="110"/>
      <c r="AB1522" s="6"/>
      <c r="AD1522" s="6"/>
      <c r="AE1522" s="6"/>
      <c r="AF1522" s="126"/>
      <c r="AJ1522" s="6"/>
      <c r="AL1522" s="110"/>
      <c r="AM1522" s="110"/>
      <c r="AN1522" s="110"/>
      <c r="AP1522" s="6"/>
      <c r="AW1522" s="6"/>
      <c r="AX1522" s="6"/>
      <c r="AZ1522" s="110"/>
      <c r="BB1522" s="6"/>
      <c r="BD1522" s="6"/>
      <c r="BE1522" s="6"/>
      <c r="BV1522" s="17"/>
      <c r="BX1522" s="17"/>
      <c r="BZ1522" s="17"/>
    </row>
    <row r="1523" spans="4:78" x14ac:dyDescent="0.3">
      <c r="D1523" s="153"/>
      <c r="E1523" s="6"/>
      <c r="G1523" s="6"/>
      <c r="J1523" s="6"/>
      <c r="N1523" s="154"/>
      <c r="O1523" s="6"/>
      <c r="S1523" s="6"/>
      <c r="V1523" s="6"/>
      <c r="X1523" s="6"/>
      <c r="Z1523" s="110"/>
      <c r="AB1523" s="6"/>
      <c r="AD1523" s="6"/>
      <c r="AE1523" s="6"/>
      <c r="AF1523" s="126"/>
      <c r="AJ1523" s="6"/>
      <c r="AL1523" s="110"/>
      <c r="AM1523" s="110"/>
      <c r="AN1523" s="110"/>
      <c r="AP1523" s="6"/>
      <c r="AW1523" s="6"/>
      <c r="AX1523" s="6"/>
      <c r="AZ1523" s="110"/>
      <c r="BB1523" s="6"/>
      <c r="BD1523" s="6"/>
      <c r="BE1523" s="6"/>
      <c r="BV1523" s="17"/>
      <c r="BX1523" s="17"/>
      <c r="BZ1523" s="17"/>
    </row>
    <row r="1524" spans="4:78" x14ac:dyDescent="0.3">
      <c r="D1524" s="153"/>
      <c r="E1524" s="6"/>
      <c r="G1524" s="6"/>
      <c r="J1524" s="6"/>
      <c r="N1524" s="154"/>
      <c r="O1524" s="6"/>
      <c r="S1524" s="6"/>
      <c r="V1524" s="6"/>
      <c r="X1524" s="6"/>
      <c r="Z1524" s="110"/>
      <c r="AB1524" s="6"/>
      <c r="AD1524" s="6"/>
      <c r="AE1524" s="6"/>
      <c r="AF1524" s="126"/>
      <c r="AJ1524" s="6"/>
      <c r="AL1524" s="110"/>
      <c r="AM1524" s="110"/>
      <c r="AN1524" s="110"/>
      <c r="AP1524" s="6"/>
      <c r="AW1524" s="6"/>
      <c r="AX1524" s="6"/>
      <c r="AZ1524" s="110"/>
      <c r="BB1524" s="6"/>
      <c r="BD1524" s="6"/>
      <c r="BE1524" s="6"/>
      <c r="BV1524" s="17"/>
      <c r="BX1524" s="17"/>
      <c r="BZ1524" s="17"/>
    </row>
    <row r="1525" spans="4:78" x14ac:dyDescent="0.3">
      <c r="D1525" s="153"/>
      <c r="E1525" s="6"/>
      <c r="G1525" s="6"/>
      <c r="J1525" s="6"/>
      <c r="N1525" s="154"/>
      <c r="O1525" s="6"/>
      <c r="S1525" s="6"/>
      <c r="V1525" s="6"/>
      <c r="X1525" s="6"/>
      <c r="Z1525" s="110"/>
      <c r="AB1525" s="6"/>
      <c r="AD1525" s="6"/>
      <c r="AE1525" s="6"/>
      <c r="AF1525" s="126"/>
      <c r="AJ1525" s="6"/>
      <c r="AL1525" s="110"/>
      <c r="AM1525" s="110"/>
      <c r="AN1525" s="110"/>
      <c r="AP1525" s="6"/>
      <c r="AW1525" s="6"/>
      <c r="AX1525" s="6"/>
      <c r="AZ1525" s="110"/>
      <c r="BB1525" s="6"/>
      <c r="BD1525" s="6"/>
      <c r="BE1525" s="6"/>
      <c r="BV1525" s="17"/>
      <c r="BX1525" s="17"/>
      <c r="BZ1525" s="17"/>
    </row>
    <row r="1526" spans="4:78" x14ac:dyDescent="0.3">
      <c r="D1526" s="153"/>
      <c r="E1526" s="6"/>
      <c r="G1526" s="6"/>
      <c r="J1526" s="6"/>
      <c r="N1526" s="154"/>
      <c r="O1526" s="6"/>
      <c r="S1526" s="6"/>
      <c r="V1526" s="6"/>
      <c r="X1526" s="6"/>
      <c r="Z1526" s="110"/>
      <c r="AB1526" s="6"/>
      <c r="AD1526" s="6"/>
      <c r="AE1526" s="6"/>
      <c r="AF1526" s="126"/>
      <c r="AJ1526" s="6"/>
      <c r="AL1526" s="110"/>
      <c r="AM1526" s="110"/>
      <c r="AN1526" s="110"/>
      <c r="AP1526" s="6"/>
      <c r="AW1526" s="6"/>
      <c r="AX1526" s="6"/>
      <c r="AZ1526" s="110"/>
      <c r="BB1526" s="6"/>
      <c r="BD1526" s="6"/>
      <c r="BE1526" s="6"/>
      <c r="BV1526" s="17"/>
      <c r="BX1526" s="17"/>
      <c r="BZ1526" s="17"/>
    </row>
    <row r="1527" spans="4:78" x14ac:dyDescent="0.3">
      <c r="D1527" s="153"/>
      <c r="E1527" s="6"/>
      <c r="G1527" s="6"/>
      <c r="J1527" s="6"/>
      <c r="N1527" s="154"/>
      <c r="O1527" s="6"/>
      <c r="S1527" s="6"/>
      <c r="V1527" s="6"/>
      <c r="X1527" s="6"/>
      <c r="Z1527" s="110"/>
      <c r="AB1527" s="6"/>
      <c r="AD1527" s="6"/>
      <c r="AE1527" s="6"/>
      <c r="AF1527" s="126"/>
      <c r="AJ1527" s="6"/>
      <c r="AL1527" s="110"/>
      <c r="AM1527" s="110"/>
      <c r="AN1527" s="110"/>
      <c r="AP1527" s="6"/>
      <c r="AW1527" s="6"/>
      <c r="AX1527" s="6"/>
      <c r="AZ1527" s="110"/>
      <c r="BB1527" s="6"/>
      <c r="BD1527" s="6"/>
      <c r="BE1527" s="6"/>
      <c r="BV1527" s="17"/>
      <c r="BX1527" s="17"/>
      <c r="BZ1527" s="17"/>
    </row>
    <row r="1528" spans="4:78" x14ac:dyDescent="0.3">
      <c r="D1528" s="153"/>
      <c r="E1528" s="6"/>
      <c r="G1528" s="6"/>
      <c r="J1528" s="6"/>
      <c r="N1528" s="154"/>
      <c r="O1528" s="6"/>
      <c r="S1528" s="6"/>
      <c r="V1528" s="6"/>
      <c r="X1528" s="6"/>
      <c r="Z1528" s="110"/>
      <c r="AB1528" s="6"/>
      <c r="AD1528" s="6"/>
      <c r="AE1528" s="6"/>
      <c r="AF1528" s="126"/>
      <c r="AJ1528" s="6"/>
      <c r="AL1528" s="110"/>
      <c r="AM1528" s="110"/>
      <c r="AN1528" s="110"/>
      <c r="AP1528" s="6"/>
      <c r="AW1528" s="6"/>
      <c r="AX1528" s="6"/>
      <c r="AZ1528" s="110"/>
      <c r="BB1528" s="6"/>
      <c r="BD1528" s="6"/>
      <c r="BE1528" s="6"/>
      <c r="BV1528" s="17"/>
      <c r="BX1528" s="17"/>
      <c r="BZ1528" s="17"/>
    </row>
    <row r="1529" spans="4:78" x14ac:dyDescent="0.3">
      <c r="D1529" s="153"/>
      <c r="E1529" s="6"/>
      <c r="G1529" s="6"/>
      <c r="J1529" s="6"/>
      <c r="N1529" s="154"/>
      <c r="O1529" s="6"/>
      <c r="S1529" s="6"/>
      <c r="V1529" s="6"/>
      <c r="X1529" s="6"/>
      <c r="Z1529" s="110"/>
      <c r="AB1529" s="6"/>
      <c r="AD1529" s="6"/>
      <c r="AE1529" s="6"/>
      <c r="AF1529" s="126"/>
      <c r="AJ1529" s="6"/>
      <c r="AL1529" s="110"/>
      <c r="AM1529" s="110"/>
      <c r="AN1529" s="110"/>
      <c r="AP1529" s="6"/>
      <c r="AW1529" s="6"/>
      <c r="AX1529" s="6"/>
      <c r="AZ1529" s="110"/>
      <c r="BB1529" s="6"/>
      <c r="BD1529" s="6"/>
      <c r="BE1529" s="6"/>
      <c r="BV1529" s="17"/>
      <c r="BX1529" s="17"/>
      <c r="BZ1529" s="17"/>
    </row>
    <row r="1530" spans="4:78" x14ac:dyDescent="0.3">
      <c r="D1530" s="153"/>
      <c r="E1530" s="6"/>
      <c r="G1530" s="6"/>
      <c r="J1530" s="6"/>
      <c r="N1530" s="154"/>
      <c r="O1530" s="6"/>
      <c r="S1530" s="6"/>
      <c r="V1530" s="6"/>
      <c r="X1530" s="6"/>
      <c r="Z1530" s="110"/>
      <c r="AB1530" s="6"/>
      <c r="AD1530" s="6"/>
      <c r="AE1530" s="6"/>
      <c r="AF1530" s="126"/>
      <c r="AJ1530" s="6"/>
      <c r="AL1530" s="110"/>
      <c r="AM1530" s="110"/>
      <c r="AN1530" s="110"/>
      <c r="AP1530" s="6"/>
      <c r="AW1530" s="6"/>
      <c r="AX1530" s="6"/>
      <c r="AZ1530" s="110"/>
      <c r="BB1530" s="6"/>
      <c r="BD1530" s="6"/>
      <c r="BE1530" s="6"/>
      <c r="BV1530" s="17"/>
      <c r="BX1530" s="17"/>
      <c r="BZ1530" s="17"/>
    </row>
    <row r="1531" spans="4:78" x14ac:dyDescent="0.3">
      <c r="D1531" s="153"/>
      <c r="E1531" s="6"/>
      <c r="G1531" s="6"/>
      <c r="J1531" s="6"/>
      <c r="N1531" s="154"/>
      <c r="O1531" s="6"/>
      <c r="S1531" s="6"/>
      <c r="V1531" s="6"/>
      <c r="X1531" s="6"/>
      <c r="Z1531" s="110"/>
      <c r="AB1531" s="6"/>
      <c r="AD1531" s="6"/>
      <c r="AE1531" s="6"/>
      <c r="AF1531" s="126"/>
      <c r="AJ1531" s="6"/>
      <c r="AL1531" s="110"/>
      <c r="AM1531" s="110"/>
      <c r="AN1531" s="110"/>
      <c r="AP1531" s="6"/>
      <c r="AW1531" s="6"/>
      <c r="AX1531" s="6"/>
      <c r="AZ1531" s="110"/>
      <c r="BB1531" s="6"/>
      <c r="BD1531" s="6"/>
      <c r="BE1531" s="6"/>
      <c r="BV1531" s="17"/>
      <c r="BX1531" s="17"/>
      <c r="BZ1531" s="17"/>
    </row>
    <row r="1532" spans="4:78" x14ac:dyDescent="0.3">
      <c r="D1532" s="153"/>
      <c r="E1532" s="6"/>
      <c r="G1532" s="6"/>
      <c r="J1532" s="6"/>
      <c r="N1532" s="154"/>
      <c r="O1532" s="6"/>
      <c r="S1532" s="6"/>
      <c r="V1532" s="6"/>
      <c r="X1532" s="6"/>
      <c r="Z1532" s="110"/>
      <c r="AB1532" s="6"/>
      <c r="AD1532" s="6"/>
      <c r="AE1532" s="6"/>
      <c r="AF1532" s="126"/>
      <c r="AJ1532" s="6"/>
      <c r="AL1532" s="110"/>
      <c r="AM1532" s="110"/>
      <c r="AN1532" s="110"/>
      <c r="AP1532" s="6"/>
      <c r="AW1532" s="6"/>
      <c r="AX1532" s="6"/>
      <c r="AZ1532" s="110"/>
      <c r="BB1532" s="6"/>
      <c r="BD1532" s="6"/>
      <c r="BE1532" s="6"/>
      <c r="BV1532" s="17"/>
      <c r="BX1532" s="17"/>
      <c r="BZ1532" s="17"/>
    </row>
    <row r="1533" spans="4:78" x14ac:dyDescent="0.3">
      <c r="D1533" s="153"/>
      <c r="E1533" s="6"/>
      <c r="G1533" s="6"/>
      <c r="J1533" s="6"/>
      <c r="N1533" s="154"/>
      <c r="O1533" s="6"/>
      <c r="S1533" s="6"/>
      <c r="V1533" s="6"/>
      <c r="X1533" s="6"/>
      <c r="Z1533" s="110"/>
      <c r="AB1533" s="6"/>
      <c r="AD1533" s="6"/>
      <c r="AE1533" s="6"/>
      <c r="AF1533" s="126"/>
      <c r="AJ1533" s="6"/>
      <c r="AL1533" s="110"/>
      <c r="AM1533" s="110"/>
      <c r="AN1533" s="110"/>
      <c r="AP1533" s="6"/>
      <c r="AW1533" s="6"/>
      <c r="AX1533" s="6"/>
      <c r="AZ1533" s="110"/>
      <c r="BB1533" s="6"/>
      <c r="BD1533" s="6"/>
      <c r="BE1533" s="6"/>
      <c r="BV1533" s="17"/>
      <c r="BX1533" s="17"/>
      <c r="BZ1533" s="17"/>
    </row>
    <row r="1534" spans="4:78" x14ac:dyDescent="0.3">
      <c r="D1534" s="153"/>
      <c r="E1534" s="6"/>
      <c r="G1534" s="6"/>
      <c r="J1534" s="6"/>
      <c r="N1534" s="154"/>
      <c r="O1534" s="6"/>
      <c r="S1534" s="6"/>
      <c r="V1534" s="6"/>
      <c r="X1534" s="6"/>
      <c r="Z1534" s="110"/>
      <c r="AB1534" s="6"/>
      <c r="AD1534" s="6"/>
      <c r="AE1534" s="6"/>
      <c r="AF1534" s="126"/>
      <c r="AJ1534" s="6"/>
      <c r="AL1534" s="110"/>
      <c r="AM1534" s="110"/>
      <c r="AN1534" s="110"/>
      <c r="AP1534" s="6"/>
      <c r="AW1534" s="6"/>
      <c r="AX1534" s="6"/>
      <c r="AZ1534" s="110"/>
      <c r="BB1534" s="6"/>
      <c r="BD1534" s="6"/>
      <c r="BE1534" s="6"/>
      <c r="BV1534" s="17"/>
      <c r="BX1534" s="17"/>
      <c r="BZ1534" s="17"/>
    </row>
    <row r="1535" spans="4:78" x14ac:dyDescent="0.3">
      <c r="D1535" s="153"/>
      <c r="E1535" s="6"/>
      <c r="G1535" s="6"/>
      <c r="J1535" s="6"/>
      <c r="N1535" s="154"/>
      <c r="O1535" s="6"/>
      <c r="S1535" s="6"/>
      <c r="V1535" s="6"/>
      <c r="X1535" s="6"/>
      <c r="Z1535" s="110"/>
      <c r="AB1535" s="6"/>
      <c r="AD1535" s="6"/>
      <c r="AE1535" s="6"/>
      <c r="AF1535" s="126"/>
      <c r="AJ1535" s="6"/>
      <c r="AL1535" s="110"/>
      <c r="AM1535" s="110"/>
      <c r="AN1535" s="110"/>
      <c r="AP1535" s="6"/>
      <c r="AW1535" s="6"/>
      <c r="AX1535" s="6"/>
      <c r="AZ1535" s="110"/>
      <c r="BB1535" s="6"/>
      <c r="BD1535" s="6"/>
      <c r="BE1535" s="6"/>
      <c r="BV1535" s="17"/>
      <c r="BX1535" s="17"/>
      <c r="BZ1535" s="17"/>
    </row>
    <row r="1536" spans="4:78" x14ac:dyDescent="0.3">
      <c r="D1536" s="153"/>
      <c r="E1536" s="6"/>
      <c r="G1536" s="6"/>
      <c r="J1536" s="6"/>
      <c r="N1536" s="154"/>
      <c r="O1536" s="6"/>
      <c r="S1536" s="6"/>
      <c r="V1536" s="6"/>
      <c r="X1536" s="6"/>
      <c r="Z1536" s="110"/>
      <c r="AB1536" s="6"/>
      <c r="AD1536" s="6"/>
      <c r="AE1536" s="6"/>
      <c r="AF1536" s="126"/>
      <c r="AJ1536" s="6"/>
      <c r="AL1536" s="110"/>
      <c r="AM1536" s="110"/>
      <c r="AN1536" s="110"/>
      <c r="AP1536" s="6"/>
      <c r="AW1536" s="6"/>
      <c r="AX1536" s="6"/>
      <c r="AZ1536" s="110"/>
      <c r="BB1536" s="6"/>
      <c r="BD1536" s="6"/>
      <c r="BE1536" s="6"/>
      <c r="BV1536" s="17"/>
      <c r="BX1536" s="17"/>
      <c r="BZ1536" s="17"/>
    </row>
    <row r="1537" spans="4:78" x14ac:dyDescent="0.3">
      <c r="D1537" s="153"/>
      <c r="E1537" s="6"/>
      <c r="G1537" s="6"/>
      <c r="J1537" s="6"/>
      <c r="N1537" s="154"/>
      <c r="O1537" s="6"/>
      <c r="S1537" s="6"/>
      <c r="V1537" s="6"/>
      <c r="X1537" s="6"/>
      <c r="Z1537" s="110"/>
      <c r="AB1537" s="6"/>
      <c r="AD1537" s="6"/>
      <c r="AE1537" s="6"/>
      <c r="AF1537" s="126"/>
      <c r="AJ1537" s="6"/>
      <c r="AL1537" s="110"/>
      <c r="AM1537" s="110"/>
      <c r="AN1537" s="110"/>
      <c r="AP1537" s="6"/>
      <c r="AW1537" s="6"/>
      <c r="AX1537" s="6"/>
      <c r="AZ1537" s="110"/>
      <c r="BB1537" s="6"/>
      <c r="BD1537" s="6"/>
      <c r="BE1537" s="6"/>
      <c r="BV1537" s="17"/>
      <c r="BX1537" s="17"/>
      <c r="BZ1537" s="17"/>
    </row>
    <row r="1538" spans="4:78" x14ac:dyDescent="0.3">
      <c r="D1538" s="153"/>
      <c r="E1538" s="6"/>
      <c r="G1538" s="6"/>
      <c r="J1538" s="6"/>
      <c r="N1538" s="154"/>
      <c r="O1538" s="6"/>
      <c r="S1538" s="6"/>
      <c r="V1538" s="6"/>
      <c r="X1538" s="6"/>
      <c r="Z1538" s="110"/>
      <c r="AB1538" s="6"/>
      <c r="AD1538" s="6"/>
      <c r="AE1538" s="6"/>
      <c r="AF1538" s="126"/>
      <c r="AJ1538" s="6"/>
      <c r="AL1538" s="110"/>
      <c r="AM1538" s="110"/>
      <c r="AN1538" s="110"/>
      <c r="AP1538" s="6"/>
      <c r="AW1538" s="6"/>
      <c r="AX1538" s="6"/>
      <c r="AZ1538" s="110"/>
      <c r="BB1538" s="6"/>
      <c r="BD1538" s="6"/>
      <c r="BE1538" s="6"/>
      <c r="BV1538" s="17"/>
      <c r="BX1538" s="17"/>
      <c r="BZ1538" s="17"/>
    </row>
    <row r="1539" spans="4:78" x14ac:dyDescent="0.3">
      <c r="D1539" s="153"/>
      <c r="E1539" s="6"/>
      <c r="G1539" s="6"/>
      <c r="J1539" s="6"/>
      <c r="N1539" s="154"/>
      <c r="O1539" s="6"/>
      <c r="S1539" s="6"/>
      <c r="V1539" s="6"/>
      <c r="X1539" s="6"/>
      <c r="Z1539" s="110"/>
      <c r="AB1539" s="6"/>
      <c r="AD1539" s="6"/>
      <c r="AE1539" s="6"/>
      <c r="AF1539" s="126"/>
      <c r="AJ1539" s="6"/>
      <c r="AL1539" s="110"/>
      <c r="AM1539" s="110"/>
      <c r="AN1539" s="110"/>
      <c r="AP1539" s="6"/>
      <c r="AW1539" s="6"/>
      <c r="AX1539" s="6"/>
      <c r="AZ1539" s="110"/>
      <c r="BB1539" s="6"/>
      <c r="BD1539" s="6"/>
      <c r="BE1539" s="6"/>
      <c r="BV1539" s="17"/>
      <c r="BX1539" s="17"/>
      <c r="BZ1539" s="17"/>
    </row>
    <row r="1540" spans="4:78" x14ac:dyDescent="0.3">
      <c r="D1540" s="153"/>
      <c r="E1540" s="6"/>
      <c r="G1540" s="6"/>
      <c r="J1540" s="6"/>
      <c r="N1540" s="154"/>
      <c r="O1540" s="6"/>
      <c r="S1540" s="6"/>
      <c r="V1540" s="6"/>
      <c r="X1540" s="6"/>
      <c r="Z1540" s="110"/>
      <c r="AB1540" s="6"/>
      <c r="AD1540" s="6"/>
      <c r="AE1540" s="6"/>
      <c r="AF1540" s="126"/>
      <c r="AJ1540" s="6"/>
      <c r="AL1540" s="110"/>
      <c r="AM1540" s="110"/>
      <c r="AN1540" s="110"/>
      <c r="AP1540" s="6"/>
      <c r="AW1540" s="6"/>
      <c r="AX1540" s="6"/>
      <c r="AZ1540" s="110"/>
      <c r="BB1540" s="6"/>
      <c r="BD1540" s="6"/>
      <c r="BE1540" s="6"/>
      <c r="BV1540" s="17"/>
      <c r="BX1540" s="17"/>
      <c r="BZ1540" s="17"/>
    </row>
    <row r="1541" spans="4:78" x14ac:dyDescent="0.3">
      <c r="D1541" s="153"/>
      <c r="E1541" s="6"/>
      <c r="G1541" s="6"/>
      <c r="J1541" s="6"/>
      <c r="N1541" s="154"/>
      <c r="O1541" s="6"/>
      <c r="S1541" s="6"/>
      <c r="V1541" s="6"/>
      <c r="X1541" s="6"/>
      <c r="Z1541" s="110"/>
      <c r="AB1541" s="6"/>
      <c r="AD1541" s="6"/>
      <c r="AE1541" s="6"/>
      <c r="AF1541" s="126"/>
      <c r="AJ1541" s="6"/>
      <c r="AL1541" s="110"/>
      <c r="AM1541" s="110"/>
      <c r="AN1541" s="110"/>
      <c r="AP1541" s="6"/>
      <c r="AW1541" s="6"/>
      <c r="AX1541" s="6"/>
      <c r="AZ1541" s="110"/>
      <c r="BB1541" s="6"/>
      <c r="BD1541" s="6"/>
      <c r="BE1541" s="6"/>
      <c r="BV1541" s="17"/>
      <c r="BX1541" s="17"/>
      <c r="BZ1541" s="17"/>
    </row>
    <row r="1542" spans="4:78" x14ac:dyDescent="0.3">
      <c r="D1542" s="153"/>
      <c r="E1542" s="6"/>
      <c r="G1542" s="6"/>
      <c r="J1542" s="6"/>
      <c r="N1542" s="154"/>
      <c r="O1542" s="6"/>
      <c r="S1542" s="6"/>
      <c r="V1542" s="6"/>
      <c r="X1542" s="6"/>
      <c r="Z1542" s="110"/>
      <c r="AB1542" s="6"/>
      <c r="AD1542" s="6"/>
      <c r="AE1542" s="6"/>
      <c r="AF1542" s="126"/>
      <c r="AJ1542" s="6"/>
      <c r="AL1542" s="110"/>
      <c r="AM1542" s="110"/>
      <c r="AN1542" s="110"/>
      <c r="AP1542" s="6"/>
      <c r="AW1542" s="6"/>
      <c r="AX1542" s="6"/>
      <c r="AZ1542" s="110"/>
      <c r="BB1542" s="6"/>
      <c r="BD1542" s="6"/>
      <c r="BE1542" s="6"/>
      <c r="BV1542" s="17"/>
      <c r="BX1542" s="17"/>
      <c r="BZ1542" s="17"/>
    </row>
    <row r="1543" spans="4:78" x14ac:dyDescent="0.3">
      <c r="D1543" s="153"/>
      <c r="E1543" s="6"/>
      <c r="G1543" s="6"/>
      <c r="J1543" s="6"/>
      <c r="N1543" s="154"/>
      <c r="O1543" s="6"/>
      <c r="S1543" s="6"/>
      <c r="V1543" s="6"/>
      <c r="X1543" s="6"/>
      <c r="Z1543" s="110"/>
      <c r="AB1543" s="6"/>
      <c r="AD1543" s="6"/>
      <c r="AE1543" s="6"/>
      <c r="AF1543" s="126"/>
      <c r="AJ1543" s="6"/>
      <c r="AL1543" s="110"/>
      <c r="AM1543" s="110"/>
      <c r="AN1543" s="110"/>
      <c r="AP1543" s="6"/>
      <c r="AW1543" s="6"/>
      <c r="AX1543" s="6"/>
      <c r="AZ1543" s="110"/>
      <c r="BB1543" s="6"/>
      <c r="BD1543" s="6"/>
      <c r="BE1543" s="6"/>
      <c r="BV1543" s="17"/>
      <c r="BX1543" s="17"/>
      <c r="BZ1543" s="17"/>
    </row>
    <row r="1544" spans="4:78" x14ac:dyDescent="0.3">
      <c r="D1544" s="153"/>
      <c r="E1544" s="6"/>
      <c r="G1544" s="6"/>
      <c r="J1544" s="6"/>
      <c r="N1544" s="154"/>
      <c r="O1544" s="6"/>
      <c r="S1544" s="6"/>
      <c r="V1544" s="6"/>
      <c r="X1544" s="6"/>
      <c r="Z1544" s="110"/>
      <c r="AB1544" s="6"/>
      <c r="AD1544" s="6"/>
      <c r="AE1544" s="6"/>
      <c r="AF1544" s="126"/>
      <c r="AJ1544" s="6"/>
      <c r="AL1544" s="110"/>
      <c r="AM1544" s="110"/>
      <c r="AN1544" s="110"/>
      <c r="AP1544" s="6"/>
      <c r="AW1544" s="6"/>
      <c r="AX1544" s="6"/>
      <c r="AZ1544" s="110"/>
      <c r="BB1544" s="6"/>
      <c r="BD1544" s="6"/>
      <c r="BE1544" s="6"/>
      <c r="BV1544" s="17"/>
      <c r="BX1544" s="17"/>
      <c r="BZ1544" s="17"/>
    </row>
    <row r="1545" spans="4:78" x14ac:dyDescent="0.3">
      <c r="D1545" s="153"/>
      <c r="E1545" s="6"/>
      <c r="G1545" s="6"/>
      <c r="J1545" s="6"/>
      <c r="N1545" s="154"/>
      <c r="O1545" s="6"/>
      <c r="S1545" s="6"/>
      <c r="V1545" s="6"/>
      <c r="X1545" s="6"/>
      <c r="Z1545" s="110"/>
      <c r="AB1545" s="6"/>
      <c r="AD1545" s="6"/>
      <c r="AE1545" s="6"/>
      <c r="AF1545" s="126"/>
      <c r="AJ1545" s="6"/>
      <c r="AL1545" s="110"/>
      <c r="AM1545" s="110"/>
      <c r="AN1545" s="110"/>
      <c r="AP1545" s="6"/>
      <c r="AW1545" s="6"/>
      <c r="AX1545" s="6"/>
      <c r="AZ1545" s="110"/>
      <c r="BB1545" s="6"/>
      <c r="BD1545" s="6"/>
      <c r="BE1545" s="6"/>
      <c r="BV1545" s="17"/>
      <c r="BX1545" s="17"/>
      <c r="BZ1545" s="17"/>
    </row>
    <row r="1546" spans="4:78" x14ac:dyDescent="0.3">
      <c r="D1546" s="153"/>
      <c r="E1546" s="6"/>
      <c r="G1546" s="6"/>
      <c r="J1546" s="6"/>
      <c r="N1546" s="154"/>
      <c r="O1546" s="6"/>
      <c r="S1546" s="6"/>
      <c r="V1546" s="6"/>
      <c r="X1546" s="6"/>
      <c r="Z1546" s="110"/>
      <c r="AB1546" s="6"/>
      <c r="AD1546" s="6"/>
      <c r="AE1546" s="6"/>
      <c r="AF1546" s="126"/>
      <c r="AJ1546" s="6"/>
      <c r="AL1546" s="110"/>
      <c r="AM1546" s="110"/>
      <c r="AN1546" s="110"/>
      <c r="AP1546" s="6"/>
      <c r="AW1546" s="6"/>
      <c r="AX1546" s="6"/>
      <c r="AZ1546" s="110"/>
      <c r="BB1546" s="6"/>
      <c r="BD1546" s="6"/>
      <c r="BE1546" s="6"/>
      <c r="BV1546" s="17"/>
      <c r="BX1546" s="17"/>
      <c r="BZ1546" s="17"/>
    </row>
    <row r="1547" spans="4:78" x14ac:dyDescent="0.3">
      <c r="D1547" s="153"/>
      <c r="E1547" s="6"/>
      <c r="G1547" s="6"/>
      <c r="J1547" s="6"/>
      <c r="N1547" s="154"/>
      <c r="O1547" s="6"/>
      <c r="S1547" s="6"/>
      <c r="V1547" s="6"/>
      <c r="X1547" s="6"/>
      <c r="Z1547" s="110"/>
      <c r="AB1547" s="6"/>
      <c r="AD1547" s="6"/>
      <c r="AE1547" s="6"/>
      <c r="AF1547" s="126"/>
      <c r="AJ1547" s="6"/>
      <c r="AL1547" s="110"/>
      <c r="AM1547" s="110"/>
      <c r="AN1547" s="110"/>
      <c r="AP1547" s="6"/>
      <c r="AW1547" s="6"/>
      <c r="AX1547" s="6"/>
      <c r="AZ1547" s="110"/>
      <c r="BB1547" s="6"/>
      <c r="BD1547" s="6"/>
      <c r="BE1547" s="6"/>
      <c r="BV1547" s="17"/>
      <c r="BX1547" s="17"/>
      <c r="BZ1547" s="17"/>
    </row>
    <row r="1548" spans="4:78" x14ac:dyDescent="0.3">
      <c r="D1548" s="153"/>
      <c r="E1548" s="6"/>
      <c r="G1548" s="6"/>
      <c r="J1548" s="6"/>
      <c r="N1548" s="154"/>
      <c r="O1548" s="6"/>
      <c r="S1548" s="6"/>
      <c r="V1548" s="6"/>
      <c r="X1548" s="6"/>
      <c r="Z1548" s="110"/>
      <c r="AB1548" s="6"/>
      <c r="AD1548" s="6"/>
      <c r="AE1548" s="6"/>
      <c r="AF1548" s="126"/>
      <c r="AJ1548" s="6"/>
      <c r="AL1548" s="110"/>
      <c r="AM1548" s="110"/>
      <c r="AN1548" s="110"/>
      <c r="AP1548" s="6"/>
      <c r="AW1548" s="6"/>
      <c r="AX1548" s="6"/>
      <c r="AZ1548" s="110"/>
      <c r="BB1548" s="6"/>
      <c r="BD1548" s="6"/>
      <c r="BE1548" s="6"/>
      <c r="BV1548" s="17"/>
      <c r="BX1548" s="17"/>
      <c r="BZ1548" s="17"/>
    </row>
    <row r="1549" spans="4:78" x14ac:dyDescent="0.3">
      <c r="D1549" s="153"/>
      <c r="E1549" s="6"/>
      <c r="G1549" s="6"/>
      <c r="J1549" s="6"/>
      <c r="N1549" s="154"/>
      <c r="O1549" s="6"/>
      <c r="S1549" s="6"/>
      <c r="V1549" s="6"/>
      <c r="X1549" s="6"/>
      <c r="Z1549" s="110"/>
      <c r="AB1549" s="6"/>
      <c r="AD1549" s="6"/>
      <c r="AE1549" s="6"/>
      <c r="AF1549" s="126"/>
      <c r="AJ1549" s="6"/>
      <c r="AL1549" s="110"/>
      <c r="AM1549" s="110"/>
      <c r="AN1549" s="110"/>
      <c r="AP1549" s="6"/>
      <c r="AW1549" s="6"/>
      <c r="AX1549" s="6"/>
      <c r="AZ1549" s="110"/>
      <c r="BB1549" s="6"/>
      <c r="BD1549" s="6"/>
      <c r="BE1549" s="6"/>
      <c r="BV1549" s="17"/>
      <c r="BX1549" s="17"/>
      <c r="BZ1549" s="17"/>
    </row>
    <row r="1550" spans="4:78" x14ac:dyDescent="0.3">
      <c r="D1550" s="153"/>
      <c r="E1550" s="6"/>
      <c r="G1550" s="6"/>
      <c r="J1550" s="6"/>
      <c r="N1550" s="154"/>
      <c r="O1550" s="6"/>
      <c r="S1550" s="6"/>
      <c r="V1550" s="6"/>
      <c r="X1550" s="6"/>
      <c r="Z1550" s="110"/>
      <c r="AB1550" s="6"/>
      <c r="AD1550" s="6"/>
      <c r="AE1550" s="6"/>
      <c r="AF1550" s="126"/>
      <c r="AJ1550" s="6"/>
      <c r="AL1550" s="110"/>
      <c r="AM1550" s="110"/>
      <c r="AN1550" s="110"/>
      <c r="AP1550" s="6"/>
      <c r="AW1550" s="6"/>
      <c r="AX1550" s="6"/>
      <c r="AZ1550" s="110"/>
      <c r="BB1550" s="6"/>
      <c r="BD1550" s="6"/>
      <c r="BE1550" s="6"/>
      <c r="BV1550" s="17"/>
      <c r="BX1550" s="17"/>
      <c r="BZ1550" s="17"/>
    </row>
    <row r="1551" spans="4:78" x14ac:dyDescent="0.3">
      <c r="D1551" s="153"/>
      <c r="E1551" s="6"/>
      <c r="G1551" s="6"/>
      <c r="J1551" s="6"/>
      <c r="N1551" s="154"/>
      <c r="O1551" s="6"/>
      <c r="S1551" s="6"/>
      <c r="V1551" s="6"/>
      <c r="X1551" s="6"/>
      <c r="Z1551" s="110"/>
      <c r="AB1551" s="6"/>
      <c r="AD1551" s="6"/>
      <c r="AE1551" s="6"/>
      <c r="AF1551" s="126"/>
      <c r="AJ1551" s="6"/>
      <c r="AL1551" s="110"/>
      <c r="AM1551" s="110"/>
      <c r="AN1551" s="110"/>
      <c r="AP1551" s="6"/>
      <c r="AW1551" s="6"/>
      <c r="AX1551" s="6"/>
      <c r="AZ1551" s="110"/>
      <c r="BB1551" s="6"/>
      <c r="BD1551" s="6"/>
      <c r="BE1551" s="6"/>
      <c r="BV1551" s="17"/>
      <c r="BX1551" s="17"/>
      <c r="BZ1551" s="17"/>
    </row>
    <row r="1552" spans="4:78" x14ac:dyDescent="0.3">
      <c r="D1552" s="153"/>
      <c r="E1552" s="6"/>
      <c r="G1552" s="6"/>
      <c r="J1552" s="6"/>
      <c r="N1552" s="154"/>
      <c r="O1552" s="6"/>
      <c r="S1552" s="6"/>
      <c r="V1552" s="6"/>
      <c r="X1552" s="6"/>
      <c r="Z1552" s="110"/>
      <c r="AB1552" s="6"/>
      <c r="AD1552" s="6"/>
      <c r="AE1552" s="6"/>
      <c r="AF1552" s="126"/>
      <c r="AJ1552" s="6"/>
      <c r="AL1552" s="110"/>
      <c r="AM1552" s="110"/>
      <c r="AN1552" s="110"/>
      <c r="AP1552" s="6"/>
      <c r="AW1552" s="6"/>
      <c r="AX1552" s="6"/>
      <c r="AZ1552" s="110"/>
      <c r="BB1552" s="6"/>
      <c r="BD1552" s="6"/>
      <c r="BE1552" s="6"/>
      <c r="BV1552" s="17"/>
      <c r="BX1552" s="17"/>
      <c r="BZ1552" s="17"/>
    </row>
    <row r="1553" spans="4:78" x14ac:dyDescent="0.3">
      <c r="D1553" s="153"/>
      <c r="E1553" s="6"/>
      <c r="G1553" s="6"/>
      <c r="J1553" s="6"/>
      <c r="N1553" s="154"/>
      <c r="O1553" s="6"/>
      <c r="S1553" s="6"/>
      <c r="V1553" s="6"/>
      <c r="X1553" s="6"/>
      <c r="Z1553" s="110"/>
      <c r="AB1553" s="6"/>
      <c r="AD1553" s="6"/>
      <c r="AE1553" s="6"/>
      <c r="AF1553" s="126"/>
      <c r="AJ1553" s="6"/>
      <c r="AL1553" s="110"/>
      <c r="AM1553" s="110"/>
      <c r="AN1553" s="110"/>
      <c r="AP1553" s="6"/>
      <c r="AW1553" s="6"/>
      <c r="AX1553" s="6"/>
      <c r="AZ1553" s="110"/>
      <c r="BB1553" s="6"/>
      <c r="BD1553" s="6"/>
      <c r="BE1553" s="6"/>
      <c r="BV1553" s="17"/>
      <c r="BX1553" s="17"/>
      <c r="BZ1553" s="17"/>
    </row>
    <row r="1554" spans="4:78" x14ac:dyDescent="0.3">
      <c r="D1554" s="153"/>
      <c r="E1554" s="6"/>
      <c r="G1554" s="6"/>
      <c r="J1554" s="6"/>
      <c r="N1554" s="154"/>
      <c r="O1554" s="6"/>
      <c r="S1554" s="6"/>
      <c r="V1554" s="6"/>
      <c r="X1554" s="6"/>
      <c r="Z1554" s="110"/>
      <c r="AB1554" s="6"/>
      <c r="AD1554" s="6"/>
      <c r="AE1554" s="6"/>
      <c r="AF1554" s="126"/>
      <c r="AJ1554" s="6"/>
      <c r="AL1554" s="110"/>
      <c r="AM1554" s="110"/>
      <c r="AN1554" s="110"/>
      <c r="AP1554" s="6"/>
      <c r="AW1554" s="6"/>
      <c r="AX1554" s="6"/>
      <c r="AZ1554" s="110"/>
      <c r="BB1554" s="6"/>
      <c r="BD1554" s="6"/>
      <c r="BE1554" s="6"/>
      <c r="BV1554" s="17"/>
      <c r="BX1554" s="17"/>
      <c r="BZ1554" s="17"/>
    </row>
    <row r="1555" spans="4:78" x14ac:dyDescent="0.3">
      <c r="D1555" s="153"/>
      <c r="E1555" s="6"/>
      <c r="G1555" s="6"/>
      <c r="J1555" s="6"/>
      <c r="N1555" s="154"/>
      <c r="O1555" s="6"/>
      <c r="S1555" s="6"/>
      <c r="V1555" s="6"/>
      <c r="X1555" s="6"/>
      <c r="Z1555" s="110"/>
      <c r="AB1555" s="6"/>
      <c r="AD1555" s="6"/>
      <c r="AE1555" s="6"/>
      <c r="AF1555" s="126"/>
      <c r="AJ1555" s="6"/>
      <c r="AL1555" s="110"/>
      <c r="AM1555" s="110"/>
      <c r="AN1555" s="110"/>
      <c r="AP1555" s="6"/>
      <c r="AW1555" s="6"/>
      <c r="AX1555" s="6"/>
      <c r="AZ1555" s="110"/>
      <c r="BB1555" s="6"/>
      <c r="BD1555" s="6"/>
      <c r="BE1555" s="6"/>
      <c r="BV1555" s="17"/>
      <c r="BX1555" s="17"/>
      <c r="BZ1555" s="17"/>
    </row>
    <row r="1556" spans="4:78" x14ac:dyDescent="0.3">
      <c r="D1556" s="153"/>
      <c r="E1556" s="6"/>
      <c r="G1556" s="6"/>
      <c r="J1556" s="6"/>
      <c r="N1556" s="154"/>
      <c r="O1556" s="6"/>
      <c r="S1556" s="6"/>
      <c r="V1556" s="6"/>
      <c r="X1556" s="6"/>
      <c r="Z1556" s="110"/>
      <c r="AB1556" s="6"/>
      <c r="AD1556" s="6"/>
      <c r="AE1556" s="6"/>
      <c r="AF1556" s="126"/>
      <c r="AJ1556" s="6"/>
      <c r="AL1556" s="110"/>
      <c r="AM1556" s="110"/>
      <c r="AN1556" s="110"/>
      <c r="AP1556" s="6"/>
      <c r="AW1556" s="6"/>
      <c r="AX1556" s="6"/>
      <c r="AZ1556" s="110"/>
      <c r="BB1556" s="6"/>
      <c r="BD1556" s="6"/>
      <c r="BE1556" s="6"/>
      <c r="BV1556" s="17"/>
      <c r="BX1556" s="17"/>
      <c r="BZ1556" s="17"/>
    </row>
    <row r="1557" spans="4:78" x14ac:dyDescent="0.3">
      <c r="D1557" s="153"/>
      <c r="E1557" s="6"/>
      <c r="G1557" s="6"/>
      <c r="J1557" s="6"/>
      <c r="N1557" s="154"/>
      <c r="O1557" s="6"/>
      <c r="S1557" s="6"/>
      <c r="V1557" s="6"/>
      <c r="X1557" s="6"/>
      <c r="Z1557" s="110"/>
      <c r="AB1557" s="6"/>
      <c r="AD1557" s="6"/>
      <c r="AE1557" s="6"/>
      <c r="AF1557" s="126"/>
      <c r="AJ1557" s="6"/>
      <c r="AL1557" s="110"/>
      <c r="AM1557" s="110"/>
      <c r="AN1557" s="110"/>
      <c r="AP1557" s="6"/>
      <c r="AW1557" s="6"/>
      <c r="AX1557" s="6"/>
      <c r="AZ1557" s="110"/>
      <c r="BB1557" s="6"/>
      <c r="BD1557" s="6"/>
      <c r="BE1557" s="6"/>
      <c r="BV1557" s="17"/>
      <c r="BX1557" s="17"/>
      <c r="BZ1557" s="17"/>
    </row>
    <row r="1558" spans="4:78" x14ac:dyDescent="0.3">
      <c r="D1558" s="153"/>
      <c r="E1558" s="6"/>
      <c r="G1558" s="6"/>
      <c r="J1558" s="6"/>
      <c r="N1558" s="154"/>
      <c r="O1558" s="6"/>
      <c r="S1558" s="6"/>
      <c r="V1558" s="6"/>
      <c r="X1558" s="6"/>
      <c r="Z1558" s="110"/>
      <c r="AB1558" s="6"/>
      <c r="AD1558" s="6"/>
      <c r="AE1558" s="6"/>
      <c r="AF1558" s="126"/>
      <c r="AJ1558" s="6"/>
      <c r="AL1558" s="110"/>
      <c r="AM1558" s="110"/>
      <c r="AN1558" s="110"/>
      <c r="AP1558" s="6"/>
      <c r="AW1558" s="6"/>
      <c r="AX1558" s="6"/>
      <c r="AZ1558" s="110"/>
      <c r="BB1558" s="6"/>
      <c r="BD1558" s="6"/>
      <c r="BE1558" s="6"/>
      <c r="BV1558" s="17"/>
      <c r="BX1558" s="17"/>
      <c r="BZ1558" s="17"/>
    </row>
    <row r="1559" spans="4:78" x14ac:dyDescent="0.3">
      <c r="D1559" s="153"/>
      <c r="E1559" s="6"/>
      <c r="G1559" s="6"/>
      <c r="J1559" s="6"/>
      <c r="N1559" s="154"/>
      <c r="O1559" s="6"/>
      <c r="S1559" s="6"/>
      <c r="V1559" s="6"/>
      <c r="X1559" s="6"/>
      <c r="Z1559" s="110"/>
      <c r="AB1559" s="6"/>
      <c r="AD1559" s="6"/>
      <c r="AE1559" s="6"/>
      <c r="AF1559" s="126"/>
      <c r="AJ1559" s="6"/>
      <c r="AL1559" s="110"/>
      <c r="AM1559" s="110"/>
      <c r="AN1559" s="110"/>
      <c r="AP1559" s="6"/>
      <c r="AW1559" s="6"/>
      <c r="AX1559" s="6"/>
      <c r="AZ1559" s="110"/>
      <c r="BB1559" s="6"/>
      <c r="BD1559" s="6"/>
      <c r="BE1559" s="6"/>
      <c r="BV1559" s="17"/>
      <c r="BX1559" s="17"/>
      <c r="BZ1559" s="17"/>
    </row>
    <row r="1560" spans="4:78" x14ac:dyDescent="0.3">
      <c r="D1560" s="153"/>
      <c r="E1560" s="6"/>
      <c r="G1560" s="6"/>
      <c r="J1560" s="6"/>
      <c r="N1560" s="154"/>
      <c r="O1560" s="6"/>
      <c r="S1560" s="6"/>
      <c r="V1560" s="6"/>
      <c r="X1560" s="6"/>
      <c r="Z1560" s="110"/>
      <c r="AB1560" s="6"/>
      <c r="AD1560" s="6"/>
      <c r="AE1560" s="6"/>
      <c r="AF1560" s="126"/>
      <c r="AJ1560" s="6"/>
      <c r="AL1560" s="110"/>
      <c r="AM1560" s="110"/>
      <c r="AN1560" s="110"/>
      <c r="AP1560" s="6"/>
      <c r="AW1560" s="6"/>
      <c r="AX1560" s="6"/>
      <c r="AZ1560" s="110"/>
      <c r="BB1560" s="6"/>
      <c r="BD1560" s="6"/>
      <c r="BE1560" s="6"/>
      <c r="BV1560" s="17"/>
      <c r="BX1560" s="17"/>
      <c r="BZ1560" s="17"/>
    </row>
    <row r="1561" spans="4:78" x14ac:dyDescent="0.3">
      <c r="D1561" s="153"/>
      <c r="E1561" s="6"/>
      <c r="G1561" s="6"/>
      <c r="J1561" s="6"/>
      <c r="N1561" s="154"/>
      <c r="O1561" s="6"/>
      <c r="S1561" s="6"/>
      <c r="V1561" s="6"/>
      <c r="X1561" s="6"/>
      <c r="Z1561" s="110"/>
      <c r="AB1561" s="6"/>
      <c r="AD1561" s="6"/>
      <c r="AE1561" s="6"/>
      <c r="AF1561" s="126"/>
      <c r="AJ1561" s="6"/>
      <c r="AL1561" s="110"/>
      <c r="AM1561" s="110"/>
      <c r="AN1561" s="110"/>
      <c r="AP1561" s="6"/>
      <c r="AW1561" s="6"/>
      <c r="AX1561" s="6"/>
      <c r="AZ1561" s="110"/>
      <c r="BB1561" s="6"/>
      <c r="BD1561" s="6"/>
      <c r="BE1561" s="6"/>
      <c r="BV1561" s="17"/>
      <c r="BX1561" s="17"/>
      <c r="BZ1561" s="17"/>
    </row>
    <row r="1562" spans="4:78" x14ac:dyDescent="0.3">
      <c r="D1562" s="153"/>
      <c r="E1562" s="6"/>
      <c r="G1562" s="6"/>
      <c r="J1562" s="6"/>
      <c r="N1562" s="154"/>
      <c r="O1562" s="6"/>
      <c r="S1562" s="6"/>
      <c r="V1562" s="6"/>
      <c r="X1562" s="6"/>
      <c r="Z1562" s="110"/>
      <c r="AB1562" s="6"/>
      <c r="AD1562" s="6"/>
      <c r="AE1562" s="6"/>
      <c r="AF1562" s="126"/>
      <c r="AJ1562" s="6"/>
      <c r="AL1562" s="110"/>
      <c r="AM1562" s="110"/>
      <c r="AN1562" s="110"/>
      <c r="AP1562" s="6"/>
      <c r="AW1562" s="6"/>
      <c r="AX1562" s="6"/>
      <c r="AZ1562" s="110"/>
      <c r="BB1562" s="6"/>
      <c r="BD1562" s="6"/>
      <c r="BE1562" s="6"/>
      <c r="BV1562" s="17"/>
      <c r="BX1562" s="17"/>
      <c r="BZ1562" s="17"/>
    </row>
    <row r="1563" spans="4:78" x14ac:dyDescent="0.3">
      <c r="D1563" s="153"/>
      <c r="E1563" s="6"/>
      <c r="G1563" s="6"/>
      <c r="J1563" s="6"/>
      <c r="N1563" s="154"/>
      <c r="O1563" s="6"/>
      <c r="S1563" s="6"/>
      <c r="V1563" s="6"/>
      <c r="X1563" s="6"/>
      <c r="Z1563" s="110"/>
      <c r="AB1563" s="6"/>
      <c r="AD1563" s="6"/>
      <c r="AE1563" s="6"/>
      <c r="AF1563" s="126"/>
      <c r="AJ1563" s="6"/>
      <c r="AL1563" s="110"/>
      <c r="AM1563" s="110"/>
      <c r="AN1563" s="110"/>
      <c r="AP1563" s="6"/>
      <c r="AW1563" s="6"/>
      <c r="AX1563" s="6"/>
      <c r="AZ1563" s="110"/>
      <c r="BB1563" s="6"/>
      <c r="BD1563" s="6"/>
      <c r="BE1563" s="6"/>
      <c r="BV1563" s="17"/>
      <c r="BX1563" s="17"/>
      <c r="BZ1563" s="17"/>
    </row>
    <row r="1564" spans="4:78" x14ac:dyDescent="0.3">
      <c r="D1564" s="153"/>
      <c r="E1564" s="6"/>
      <c r="G1564" s="6"/>
      <c r="J1564" s="6"/>
      <c r="N1564" s="154"/>
      <c r="O1564" s="6"/>
      <c r="S1564" s="6"/>
      <c r="V1564" s="6"/>
      <c r="X1564" s="6"/>
      <c r="Z1564" s="110"/>
      <c r="AB1564" s="6"/>
      <c r="AD1564" s="6"/>
      <c r="AE1564" s="6"/>
      <c r="AF1564" s="126"/>
      <c r="AJ1564" s="6"/>
      <c r="AL1564" s="110"/>
      <c r="AM1564" s="110"/>
      <c r="AN1564" s="110"/>
      <c r="AP1564" s="6"/>
      <c r="AW1564" s="6"/>
      <c r="AX1564" s="6"/>
      <c r="AZ1564" s="110"/>
      <c r="BB1564" s="6"/>
      <c r="BD1564" s="6"/>
      <c r="BE1564" s="6"/>
      <c r="BV1564" s="17"/>
      <c r="BX1564" s="17"/>
      <c r="BZ1564" s="17"/>
    </row>
    <row r="1565" spans="4:78" x14ac:dyDescent="0.3">
      <c r="D1565" s="153"/>
      <c r="E1565" s="6"/>
      <c r="G1565" s="6"/>
      <c r="J1565" s="6"/>
      <c r="N1565" s="154"/>
      <c r="O1565" s="6"/>
      <c r="S1565" s="6"/>
      <c r="V1565" s="6"/>
      <c r="X1565" s="6"/>
      <c r="Z1565" s="110"/>
      <c r="AB1565" s="6"/>
      <c r="AD1565" s="6"/>
      <c r="AE1565" s="6"/>
      <c r="AF1565" s="126"/>
      <c r="AJ1565" s="6"/>
      <c r="AL1565" s="110"/>
      <c r="AM1565" s="110"/>
      <c r="AN1565" s="110"/>
      <c r="AP1565" s="6"/>
      <c r="AW1565" s="6"/>
      <c r="AX1565" s="6"/>
      <c r="AZ1565" s="110"/>
      <c r="BB1565" s="6"/>
      <c r="BD1565" s="6"/>
      <c r="BE1565" s="6"/>
      <c r="BV1565" s="17"/>
      <c r="BX1565" s="17"/>
      <c r="BZ1565" s="17"/>
    </row>
    <row r="1566" spans="4:78" x14ac:dyDescent="0.3">
      <c r="D1566" s="153"/>
      <c r="E1566" s="6"/>
      <c r="G1566" s="6"/>
      <c r="J1566" s="6"/>
      <c r="N1566" s="154"/>
      <c r="O1566" s="6"/>
      <c r="S1566" s="6"/>
      <c r="V1566" s="6"/>
      <c r="X1566" s="6"/>
      <c r="Z1566" s="110"/>
      <c r="AB1566" s="6"/>
      <c r="AD1566" s="6"/>
      <c r="AE1566" s="6"/>
      <c r="AF1566" s="126"/>
      <c r="AJ1566" s="6"/>
      <c r="AL1566" s="110"/>
      <c r="AM1566" s="110"/>
      <c r="AN1566" s="110"/>
      <c r="AP1566" s="6"/>
      <c r="AW1566" s="6"/>
      <c r="AX1566" s="6"/>
      <c r="AZ1566" s="110"/>
      <c r="BB1566" s="6"/>
      <c r="BD1566" s="6"/>
      <c r="BE1566" s="6"/>
      <c r="BV1566" s="17"/>
      <c r="BX1566" s="17"/>
      <c r="BZ1566" s="17"/>
    </row>
    <row r="1567" spans="4:78" x14ac:dyDescent="0.3">
      <c r="D1567" s="153"/>
      <c r="E1567" s="6"/>
      <c r="G1567" s="6"/>
      <c r="J1567" s="6"/>
      <c r="N1567" s="154"/>
      <c r="O1567" s="6"/>
      <c r="S1567" s="6"/>
      <c r="V1567" s="6"/>
      <c r="X1567" s="6"/>
      <c r="Z1567" s="110"/>
      <c r="AB1567" s="6"/>
      <c r="AD1567" s="6"/>
      <c r="AE1567" s="6"/>
      <c r="AF1567" s="126"/>
      <c r="AJ1567" s="6"/>
      <c r="AL1567" s="110"/>
      <c r="AM1567" s="110"/>
      <c r="AN1567" s="110"/>
      <c r="AP1567" s="6"/>
      <c r="AW1567" s="6"/>
      <c r="AX1567" s="6"/>
      <c r="AZ1567" s="110"/>
      <c r="BB1567" s="6"/>
      <c r="BD1567" s="6"/>
      <c r="BE1567" s="6"/>
      <c r="BV1567" s="17"/>
      <c r="BX1567" s="17"/>
      <c r="BZ1567" s="17"/>
    </row>
    <row r="1568" spans="4:78" x14ac:dyDescent="0.3">
      <c r="D1568" s="153"/>
      <c r="E1568" s="6"/>
      <c r="G1568" s="6"/>
      <c r="J1568" s="6"/>
      <c r="N1568" s="154"/>
      <c r="O1568" s="6"/>
      <c r="S1568" s="6"/>
      <c r="V1568" s="6"/>
      <c r="X1568" s="6"/>
      <c r="Z1568" s="110"/>
      <c r="AB1568" s="6"/>
      <c r="AD1568" s="6"/>
      <c r="AE1568" s="6"/>
      <c r="AF1568" s="126"/>
      <c r="AJ1568" s="6"/>
      <c r="AL1568" s="110"/>
      <c r="AM1568" s="110"/>
      <c r="AN1568" s="110"/>
      <c r="AP1568" s="6"/>
      <c r="AW1568" s="6"/>
      <c r="AX1568" s="6"/>
      <c r="AZ1568" s="110"/>
      <c r="BB1568" s="6"/>
      <c r="BD1568" s="6"/>
      <c r="BE1568" s="6"/>
      <c r="BV1568" s="17"/>
      <c r="BX1568" s="17"/>
      <c r="BZ1568" s="17"/>
    </row>
    <row r="1569" spans="4:78" x14ac:dyDescent="0.3">
      <c r="D1569" s="153"/>
      <c r="E1569" s="6"/>
      <c r="G1569" s="6"/>
      <c r="J1569" s="6"/>
      <c r="N1569" s="154"/>
      <c r="O1569" s="6"/>
      <c r="S1569" s="6"/>
      <c r="V1569" s="6"/>
      <c r="X1569" s="6"/>
      <c r="Z1569" s="110"/>
      <c r="AB1569" s="6"/>
      <c r="AD1569" s="6"/>
      <c r="AE1569" s="6"/>
      <c r="AF1569" s="126"/>
      <c r="AJ1569" s="6"/>
      <c r="AL1569" s="110"/>
      <c r="AM1569" s="110"/>
      <c r="AN1569" s="110"/>
      <c r="AP1569" s="6"/>
      <c r="AW1569" s="6"/>
      <c r="AX1569" s="6"/>
      <c r="AZ1569" s="110"/>
      <c r="BB1569" s="6"/>
      <c r="BD1569" s="6"/>
      <c r="BE1569" s="6"/>
      <c r="BV1569" s="17"/>
      <c r="BX1569" s="17"/>
      <c r="BZ1569" s="17"/>
    </row>
    <row r="1570" spans="4:78" x14ac:dyDescent="0.3">
      <c r="D1570" s="153"/>
      <c r="E1570" s="6"/>
      <c r="G1570" s="6"/>
      <c r="J1570" s="6"/>
      <c r="N1570" s="154"/>
      <c r="O1570" s="6"/>
      <c r="S1570" s="6"/>
      <c r="V1570" s="6"/>
      <c r="X1570" s="6"/>
      <c r="Z1570" s="110"/>
      <c r="AB1570" s="6"/>
      <c r="AD1570" s="6"/>
      <c r="AE1570" s="6"/>
      <c r="AF1570" s="126"/>
      <c r="AJ1570" s="6"/>
      <c r="AL1570" s="110"/>
      <c r="AM1570" s="110"/>
      <c r="AN1570" s="110"/>
      <c r="AP1570" s="6"/>
      <c r="AW1570" s="6"/>
      <c r="AX1570" s="6"/>
      <c r="AZ1570" s="110"/>
      <c r="BB1570" s="6"/>
      <c r="BD1570" s="6"/>
      <c r="BE1570" s="6"/>
      <c r="BV1570" s="17"/>
      <c r="BX1570" s="17"/>
      <c r="BZ1570" s="17"/>
    </row>
    <row r="1571" spans="4:78" x14ac:dyDescent="0.3">
      <c r="D1571" s="153"/>
      <c r="E1571" s="6"/>
      <c r="G1571" s="6"/>
      <c r="J1571" s="6"/>
      <c r="N1571" s="154"/>
      <c r="O1571" s="6"/>
      <c r="S1571" s="6"/>
      <c r="V1571" s="6"/>
      <c r="X1571" s="6"/>
      <c r="Z1571" s="110"/>
      <c r="AB1571" s="6"/>
      <c r="AD1571" s="6"/>
      <c r="AE1571" s="6"/>
      <c r="AF1571" s="126"/>
      <c r="AJ1571" s="6"/>
      <c r="AL1571" s="110"/>
      <c r="AM1571" s="110"/>
      <c r="AN1571" s="110"/>
      <c r="AP1571" s="6"/>
      <c r="AW1571" s="6"/>
      <c r="AX1571" s="6"/>
      <c r="AZ1571" s="110"/>
      <c r="BB1571" s="6"/>
      <c r="BD1571" s="6"/>
      <c r="BE1571" s="6"/>
      <c r="BV1571" s="17"/>
      <c r="BX1571" s="17"/>
      <c r="BZ1571" s="17"/>
    </row>
    <row r="1572" spans="4:78" x14ac:dyDescent="0.3">
      <c r="D1572" s="153"/>
      <c r="E1572" s="6"/>
      <c r="G1572" s="6"/>
      <c r="J1572" s="6"/>
      <c r="N1572" s="154"/>
      <c r="O1572" s="6"/>
      <c r="S1572" s="6"/>
      <c r="V1572" s="6"/>
      <c r="X1572" s="6"/>
      <c r="Z1572" s="110"/>
      <c r="AB1572" s="6"/>
      <c r="AD1572" s="6"/>
      <c r="AE1572" s="6"/>
      <c r="AF1572" s="126"/>
      <c r="AJ1572" s="6"/>
      <c r="AL1572" s="110"/>
      <c r="AM1572" s="110"/>
      <c r="AN1572" s="110"/>
      <c r="AP1572" s="6"/>
      <c r="AW1572" s="6"/>
      <c r="AX1572" s="6"/>
      <c r="AZ1572" s="110"/>
      <c r="BB1572" s="6"/>
      <c r="BD1572" s="6"/>
      <c r="BE1572" s="6"/>
      <c r="BV1572" s="17"/>
      <c r="BX1572" s="17"/>
      <c r="BZ1572" s="17"/>
    </row>
    <row r="1573" spans="4:78" x14ac:dyDescent="0.3">
      <c r="D1573" s="153"/>
      <c r="E1573" s="6"/>
      <c r="G1573" s="6"/>
      <c r="J1573" s="6"/>
      <c r="N1573" s="154"/>
      <c r="O1573" s="6"/>
      <c r="S1573" s="6"/>
      <c r="V1573" s="6"/>
      <c r="X1573" s="6"/>
      <c r="Z1573" s="110"/>
      <c r="AB1573" s="6"/>
      <c r="AD1573" s="6"/>
      <c r="AE1573" s="6"/>
      <c r="AF1573" s="126"/>
      <c r="AJ1573" s="6"/>
      <c r="AL1573" s="110"/>
      <c r="AM1573" s="110"/>
      <c r="AN1573" s="110"/>
      <c r="AP1573" s="6"/>
      <c r="AW1573" s="6"/>
      <c r="AX1573" s="6"/>
      <c r="AZ1573" s="110"/>
      <c r="BB1573" s="6"/>
      <c r="BD1573" s="6"/>
      <c r="BE1573" s="6"/>
      <c r="BV1573" s="17"/>
      <c r="BX1573" s="17"/>
      <c r="BZ1573" s="17"/>
    </row>
    <row r="1574" spans="4:78" x14ac:dyDescent="0.3">
      <c r="D1574" s="153"/>
      <c r="E1574" s="6"/>
      <c r="G1574" s="6"/>
      <c r="J1574" s="6"/>
      <c r="N1574" s="154"/>
      <c r="O1574" s="6"/>
      <c r="S1574" s="6"/>
      <c r="V1574" s="6"/>
      <c r="X1574" s="6"/>
      <c r="Z1574" s="110"/>
      <c r="AB1574" s="6"/>
      <c r="AD1574" s="6"/>
      <c r="AE1574" s="6"/>
      <c r="AF1574" s="126"/>
      <c r="AJ1574" s="6"/>
      <c r="AL1574" s="110"/>
      <c r="AM1574" s="110"/>
      <c r="AN1574" s="110"/>
      <c r="AP1574" s="6"/>
      <c r="AW1574" s="6"/>
      <c r="AX1574" s="6"/>
      <c r="AZ1574" s="110"/>
      <c r="BB1574" s="6"/>
      <c r="BD1574" s="6"/>
      <c r="BE1574" s="6"/>
      <c r="BV1574" s="17"/>
      <c r="BX1574" s="17"/>
      <c r="BZ1574" s="17"/>
    </row>
    <row r="1575" spans="4:78" x14ac:dyDescent="0.3">
      <c r="D1575" s="153"/>
      <c r="E1575" s="6"/>
      <c r="G1575" s="6"/>
      <c r="J1575" s="6"/>
      <c r="N1575" s="154"/>
      <c r="O1575" s="6"/>
      <c r="S1575" s="6"/>
      <c r="V1575" s="6"/>
      <c r="X1575" s="6"/>
      <c r="Z1575" s="110"/>
      <c r="AB1575" s="6"/>
      <c r="AD1575" s="6"/>
      <c r="AE1575" s="6"/>
      <c r="AF1575" s="126"/>
      <c r="AJ1575" s="6"/>
      <c r="AL1575" s="110"/>
      <c r="AM1575" s="110"/>
      <c r="AN1575" s="110"/>
      <c r="AP1575" s="6"/>
      <c r="AW1575" s="6"/>
      <c r="AX1575" s="6"/>
      <c r="AZ1575" s="110"/>
      <c r="BB1575" s="6"/>
      <c r="BD1575" s="6"/>
      <c r="BE1575" s="6"/>
      <c r="BV1575" s="17"/>
      <c r="BX1575" s="17"/>
      <c r="BZ1575" s="17"/>
    </row>
    <row r="1576" spans="4:78" x14ac:dyDescent="0.3">
      <c r="D1576" s="153"/>
      <c r="E1576" s="6"/>
      <c r="G1576" s="6"/>
      <c r="J1576" s="6"/>
      <c r="N1576" s="154"/>
      <c r="O1576" s="6"/>
      <c r="S1576" s="6"/>
      <c r="V1576" s="6"/>
      <c r="X1576" s="6"/>
      <c r="Z1576" s="110"/>
      <c r="AB1576" s="6"/>
      <c r="AD1576" s="6"/>
      <c r="AE1576" s="6"/>
      <c r="AF1576" s="126"/>
      <c r="AJ1576" s="6"/>
      <c r="AL1576" s="110"/>
      <c r="AM1576" s="110"/>
      <c r="AN1576" s="110"/>
      <c r="AP1576" s="6"/>
      <c r="AW1576" s="6"/>
      <c r="AX1576" s="6"/>
      <c r="AZ1576" s="110"/>
      <c r="BB1576" s="6"/>
      <c r="BD1576" s="6"/>
      <c r="BE1576" s="6"/>
      <c r="BV1576" s="17"/>
      <c r="BX1576" s="17"/>
      <c r="BZ1576" s="17"/>
    </row>
    <row r="1577" spans="4:78" x14ac:dyDescent="0.3">
      <c r="D1577" s="153"/>
      <c r="E1577" s="6"/>
      <c r="G1577" s="6"/>
      <c r="J1577" s="6"/>
      <c r="N1577" s="154"/>
      <c r="O1577" s="6"/>
      <c r="S1577" s="6"/>
      <c r="V1577" s="6"/>
      <c r="X1577" s="6"/>
      <c r="Z1577" s="110"/>
      <c r="AB1577" s="6"/>
      <c r="AD1577" s="6"/>
      <c r="AE1577" s="6"/>
      <c r="AF1577" s="126"/>
      <c r="AJ1577" s="6"/>
      <c r="AL1577" s="110"/>
      <c r="AM1577" s="110"/>
      <c r="AN1577" s="110"/>
      <c r="AP1577" s="6"/>
      <c r="AW1577" s="6"/>
      <c r="AX1577" s="6"/>
      <c r="AZ1577" s="110"/>
      <c r="BB1577" s="6"/>
      <c r="BD1577" s="6"/>
      <c r="BE1577" s="6"/>
      <c r="BV1577" s="17"/>
      <c r="BX1577" s="17"/>
      <c r="BZ1577" s="17"/>
    </row>
    <row r="1578" spans="4:78" x14ac:dyDescent="0.3">
      <c r="D1578" s="153"/>
      <c r="E1578" s="6"/>
      <c r="G1578" s="6"/>
      <c r="J1578" s="6"/>
      <c r="N1578" s="154"/>
      <c r="O1578" s="6"/>
      <c r="S1578" s="6"/>
      <c r="V1578" s="6"/>
      <c r="X1578" s="6"/>
      <c r="Z1578" s="110"/>
      <c r="AB1578" s="6"/>
      <c r="AD1578" s="6"/>
      <c r="AE1578" s="6"/>
      <c r="AF1578" s="126"/>
      <c r="AJ1578" s="6"/>
      <c r="AL1578" s="110"/>
      <c r="AM1578" s="110"/>
      <c r="AN1578" s="110"/>
      <c r="AP1578" s="6"/>
      <c r="AW1578" s="6"/>
      <c r="AX1578" s="6"/>
      <c r="AZ1578" s="110"/>
      <c r="BB1578" s="6"/>
      <c r="BD1578" s="6"/>
      <c r="BE1578" s="6"/>
      <c r="BV1578" s="17"/>
      <c r="BX1578" s="17"/>
      <c r="BZ1578" s="17"/>
    </row>
    <row r="1579" spans="4:78" x14ac:dyDescent="0.3">
      <c r="D1579" s="153"/>
      <c r="E1579" s="6"/>
      <c r="G1579" s="6"/>
      <c r="J1579" s="6"/>
      <c r="N1579" s="154"/>
      <c r="O1579" s="6"/>
      <c r="S1579" s="6"/>
      <c r="V1579" s="6"/>
      <c r="X1579" s="6"/>
      <c r="Z1579" s="110"/>
      <c r="AB1579" s="6"/>
      <c r="AD1579" s="6"/>
      <c r="AE1579" s="6"/>
      <c r="AF1579" s="126"/>
      <c r="AJ1579" s="6"/>
      <c r="AL1579" s="110"/>
      <c r="AM1579" s="110"/>
      <c r="AN1579" s="110"/>
      <c r="AP1579" s="6"/>
      <c r="AW1579" s="6"/>
      <c r="AX1579" s="6"/>
      <c r="AZ1579" s="110"/>
      <c r="BB1579" s="6"/>
      <c r="BD1579" s="6"/>
      <c r="BE1579" s="6"/>
      <c r="BV1579" s="17"/>
      <c r="BX1579" s="17"/>
      <c r="BZ1579" s="17"/>
    </row>
    <row r="1580" spans="4:78" x14ac:dyDescent="0.3">
      <c r="D1580" s="153"/>
      <c r="E1580" s="6"/>
      <c r="G1580" s="6"/>
      <c r="J1580" s="6"/>
      <c r="N1580" s="154"/>
      <c r="O1580" s="6"/>
      <c r="S1580" s="6"/>
      <c r="V1580" s="6"/>
      <c r="X1580" s="6"/>
      <c r="Z1580" s="110"/>
      <c r="AB1580" s="6"/>
      <c r="AD1580" s="6"/>
      <c r="AE1580" s="6"/>
      <c r="AF1580" s="126"/>
      <c r="AJ1580" s="6"/>
      <c r="AL1580" s="110"/>
      <c r="AM1580" s="110"/>
      <c r="AN1580" s="110"/>
      <c r="AP1580" s="6"/>
      <c r="AW1580" s="6"/>
      <c r="AX1580" s="6"/>
      <c r="AZ1580" s="110"/>
      <c r="BB1580" s="6"/>
      <c r="BD1580" s="6"/>
      <c r="BE1580" s="6"/>
      <c r="BV1580" s="17"/>
      <c r="BX1580" s="17"/>
      <c r="BZ1580" s="17"/>
    </row>
    <row r="1581" spans="4:78" x14ac:dyDescent="0.3">
      <c r="D1581" s="153"/>
      <c r="E1581" s="6"/>
      <c r="G1581" s="6"/>
      <c r="J1581" s="6"/>
      <c r="N1581" s="154"/>
      <c r="O1581" s="6"/>
      <c r="S1581" s="6"/>
      <c r="V1581" s="6"/>
      <c r="X1581" s="6"/>
      <c r="Z1581" s="110"/>
      <c r="AB1581" s="6"/>
      <c r="AD1581" s="6"/>
      <c r="AE1581" s="6"/>
      <c r="AF1581" s="126"/>
      <c r="AJ1581" s="6"/>
      <c r="AL1581" s="110"/>
      <c r="AM1581" s="110"/>
      <c r="AN1581" s="110"/>
      <c r="AP1581" s="6"/>
      <c r="AW1581" s="6"/>
      <c r="AX1581" s="6"/>
      <c r="AZ1581" s="110"/>
      <c r="BB1581" s="6"/>
      <c r="BD1581" s="6"/>
      <c r="BE1581" s="6"/>
      <c r="BV1581" s="17"/>
      <c r="BX1581" s="17"/>
      <c r="BZ1581" s="17"/>
    </row>
    <row r="1582" spans="4:78" x14ac:dyDescent="0.3">
      <c r="D1582" s="153"/>
      <c r="E1582" s="6"/>
      <c r="G1582" s="6"/>
      <c r="J1582" s="6"/>
      <c r="N1582" s="154"/>
      <c r="O1582" s="6"/>
      <c r="S1582" s="6"/>
      <c r="V1582" s="6"/>
      <c r="X1582" s="6"/>
      <c r="Z1582" s="110"/>
      <c r="AB1582" s="6"/>
      <c r="AD1582" s="6"/>
      <c r="AE1582" s="6"/>
      <c r="AF1582" s="126"/>
      <c r="AJ1582" s="6"/>
      <c r="AL1582" s="110"/>
      <c r="AM1582" s="110"/>
      <c r="AN1582" s="110"/>
      <c r="AP1582" s="6"/>
      <c r="AW1582" s="6"/>
      <c r="AX1582" s="6"/>
      <c r="AZ1582" s="110"/>
      <c r="BB1582" s="6"/>
      <c r="BD1582" s="6"/>
      <c r="BE1582" s="6"/>
      <c r="BV1582" s="17"/>
      <c r="BX1582" s="17"/>
      <c r="BZ1582" s="17"/>
    </row>
    <row r="1583" spans="4:78" x14ac:dyDescent="0.3">
      <c r="D1583" s="153"/>
      <c r="E1583" s="6"/>
      <c r="G1583" s="6"/>
      <c r="J1583" s="6"/>
      <c r="N1583" s="154"/>
      <c r="O1583" s="6"/>
      <c r="S1583" s="6"/>
      <c r="V1583" s="6"/>
      <c r="X1583" s="6"/>
      <c r="Z1583" s="110"/>
      <c r="AB1583" s="6"/>
      <c r="AD1583" s="6"/>
      <c r="AE1583" s="6"/>
      <c r="AF1583" s="126"/>
      <c r="AJ1583" s="6"/>
      <c r="AL1583" s="110"/>
      <c r="AM1583" s="110"/>
      <c r="AN1583" s="110"/>
      <c r="AP1583" s="6"/>
      <c r="AW1583" s="6"/>
      <c r="AX1583" s="6"/>
      <c r="AZ1583" s="110"/>
      <c r="BB1583" s="6"/>
      <c r="BD1583" s="6"/>
      <c r="BE1583" s="6"/>
      <c r="BV1583" s="17"/>
      <c r="BX1583" s="17"/>
      <c r="BZ1583" s="17"/>
    </row>
    <row r="1584" spans="4:78" x14ac:dyDescent="0.3">
      <c r="D1584" s="153"/>
      <c r="E1584" s="6"/>
      <c r="G1584" s="6"/>
      <c r="J1584" s="6"/>
      <c r="N1584" s="154"/>
      <c r="O1584" s="6"/>
      <c r="S1584" s="6"/>
      <c r="V1584" s="6"/>
      <c r="X1584" s="6"/>
      <c r="Z1584" s="110"/>
      <c r="AB1584" s="6"/>
      <c r="AD1584" s="6"/>
      <c r="AE1584" s="6"/>
      <c r="AF1584" s="126"/>
      <c r="AJ1584" s="6"/>
      <c r="AL1584" s="110"/>
      <c r="AM1584" s="110"/>
      <c r="AN1584" s="110"/>
      <c r="AP1584" s="6"/>
      <c r="AW1584" s="6"/>
      <c r="AX1584" s="6"/>
      <c r="AZ1584" s="110"/>
      <c r="BB1584" s="6"/>
      <c r="BD1584" s="6"/>
      <c r="BE1584" s="6"/>
      <c r="BV1584" s="17"/>
      <c r="BX1584" s="17"/>
      <c r="BZ1584" s="17"/>
    </row>
    <row r="1585" spans="4:78" x14ac:dyDescent="0.3">
      <c r="D1585" s="153"/>
      <c r="E1585" s="6"/>
      <c r="G1585" s="6"/>
      <c r="J1585" s="6"/>
      <c r="N1585" s="154"/>
      <c r="O1585" s="6"/>
      <c r="S1585" s="6"/>
      <c r="V1585" s="6"/>
      <c r="X1585" s="6"/>
      <c r="Z1585" s="110"/>
      <c r="AB1585" s="6"/>
      <c r="AD1585" s="6"/>
      <c r="AE1585" s="6"/>
      <c r="AF1585" s="126"/>
      <c r="AJ1585" s="6"/>
      <c r="AL1585" s="110"/>
      <c r="AM1585" s="110"/>
      <c r="AN1585" s="110"/>
      <c r="AP1585" s="6"/>
      <c r="AW1585" s="6"/>
      <c r="AX1585" s="6"/>
      <c r="AZ1585" s="110"/>
      <c r="BB1585" s="6"/>
      <c r="BD1585" s="6"/>
      <c r="BE1585" s="6"/>
      <c r="BV1585" s="17"/>
      <c r="BX1585" s="17"/>
      <c r="BZ1585" s="17"/>
    </row>
    <row r="1586" spans="4:78" x14ac:dyDescent="0.3">
      <c r="D1586" s="153"/>
      <c r="E1586" s="6"/>
      <c r="G1586" s="6"/>
      <c r="J1586" s="6"/>
      <c r="N1586" s="154"/>
      <c r="O1586" s="6"/>
      <c r="S1586" s="6"/>
      <c r="V1586" s="6"/>
      <c r="X1586" s="6"/>
      <c r="Z1586" s="110"/>
      <c r="AB1586" s="6"/>
      <c r="AD1586" s="6"/>
      <c r="AE1586" s="6"/>
      <c r="AF1586" s="126"/>
      <c r="AJ1586" s="6"/>
      <c r="AL1586" s="110"/>
      <c r="AM1586" s="110"/>
      <c r="AN1586" s="110"/>
      <c r="AP1586" s="6"/>
      <c r="AW1586" s="6"/>
      <c r="AX1586" s="6"/>
      <c r="AZ1586" s="110"/>
      <c r="BB1586" s="6"/>
      <c r="BD1586" s="6"/>
      <c r="BE1586" s="6"/>
      <c r="BV1586" s="17"/>
      <c r="BX1586" s="17"/>
      <c r="BZ1586" s="17"/>
    </row>
    <row r="1587" spans="4:78" x14ac:dyDescent="0.3">
      <c r="D1587" s="153"/>
      <c r="E1587" s="6"/>
      <c r="G1587" s="6"/>
      <c r="J1587" s="6"/>
      <c r="N1587" s="154"/>
      <c r="O1587" s="6"/>
      <c r="S1587" s="6"/>
      <c r="V1587" s="6"/>
      <c r="X1587" s="6"/>
      <c r="Z1587" s="110"/>
      <c r="AB1587" s="6"/>
      <c r="AD1587" s="6"/>
      <c r="AE1587" s="6"/>
      <c r="AF1587" s="126"/>
      <c r="AJ1587" s="6"/>
      <c r="AL1587" s="110"/>
      <c r="AM1587" s="110"/>
      <c r="AN1587" s="110"/>
      <c r="AP1587" s="6"/>
      <c r="AW1587" s="6"/>
      <c r="AX1587" s="6"/>
      <c r="AZ1587" s="110"/>
      <c r="BB1587" s="6"/>
      <c r="BD1587" s="6"/>
      <c r="BE1587" s="6"/>
      <c r="BV1587" s="17"/>
      <c r="BX1587" s="17"/>
      <c r="BZ1587" s="17"/>
    </row>
    <row r="1588" spans="4:78" x14ac:dyDescent="0.3">
      <c r="D1588" s="153"/>
      <c r="E1588" s="6"/>
      <c r="G1588" s="6"/>
      <c r="J1588" s="6"/>
      <c r="N1588" s="154"/>
      <c r="O1588" s="6"/>
      <c r="S1588" s="6"/>
      <c r="V1588" s="6"/>
      <c r="X1588" s="6"/>
      <c r="Z1588" s="110"/>
      <c r="AB1588" s="6"/>
      <c r="AD1588" s="6"/>
      <c r="AE1588" s="6"/>
      <c r="AF1588" s="126"/>
      <c r="AJ1588" s="6"/>
      <c r="AL1588" s="110"/>
      <c r="AM1588" s="110"/>
      <c r="AN1588" s="110"/>
      <c r="AP1588" s="6"/>
      <c r="AW1588" s="6"/>
      <c r="AX1588" s="6"/>
      <c r="AZ1588" s="110"/>
      <c r="BB1588" s="6"/>
      <c r="BD1588" s="6"/>
      <c r="BE1588" s="6"/>
      <c r="BV1588" s="17"/>
      <c r="BX1588" s="17"/>
      <c r="BZ1588" s="17"/>
    </row>
    <row r="1589" spans="4:78" x14ac:dyDescent="0.3">
      <c r="D1589" s="153"/>
      <c r="E1589" s="6"/>
      <c r="G1589" s="6"/>
      <c r="J1589" s="6"/>
      <c r="N1589" s="154"/>
      <c r="O1589" s="6"/>
      <c r="S1589" s="6"/>
      <c r="V1589" s="6"/>
      <c r="X1589" s="6"/>
      <c r="Z1589" s="110"/>
      <c r="AB1589" s="6"/>
      <c r="AD1589" s="6"/>
      <c r="AE1589" s="6"/>
      <c r="AF1589" s="126"/>
      <c r="AJ1589" s="6"/>
      <c r="AL1589" s="110"/>
      <c r="AM1589" s="110"/>
      <c r="AN1589" s="110"/>
      <c r="AP1589" s="6"/>
      <c r="AW1589" s="6"/>
      <c r="AX1589" s="6"/>
      <c r="AZ1589" s="110"/>
      <c r="BB1589" s="6"/>
      <c r="BD1589" s="6"/>
      <c r="BE1589" s="6"/>
      <c r="BV1589" s="17"/>
      <c r="BX1589" s="17"/>
      <c r="BZ1589" s="17"/>
    </row>
    <row r="1590" spans="4:78" x14ac:dyDescent="0.3">
      <c r="D1590" s="153"/>
      <c r="E1590" s="6"/>
      <c r="G1590" s="6"/>
      <c r="J1590" s="6"/>
      <c r="N1590" s="154"/>
      <c r="O1590" s="6"/>
      <c r="S1590" s="6"/>
      <c r="V1590" s="6"/>
      <c r="X1590" s="6"/>
      <c r="Z1590" s="110"/>
      <c r="AB1590" s="6"/>
      <c r="AD1590" s="6"/>
      <c r="AE1590" s="6"/>
      <c r="AF1590" s="126"/>
      <c r="AJ1590" s="6"/>
      <c r="AL1590" s="110"/>
      <c r="AM1590" s="110"/>
      <c r="AN1590" s="110"/>
      <c r="AP1590" s="6"/>
      <c r="AW1590" s="6"/>
      <c r="AX1590" s="6"/>
      <c r="AZ1590" s="110"/>
      <c r="BB1590" s="6"/>
      <c r="BD1590" s="6"/>
      <c r="BE1590" s="6"/>
      <c r="BV1590" s="17"/>
      <c r="BX1590" s="17"/>
      <c r="BZ1590" s="17"/>
    </row>
    <row r="1591" spans="4:78" x14ac:dyDescent="0.3">
      <c r="D1591" s="153"/>
      <c r="E1591" s="6"/>
      <c r="G1591" s="6"/>
      <c r="J1591" s="6"/>
      <c r="N1591" s="154"/>
      <c r="O1591" s="6"/>
      <c r="S1591" s="6"/>
      <c r="V1591" s="6"/>
      <c r="X1591" s="6"/>
      <c r="Z1591" s="110"/>
      <c r="AB1591" s="6"/>
      <c r="AD1591" s="6"/>
      <c r="AE1591" s="6"/>
      <c r="AF1591" s="126"/>
      <c r="AJ1591" s="6"/>
      <c r="AL1591" s="110"/>
      <c r="AM1591" s="110"/>
      <c r="AN1591" s="110"/>
      <c r="AP1591" s="6"/>
      <c r="AW1591" s="6"/>
      <c r="AX1591" s="6"/>
      <c r="AZ1591" s="110"/>
      <c r="BB1591" s="6"/>
      <c r="BD1591" s="6"/>
      <c r="BE1591" s="6"/>
      <c r="BV1591" s="17"/>
      <c r="BX1591" s="17"/>
      <c r="BZ1591" s="17"/>
    </row>
    <row r="1592" spans="4:78" x14ac:dyDescent="0.3">
      <c r="D1592" s="153"/>
      <c r="E1592" s="6"/>
      <c r="G1592" s="6"/>
      <c r="J1592" s="6"/>
      <c r="N1592" s="154"/>
      <c r="O1592" s="6"/>
      <c r="S1592" s="6"/>
      <c r="V1592" s="6"/>
      <c r="X1592" s="6"/>
      <c r="Z1592" s="110"/>
      <c r="AB1592" s="6"/>
      <c r="AD1592" s="6"/>
      <c r="AE1592" s="6"/>
      <c r="AF1592" s="126"/>
      <c r="AJ1592" s="6"/>
      <c r="AL1592" s="110"/>
      <c r="AM1592" s="110"/>
      <c r="AN1592" s="110"/>
      <c r="AP1592" s="6"/>
      <c r="AW1592" s="6"/>
      <c r="AX1592" s="6"/>
      <c r="AZ1592" s="110"/>
      <c r="BB1592" s="6"/>
      <c r="BD1592" s="6"/>
      <c r="BE1592" s="6"/>
      <c r="BV1592" s="17"/>
      <c r="BX1592" s="17"/>
      <c r="BZ1592" s="17"/>
    </row>
    <row r="1593" spans="4:78" x14ac:dyDescent="0.3">
      <c r="D1593" s="153"/>
      <c r="E1593" s="6"/>
      <c r="G1593" s="6"/>
      <c r="J1593" s="6"/>
      <c r="N1593" s="154"/>
      <c r="O1593" s="6"/>
      <c r="S1593" s="6"/>
      <c r="V1593" s="6"/>
      <c r="X1593" s="6"/>
      <c r="Z1593" s="110"/>
      <c r="AB1593" s="6"/>
      <c r="AD1593" s="6"/>
      <c r="AE1593" s="6"/>
      <c r="AF1593" s="126"/>
      <c r="AJ1593" s="6"/>
      <c r="AL1593" s="110"/>
      <c r="AM1593" s="110"/>
      <c r="AN1593" s="110"/>
      <c r="AP1593" s="6"/>
      <c r="AW1593" s="6"/>
      <c r="AX1593" s="6"/>
      <c r="AZ1593" s="110"/>
      <c r="BB1593" s="6"/>
      <c r="BD1593" s="6"/>
      <c r="BE1593" s="6"/>
      <c r="BV1593" s="17"/>
      <c r="BX1593" s="17"/>
      <c r="BZ1593" s="17"/>
    </row>
    <row r="1594" spans="4:78" x14ac:dyDescent="0.3">
      <c r="D1594" s="153"/>
      <c r="E1594" s="6"/>
      <c r="G1594" s="6"/>
      <c r="J1594" s="6"/>
      <c r="N1594" s="154"/>
      <c r="O1594" s="6"/>
      <c r="S1594" s="6"/>
      <c r="V1594" s="6"/>
      <c r="X1594" s="6"/>
      <c r="Z1594" s="110"/>
      <c r="AB1594" s="6"/>
      <c r="AD1594" s="6"/>
      <c r="AE1594" s="6"/>
      <c r="AF1594" s="126"/>
      <c r="AJ1594" s="6"/>
      <c r="AL1594" s="110"/>
      <c r="AM1594" s="110"/>
      <c r="AN1594" s="110"/>
      <c r="AP1594" s="6"/>
      <c r="AW1594" s="6"/>
      <c r="AX1594" s="6"/>
      <c r="AZ1594" s="110"/>
      <c r="BB1594" s="6"/>
      <c r="BD1594" s="6"/>
      <c r="BE1594" s="6"/>
      <c r="BV1594" s="17"/>
      <c r="BX1594" s="17"/>
      <c r="BZ1594" s="17"/>
    </row>
    <row r="1595" spans="4:78" x14ac:dyDescent="0.3">
      <c r="D1595" s="153"/>
      <c r="E1595" s="6"/>
      <c r="G1595" s="6"/>
      <c r="J1595" s="6"/>
      <c r="N1595" s="154"/>
      <c r="O1595" s="6"/>
      <c r="S1595" s="6"/>
      <c r="V1595" s="6"/>
      <c r="X1595" s="6"/>
      <c r="Z1595" s="110"/>
      <c r="AB1595" s="6"/>
      <c r="AD1595" s="6"/>
      <c r="AE1595" s="6"/>
      <c r="AF1595" s="126"/>
      <c r="AJ1595" s="6"/>
      <c r="AL1595" s="110"/>
      <c r="AM1595" s="110"/>
      <c r="AN1595" s="110"/>
      <c r="AP1595" s="6"/>
      <c r="AW1595" s="6"/>
      <c r="AX1595" s="6"/>
      <c r="AZ1595" s="110"/>
      <c r="BB1595" s="6"/>
      <c r="BD1595" s="6"/>
      <c r="BE1595" s="6"/>
      <c r="BV1595" s="17"/>
      <c r="BX1595" s="17"/>
      <c r="BZ1595" s="17"/>
    </row>
    <row r="1596" spans="4:78" x14ac:dyDescent="0.3">
      <c r="D1596" s="153"/>
      <c r="E1596" s="6"/>
      <c r="G1596" s="6"/>
      <c r="J1596" s="6"/>
      <c r="N1596" s="154"/>
      <c r="O1596" s="6"/>
      <c r="S1596" s="6"/>
      <c r="V1596" s="6"/>
      <c r="X1596" s="6"/>
      <c r="Z1596" s="110"/>
      <c r="AB1596" s="6"/>
      <c r="AD1596" s="6"/>
      <c r="AE1596" s="6"/>
      <c r="AF1596" s="126"/>
      <c r="AJ1596" s="6"/>
      <c r="AL1596" s="110"/>
      <c r="AM1596" s="110"/>
      <c r="AN1596" s="110"/>
      <c r="AP1596" s="6"/>
      <c r="AW1596" s="6"/>
      <c r="AX1596" s="6"/>
      <c r="AZ1596" s="110"/>
      <c r="BB1596" s="6"/>
      <c r="BD1596" s="6"/>
      <c r="BE1596" s="6"/>
      <c r="BV1596" s="17"/>
      <c r="BX1596" s="17"/>
      <c r="BZ1596" s="17"/>
    </row>
    <row r="1597" spans="4:78" x14ac:dyDescent="0.3">
      <c r="D1597" s="153"/>
      <c r="E1597" s="6"/>
      <c r="G1597" s="6"/>
      <c r="J1597" s="6"/>
      <c r="N1597" s="154"/>
      <c r="O1597" s="6"/>
      <c r="S1597" s="6"/>
      <c r="V1597" s="6"/>
      <c r="X1597" s="6"/>
      <c r="Z1597" s="110"/>
      <c r="AB1597" s="6"/>
      <c r="AD1597" s="6"/>
      <c r="AE1597" s="6"/>
      <c r="AF1597" s="126"/>
      <c r="AJ1597" s="6"/>
      <c r="AL1597" s="110"/>
      <c r="AM1597" s="110"/>
      <c r="AN1597" s="110"/>
      <c r="AP1597" s="6"/>
      <c r="AW1597" s="6"/>
      <c r="AX1597" s="6"/>
      <c r="AZ1597" s="110"/>
      <c r="BB1597" s="6"/>
      <c r="BD1597" s="6"/>
      <c r="BE1597" s="6"/>
      <c r="BV1597" s="17"/>
      <c r="BX1597" s="17"/>
      <c r="BZ1597" s="17"/>
    </row>
    <row r="1598" spans="4:78" x14ac:dyDescent="0.3">
      <c r="D1598" s="153"/>
      <c r="E1598" s="6"/>
      <c r="G1598" s="6"/>
      <c r="J1598" s="6"/>
      <c r="N1598" s="154"/>
      <c r="O1598" s="6"/>
      <c r="S1598" s="6"/>
      <c r="V1598" s="6"/>
      <c r="X1598" s="6"/>
      <c r="Z1598" s="110"/>
      <c r="AB1598" s="6"/>
      <c r="AD1598" s="6"/>
      <c r="AE1598" s="6"/>
      <c r="AF1598" s="126"/>
      <c r="AJ1598" s="6"/>
      <c r="AL1598" s="110"/>
      <c r="AM1598" s="110"/>
      <c r="AN1598" s="110"/>
      <c r="AP1598" s="6"/>
      <c r="AW1598" s="6"/>
      <c r="AX1598" s="6"/>
      <c r="AZ1598" s="110"/>
      <c r="BB1598" s="6"/>
      <c r="BD1598" s="6"/>
      <c r="BE1598" s="6"/>
      <c r="BV1598" s="17"/>
      <c r="BX1598" s="17"/>
      <c r="BZ1598" s="17"/>
    </row>
    <row r="1599" spans="4:78" x14ac:dyDescent="0.3">
      <c r="D1599" s="153"/>
      <c r="E1599" s="6"/>
      <c r="G1599" s="6"/>
      <c r="J1599" s="6"/>
      <c r="N1599" s="154"/>
      <c r="O1599" s="6"/>
      <c r="S1599" s="6"/>
      <c r="V1599" s="6"/>
      <c r="X1599" s="6"/>
      <c r="Z1599" s="110"/>
      <c r="AB1599" s="6"/>
      <c r="AD1599" s="6"/>
      <c r="AE1599" s="6"/>
      <c r="AF1599" s="126"/>
      <c r="AJ1599" s="6"/>
      <c r="AL1599" s="110"/>
      <c r="AM1599" s="110"/>
      <c r="AN1599" s="110"/>
      <c r="AP1599" s="6"/>
      <c r="AW1599" s="6"/>
      <c r="AX1599" s="6"/>
      <c r="AZ1599" s="110"/>
      <c r="BB1599" s="6"/>
      <c r="BD1599" s="6"/>
      <c r="BE1599" s="6"/>
      <c r="BV1599" s="17"/>
      <c r="BX1599" s="17"/>
      <c r="BZ1599" s="17"/>
    </row>
    <row r="1600" spans="4:78" x14ac:dyDescent="0.3">
      <c r="D1600" s="153"/>
      <c r="E1600" s="6"/>
      <c r="G1600" s="6"/>
      <c r="J1600" s="6"/>
      <c r="N1600" s="154"/>
      <c r="O1600" s="6"/>
      <c r="S1600" s="6"/>
      <c r="V1600" s="6"/>
      <c r="X1600" s="6"/>
      <c r="Z1600" s="110"/>
      <c r="AB1600" s="6"/>
      <c r="AD1600" s="6"/>
      <c r="AE1600" s="6"/>
      <c r="AF1600" s="126"/>
      <c r="AJ1600" s="6"/>
      <c r="AL1600" s="110"/>
      <c r="AM1600" s="110"/>
      <c r="AN1600" s="110"/>
      <c r="AP1600" s="6"/>
      <c r="AW1600" s="6"/>
      <c r="AX1600" s="6"/>
      <c r="AZ1600" s="110"/>
      <c r="BB1600" s="6"/>
      <c r="BD1600" s="6"/>
      <c r="BE1600" s="6"/>
      <c r="BV1600" s="17"/>
      <c r="BX1600" s="17"/>
      <c r="BZ1600" s="17"/>
    </row>
    <row r="1601" spans="4:78" x14ac:dyDescent="0.3">
      <c r="D1601" s="153"/>
      <c r="E1601" s="6"/>
      <c r="G1601" s="6"/>
      <c r="J1601" s="6"/>
      <c r="N1601" s="154"/>
      <c r="O1601" s="6"/>
      <c r="S1601" s="6"/>
      <c r="V1601" s="6"/>
      <c r="X1601" s="6"/>
      <c r="Z1601" s="110"/>
      <c r="AB1601" s="6"/>
      <c r="AD1601" s="6"/>
      <c r="AE1601" s="6"/>
      <c r="AF1601" s="126"/>
      <c r="AJ1601" s="6"/>
      <c r="AL1601" s="110"/>
      <c r="AM1601" s="110"/>
      <c r="AN1601" s="110"/>
      <c r="AP1601" s="6"/>
      <c r="AW1601" s="6"/>
      <c r="AX1601" s="6"/>
      <c r="AZ1601" s="110"/>
      <c r="BB1601" s="6"/>
      <c r="BD1601" s="6"/>
      <c r="BE1601" s="6"/>
      <c r="BV1601" s="17"/>
      <c r="BX1601" s="17"/>
      <c r="BZ1601" s="17"/>
    </row>
    <row r="1602" spans="4:78" x14ac:dyDescent="0.3">
      <c r="D1602" s="153"/>
      <c r="E1602" s="6"/>
      <c r="G1602" s="6"/>
      <c r="J1602" s="6"/>
      <c r="N1602" s="154"/>
      <c r="O1602" s="6"/>
      <c r="S1602" s="6"/>
      <c r="V1602" s="6"/>
      <c r="X1602" s="6"/>
      <c r="Z1602" s="110"/>
      <c r="AB1602" s="6"/>
      <c r="AD1602" s="6"/>
      <c r="AE1602" s="6"/>
      <c r="AF1602" s="126"/>
      <c r="AJ1602" s="6"/>
      <c r="AL1602" s="110"/>
      <c r="AM1602" s="110"/>
      <c r="AN1602" s="110"/>
      <c r="AP1602" s="6"/>
      <c r="AW1602" s="6"/>
      <c r="AX1602" s="6"/>
      <c r="AZ1602" s="110"/>
      <c r="BB1602" s="6"/>
      <c r="BD1602" s="6"/>
      <c r="BE1602" s="6"/>
      <c r="BV1602" s="17"/>
      <c r="BX1602" s="17"/>
      <c r="BZ1602" s="17"/>
    </row>
    <row r="1603" spans="4:78" x14ac:dyDescent="0.3">
      <c r="D1603" s="153"/>
      <c r="E1603" s="6"/>
      <c r="G1603" s="6"/>
      <c r="J1603" s="6"/>
      <c r="N1603" s="154"/>
      <c r="O1603" s="6"/>
      <c r="S1603" s="6"/>
      <c r="V1603" s="6"/>
      <c r="X1603" s="6"/>
      <c r="Z1603" s="110"/>
      <c r="AB1603" s="6"/>
      <c r="AD1603" s="6"/>
      <c r="AE1603" s="6"/>
      <c r="AF1603" s="126"/>
      <c r="AJ1603" s="6"/>
      <c r="AL1603" s="110"/>
      <c r="AM1603" s="110"/>
      <c r="AN1603" s="110"/>
      <c r="AP1603" s="6"/>
      <c r="AW1603" s="6"/>
      <c r="AX1603" s="6"/>
      <c r="AZ1603" s="110"/>
      <c r="BB1603" s="6"/>
      <c r="BD1603" s="6"/>
      <c r="BE1603" s="6"/>
      <c r="BV1603" s="17"/>
      <c r="BX1603" s="17"/>
      <c r="BZ1603" s="17"/>
    </row>
    <row r="1604" spans="4:78" x14ac:dyDescent="0.3">
      <c r="D1604" s="153"/>
      <c r="E1604" s="6"/>
      <c r="G1604" s="6"/>
      <c r="J1604" s="6"/>
      <c r="N1604" s="154"/>
      <c r="O1604" s="6"/>
      <c r="S1604" s="6"/>
      <c r="V1604" s="6"/>
      <c r="X1604" s="6"/>
      <c r="Z1604" s="110"/>
      <c r="AB1604" s="6"/>
      <c r="AD1604" s="6"/>
      <c r="AE1604" s="6"/>
      <c r="AF1604" s="126"/>
      <c r="AJ1604" s="6"/>
      <c r="AL1604" s="110"/>
      <c r="AM1604" s="110"/>
      <c r="AN1604" s="110"/>
      <c r="AP1604" s="6"/>
      <c r="AW1604" s="6"/>
      <c r="AX1604" s="6"/>
      <c r="AZ1604" s="110"/>
      <c r="BB1604" s="6"/>
      <c r="BD1604" s="6"/>
      <c r="BE1604" s="6"/>
      <c r="BV1604" s="17"/>
      <c r="BX1604" s="17"/>
      <c r="BZ1604" s="17"/>
    </row>
    <row r="1605" spans="4:78" x14ac:dyDescent="0.3">
      <c r="D1605" s="153"/>
      <c r="E1605" s="6"/>
      <c r="G1605" s="6"/>
      <c r="J1605" s="6"/>
      <c r="N1605" s="154"/>
      <c r="O1605" s="6"/>
      <c r="S1605" s="6"/>
      <c r="V1605" s="6"/>
      <c r="X1605" s="6"/>
      <c r="Z1605" s="110"/>
      <c r="AB1605" s="6"/>
      <c r="AD1605" s="6"/>
      <c r="AE1605" s="6"/>
      <c r="AF1605" s="126"/>
      <c r="AJ1605" s="6"/>
      <c r="AL1605" s="110"/>
      <c r="AM1605" s="110"/>
      <c r="AN1605" s="110"/>
      <c r="AP1605" s="6"/>
      <c r="AW1605" s="6"/>
      <c r="AX1605" s="6"/>
      <c r="AZ1605" s="110"/>
      <c r="BB1605" s="6"/>
      <c r="BD1605" s="6"/>
      <c r="BE1605" s="6"/>
      <c r="BV1605" s="17"/>
      <c r="BX1605" s="17"/>
      <c r="BZ1605" s="17"/>
    </row>
    <row r="1606" spans="4:78" x14ac:dyDescent="0.3">
      <c r="D1606" s="153"/>
      <c r="E1606" s="6"/>
      <c r="G1606" s="6"/>
      <c r="J1606" s="6"/>
      <c r="N1606" s="154"/>
      <c r="O1606" s="6"/>
      <c r="S1606" s="6"/>
      <c r="V1606" s="6"/>
      <c r="X1606" s="6"/>
      <c r="Z1606" s="110"/>
      <c r="AB1606" s="6"/>
      <c r="AD1606" s="6"/>
      <c r="AE1606" s="6"/>
      <c r="AF1606" s="126"/>
      <c r="AJ1606" s="6"/>
      <c r="AL1606" s="110"/>
      <c r="AM1606" s="110"/>
      <c r="AN1606" s="110"/>
      <c r="AP1606" s="6"/>
      <c r="AW1606" s="6"/>
      <c r="AX1606" s="6"/>
      <c r="AZ1606" s="110"/>
      <c r="BB1606" s="6"/>
      <c r="BD1606" s="6"/>
      <c r="BE1606" s="6"/>
      <c r="BV1606" s="17"/>
      <c r="BX1606" s="17"/>
      <c r="BZ1606" s="17"/>
    </row>
    <row r="1607" spans="4:78" x14ac:dyDescent="0.3">
      <c r="D1607" s="153"/>
      <c r="E1607" s="6"/>
      <c r="G1607" s="6"/>
      <c r="J1607" s="6"/>
      <c r="N1607" s="154"/>
      <c r="O1607" s="6"/>
      <c r="S1607" s="6"/>
      <c r="V1607" s="6"/>
      <c r="X1607" s="6"/>
      <c r="Z1607" s="110"/>
      <c r="AB1607" s="6"/>
      <c r="AD1607" s="6"/>
      <c r="AE1607" s="6"/>
      <c r="AF1607" s="126"/>
      <c r="AJ1607" s="6"/>
      <c r="AL1607" s="110"/>
      <c r="AM1607" s="110"/>
      <c r="AN1607" s="110"/>
      <c r="AP1607" s="6"/>
      <c r="AW1607" s="6"/>
      <c r="AX1607" s="6"/>
      <c r="AZ1607" s="110"/>
      <c r="BB1607" s="6"/>
      <c r="BD1607" s="6"/>
      <c r="BE1607" s="6"/>
      <c r="BV1607" s="17"/>
      <c r="BX1607" s="17"/>
      <c r="BZ1607" s="17"/>
    </row>
    <row r="1608" spans="4:78" x14ac:dyDescent="0.3">
      <c r="D1608" s="153"/>
      <c r="E1608" s="6"/>
      <c r="G1608" s="6"/>
      <c r="J1608" s="6"/>
      <c r="N1608" s="154"/>
      <c r="O1608" s="6"/>
      <c r="S1608" s="6"/>
      <c r="V1608" s="6"/>
      <c r="X1608" s="6"/>
      <c r="Z1608" s="110"/>
      <c r="AB1608" s="6"/>
      <c r="AD1608" s="6"/>
      <c r="AE1608" s="6"/>
      <c r="AF1608" s="126"/>
      <c r="AJ1608" s="6"/>
      <c r="AL1608" s="110"/>
      <c r="AM1608" s="110"/>
      <c r="AN1608" s="110"/>
      <c r="AP1608" s="6"/>
      <c r="AW1608" s="6"/>
      <c r="AX1608" s="6"/>
      <c r="AZ1608" s="110"/>
      <c r="BB1608" s="6"/>
      <c r="BD1608" s="6"/>
      <c r="BE1608" s="6"/>
      <c r="BV1608" s="17"/>
      <c r="BX1608" s="17"/>
      <c r="BZ1608" s="17"/>
    </row>
    <row r="1609" spans="4:78" x14ac:dyDescent="0.3">
      <c r="D1609" s="153"/>
      <c r="E1609" s="6"/>
      <c r="G1609" s="6"/>
      <c r="J1609" s="6"/>
      <c r="N1609" s="154"/>
      <c r="O1609" s="6"/>
      <c r="S1609" s="6"/>
      <c r="V1609" s="6"/>
      <c r="X1609" s="6"/>
      <c r="Z1609" s="110"/>
      <c r="AB1609" s="6"/>
      <c r="AD1609" s="6"/>
      <c r="AE1609" s="6"/>
      <c r="AF1609" s="126"/>
      <c r="AJ1609" s="6"/>
      <c r="AL1609" s="110"/>
      <c r="AM1609" s="110"/>
      <c r="AN1609" s="110"/>
      <c r="AP1609" s="6"/>
      <c r="AW1609" s="6"/>
      <c r="AX1609" s="6"/>
      <c r="AZ1609" s="110"/>
      <c r="BB1609" s="6"/>
      <c r="BD1609" s="6"/>
      <c r="BE1609" s="6"/>
      <c r="BV1609" s="17"/>
      <c r="BX1609" s="17"/>
      <c r="BZ1609" s="17"/>
    </row>
    <row r="1610" spans="4:78" x14ac:dyDescent="0.3">
      <c r="D1610" s="153"/>
      <c r="E1610" s="6"/>
      <c r="G1610" s="6"/>
      <c r="J1610" s="6"/>
      <c r="N1610" s="154"/>
      <c r="O1610" s="6"/>
      <c r="S1610" s="6"/>
      <c r="V1610" s="6"/>
      <c r="X1610" s="6"/>
      <c r="Z1610" s="110"/>
      <c r="AB1610" s="6"/>
      <c r="AD1610" s="6"/>
      <c r="AE1610" s="6"/>
      <c r="AF1610" s="126"/>
      <c r="AJ1610" s="6"/>
      <c r="AL1610" s="110"/>
      <c r="AM1610" s="110"/>
      <c r="AN1610" s="110"/>
      <c r="AP1610" s="6"/>
      <c r="AW1610" s="6"/>
      <c r="AX1610" s="6"/>
      <c r="AZ1610" s="110"/>
      <c r="BB1610" s="6"/>
      <c r="BD1610" s="6"/>
      <c r="BE1610" s="6"/>
      <c r="BV1610" s="17"/>
      <c r="BX1610" s="17"/>
      <c r="BZ1610" s="17"/>
    </row>
    <row r="1611" spans="4:78" x14ac:dyDescent="0.3">
      <c r="D1611" s="153"/>
      <c r="E1611" s="6"/>
      <c r="G1611" s="6"/>
      <c r="J1611" s="6"/>
      <c r="N1611" s="154"/>
      <c r="O1611" s="6"/>
      <c r="S1611" s="6"/>
      <c r="V1611" s="6"/>
      <c r="X1611" s="6"/>
      <c r="Z1611" s="110"/>
      <c r="AB1611" s="6"/>
      <c r="AD1611" s="6"/>
      <c r="AE1611" s="6"/>
      <c r="AF1611" s="126"/>
      <c r="AJ1611" s="6"/>
      <c r="AL1611" s="110"/>
      <c r="AM1611" s="110"/>
      <c r="AN1611" s="110"/>
      <c r="AP1611" s="6"/>
      <c r="AW1611" s="6"/>
      <c r="AX1611" s="6"/>
      <c r="AZ1611" s="110"/>
      <c r="BB1611" s="6"/>
      <c r="BD1611" s="6"/>
      <c r="BE1611" s="6"/>
      <c r="BV1611" s="17"/>
      <c r="BX1611" s="17"/>
      <c r="BZ1611" s="17"/>
    </row>
    <row r="1612" spans="4:78" x14ac:dyDescent="0.3">
      <c r="D1612" s="153"/>
      <c r="E1612" s="6"/>
      <c r="G1612" s="6"/>
      <c r="J1612" s="6"/>
      <c r="N1612" s="154"/>
      <c r="O1612" s="6"/>
      <c r="S1612" s="6"/>
      <c r="V1612" s="6"/>
      <c r="X1612" s="6"/>
      <c r="Z1612" s="110"/>
      <c r="AB1612" s="6"/>
      <c r="AD1612" s="6"/>
      <c r="AE1612" s="6"/>
      <c r="AF1612" s="126"/>
      <c r="AJ1612" s="6"/>
      <c r="AL1612" s="110"/>
      <c r="AM1612" s="110"/>
      <c r="AN1612" s="110"/>
      <c r="AP1612" s="6"/>
      <c r="AW1612" s="6"/>
      <c r="AX1612" s="6"/>
      <c r="AZ1612" s="110"/>
      <c r="BB1612" s="6"/>
      <c r="BD1612" s="6"/>
      <c r="BE1612" s="6"/>
      <c r="BV1612" s="17"/>
      <c r="BX1612" s="17"/>
      <c r="BZ1612" s="17"/>
    </row>
    <row r="1613" spans="4:78" x14ac:dyDescent="0.3">
      <c r="D1613" s="153"/>
      <c r="E1613" s="6"/>
      <c r="G1613" s="6"/>
      <c r="J1613" s="6"/>
      <c r="N1613" s="154"/>
      <c r="O1613" s="6"/>
      <c r="S1613" s="6"/>
      <c r="V1613" s="6"/>
      <c r="X1613" s="6"/>
      <c r="Z1613" s="110"/>
      <c r="AB1613" s="6"/>
      <c r="AD1613" s="6"/>
      <c r="AE1613" s="6"/>
      <c r="AF1613" s="126"/>
      <c r="AJ1613" s="6"/>
      <c r="AL1613" s="110"/>
      <c r="AM1613" s="110"/>
      <c r="AN1613" s="110"/>
      <c r="AP1613" s="6"/>
      <c r="AW1613" s="6"/>
      <c r="AX1613" s="6"/>
      <c r="AZ1613" s="110"/>
      <c r="BB1613" s="6"/>
      <c r="BD1613" s="6"/>
      <c r="BE1613" s="6"/>
      <c r="BV1613" s="17"/>
      <c r="BX1613" s="17"/>
      <c r="BZ1613" s="17"/>
    </row>
    <row r="1614" spans="4:78" x14ac:dyDescent="0.3">
      <c r="D1614" s="153"/>
      <c r="E1614" s="6"/>
      <c r="G1614" s="6"/>
      <c r="J1614" s="6"/>
      <c r="N1614" s="154"/>
      <c r="O1614" s="6"/>
      <c r="S1614" s="6"/>
      <c r="V1614" s="6"/>
      <c r="X1614" s="6"/>
      <c r="Z1614" s="110"/>
      <c r="AB1614" s="6"/>
      <c r="AD1614" s="6"/>
      <c r="AE1614" s="6"/>
      <c r="AF1614" s="126"/>
      <c r="AJ1614" s="6"/>
      <c r="AL1614" s="110"/>
      <c r="AM1614" s="110"/>
      <c r="AN1614" s="110"/>
      <c r="AP1614" s="6"/>
      <c r="AW1614" s="6"/>
      <c r="AX1614" s="6"/>
      <c r="AZ1614" s="110"/>
      <c r="BB1614" s="6"/>
      <c r="BD1614" s="6"/>
      <c r="BE1614" s="6"/>
      <c r="BV1614" s="17"/>
      <c r="BX1614" s="17"/>
      <c r="BZ1614" s="17"/>
    </row>
    <row r="1615" spans="4:78" x14ac:dyDescent="0.3">
      <c r="D1615" s="153"/>
      <c r="E1615" s="6"/>
      <c r="G1615" s="6"/>
      <c r="J1615" s="6"/>
      <c r="N1615" s="154"/>
      <c r="O1615" s="6"/>
      <c r="S1615" s="6"/>
      <c r="V1615" s="6"/>
      <c r="X1615" s="6"/>
      <c r="Z1615" s="110"/>
      <c r="AB1615" s="6"/>
      <c r="AD1615" s="6"/>
      <c r="AE1615" s="6"/>
      <c r="AF1615" s="126"/>
      <c r="AJ1615" s="6"/>
      <c r="AL1615" s="110"/>
      <c r="AM1615" s="110"/>
      <c r="AN1615" s="110"/>
      <c r="AP1615" s="6"/>
      <c r="AW1615" s="6"/>
      <c r="AX1615" s="6"/>
      <c r="AZ1615" s="110"/>
      <c r="BB1615" s="6"/>
      <c r="BD1615" s="6"/>
      <c r="BE1615" s="6"/>
      <c r="BV1615" s="17"/>
      <c r="BX1615" s="17"/>
      <c r="BZ1615" s="17"/>
    </row>
    <row r="1616" spans="4:78" x14ac:dyDescent="0.3">
      <c r="D1616" s="153"/>
      <c r="E1616" s="6"/>
      <c r="G1616" s="6"/>
      <c r="J1616" s="6"/>
      <c r="N1616" s="154"/>
      <c r="O1616" s="6"/>
      <c r="S1616" s="6"/>
      <c r="V1616" s="6"/>
      <c r="X1616" s="6"/>
      <c r="Z1616" s="110"/>
      <c r="AB1616" s="6"/>
      <c r="AD1616" s="6"/>
      <c r="AE1616" s="6"/>
      <c r="AF1616" s="126"/>
      <c r="AJ1616" s="6"/>
      <c r="AL1616" s="110"/>
      <c r="AM1616" s="110"/>
      <c r="AN1616" s="110"/>
      <c r="AP1616" s="6"/>
      <c r="AW1616" s="6"/>
      <c r="AX1616" s="6"/>
      <c r="AZ1616" s="110"/>
      <c r="BB1616" s="6"/>
      <c r="BD1616" s="6"/>
      <c r="BE1616" s="6"/>
      <c r="BV1616" s="17"/>
      <c r="BX1616" s="17"/>
      <c r="BZ1616" s="17"/>
    </row>
    <row r="1617" spans="4:78" x14ac:dyDescent="0.3">
      <c r="D1617" s="153"/>
      <c r="E1617" s="6"/>
      <c r="G1617" s="6"/>
      <c r="J1617" s="6"/>
      <c r="N1617" s="154"/>
      <c r="O1617" s="6"/>
      <c r="S1617" s="6"/>
      <c r="V1617" s="6"/>
      <c r="X1617" s="6"/>
      <c r="Z1617" s="110"/>
      <c r="AB1617" s="6"/>
      <c r="AD1617" s="6"/>
      <c r="AE1617" s="6"/>
      <c r="AF1617" s="126"/>
      <c r="AJ1617" s="6"/>
      <c r="AL1617" s="110"/>
      <c r="AM1617" s="110"/>
      <c r="AN1617" s="110"/>
      <c r="AP1617" s="6"/>
      <c r="AW1617" s="6"/>
      <c r="AX1617" s="6"/>
      <c r="AZ1617" s="110"/>
      <c r="BB1617" s="6"/>
      <c r="BD1617" s="6"/>
      <c r="BE1617" s="6"/>
      <c r="BV1617" s="17"/>
      <c r="BX1617" s="17"/>
      <c r="BZ1617" s="17"/>
    </row>
    <row r="1618" spans="4:78" x14ac:dyDescent="0.3">
      <c r="D1618" s="153"/>
      <c r="E1618" s="6"/>
      <c r="G1618" s="6"/>
      <c r="J1618" s="6"/>
      <c r="N1618" s="154"/>
      <c r="O1618" s="6"/>
      <c r="S1618" s="6"/>
      <c r="V1618" s="6"/>
      <c r="X1618" s="6"/>
      <c r="Z1618" s="110"/>
      <c r="AB1618" s="6"/>
      <c r="AD1618" s="6"/>
      <c r="AE1618" s="6"/>
      <c r="AF1618" s="126"/>
      <c r="AJ1618" s="6"/>
      <c r="AL1618" s="110"/>
      <c r="AM1618" s="110"/>
      <c r="AN1618" s="110"/>
      <c r="AP1618" s="6"/>
      <c r="AW1618" s="6"/>
      <c r="AX1618" s="6"/>
      <c r="AZ1618" s="110"/>
      <c r="BB1618" s="6"/>
      <c r="BD1618" s="6"/>
      <c r="BE1618" s="6"/>
      <c r="BV1618" s="17"/>
      <c r="BX1618" s="17"/>
      <c r="BZ1618" s="17"/>
    </row>
    <row r="1619" spans="4:78" x14ac:dyDescent="0.3">
      <c r="D1619" s="153"/>
      <c r="E1619" s="6"/>
      <c r="G1619" s="6"/>
      <c r="J1619" s="6"/>
      <c r="N1619" s="154"/>
      <c r="O1619" s="6"/>
      <c r="S1619" s="6"/>
      <c r="V1619" s="6"/>
      <c r="X1619" s="6"/>
      <c r="Z1619" s="110"/>
      <c r="AB1619" s="6"/>
      <c r="AD1619" s="6"/>
      <c r="AE1619" s="6"/>
      <c r="AF1619" s="126"/>
      <c r="AJ1619" s="6"/>
      <c r="AL1619" s="110"/>
      <c r="AM1619" s="110"/>
      <c r="AN1619" s="110"/>
      <c r="AP1619" s="6"/>
      <c r="AW1619" s="6"/>
      <c r="AX1619" s="6"/>
      <c r="AZ1619" s="110"/>
      <c r="BB1619" s="6"/>
      <c r="BD1619" s="6"/>
      <c r="BE1619" s="6"/>
      <c r="BV1619" s="17"/>
      <c r="BX1619" s="17"/>
      <c r="BZ1619" s="17"/>
    </row>
    <row r="1620" spans="4:78" x14ac:dyDescent="0.3">
      <c r="D1620" s="153"/>
      <c r="E1620" s="6"/>
      <c r="G1620" s="6"/>
      <c r="J1620" s="6"/>
      <c r="N1620" s="154"/>
      <c r="O1620" s="6"/>
      <c r="S1620" s="6"/>
      <c r="V1620" s="6"/>
      <c r="X1620" s="6"/>
      <c r="Z1620" s="110"/>
      <c r="AB1620" s="6"/>
      <c r="AD1620" s="6"/>
      <c r="AE1620" s="6"/>
      <c r="AF1620" s="126"/>
      <c r="AJ1620" s="6"/>
      <c r="AL1620" s="110"/>
      <c r="AM1620" s="110"/>
      <c r="AN1620" s="110"/>
      <c r="AP1620" s="6"/>
      <c r="AW1620" s="6"/>
      <c r="AX1620" s="6"/>
      <c r="AZ1620" s="110"/>
      <c r="BB1620" s="6"/>
      <c r="BD1620" s="6"/>
      <c r="BE1620" s="6"/>
      <c r="BV1620" s="17"/>
      <c r="BX1620" s="17"/>
      <c r="BZ1620" s="17"/>
    </row>
    <row r="1621" spans="4:78" x14ac:dyDescent="0.3">
      <c r="D1621" s="153"/>
      <c r="E1621" s="6"/>
      <c r="G1621" s="6"/>
      <c r="J1621" s="6"/>
      <c r="N1621" s="154"/>
      <c r="O1621" s="6"/>
      <c r="S1621" s="6"/>
      <c r="V1621" s="6"/>
      <c r="X1621" s="6"/>
      <c r="Z1621" s="110"/>
      <c r="AB1621" s="6"/>
      <c r="AD1621" s="6"/>
      <c r="AE1621" s="6"/>
      <c r="AF1621" s="126"/>
      <c r="AJ1621" s="6"/>
      <c r="AL1621" s="110"/>
      <c r="AM1621" s="110"/>
      <c r="AN1621" s="110"/>
      <c r="AP1621" s="6"/>
      <c r="AW1621" s="6"/>
      <c r="AX1621" s="6"/>
      <c r="AZ1621" s="110"/>
      <c r="BB1621" s="6"/>
      <c r="BD1621" s="6"/>
      <c r="BE1621" s="6"/>
      <c r="BV1621" s="17"/>
      <c r="BX1621" s="17"/>
      <c r="BZ1621" s="17"/>
    </row>
    <row r="1622" spans="4:78" x14ac:dyDescent="0.3">
      <c r="D1622" s="153"/>
      <c r="E1622" s="6"/>
      <c r="G1622" s="6"/>
      <c r="J1622" s="6"/>
      <c r="N1622" s="154"/>
      <c r="O1622" s="6"/>
      <c r="S1622" s="6"/>
      <c r="V1622" s="6"/>
      <c r="X1622" s="6"/>
      <c r="Z1622" s="110"/>
      <c r="AB1622" s="6"/>
      <c r="AD1622" s="6"/>
      <c r="AE1622" s="6"/>
      <c r="AF1622" s="126"/>
      <c r="AJ1622" s="6"/>
      <c r="AL1622" s="110"/>
      <c r="AM1622" s="110"/>
      <c r="AN1622" s="110"/>
      <c r="AP1622" s="6"/>
      <c r="AW1622" s="6"/>
      <c r="AX1622" s="6"/>
      <c r="AZ1622" s="110"/>
      <c r="BB1622" s="6"/>
      <c r="BD1622" s="6"/>
      <c r="BE1622" s="6"/>
      <c r="BV1622" s="17"/>
      <c r="BX1622" s="17"/>
      <c r="BZ1622" s="17"/>
    </row>
    <row r="1623" spans="4:78" x14ac:dyDescent="0.3">
      <c r="D1623" s="153"/>
      <c r="E1623" s="6"/>
      <c r="G1623" s="6"/>
      <c r="J1623" s="6"/>
      <c r="N1623" s="154"/>
      <c r="O1623" s="6"/>
      <c r="S1623" s="6"/>
      <c r="V1623" s="6"/>
      <c r="X1623" s="6"/>
      <c r="Z1623" s="110"/>
      <c r="AB1623" s="6"/>
      <c r="AD1623" s="6"/>
      <c r="AE1623" s="6"/>
      <c r="AF1623" s="126"/>
      <c r="AJ1623" s="6"/>
      <c r="AL1623" s="110"/>
      <c r="AM1623" s="110"/>
      <c r="AN1623" s="110"/>
      <c r="AP1623" s="6"/>
      <c r="AW1623" s="6"/>
      <c r="AX1623" s="6"/>
      <c r="AZ1623" s="110"/>
      <c r="BB1623" s="6"/>
      <c r="BD1623" s="6"/>
      <c r="BE1623" s="6"/>
      <c r="BV1623" s="17"/>
      <c r="BX1623" s="17"/>
      <c r="BZ1623" s="17"/>
    </row>
    <row r="1624" spans="4:78" x14ac:dyDescent="0.3">
      <c r="D1624" s="153"/>
      <c r="E1624" s="6"/>
      <c r="G1624" s="6"/>
      <c r="J1624" s="6"/>
      <c r="N1624" s="154"/>
      <c r="O1624" s="6"/>
      <c r="S1624" s="6"/>
      <c r="V1624" s="6"/>
      <c r="X1624" s="6"/>
      <c r="Z1624" s="110"/>
      <c r="AB1624" s="6"/>
      <c r="AD1624" s="6"/>
      <c r="AE1624" s="6"/>
      <c r="AF1624" s="126"/>
      <c r="AJ1624" s="6"/>
      <c r="AL1624" s="110"/>
      <c r="AM1624" s="110"/>
      <c r="AN1624" s="110"/>
      <c r="AP1624" s="6"/>
      <c r="AW1624" s="6"/>
      <c r="AX1624" s="6"/>
      <c r="AZ1624" s="110"/>
      <c r="BB1624" s="6"/>
      <c r="BD1624" s="6"/>
      <c r="BE1624" s="6"/>
      <c r="BV1624" s="17"/>
      <c r="BX1624" s="17"/>
      <c r="BZ1624" s="17"/>
    </row>
    <row r="1625" spans="4:78" x14ac:dyDescent="0.3">
      <c r="D1625" s="153"/>
      <c r="E1625" s="6"/>
      <c r="G1625" s="6"/>
      <c r="J1625" s="6"/>
      <c r="N1625" s="154"/>
      <c r="O1625" s="6"/>
      <c r="S1625" s="6"/>
      <c r="V1625" s="6"/>
      <c r="X1625" s="6"/>
      <c r="Z1625" s="110"/>
      <c r="AB1625" s="6"/>
      <c r="AD1625" s="6"/>
      <c r="AE1625" s="6"/>
      <c r="AF1625" s="126"/>
      <c r="AJ1625" s="6"/>
      <c r="AL1625" s="110"/>
      <c r="AM1625" s="110"/>
      <c r="AN1625" s="110"/>
      <c r="AP1625" s="6"/>
      <c r="AW1625" s="6"/>
      <c r="AX1625" s="6"/>
      <c r="AZ1625" s="110"/>
      <c r="BB1625" s="6"/>
      <c r="BD1625" s="6"/>
      <c r="BE1625" s="6"/>
      <c r="BV1625" s="17"/>
      <c r="BX1625" s="17"/>
      <c r="BZ1625" s="17"/>
    </row>
    <row r="1626" spans="4:78" x14ac:dyDescent="0.3">
      <c r="D1626" s="153"/>
      <c r="E1626" s="6"/>
      <c r="G1626" s="6"/>
      <c r="J1626" s="6"/>
      <c r="N1626" s="154"/>
      <c r="O1626" s="6"/>
      <c r="S1626" s="6"/>
      <c r="V1626" s="6"/>
      <c r="X1626" s="6"/>
      <c r="Z1626" s="110"/>
      <c r="AB1626" s="6"/>
      <c r="AD1626" s="6"/>
      <c r="AE1626" s="6"/>
      <c r="AF1626" s="126"/>
      <c r="AJ1626" s="6"/>
      <c r="AL1626" s="110"/>
      <c r="AM1626" s="110"/>
      <c r="AN1626" s="110"/>
      <c r="AP1626" s="6"/>
      <c r="AW1626" s="6"/>
      <c r="AX1626" s="6"/>
      <c r="AZ1626" s="110"/>
      <c r="BB1626" s="6"/>
      <c r="BD1626" s="6"/>
      <c r="BE1626" s="6"/>
      <c r="BV1626" s="17"/>
      <c r="BX1626" s="17"/>
      <c r="BZ1626" s="17"/>
    </row>
    <row r="1627" spans="4:78" x14ac:dyDescent="0.3">
      <c r="D1627" s="153"/>
      <c r="E1627" s="6"/>
      <c r="G1627" s="6"/>
      <c r="J1627" s="6"/>
      <c r="N1627" s="154"/>
      <c r="O1627" s="6"/>
      <c r="S1627" s="6"/>
      <c r="V1627" s="6"/>
      <c r="X1627" s="6"/>
      <c r="Z1627" s="110"/>
      <c r="AB1627" s="6"/>
      <c r="AD1627" s="6"/>
      <c r="AE1627" s="6"/>
      <c r="AF1627" s="126"/>
      <c r="AJ1627" s="6"/>
      <c r="AL1627" s="110"/>
      <c r="AM1627" s="110"/>
      <c r="AN1627" s="110"/>
      <c r="AP1627" s="6"/>
      <c r="AW1627" s="6"/>
      <c r="AX1627" s="6"/>
      <c r="AZ1627" s="110"/>
      <c r="BB1627" s="6"/>
      <c r="BD1627" s="6"/>
      <c r="BE1627" s="6"/>
      <c r="BV1627" s="17"/>
      <c r="BX1627" s="17"/>
      <c r="BZ1627" s="17"/>
    </row>
    <row r="1628" spans="4:78" x14ac:dyDescent="0.3">
      <c r="D1628" s="153"/>
      <c r="E1628" s="6"/>
      <c r="G1628" s="6"/>
      <c r="J1628" s="6"/>
      <c r="N1628" s="154"/>
      <c r="O1628" s="6"/>
      <c r="S1628" s="6"/>
      <c r="V1628" s="6"/>
      <c r="X1628" s="6"/>
      <c r="Z1628" s="110"/>
      <c r="AB1628" s="6"/>
      <c r="AD1628" s="6"/>
      <c r="AE1628" s="6"/>
      <c r="AF1628" s="126"/>
      <c r="AJ1628" s="6"/>
      <c r="AL1628" s="110"/>
      <c r="AM1628" s="110"/>
      <c r="AN1628" s="110"/>
      <c r="AP1628" s="6"/>
      <c r="AW1628" s="6"/>
      <c r="AX1628" s="6"/>
      <c r="AZ1628" s="110"/>
      <c r="BB1628" s="6"/>
      <c r="BD1628" s="6"/>
      <c r="BE1628" s="6"/>
      <c r="BV1628" s="17"/>
      <c r="BX1628" s="17"/>
      <c r="BZ1628" s="17"/>
    </row>
    <row r="1629" spans="4:78" x14ac:dyDescent="0.3">
      <c r="D1629" s="153"/>
      <c r="E1629" s="6"/>
      <c r="G1629" s="6"/>
      <c r="J1629" s="6"/>
      <c r="N1629" s="154"/>
      <c r="O1629" s="6"/>
      <c r="S1629" s="6"/>
      <c r="V1629" s="6"/>
      <c r="X1629" s="6"/>
      <c r="Z1629" s="110"/>
      <c r="AB1629" s="6"/>
      <c r="AD1629" s="6"/>
      <c r="AE1629" s="6"/>
      <c r="AF1629" s="126"/>
      <c r="AJ1629" s="6"/>
      <c r="AL1629" s="110"/>
      <c r="AM1629" s="110"/>
      <c r="AN1629" s="110"/>
      <c r="AP1629" s="6"/>
      <c r="AW1629" s="6"/>
      <c r="AX1629" s="6"/>
      <c r="AZ1629" s="110"/>
      <c r="BB1629" s="6"/>
      <c r="BD1629" s="6"/>
      <c r="BE1629" s="6"/>
      <c r="BV1629" s="17"/>
      <c r="BX1629" s="17"/>
      <c r="BZ1629" s="17"/>
    </row>
    <row r="1630" spans="4:78" x14ac:dyDescent="0.3">
      <c r="D1630" s="153"/>
      <c r="E1630" s="6"/>
      <c r="G1630" s="6"/>
      <c r="J1630" s="6"/>
      <c r="N1630" s="154"/>
      <c r="O1630" s="6"/>
      <c r="S1630" s="6"/>
      <c r="V1630" s="6"/>
      <c r="X1630" s="6"/>
      <c r="Z1630" s="110"/>
      <c r="AB1630" s="6"/>
      <c r="AD1630" s="6"/>
      <c r="AE1630" s="6"/>
      <c r="AF1630" s="126"/>
      <c r="AJ1630" s="6"/>
      <c r="AL1630" s="110"/>
      <c r="AM1630" s="110"/>
      <c r="AN1630" s="110"/>
      <c r="AP1630" s="6"/>
      <c r="AW1630" s="6"/>
      <c r="AX1630" s="6"/>
      <c r="AZ1630" s="110"/>
      <c r="BB1630" s="6"/>
      <c r="BD1630" s="6"/>
      <c r="BE1630" s="6"/>
      <c r="BV1630" s="17"/>
      <c r="BX1630" s="17"/>
      <c r="BZ1630" s="17"/>
    </row>
    <row r="1631" spans="4:78" x14ac:dyDescent="0.3">
      <c r="D1631" s="153"/>
      <c r="E1631" s="6"/>
      <c r="G1631" s="6"/>
      <c r="J1631" s="6"/>
      <c r="N1631" s="154"/>
      <c r="O1631" s="6"/>
      <c r="S1631" s="6"/>
      <c r="V1631" s="6"/>
      <c r="X1631" s="6"/>
      <c r="Z1631" s="110"/>
      <c r="AB1631" s="6"/>
      <c r="AD1631" s="6"/>
      <c r="AE1631" s="6"/>
      <c r="AF1631" s="126"/>
      <c r="AJ1631" s="6"/>
      <c r="AL1631" s="110"/>
      <c r="AM1631" s="110"/>
      <c r="AN1631" s="110"/>
      <c r="AP1631" s="6"/>
      <c r="AW1631" s="6"/>
      <c r="AX1631" s="6"/>
      <c r="AZ1631" s="110"/>
      <c r="BB1631" s="6"/>
      <c r="BD1631" s="6"/>
      <c r="BE1631" s="6"/>
      <c r="BV1631" s="17"/>
      <c r="BX1631" s="17"/>
      <c r="BZ1631" s="17"/>
    </row>
    <row r="1632" spans="4:78" x14ac:dyDescent="0.3">
      <c r="D1632" s="153"/>
      <c r="E1632" s="6"/>
      <c r="G1632" s="6"/>
      <c r="J1632" s="6"/>
      <c r="N1632" s="154"/>
      <c r="O1632" s="6"/>
      <c r="S1632" s="6"/>
      <c r="V1632" s="6"/>
      <c r="X1632" s="6"/>
      <c r="Z1632" s="110"/>
      <c r="AB1632" s="6"/>
      <c r="AD1632" s="6"/>
      <c r="AE1632" s="6"/>
      <c r="AF1632" s="126"/>
      <c r="AJ1632" s="6"/>
      <c r="AL1632" s="110"/>
      <c r="AM1632" s="110"/>
      <c r="AN1632" s="110"/>
      <c r="AP1632" s="6"/>
      <c r="AW1632" s="6"/>
      <c r="AX1632" s="6"/>
      <c r="AZ1632" s="110"/>
      <c r="BB1632" s="6"/>
      <c r="BD1632" s="6"/>
      <c r="BE1632" s="6"/>
      <c r="BV1632" s="17"/>
      <c r="BX1632" s="17"/>
      <c r="BZ1632" s="17"/>
    </row>
    <row r="1633" spans="4:78" x14ac:dyDescent="0.3">
      <c r="D1633" s="153"/>
      <c r="E1633" s="6"/>
      <c r="G1633" s="6"/>
      <c r="J1633" s="6"/>
      <c r="N1633" s="154"/>
      <c r="O1633" s="6"/>
      <c r="S1633" s="6"/>
      <c r="V1633" s="6"/>
      <c r="X1633" s="6"/>
      <c r="Z1633" s="110"/>
      <c r="AB1633" s="6"/>
      <c r="AD1633" s="6"/>
      <c r="AE1633" s="6"/>
      <c r="AF1633" s="126"/>
      <c r="AJ1633" s="6"/>
      <c r="AL1633" s="110"/>
      <c r="AM1633" s="110"/>
      <c r="AN1633" s="110"/>
      <c r="AP1633" s="6"/>
      <c r="AW1633" s="6"/>
      <c r="AX1633" s="6"/>
      <c r="AZ1633" s="110"/>
      <c r="BB1633" s="6"/>
      <c r="BD1633" s="6"/>
      <c r="BE1633" s="6"/>
      <c r="BV1633" s="17"/>
      <c r="BX1633" s="17"/>
      <c r="BZ1633" s="17"/>
    </row>
    <row r="1634" spans="4:78" x14ac:dyDescent="0.3">
      <c r="D1634" s="153"/>
      <c r="E1634" s="6"/>
      <c r="G1634" s="6"/>
      <c r="J1634" s="6"/>
      <c r="N1634" s="154"/>
      <c r="O1634" s="6"/>
      <c r="S1634" s="6"/>
      <c r="V1634" s="6"/>
      <c r="X1634" s="6"/>
      <c r="Z1634" s="110"/>
      <c r="AB1634" s="6"/>
      <c r="AD1634" s="6"/>
      <c r="AE1634" s="6"/>
      <c r="AF1634" s="126"/>
      <c r="AJ1634" s="6"/>
      <c r="AL1634" s="110"/>
      <c r="AM1634" s="110"/>
      <c r="AN1634" s="110"/>
      <c r="AP1634" s="6"/>
      <c r="AW1634" s="6"/>
      <c r="AX1634" s="6"/>
      <c r="AZ1634" s="110"/>
      <c r="BB1634" s="6"/>
      <c r="BD1634" s="6"/>
      <c r="BE1634" s="6"/>
      <c r="BV1634" s="17"/>
      <c r="BX1634" s="17"/>
      <c r="BZ1634" s="17"/>
    </row>
    <row r="1635" spans="4:78" x14ac:dyDescent="0.3">
      <c r="D1635" s="153"/>
      <c r="E1635" s="6"/>
      <c r="G1635" s="6"/>
      <c r="J1635" s="6"/>
      <c r="N1635" s="154"/>
      <c r="O1635" s="6"/>
      <c r="S1635" s="6"/>
      <c r="V1635" s="6"/>
      <c r="X1635" s="6"/>
      <c r="Z1635" s="110"/>
      <c r="AB1635" s="6"/>
      <c r="AD1635" s="6"/>
      <c r="AE1635" s="6"/>
      <c r="AF1635" s="126"/>
      <c r="AJ1635" s="6"/>
      <c r="AL1635" s="110"/>
      <c r="AM1635" s="110"/>
      <c r="AN1635" s="110"/>
      <c r="AP1635" s="6"/>
      <c r="AW1635" s="6"/>
      <c r="AX1635" s="6"/>
      <c r="AZ1635" s="110"/>
      <c r="BB1635" s="6"/>
      <c r="BD1635" s="6"/>
      <c r="BE1635" s="6"/>
      <c r="BV1635" s="17"/>
      <c r="BX1635" s="17"/>
      <c r="BZ1635" s="17"/>
    </row>
    <row r="1636" spans="4:78" x14ac:dyDescent="0.3">
      <c r="D1636" s="153"/>
      <c r="E1636" s="6"/>
      <c r="G1636" s="6"/>
      <c r="J1636" s="6"/>
      <c r="N1636" s="154"/>
      <c r="O1636" s="6"/>
      <c r="S1636" s="6"/>
      <c r="V1636" s="6"/>
      <c r="X1636" s="6"/>
      <c r="Z1636" s="110"/>
      <c r="AB1636" s="6"/>
      <c r="AD1636" s="6"/>
      <c r="AE1636" s="6"/>
      <c r="AF1636" s="126"/>
      <c r="AJ1636" s="6"/>
      <c r="AL1636" s="110"/>
      <c r="AM1636" s="110"/>
      <c r="AN1636" s="110"/>
      <c r="AP1636" s="6"/>
      <c r="AW1636" s="6"/>
      <c r="AX1636" s="6"/>
      <c r="AZ1636" s="110"/>
      <c r="BB1636" s="6"/>
      <c r="BD1636" s="6"/>
      <c r="BE1636" s="6"/>
      <c r="BV1636" s="17"/>
      <c r="BX1636" s="17"/>
      <c r="BZ1636" s="17"/>
    </row>
    <row r="1637" spans="4:78" x14ac:dyDescent="0.3">
      <c r="D1637" s="153"/>
      <c r="E1637" s="6"/>
      <c r="G1637" s="6"/>
      <c r="J1637" s="6"/>
      <c r="N1637" s="154"/>
      <c r="O1637" s="6"/>
      <c r="S1637" s="6"/>
      <c r="V1637" s="6"/>
      <c r="X1637" s="6"/>
      <c r="Z1637" s="110"/>
      <c r="AB1637" s="6"/>
      <c r="AD1637" s="6"/>
      <c r="AE1637" s="6"/>
      <c r="AF1637" s="126"/>
      <c r="AJ1637" s="6"/>
      <c r="AL1637" s="110"/>
      <c r="AM1637" s="110"/>
      <c r="AN1637" s="110"/>
      <c r="AP1637" s="6"/>
      <c r="AW1637" s="6"/>
      <c r="AX1637" s="6"/>
      <c r="AZ1637" s="110"/>
      <c r="BB1637" s="6"/>
      <c r="BD1637" s="6"/>
      <c r="BE1637" s="6"/>
      <c r="BV1637" s="17"/>
      <c r="BX1637" s="17"/>
      <c r="BZ1637" s="17"/>
    </row>
    <row r="1638" spans="4:78" x14ac:dyDescent="0.3">
      <c r="D1638" s="153"/>
      <c r="E1638" s="6"/>
      <c r="G1638" s="6"/>
      <c r="J1638" s="6"/>
      <c r="N1638" s="154"/>
      <c r="O1638" s="6"/>
      <c r="S1638" s="6"/>
      <c r="V1638" s="6"/>
      <c r="X1638" s="6"/>
      <c r="Z1638" s="110"/>
      <c r="AB1638" s="6"/>
      <c r="AD1638" s="6"/>
      <c r="AE1638" s="6"/>
      <c r="AF1638" s="126"/>
      <c r="AJ1638" s="6"/>
      <c r="AL1638" s="110"/>
      <c r="AM1638" s="110"/>
      <c r="AN1638" s="110"/>
      <c r="AP1638" s="6"/>
      <c r="AW1638" s="6"/>
      <c r="AX1638" s="6"/>
      <c r="AZ1638" s="110"/>
      <c r="BB1638" s="6"/>
      <c r="BD1638" s="6"/>
      <c r="BE1638" s="6"/>
      <c r="BV1638" s="17"/>
      <c r="BX1638" s="17"/>
      <c r="BZ1638" s="17"/>
    </row>
    <row r="1639" spans="4:78" x14ac:dyDescent="0.3">
      <c r="D1639" s="153"/>
      <c r="E1639" s="6"/>
      <c r="G1639" s="6"/>
      <c r="J1639" s="6"/>
      <c r="N1639" s="154"/>
      <c r="O1639" s="6"/>
      <c r="S1639" s="6"/>
      <c r="V1639" s="6"/>
      <c r="X1639" s="6"/>
      <c r="Z1639" s="110"/>
      <c r="AB1639" s="6"/>
      <c r="AD1639" s="6"/>
      <c r="AE1639" s="6"/>
      <c r="AF1639" s="126"/>
      <c r="AJ1639" s="6"/>
      <c r="AL1639" s="110"/>
      <c r="AM1639" s="110"/>
      <c r="AN1639" s="110"/>
      <c r="AP1639" s="6"/>
      <c r="AW1639" s="6"/>
      <c r="AX1639" s="6"/>
      <c r="AZ1639" s="110"/>
      <c r="BB1639" s="6"/>
      <c r="BD1639" s="6"/>
      <c r="BE1639" s="6"/>
      <c r="BV1639" s="17"/>
      <c r="BX1639" s="17"/>
      <c r="BZ1639" s="17"/>
    </row>
    <row r="1640" spans="4:78" x14ac:dyDescent="0.3">
      <c r="D1640" s="153"/>
      <c r="E1640" s="6"/>
      <c r="G1640" s="6"/>
      <c r="J1640" s="6"/>
      <c r="N1640" s="154"/>
      <c r="O1640" s="6"/>
      <c r="S1640" s="6"/>
      <c r="V1640" s="6"/>
      <c r="X1640" s="6"/>
      <c r="Z1640" s="110"/>
      <c r="AB1640" s="6"/>
      <c r="AD1640" s="6"/>
      <c r="AE1640" s="6"/>
      <c r="AF1640" s="126"/>
      <c r="AJ1640" s="6"/>
      <c r="AL1640" s="110"/>
      <c r="AM1640" s="110"/>
      <c r="AN1640" s="110"/>
      <c r="AP1640" s="6"/>
      <c r="AW1640" s="6"/>
      <c r="AX1640" s="6"/>
      <c r="AZ1640" s="110"/>
      <c r="BB1640" s="6"/>
      <c r="BD1640" s="6"/>
      <c r="BE1640" s="6"/>
      <c r="BV1640" s="17"/>
      <c r="BX1640" s="17"/>
      <c r="BZ1640" s="17"/>
    </row>
    <row r="1641" spans="4:78" x14ac:dyDescent="0.3">
      <c r="D1641" s="153"/>
      <c r="E1641" s="6"/>
      <c r="G1641" s="6"/>
      <c r="J1641" s="6"/>
      <c r="N1641" s="154"/>
      <c r="O1641" s="6"/>
      <c r="S1641" s="6"/>
      <c r="V1641" s="6"/>
      <c r="X1641" s="6"/>
      <c r="Z1641" s="110"/>
      <c r="AB1641" s="6"/>
      <c r="AD1641" s="6"/>
      <c r="AE1641" s="6"/>
      <c r="AF1641" s="126"/>
      <c r="AJ1641" s="6"/>
      <c r="AL1641" s="110"/>
      <c r="AM1641" s="110"/>
      <c r="AN1641" s="110"/>
      <c r="AP1641" s="6"/>
      <c r="AW1641" s="6"/>
      <c r="AX1641" s="6"/>
      <c r="AZ1641" s="110"/>
      <c r="BB1641" s="6"/>
      <c r="BD1641" s="6"/>
      <c r="BE1641" s="6"/>
      <c r="BV1641" s="17"/>
      <c r="BX1641" s="17"/>
      <c r="BZ1641" s="17"/>
    </row>
    <row r="1642" spans="4:78" x14ac:dyDescent="0.3">
      <c r="D1642" s="153"/>
      <c r="E1642" s="6"/>
      <c r="G1642" s="6"/>
      <c r="J1642" s="6"/>
      <c r="N1642" s="154"/>
      <c r="O1642" s="6"/>
      <c r="S1642" s="6"/>
      <c r="V1642" s="6"/>
      <c r="X1642" s="6"/>
      <c r="Z1642" s="110"/>
      <c r="AB1642" s="6"/>
      <c r="AD1642" s="6"/>
      <c r="AE1642" s="6"/>
      <c r="AF1642" s="126"/>
      <c r="AJ1642" s="6"/>
      <c r="AL1642" s="110"/>
      <c r="AM1642" s="110"/>
      <c r="AN1642" s="110"/>
      <c r="AP1642" s="6"/>
      <c r="AW1642" s="6"/>
      <c r="AX1642" s="6"/>
      <c r="AZ1642" s="110"/>
      <c r="BB1642" s="6"/>
      <c r="BD1642" s="6"/>
      <c r="BE1642" s="6"/>
      <c r="BV1642" s="17"/>
      <c r="BX1642" s="17"/>
      <c r="BZ1642" s="17"/>
    </row>
    <row r="1643" spans="4:78" x14ac:dyDescent="0.3">
      <c r="D1643" s="153"/>
      <c r="E1643" s="6"/>
      <c r="G1643" s="6"/>
      <c r="J1643" s="6"/>
      <c r="N1643" s="154"/>
      <c r="O1643" s="6"/>
      <c r="S1643" s="6"/>
      <c r="V1643" s="6"/>
      <c r="X1643" s="6"/>
      <c r="Z1643" s="110"/>
      <c r="AB1643" s="6"/>
      <c r="AD1643" s="6"/>
      <c r="AE1643" s="6"/>
      <c r="AF1643" s="126"/>
      <c r="AJ1643" s="6"/>
      <c r="AL1643" s="110"/>
      <c r="AM1643" s="110"/>
      <c r="AN1643" s="110"/>
      <c r="AP1643" s="6"/>
      <c r="AW1643" s="6"/>
      <c r="AX1643" s="6"/>
      <c r="AZ1643" s="110"/>
      <c r="BB1643" s="6"/>
      <c r="BD1643" s="6"/>
      <c r="BE1643" s="6"/>
      <c r="BV1643" s="17"/>
      <c r="BX1643" s="17"/>
      <c r="BZ1643" s="17"/>
    </row>
    <row r="1644" spans="4:78" x14ac:dyDescent="0.3">
      <c r="D1644" s="153"/>
      <c r="E1644" s="6"/>
      <c r="G1644" s="6"/>
      <c r="J1644" s="6"/>
      <c r="N1644" s="154"/>
      <c r="O1644" s="6"/>
      <c r="S1644" s="6"/>
      <c r="V1644" s="6"/>
      <c r="X1644" s="6"/>
      <c r="Z1644" s="110"/>
      <c r="AB1644" s="6"/>
      <c r="AD1644" s="6"/>
      <c r="AE1644" s="6"/>
      <c r="AF1644" s="126"/>
      <c r="AJ1644" s="6"/>
      <c r="AL1644" s="110"/>
      <c r="AM1644" s="110"/>
      <c r="AN1644" s="110"/>
      <c r="AP1644" s="6"/>
      <c r="AW1644" s="6"/>
      <c r="AX1644" s="6"/>
      <c r="AZ1644" s="110"/>
      <c r="BB1644" s="6"/>
      <c r="BD1644" s="6"/>
      <c r="BE1644" s="6"/>
      <c r="BV1644" s="17"/>
      <c r="BX1644" s="17"/>
      <c r="BZ1644" s="17"/>
    </row>
    <row r="1645" spans="4:78" x14ac:dyDescent="0.3">
      <c r="D1645" s="153"/>
      <c r="E1645" s="6"/>
      <c r="G1645" s="6"/>
      <c r="J1645" s="6"/>
      <c r="N1645" s="154"/>
      <c r="O1645" s="6"/>
      <c r="S1645" s="6"/>
      <c r="V1645" s="6"/>
      <c r="X1645" s="6"/>
      <c r="Z1645" s="110"/>
      <c r="AB1645" s="6"/>
      <c r="AD1645" s="6"/>
      <c r="AE1645" s="6"/>
      <c r="AF1645" s="126"/>
      <c r="AJ1645" s="6"/>
      <c r="AL1645" s="110"/>
      <c r="AM1645" s="110"/>
      <c r="AN1645" s="110"/>
      <c r="AP1645" s="6"/>
      <c r="AW1645" s="6"/>
      <c r="AX1645" s="6"/>
      <c r="AZ1645" s="110"/>
      <c r="BB1645" s="6"/>
      <c r="BD1645" s="6"/>
      <c r="BE1645" s="6"/>
      <c r="BV1645" s="17"/>
      <c r="BX1645" s="17"/>
      <c r="BZ1645" s="17"/>
    </row>
    <row r="1646" spans="4:78" x14ac:dyDescent="0.3">
      <c r="D1646" s="153"/>
      <c r="E1646" s="6"/>
      <c r="G1646" s="6"/>
      <c r="J1646" s="6"/>
      <c r="N1646" s="154"/>
      <c r="O1646" s="6"/>
      <c r="S1646" s="6"/>
      <c r="V1646" s="6"/>
      <c r="X1646" s="6"/>
      <c r="Z1646" s="110"/>
      <c r="AB1646" s="6"/>
      <c r="AD1646" s="6"/>
      <c r="AE1646" s="6"/>
      <c r="AF1646" s="126"/>
      <c r="AJ1646" s="6"/>
      <c r="AL1646" s="110"/>
      <c r="AM1646" s="110"/>
      <c r="AN1646" s="110"/>
      <c r="AP1646" s="6"/>
      <c r="AW1646" s="6"/>
      <c r="AX1646" s="6"/>
      <c r="AZ1646" s="110"/>
      <c r="BB1646" s="6"/>
      <c r="BD1646" s="6"/>
      <c r="BE1646" s="6"/>
      <c r="BV1646" s="17"/>
      <c r="BX1646" s="17"/>
      <c r="BZ1646" s="17"/>
    </row>
    <row r="1647" spans="4:78" x14ac:dyDescent="0.3">
      <c r="D1647" s="153"/>
      <c r="E1647" s="6"/>
      <c r="G1647" s="6"/>
      <c r="J1647" s="6"/>
      <c r="N1647" s="154"/>
      <c r="O1647" s="6"/>
      <c r="S1647" s="6"/>
      <c r="V1647" s="6"/>
      <c r="X1647" s="6"/>
      <c r="Z1647" s="110"/>
      <c r="AB1647" s="6"/>
      <c r="AD1647" s="6"/>
      <c r="AE1647" s="6"/>
      <c r="AF1647" s="126"/>
      <c r="AJ1647" s="6"/>
      <c r="AL1647" s="110"/>
      <c r="AM1647" s="110"/>
      <c r="AN1647" s="110"/>
      <c r="AP1647" s="6"/>
      <c r="AW1647" s="6"/>
      <c r="AX1647" s="6"/>
      <c r="AZ1647" s="110"/>
      <c r="BB1647" s="6"/>
      <c r="BD1647" s="6"/>
      <c r="BE1647" s="6"/>
      <c r="BV1647" s="17"/>
      <c r="BX1647" s="17"/>
      <c r="BZ1647" s="17"/>
    </row>
    <row r="1648" spans="4:78" x14ac:dyDescent="0.3">
      <c r="D1648" s="153"/>
      <c r="E1648" s="6"/>
      <c r="G1648" s="6"/>
      <c r="J1648" s="6"/>
      <c r="N1648" s="154"/>
      <c r="O1648" s="6"/>
      <c r="S1648" s="6"/>
      <c r="V1648" s="6"/>
      <c r="X1648" s="6"/>
      <c r="Z1648" s="110"/>
      <c r="AB1648" s="6"/>
      <c r="AD1648" s="6"/>
      <c r="AE1648" s="6"/>
      <c r="AF1648" s="126"/>
      <c r="AJ1648" s="6"/>
      <c r="AL1648" s="110"/>
      <c r="AM1648" s="110"/>
      <c r="AN1648" s="110"/>
      <c r="AP1648" s="6"/>
      <c r="AW1648" s="6"/>
      <c r="AX1648" s="6"/>
      <c r="AZ1648" s="110"/>
      <c r="BB1648" s="6"/>
      <c r="BD1648" s="6"/>
      <c r="BE1648" s="6"/>
      <c r="BV1648" s="17"/>
      <c r="BX1648" s="17"/>
      <c r="BZ1648" s="17"/>
    </row>
    <row r="1649" spans="4:78" x14ac:dyDescent="0.3">
      <c r="D1649" s="153"/>
      <c r="E1649" s="6"/>
      <c r="G1649" s="6"/>
      <c r="J1649" s="6"/>
      <c r="N1649" s="154"/>
      <c r="O1649" s="6"/>
      <c r="S1649" s="6"/>
      <c r="V1649" s="6"/>
      <c r="X1649" s="6"/>
      <c r="Z1649" s="110"/>
      <c r="AB1649" s="6"/>
      <c r="AD1649" s="6"/>
      <c r="AE1649" s="6"/>
      <c r="AF1649" s="126"/>
      <c r="AJ1649" s="6"/>
      <c r="AL1649" s="110"/>
      <c r="AM1649" s="110"/>
      <c r="AN1649" s="110"/>
      <c r="AP1649" s="6"/>
      <c r="AW1649" s="6"/>
      <c r="AX1649" s="6"/>
      <c r="AZ1649" s="110"/>
      <c r="BB1649" s="6"/>
      <c r="BD1649" s="6"/>
      <c r="BE1649" s="6"/>
      <c r="BV1649" s="17"/>
      <c r="BX1649" s="17"/>
      <c r="BZ1649" s="17"/>
    </row>
    <row r="1650" spans="4:78" x14ac:dyDescent="0.3">
      <c r="D1650" s="153"/>
      <c r="E1650" s="6"/>
      <c r="G1650" s="6"/>
      <c r="J1650" s="6"/>
      <c r="N1650" s="154"/>
      <c r="O1650" s="6"/>
      <c r="S1650" s="6"/>
      <c r="V1650" s="6"/>
      <c r="X1650" s="6"/>
      <c r="Z1650" s="110"/>
      <c r="AB1650" s="6"/>
      <c r="AD1650" s="6"/>
      <c r="AE1650" s="6"/>
      <c r="AF1650" s="126"/>
      <c r="AJ1650" s="6"/>
      <c r="AL1650" s="110"/>
      <c r="AM1650" s="110"/>
      <c r="AN1650" s="110"/>
      <c r="AP1650" s="6"/>
      <c r="AW1650" s="6"/>
      <c r="AX1650" s="6"/>
      <c r="AZ1650" s="110"/>
      <c r="BB1650" s="6"/>
      <c r="BD1650" s="6"/>
      <c r="BE1650" s="6"/>
      <c r="BV1650" s="17"/>
      <c r="BX1650" s="17"/>
      <c r="BZ1650" s="17"/>
    </row>
    <row r="1651" spans="4:78" x14ac:dyDescent="0.3">
      <c r="D1651" s="153"/>
      <c r="E1651" s="6"/>
      <c r="G1651" s="6"/>
      <c r="J1651" s="6"/>
      <c r="N1651" s="154"/>
      <c r="O1651" s="6"/>
      <c r="S1651" s="6"/>
      <c r="V1651" s="6"/>
      <c r="X1651" s="6"/>
      <c r="Z1651" s="110"/>
      <c r="AB1651" s="6"/>
      <c r="AD1651" s="6"/>
      <c r="AE1651" s="6"/>
      <c r="AF1651" s="126"/>
      <c r="AJ1651" s="6"/>
      <c r="AL1651" s="110"/>
      <c r="AM1651" s="110"/>
      <c r="AN1651" s="110"/>
      <c r="AP1651" s="6"/>
      <c r="AW1651" s="6"/>
      <c r="AX1651" s="6"/>
      <c r="AZ1651" s="110"/>
      <c r="BB1651" s="6"/>
      <c r="BD1651" s="6"/>
      <c r="BE1651" s="6"/>
      <c r="BV1651" s="17"/>
      <c r="BX1651" s="17"/>
      <c r="BZ1651" s="17"/>
    </row>
    <row r="1652" spans="4:78" x14ac:dyDescent="0.3">
      <c r="D1652" s="153"/>
      <c r="E1652" s="6"/>
      <c r="G1652" s="6"/>
      <c r="J1652" s="6"/>
      <c r="N1652" s="154"/>
      <c r="O1652" s="6"/>
      <c r="S1652" s="6"/>
      <c r="V1652" s="6"/>
      <c r="X1652" s="6"/>
      <c r="Z1652" s="110"/>
      <c r="AB1652" s="6"/>
      <c r="AD1652" s="6"/>
      <c r="AE1652" s="6"/>
      <c r="AF1652" s="126"/>
      <c r="AJ1652" s="6"/>
      <c r="AL1652" s="110"/>
      <c r="AM1652" s="110"/>
      <c r="AN1652" s="110"/>
      <c r="AP1652" s="6"/>
      <c r="AW1652" s="6"/>
      <c r="AX1652" s="6"/>
      <c r="AZ1652" s="110"/>
      <c r="BB1652" s="6"/>
      <c r="BD1652" s="6"/>
      <c r="BE1652" s="6"/>
      <c r="BV1652" s="17"/>
      <c r="BX1652" s="17"/>
      <c r="BZ1652" s="17"/>
    </row>
    <row r="1653" spans="4:78" x14ac:dyDescent="0.3">
      <c r="D1653" s="153"/>
      <c r="E1653" s="6"/>
      <c r="G1653" s="6"/>
      <c r="J1653" s="6"/>
      <c r="N1653" s="154"/>
      <c r="O1653" s="6"/>
      <c r="S1653" s="6"/>
      <c r="V1653" s="6"/>
      <c r="X1653" s="6"/>
      <c r="Z1653" s="110"/>
      <c r="AB1653" s="6"/>
      <c r="AD1653" s="6"/>
      <c r="AE1653" s="6"/>
      <c r="AF1653" s="126"/>
      <c r="AJ1653" s="6"/>
      <c r="AL1653" s="110"/>
      <c r="AM1653" s="110"/>
      <c r="AN1653" s="110"/>
      <c r="AP1653" s="6"/>
      <c r="AW1653" s="6"/>
      <c r="AX1653" s="6"/>
      <c r="AZ1653" s="110"/>
      <c r="BB1653" s="6"/>
      <c r="BD1653" s="6"/>
      <c r="BE1653" s="6"/>
      <c r="BV1653" s="17"/>
      <c r="BX1653" s="17"/>
      <c r="BZ1653" s="17"/>
    </row>
    <row r="1654" spans="4:78" x14ac:dyDescent="0.3">
      <c r="D1654" s="153"/>
      <c r="E1654" s="6"/>
      <c r="G1654" s="6"/>
      <c r="J1654" s="6"/>
      <c r="N1654" s="154"/>
      <c r="O1654" s="6"/>
      <c r="S1654" s="6"/>
      <c r="V1654" s="6"/>
      <c r="X1654" s="6"/>
      <c r="Z1654" s="110"/>
      <c r="AB1654" s="6"/>
      <c r="AD1654" s="6"/>
      <c r="AE1654" s="6"/>
      <c r="AF1654" s="126"/>
      <c r="AJ1654" s="6"/>
      <c r="AL1654" s="110"/>
      <c r="AM1654" s="110"/>
      <c r="AN1654" s="110"/>
      <c r="AP1654" s="6"/>
      <c r="AW1654" s="6"/>
      <c r="AX1654" s="6"/>
      <c r="AZ1654" s="110"/>
      <c r="BB1654" s="6"/>
      <c r="BD1654" s="6"/>
      <c r="BE1654" s="6"/>
      <c r="BV1654" s="17"/>
      <c r="BX1654" s="17"/>
      <c r="BZ1654" s="17"/>
    </row>
    <row r="1655" spans="4:78" x14ac:dyDescent="0.3">
      <c r="D1655" s="153"/>
      <c r="E1655" s="6"/>
      <c r="G1655" s="6"/>
      <c r="J1655" s="6"/>
      <c r="N1655" s="154"/>
      <c r="O1655" s="6"/>
      <c r="S1655" s="6"/>
      <c r="V1655" s="6"/>
      <c r="X1655" s="6"/>
      <c r="Z1655" s="110"/>
      <c r="AB1655" s="6"/>
      <c r="AD1655" s="6"/>
      <c r="AE1655" s="6"/>
      <c r="AF1655" s="126"/>
      <c r="AJ1655" s="6"/>
      <c r="AL1655" s="110"/>
      <c r="AM1655" s="110"/>
      <c r="AN1655" s="110"/>
      <c r="AP1655" s="6"/>
      <c r="AW1655" s="6"/>
      <c r="AX1655" s="6"/>
      <c r="AZ1655" s="110"/>
      <c r="BB1655" s="6"/>
      <c r="BD1655" s="6"/>
      <c r="BE1655" s="6"/>
      <c r="BV1655" s="17"/>
      <c r="BX1655" s="17"/>
      <c r="BZ1655" s="17"/>
    </row>
    <row r="1656" spans="4:78" x14ac:dyDescent="0.3">
      <c r="D1656" s="153"/>
      <c r="E1656" s="6"/>
      <c r="G1656" s="6"/>
      <c r="J1656" s="6"/>
      <c r="N1656" s="154"/>
      <c r="O1656" s="6"/>
      <c r="S1656" s="6"/>
      <c r="V1656" s="6"/>
      <c r="X1656" s="6"/>
      <c r="Z1656" s="110"/>
      <c r="AB1656" s="6"/>
      <c r="AD1656" s="6"/>
      <c r="AE1656" s="6"/>
      <c r="AF1656" s="126"/>
      <c r="AJ1656" s="6"/>
      <c r="AL1656" s="110"/>
      <c r="AM1656" s="110"/>
      <c r="AN1656" s="110"/>
      <c r="AP1656" s="6"/>
      <c r="AW1656" s="6"/>
      <c r="AX1656" s="6"/>
      <c r="AZ1656" s="110"/>
      <c r="BB1656" s="6"/>
      <c r="BD1656" s="6"/>
      <c r="BE1656" s="6"/>
      <c r="BV1656" s="17"/>
      <c r="BX1656" s="17"/>
      <c r="BZ1656" s="17"/>
    </row>
    <row r="1657" spans="4:78" x14ac:dyDescent="0.3">
      <c r="D1657" s="153"/>
      <c r="E1657" s="6"/>
      <c r="G1657" s="6"/>
      <c r="J1657" s="6"/>
      <c r="N1657" s="154"/>
      <c r="O1657" s="6"/>
      <c r="S1657" s="6"/>
      <c r="V1657" s="6"/>
      <c r="X1657" s="6"/>
      <c r="Z1657" s="110"/>
      <c r="AB1657" s="6"/>
      <c r="AD1657" s="6"/>
      <c r="AE1657" s="6"/>
      <c r="AF1657" s="126"/>
      <c r="AJ1657" s="6"/>
      <c r="AL1657" s="110"/>
      <c r="AM1657" s="110"/>
      <c r="AN1657" s="110"/>
      <c r="AP1657" s="6"/>
      <c r="AW1657" s="6"/>
      <c r="AX1657" s="6"/>
      <c r="AZ1657" s="110"/>
      <c r="BB1657" s="6"/>
      <c r="BD1657" s="6"/>
      <c r="BE1657" s="6"/>
      <c r="BV1657" s="17"/>
      <c r="BX1657" s="17"/>
      <c r="BZ1657" s="17"/>
    </row>
    <row r="1658" spans="4:78" x14ac:dyDescent="0.3">
      <c r="D1658" s="153"/>
      <c r="E1658" s="6"/>
      <c r="G1658" s="6"/>
      <c r="J1658" s="6"/>
      <c r="N1658" s="154"/>
      <c r="O1658" s="6"/>
      <c r="S1658" s="6"/>
      <c r="V1658" s="6"/>
      <c r="X1658" s="6"/>
      <c r="Z1658" s="110"/>
      <c r="AB1658" s="6"/>
      <c r="AD1658" s="6"/>
      <c r="AE1658" s="6"/>
      <c r="AF1658" s="126"/>
      <c r="AJ1658" s="6"/>
      <c r="AL1658" s="110"/>
      <c r="AM1658" s="110"/>
      <c r="AN1658" s="110"/>
      <c r="AP1658" s="6"/>
      <c r="AW1658" s="6"/>
      <c r="AX1658" s="6"/>
      <c r="AZ1658" s="110"/>
      <c r="BB1658" s="6"/>
      <c r="BD1658" s="6"/>
      <c r="BE1658" s="6"/>
      <c r="BV1658" s="17"/>
      <c r="BX1658" s="17"/>
      <c r="BZ1658" s="17"/>
    </row>
    <row r="1659" spans="4:78" x14ac:dyDescent="0.3">
      <c r="D1659" s="153"/>
      <c r="E1659" s="6"/>
      <c r="G1659" s="6"/>
      <c r="J1659" s="6"/>
      <c r="N1659" s="154"/>
      <c r="O1659" s="6"/>
      <c r="S1659" s="6"/>
      <c r="V1659" s="6"/>
      <c r="X1659" s="6"/>
      <c r="Z1659" s="110"/>
      <c r="AB1659" s="6"/>
      <c r="AD1659" s="6"/>
      <c r="AE1659" s="6"/>
      <c r="AF1659" s="126"/>
      <c r="AJ1659" s="6"/>
      <c r="AL1659" s="110"/>
      <c r="AM1659" s="110"/>
      <c r="AN1659" s="110"/>
      <c r="AP1659" s="6"/>
      <c r="AW1659" s="6"/>
      <c r="AX1659" s="6"/>
      <c r="AZ1659" s="110"/>
      <c r="BB1659" s="6"/>
      <c r="BD1659" s="6"/>
      <c r="BE1659" s="6"/>
      <c r="BV1659" s="17"/>
      <c r="BX1659" s="17"/>
      <c r="BZ1659" s="17"/>
    </row>
    <row r="1660" spans="4:78" x14ac:dyDescent="0.3">
      <c r="D1660" s="153"/>
      <c r="E1660" s="6"/>
      <c r="G1660" s="6"/>
      <c r="J1660" s="6"/>
      <c r="N1660" s="154"/>
      <c r="O1660" s="6"/>
      <c r="S1660" s="6"/>
      <c r="V1660" s="6"/>
      <c r="X1660" s="6"/>
      <c r="Z1660" s="110"/>
      <c r="AB1660" s="6"/>
      <c r="AD1660" s="6"/>
      <c r="AE1660" s="6"/>
      <c r="AF1660" s="126"/>
      <c r="AJ1660" s="6"/>
      <c r="AL1660" s="110"/>
      <c r="AM1660" s="110"/>
      <c r="AN1660" s="110"/>
      <c r="AP1660" s="6"/>
      <c r="AW1660" s="6"/>
      <c r="AX1660" s="6"/>
      <c r="AZ1660" s="110"/>
      <c r="BB1660" s="6"/>
      <c r="BD1660" s="6"/>
      <c r="BE1660" s="6"/>
      <c r="BV1660" s="17"/>
      <c r="BX1660" s="17"/>
      <c r="BZ1660" s="17"/>
    </row>
    <row r="1661" spans="4:78" x14ac:dyDescent="0.3">
      <c r="D1661" s="153"/>
      <c r="E1661" s="6"/>
      <c r="G1661" s="6"/>
      <c r="J1661" s="6"/>
      <c r="N1661" s="154"/>
      <c r="O1661" s="6"/>
      <c r="S1661" s="6"/>
      <c r="V1661" s="6"/>
      <c r="X1661" s="6"/>
      <c r="Z1661" s="110"/>
      <c r="AB1661" s="6"/>
      <c r="AD1661" s="6"/>
      <c r="AE1661" s="6"/>
      <c r="AF1661" s="126"/>
      <c r="AJ1661" s="6"/>
      <c r="AL1661" s="110"/>
      <c r="AM1661" s="110"/>
      <c r="AN1661" s="110"/>
      <c r="AP1661" s="6"/>
      <c r="AW1661" s="6"/>
      <c r="AX1661" s="6"/>
      <c r="AZ1661" s="110"/>
      <c r="BB1661" s="6"/>
      <c r="BD1661" s="6"/>
      <c r="BE1661" s="6"/>
      <c r="BV1661" s="17"/>
      <c r="BX1661" s="17"/>
      <c r="BZ1661" s="17"/>
    </row>
    <row r="1662" spans="4:78" x14ac:dyDescent="0.3">
      <c r="D1662" s="153"/>
      <c r="E1662" s="6"/>
      <c r="G1662" s="6"/>
      <c r="J1662" s="6"/>
      <c r="N1662" s="154"/>
      <c r="O1662" s="6"/>
      <c r="S1662" s="6"/>
      <c r="V1662" s="6"/>
      <c r="X1662" s="6"/>
      <c r="Z1662" s="110"/>
      <c r="AB1662" s="6"/>
      <c r="AD1662" s="6"/>
      <c r="AE1662" s="6"/>
      <c r="AF1662" s="126"/>
      <c r="AJ1662" s="6"/>
      <c r="AL1662" s="110"/>
      <c r="AM1662" s="110"/>
      <c r="AN1662" s="110"/>
      <c r="AP1662" s="6"/>
      <c r="AW1662" s="6"/>
      <c r="AX1662" s="6"/>
      <c r="AZ1662" s="110"/>
      <c r="BB1662" s="6"/>
      <c r="BD1662" s="6"/>
      <c r="BE1662" s="6"/>
      <c r="BV1662" s="17"/>
      <c r="BX1662" s="17"/>
      <c r="BZ1662" s="17"/>
    </row>
    <row r="1663" spans="4:78" x14ac:dyDescent="0.3">
      <c r="D1663" s="153"/>
      <c r="E1663" s="6"/>
      <c r="G1663" s="6"/>
      <c r="J1663" s="6"/>
      <c r="N1663" s="154"/>
      <c r="O1663" s="6"/>
      <c r="S1663" s="6"/>
      <c r="V1663" s="6"/>
      <c r="X1663" s="6"/>
      <c r="Z1663" s="110"/>
      <c r="AB1663" s="6"/>
      <c r="AD1663" s="6"/>
      <c r="AE1663" s="6"/>
      <c r="AF1663" s="126"/>
      <c r="AJ1663" s="6"/>
      <c r="AL1663" s="110"/>
      <c r="AM1663" s="110"/>
      <c r="AN1663" s="110"/>
      <c r="AP1663" s="6"/>
      <c r="AW1663" s="6"/>
      <c r="AX1663" s="6"/>
      <c r="AZ1663" s="110"/>
      <c r="BB1663" s="6"/>
      <c r="BD1663" s="6"/>
      <c r="BE1663" s="6"/>
      <c r="BV1663" s="17"/>
      <c r="BX1663" s="17"/>
      <c r="BZ1663" s="17"/>
    </row>
    <row r="1664" spans="4:78" x14ac:dyDescent="0.3">
      <c r="D1664" s="153"/>
      <c r="E1664" s="6"/>
      <c r="G1664" s="6"/>
      <c r="J1664" s="6"/>
      <c r="N1664" s="154"/>
      <c r="O1664" s="6"/>
      <c r="S1664" s="6"/>
      <c r="V1664" s="6"/>
      <c r="X1664" s="6"/>
      <c r="Z1664" s="110"/>
      <c r="AB1664" s="6"/>
      <c r="AD1664" s="6"/>
      <c r="AE1664" s="6"/>
      <c r="AF1664" s="126"/>
      <c r="AJ1664" s="6"/>
      <c r="AL1664" s="110"/>
      <c r="AM1664" s="110"/>
      <c r="AN1664" s="110"/>
      <c r="AP1664" s="6"/>
      <c r="AW1664" s="6"/>
      <c r="AX1664" s="6"/>
      <c r="AZ1664" s="110"/>
      <c r="BB1664" s="6"/>
      <c r="BD1664" s="6"/>
      <c r="BE1664" s="6"/>
      <c r="BV1664" s="17"/>
      <c r="BX1664" s="17"/>
      <c r="BZ1664" s="17"/>
    </row>
    <row r="1665" spans="4:78" x14ac:dyDescent="0.3">
      <c r="D1665" s="153"/>
      <c r="E1665" s="6"/>
      <c r="G1665" s="6"/>
      <c r="J1665" s="6"/>
      <c r="N1665" s="154"/>
      <c r="O1665" s="6"/>
      <c r="S1665" s="6"/>
      <c r="V1665" s="6"/>
      <c r="X1665" s="6"/>
      <c r="Z1665" s="110"/>
      <c r="AB1665" s="6"/>
      <c r="AD1665" s="6"/>
      <c r="AE1665" s="6"/>
      <c r="AF1665" s="126"/>
      <c r="AJ1665" s="6"/>
      <c r="AL1665" s="110"/>
      <c r="AM1665" s="110"/>
      <c r="AN1665" s="110"/>
      <c r="AP1665" s="6"/>
      <c r="AW1665" s="6"/>
      <c r="AX1665" s="6"/>
      <c r="AZ1665" s="110"/>
      <c r="BB1665" s="6"/>
      <c r="BD1665" s="6"/>
      <c r="BE1665" s="6"/>
      <c r="BV1665" s="17"/>
      <c r="BX1665" s="17"/>
      <c r="BZ1665" s="17"/>
    </row>
    <row r="1666" spans="4:78" x14ac:dyDescent="0.3">
      <c r="D1666" s="153"/>
      <c r="E1666" s="6"/>
      <c r="G1666" s="6"/>
      <c r="J1666" s="6"/>
      <c r="N1666" s="154"/>
      <c r="O1666" s="6"/>
      <c r="S1666" s="6"/>
      <c r="V1666" s="6"/>
      <c r="X1666" s="6"/>
      <c r="Z1666" s="110"/>
      <c r="AB1666" s="6"/>
      <c r="AD1666" s="6"/>
      <c r="AE1666" s="6"/>
      <c r="AF1666" s="126"/>
      <c r="AJ1666" s="6"/>
      <c r="AL1666" s="110"/>
      <c r="AM1666" s="110"/>
      <c r="AN1666" s="110"/>
      <c r="AP1666" s="6"/>
      <c r="AW1666" s="6"/>
      <c r="AX1666" s="6"/>
      <c r="AZ1666" s="110"/>
      <c r="BB1666" s="6"/>
      <c r="BD1666" s="6"/>
      <c r="BE1666" s="6"/>
      <c r="BV1666" s="17"/>
      <c r="BX1666" s="17"/>
      <c r="BZ1666" s="17"/>
    </row>
    <row r="1667" spans="4:78" x14ac:dyDescent="0.3">
      <c r="D1667" s="153"/>
      <c r="E1667" s="6"/>
      <c r="G1667" s="6"/>
      <c r="J1667" s="6"/>
      <c r="N1667" s="154"/>
      <c r="O1667" s="6"/>
      <c r="S1667" s="6"/>
      <c r="V1667" s="6"/>
      <c r="X1667" s="6"/>
      <c r="Z1667" s="110"/>
      <c r="AB1667" s="6"/>
      <c r="AD1667" s="6"/>
      <c r="AE1667" s="6"/>
      <c r="AF1667" s="126"/>
      <c r="AJ1667" s="6"/>
      <c r="AL1667" s="110"/>
      <c r="AM1667" s="110"/>
      <c r="AN1667" s="110"/>
      <c r="AP1667" s="6"/>
      <c r="AW1667" s="6"/>
      <c r="AX1667" s="6"/>
      <c r="AZ1667" s="110"/>
      <c r="BB1667" s="6"/>
      <c r="BD1667" s="6"/>
      <c r="BE1667" s="6"/>
      <c r="BV1667" s="17"/>
      <c r="BX1667" s="17"/>
      <c r="BZ1667" s="17"/>
    </row>
    <row r="1668" spans="4:78" x14ac:dyDescent="0.3">
      <c r="D1668" s="153"/>
      <c r="E1668" s="6"/>
      <c r="G1668" s="6"/>
      <c r="J1668" s="6"/>
      <c r="N1668" s="154"/>
      <c r="O1668" s="6"/>
      <c r="S1668" s="6"/>
      <c r="V1668" s="6"/>
      <c r="X1668" s="6"/>
      <c r="Z1668" s="110"/>
      <c r="AB1668" s="6"/>
      <c r="AD1668" s="6"/>
      <c r="AE1668" s="6"/>
      <c r="AF1668" s="126"/>
      <c r="AJ1668" s="6"/>
      <c r="AL1668" s="110"/>
      <c r="AM1668" s="110"/>
      <c r="AN1668" s="110"/>
      <c r="AP1668" s="6"/>
      <c r="AW1668" s="6"/>
      <c r="AX1668" s="6"/>
      <c r="AZ1668" s="110"/>
      <c r="BB1668" s="6"/>
      <c r="BD1668" s="6"/>
      <c r="BE1668" s="6"/>
      <c r="BV1668" s="17"/>
      <c r="BX1668" s="17"/>
      <c r="BZ1668" s="17"/>
    </row>
    <row r="1669" spans="4:78" x14ac:dyDescent="0.3">
      <c r="D1669" s="153"/>
      <c r="E1669" s="6"/>
      <c r="G1669" s="6"/>
      <c r="J1669" s="6"/>
      <c r="N1669" s="154"/>
      <c r="O1669" s="6"/>
      <c r="S1669" s="6"/>
      <c r="V1669" s="6"/>
      <c r="X1669" s="6"/>
      <c r="Z1669" s="110"/>
      <c r="AB1669" s="6"/>
      <c r="AD1669" s="6"/>
      <c r="AE1669" s="6"/>
      <c r="AF1669" s="126"/>
      <c r="AJ1669" s="6"/>
      <c r="AL1669" s="110"/>
      <c r="AM1669" s="110"/>
      <c r="AN1669" s="110"/>
      <c r="AP1669" s="6"/>
      <c r="AW1669" s="6"/>
      <c r="AX1669" s="6"/>
      <c r="AZ1669" s="110"/>
      <c r="BB1669" s="6"/>
      <c r="BD1669" s="6"/>
      <c r="BE1669" s="6"/>
      <c r="BV1669" s="17"/>
      <c r="BX1669" s="17"/>
      <c r="BZ1669" s="17"/>
    </row>
    <row r="1670" spans="4:78" x14ac:dyDescent="0.3">
      <c r="D1670" s="153"/>
      <c r="E1670" s="6"/>
      <c r="G1670" s="6"/>
      <c r="J1670" s="6"/>
      <c r="N1670" s="154"/>
      <c r="O1670" s="6"/>
      <c r="S1670" s="6"/>
      <c r="V1670" s="6"/>
      <c r="X1670" s="6"/>
      <c r="Z1670" s="110"/>
      <c r="AB1670" s="6"/>
      <c r="AD1670" s="6"/>
      <c r="AE1670" s="6"/>
      <c r="AF1670" s="126"/>
      <c r="AJ1670" s="6"/>
      <c r="AL1670" s="110"/>
      <c r="AM1670" s="110"/>
      <c r="AN1670" s="110"/>
      <c r="AP1670" s="6"/>
      <c r="AW1670" s="6"/>
      <c r="AX1670" s="6"/>
      <c r="AZ1670" s="110"/>
      <c r="BB1670" s="6"/>
      <c r="BD1670" s="6"/>
      <c r="BE1670" s="6"/>
      <c r="BV1670" s="17"/>
      <c r="BX1670" s="17"/>
      <c r="BZ1670" s="17"/>
    </row>
    <row r="1671" spans="4:78" x14ac:dyDescent="0.3">
      <c r="D1671" s="153"/>
      <c r="E1671" s="6"/>
      <c r="G1671" s="6"/>
      <c r="J1671" s="6"/>
      <c r="N1671" s="154"/>
      <c r="O1671" s="6"/>
      <c r="S1671" s="6"/>
      <c r="V1671" s="6"/>
      <c r="X1671" s="6"/>
      <c r="Z1671" s="110"/>
      <c r="AB1671" s="6"/>
      <c r="AD1671" s="6"/>
      <c r="AE1671" s="6"/>
      <c r="AF1671" s="126"/>
      <c r="AJ1671" s="6"/>
      <c r="AL1671" s="110"/>
      <c r="AM1671" s="110"/>
      <c r="AN1671" s="110"/>
      <c r="AP1671" s="6"/>
      <c r="AW1671" s="6"/>
      <c r="AX1671" s="6"/>
      <c r="AZ1671" s="110"/>
      <c r="BB1671" s="6"/>
      <c r="BD1671" s="6"/>
      <c r="BE1671" s="6"/>
      <c r="BV1671" s="17"/>
      <c r="BX1671" s="17"/>
      <c r="BZ1671" s="17"/>
    </row>
    <row r="1672" spans="4:78" x14ac:dyDescent="0.3">
      <c r="D1672" s="153"/>
      <c r="E1672" s="6"/>
      <c r="G1672" s="6"/>
      <c r="J1672" s="6"/>
      <c r="N1672" s="154"/>
      <c r="O1672" s="6"/>
      <c r="S1672" s="6"/>
      <c r="V1672" s="6"/>
      <c r="X1672" s="6"/>
      <c r="Z1672" s="110"/>
      <c r="AB1672" s="6"/>
      <c r="AD1672" s="6"/>
      <c r="AE1672" s="6"/>
      <c r="AF1672" s="126"/>
      <c r="AJ1672" s="6"/>
      <c r="AL1672" s="110"/>
      <c r="AM1672" s="110"/>
      <c r="AN1672" s="110"/>
      <c r="AP1672" s="6"/>
      <c r="AW1672" s="6"/>
      <c r="AX1672" s="6"/>
      <c r="AZ1672" s="110"/>
      <c r="BB1672" s="6"/>
      <c r="BD1672" s="6"/>
      <c r="BE1672" s="6"/>
      <c r="BV1672" s="17"/>
      <c r="BX1672" s="17"/>
      <c r="BZ1672" s="17"/>
    </row>
    <row r="1673" spans="4:78" x14ac:dyDescent="0.3">
      <c r="D1673" s="153"/>
      <c r="E1673" s="6"/>
      <c r="G1673" s="6"/>
      <c r="J1673" s="6"/>
      <c r="N1673" s="154"/>
      <c r="O1673" s="6"/>
      <c r="S1673" s="6"/>
      <c r="V1673" s="6"/>
      <c r="X1673" s="6"/>
      <c r="Z1673" s="110"/>
      <c r="AB1673" s="6"/>
      <c r="AD1673" s="6"/>
      <c r="AE1673" s="6"/>
      <c r="AF1673" s="126"/>
      <c r="AJ1673" s="6"/>
      <c r="AL1673" s="110"/>
      <c r="AM1673" s="110"/>
      <c r="AN1673" s="110"/>
      <c r="AP1673" s="6"/>
      <c r="AW1673" s="6"/>
      <c r="AX1673" s="6"/>
      <c r="AZ1673" s="110"/>
      <c r="BB1673" s="6"/>
      <c r="BD1673" s="6"/>
      <c r="BE1673" s="6"/>
      <c r="BV1673" s="17"/>
      <c r="BX1673" s="17"/>
      <c r="BZ1673" s="17"/>
    </row>
    <row r="1674" spans="4:78" x14ac:dyDescent="0.3">
      <c r="D1674" s="153"/>
      <c r="E1674" s="6"/>
      <c r="G1674" s="6"/>
      <c r="J1674" s="6"/>
      <c r="N1674" s="154"/>
      <c r="O1674" s="6"/>
      <c r="S1674" s="6"/>
      <c r="V1674" s="6"/>
      <c r="X1674" s="6"/>
      <c r="Z1674" s="110"/>
      <c r="AB1674" s="6"/>
      <c r="AD1674" s="6"/>
      <c r="AE1674" s="6"/>
      <c r="AF1674" s="126"/>
      <c r="AJ1674" s="6"/>
      <c r="AL1674" s="110"/>
      <c r="AM1674" s="110"/>
      <c r="AN1674" s="110"/>
      <c r="AP1674" s="6"/>
      <c r="AW1674" s="6"/>
      <c r="AX1674" s="6"/>
      <c r="AZ1674" s="110"/>
      <c r="BB1674" s="6"/>
      <c r="BD1674" s="6"/>
      <c r="BE1674" s="6"/>
      <c r="BV1674" s="17"/>
      <c r="BX1674" s="17"/>
      <c r="BZ1674" s="17"/>
    </row>
    <row r="1675" spans="4:78" x14ac:dyDescent="0.3">
      <c r="D1675" s="153"/>
      <c r="E1675" s="6"/>
      <c r="G1675" s="6"/>
      <c r="J1675" s="6"/>
      <c r="N1675" s="154"/>
      <c r="O1675" s="6"/>
      <c r="S1675" s="6"/>
      <c r="V1675" s="6"/>
      <c r="X1675" s="6"/>
      <c r="Z1675" s="110"/>
      <c r="AB1675" s="6"/>
      <c r="AD1675" s="6"/>
      <c r="AE1675" s="6"/>
      <c r="AF1675" s="126"/>
      <c r="AJ1675" s="6"/>
      <c r="AL1675" s="110"/>
      <c r="AM1675" s="110"/>
      <c r="AN1675" s="110"/>
      <c r="AP1675" s="6"/>
      <c r="AW1675" s="6"/>
      <c r="AX1675" s="6"/>
      <c r="AZ1675" s="110"/>
      <c r="BB1675" s="6"/>
      <c r="BD1675" s="6"/>
      <c r="BE1675" s="6"/>
      <c r="BV1675" s="17"/>
      <c r="BX1675" s="17"/>
      <c r="BZ1675" s="17"/>
    </row>
    <row r="1676" spans="4:78" x14ac:dyDescent="0.3">
      <c r="D1676" s="153"/>
      <c r="E1676" s="6"/>
      <c r="G1676" s="6"/>
      <c r="J1676" s="6"/>
      <c r="N1676" s="154"/>
      <c r="O1676" s="6"/>
      <c r="S1676" s="6"/>
      <c r="V1676" s="6"/>
      <c r="X1676" s="6"/>
      <c r="Z1676" s="110"/>
      <c r="AB1676" s="6"/>
      <c r="AD1676" s="6"/>
      <c r="AE1676" s="6"/>
      <c r="AF1676" s="126"/>
      <c r="AJ1676" s="6"/>
      <c r="AL1676" s="110"/>
      <c r="AM1676" s="110"/>
      <c r="AN1676" s="110"/>
      <c r="AP1676" s="6"/>
      <c r="AW1676" s="6"/>
      <c r="AX1676" s="6"/>
      <c r="AZ1676" s="110"/>
      <c r="BB1676" s="6"/>
      <c r="BD1676" s="6"/>
      <c r="BE1676" s="6"/>
      <c r="BV1676" s="17"/>
      <c r="BX1676" s="17"/>
      <c r="BZ1676" s="17"/>
    </row>
    <row r="1677" spans="4:78" x14ac:dyDescent="0.3">
      <c r="D1677" s="153"/>
      <c r="E1677" s="6"/>
      <c r="G1677" s="6"/>
      <c r="J1677" s="6"/>
      <c r="N1677" s="154"/>
      <c r="O1677" s="6"/>
      <c r="S1677" s="6"/>
      <c r="V1677" s="6"/>
      <c r="X1677" s="6"/>
      <c r="Z1677" s="110"/>
      <c r="AB1677" s="6"/>
      <c r="AD1677" s="6"/>
      <c r="AE1677" s="6"/>
      <c r="AF1677" s="126"/>
      <c r="AJ1677" s="6"/>
      <c r="AL1677" s="110"/>
      <c r="AM1677" s="110"/>
      <c r="AN1677" s="110"/>
      <c r="AP1677" s="6"/>
      <c r="AW1677" s="6"/>
      <c r="AX1677" s="6"/>
      <c r="AZ1677" s="110"/>
      <c r="BB1677" s="6"/>
      <c r="BD1677" s="6"/>
      <c r="BE1677" s="6"/>
      <c r="BV1677" s="17"/>
      <c r="BX1677" s="17"/>
      <c r="BZ1677" s="17"/>
    </row>
    <row r="1678" spans="4:78" x14ac:dyDescent="0.3">
      <c r="D1678" s="153"/>
      <c r="E1678" s="6"/>
      <c r="G1678" s="6"/>
      <c r="J1678" s="6"/>
      <c r="N1678" s="154"/>
      <c r="O1678" s="6"/>
      <c r="S1678" s="6"/>
      <c r="V1678" s="6"/>
      <c r="X1678" s="6"/>
      <c r="Z1678" s="110"/>
      <c r="AB1678" s="6"/>
      <c r="AD1678" s="6"/>
      <c r="AE1678" s="6"/>
      <c r="AF1678" s="126"/>
      <c r="AJ1678" s="6"/>
      <c r="AL1678" s="110"/>
      <c r="AM1678" s="110"/>
      <c r="AN1678" s="110"/>
      <c r="AP1678" s="6"/>
      <c r="AW1678" s="6"/>
      <c r="AX1678" s="6"/>
      <c r="AZ1678" s="110"/>
      <c r="BB1678" s="6"/>
      <c r="BD1678" s="6"/>
      <c r="BE1678" s="6"/>
      <c r="BV1678" s="17"/>
      <c r="BX1678" s="17"/>
      <c r="BZ1678" s="17"/>
    </row>
    <row r="1679" spans="4:78" x14ac:dyDescent="0.3">
      <c r="D1679" s="153"/>
      <c r="E1679" s="6"/>
      <c r="G1679" s="6"/>
      <c r="J1679" s="6"/>
      <c r="N1679" s="154"/>
      <c r="O1679" s="6"/>
      <c r="S1679" s="6"/>
      <c r="V1679" s="6"/>
      <c r="X1679" s="6"/>
      <c r="Z1679" s="110"/>
      <c r="AB1679" s="6"/>
      <c r="AD1679" s="6"/>
      <c r="AE1679" s="6"/>
      <c r="AF1679" s="126"/>
      <c r="AJ1679" s="6"/>
      <c r="AL1679" s="110"/>
      <c r="AM1679" s="110"/>
      <c r="AN1679" s="110"/>
      <c r="AP1679" s="6"/>
      <c r="AW1679" s="6"/>
      <c r="AX1679" s="6"/>
      <c r="AZ1679" s="110"/>
      <c r="BB1679" s="6"/>
      <c r="BD1679" s="6"/>
      <c r="BE1679" s="6"/>
      <c r="BV1679" s="17"/>
      <c r="BX1679" s="17"/>
      <c r="BZ1679" s="17"/>
    </row>
    <row r="1680" spans="4:78" x14ac:dyDescent="0.3">
      <c r="D1680" s="153"/>
      <c r="E1680" s="6"/>
      <c r="G1680" s="6"/>
      <c r="J1680" s="6"/>
      <c r="N1680" s="154"/>
      <c r="O1680" s="6"/>
      <c r="S1680" s="6"/>
      <c r="V1680" s="6"/>
      <c r="X1680" s="6"/>
      <c r="Z1680" s="110"/>
      <c r="AB1680" s="6"/>
      <c r="AD1680" s="6"/>
      <c r="AE1680" s="6"/>
      <c r="AF1680" s="126"/>
      <c r="AJ1680" s="6"/>
      <c r="AL1680" s="110"/>
      <c r="AM1680" s="110"/>
      <c r="AN1680" s="110"/>
      <c r="AP1680" s="6"/>
      <c r="AW1680" s="6"/>
      <c r="AX1680" s="6"/>
      <c r="AZ1680" s="110"/>
      <c r="BB1680" s="6"/>
      <c r="BD1680" s="6"/>
      <c r="BE1680" s="6"/>
      <c r="BV1680" s="17"/>
      <c r="BX1680" s="17"/>
      <c r="BZ1680" s="17"/>
    </row>
    <row r="1681" spans="4:78" x14ac:dyDescent="0.3">
      <c r="D1681" s="153"/>
      <c r="E1681" s="6"/>
      <c r="G1681" s="6"/>
      <c r="J1681" s="6"/>
      <c r="N1681" s="154"/>
      <c r="O1681" s="6"/>
      <c r="S1681" s="6"/>
      <c r="V1681" s="6"/>
      <c r="X1681" s="6"/>
      <c r="Z1681" s="110"/>
      <c r="AB1681" s="6"/>
      <c r="AD1681" s="6"/>
      <c r="AE1681" s="6"/>
      <c r="AF1681" s="126"/>
      <c r="AJ1681" s="6"/>
      <c r="AL1681" s="110"/>
      <c r="AM1681" s="110"/>
      <c r="AN1681" s="110"/>
      <c r="AP1681" s="6"/>
      <c r="AW1681" s="6"/>
      <c r="AX1681" s="6"/>
      <c r="AZ1681" s="110"/>
      <c r="BB1681" s="6"/>
      <c r="BD1681" s="6"/>
      <c r="BE1681" s="6"/>
      <c r="BV1681" s="17"/>
      <c r="BX1681" s="17"/>
      <c r="BZ1681" s="17"/>
    </row>
    <row r="1682" spans="4:78" x14ac:dyDescent="0.3">
      <c r="D1682" s="153"/>
      <c r="E1682" s="6"/>
      <c r="G1682" s="6"/>
      <c r="J1682" s="6"/>
      <c r="N1682" s="154"/>
      <c r="O1682" s="6"/>
      <c r="S1682" s="6"/>
      <c r="V1682" s="6"/>
      <c r="X1682" s="6"/>
      <c r="Z1682" s="110"/>
      <c r="AB1682" s="6"/>
      <c r="AD1682" s="6"/>
      <c r="AE1682" s="6"/>
      <c r="AF1682" s="126"/>
      <c r="AJ1682" s="6"/>
      <c r="AL1682" s="110"/>
      <c r="AM1682" s="110"/>
      <c r="AN1682" s="110"/>
      <c r="AP1682" s="6"/>
      <c r="AW1682" s="6"/>
      <c r="AX1682" s="6"/>
      <c r="AZ1682" s="110"/>
      <c r="BB1682" s="6"/>
      <c r="BD1682" s="6"/>
      <c r="BE1682" s="6"/>
      <c r="BV1682" s="17"/>
      <c r="BX1682" s="17"/>
      <c r="BZ1682" s="17"/>
    </row>
    <row r="1683" spans="4:78" x14ac:dyDescent="0.3">
      <c r="D1683" s="153"/>
      <c r="E1683" s="6"/>
      <c r="G1683" s="6"/>
      <c r="J1683" s="6"/>
      <c r="N1683" s="154"/>
      <c r="O1683" s="6"/>
      <c r="S1683" s="6"/>
      <c r="V1683" s="6"/>
      <c r="X1683" s="6"/>
      <c r="Z1683" s="110"/>
      <c r="AB1683" s="6"/>
      <c r="AD1683" s="6"/>
      <c r="AE1683" s="6"/>
      <c r="AF1683" s="126"/>
      <c r="AJ1683" s="6"/>
      <c r="AL1683" s="110"/>
      <c r="AM1683" s="110"/>
      <c r="AN1683" s="110"/>
      <c r="AP1683" s="6"/>
      <c r="AW1683" s="6"/>
      <c r="AX1683" s="6"/>
      <c r="AZ1683" s="110"/>
      <c r="BB1683" s="6"/>
      <c r="BD1683" s="6"/>
      <c r="BE1683" s="6"/>
      <c r="BV1683" s="17"/>
      <c r="BX1683" s="17"/>
      <c r="BZ1683" s="17"/>
    </row>
    <row r="1684" spans="4:78" x14ac:dyDescent="0.3">
      <c r="D1684" s="153"/>
      <c r="E1684" s="6"/>
      <c r="G1684" s="6"/>
      <c r="J1684" s="6"/>
      <c r="N1684" s="154"/>
      <c r="O1684" s="6"/>
      <c r="S1684" s="6"/>
      <c r="V1684" s="6"/>
      <c r="X1684" s="6"/>
      <c r="Z1684" s="110"/>
      <c r="AB1684" s="6"/>
      <c r="AD1684" s="6"/>
      <c r="AE1684" s="6"/>
      <c r="AF1684" s="126"/>
      <c r="AJ1684" s="6"/>
      <c r="AL1684" s="110"/>
      <c r="AM1684" s="110"/>
      <c r="AN1684" s="110"/>
      <c r="AP1684" s="6"/>
      <c r="AW1684" s="6"/>
      <c r="AX1684" s="6"/>
      <c r="AZ1684" s="110"/>
      <c r="BB1684" s="6"/>
      <c r="BD1684" s="6"/>
      <c r="BE1684" s="6"/>
      <c r="BV1684" s="17"/>
      <c r="BX1684" s="17"/>
      <c r="BZ1684" s="17"/>
    </row>
    <row r="1685" spans="4:78" x14ac:dyDescent="0.3">
      <c r="D1685" s="153"/>
      <c r="E1685" s="6"/>
      <c r="G1685" s="6"/>
      <c r="J1685" s="6"/>
      <c r="N1685" s="154"/>
      <c r="O1685" s="6"/>
      <c r="S1685" s="6"/>
      <c r="V1685" s="6"/>
      <c r="X1685" s="6"/>
      <c r="Z1685" s="110"/>
      <c r="AB1685" s="6"/>
      <c r="AD1685" s="6"/>
      <c r="AE1685" s="6"/>
      <c r="AF1685" s="126"/>
      <c r="AJ1685" s="6"/>
      <c r="AL1685" s="110"/>
      <c r="AM1685" s="110"/>
      <c r="AN1685" s="110"/>
      <c r="AP1685" s="6"/>
      <c r="AW1685" s="6"/>
      <c r="AX1685" s="6"/>
      <c r="AZ1685" s="110"/>
      <c r="BB1685" s="6"/>
      <c r="BD1685" s="6"/>
      <c r="BE1685" s="6"/>
      <c r="BV1685" s="17"/>
      <c r="BX1685" s="17"/>
      <c r="BZ1685" s="17"/>
    </row>
    <row r="1686" spans="4:78" x14ac:dyDescent="0.3">
      <c r="D1686" s="153"/>
      <c r="E1686" s="6"/>
      <c r="G1686" s="6"/>
      <c r="J1686" s="6"/>
      <c r="N1686" s="154"/>
      <c r="O1686" s="6"/>
      <c r="S1686" s="6"/>
      <c r="V1686" s="6"/>
      <c r="X1686" s="6"/>
      <c r="Z1686" s="110"/>
      <c r="AB1686" s="6"/>
      <c r="AD1686" s="6"/>
      <c r="AE1686" s="6"/>
      <c r="AF1686" s="126"/>
      <c r="AJ1686" s="6"/>
      <c r="AL1686" s="110"/>
      <c r="AM1686" s="110"/>
      <c r="AN1686" s="110"/>
      <c r="AP1686" s="6"/>
      <c r="AW1686" s="6"/>
      <c r="AX1686" s="6"/>
      <c r="AZ1686" s="110"/>
      <c r="BB1686" s="6"/>
      <c r="BD1686" s="6"/>
      <c r="BE1686" s="6"/>
      <c r="BV1686" s="17"/>
      <c r="BX1686" s="17"/>
      <c r="BZ1686" s="17"/>
    </row>
    <row r="1687" spans="4:78" x14ac:dyDescent="0.3">
      <c r="D1687" s="153"/>
      <c r="E1687" s="6"/>
      <c r="G1687" s="6"/>
      <c r="J1687" s="6"/>
      <c r="N1687" s="154"/>
      <c r="O1687" s="6"/>
      <c r="S1687" s="6"/>
      <c r="V1687" s="6"/>
      <c r="X1687" s="6"/>
      <c r="Z1687" s="110"/>
      <c r="AB1687" s="6"/>
      <c r="AD1687" s="6"/>
      <c r="AE1687" s="6"/>
      <c r="AF1687" s="126"/>
      <c r="AJ1687" s="6"/>
      <c r="AL1687" s="110"/>
      <c r="AM1687" s="110"/>
      <c r="AN1687" s="110"/>
      <c r="AP1687" s="6"/>
      <c r="AW1687" s="6"/>
      <c r="AX1687" s="6"/>
      <c r="AZ1687" s="110"/>
      <c r="BB1687" s="6"/>
      <c r="BD1687" s="6"/>
      <c r="BE1687" s="6"/>
      <c r="BV1687" s="17"/>
      <c r="BX1687" s="17"/>
      <c r="BZ1687" s="17"/>
    </row>
    <row r="1688" spans="4:78" x14ac:dyDescent="0.3">
      <c r="D1688" s="153"/>
      <c r="E1688" s="6"/>
      <c r="G1688" s="6"/>
      <c r="J1688" s="6"/>
      <c r="N1688" s="154"/>
      <c r="O1688" s="6"/>
      <c r="S1688" s="6"/>
      <c r="V1688" s="6"/>
      <c r="X1688" s="6"/>
      <c r="Z1688" s="110"/>
      <c r="AB1688" s="6"/>
      <c r="AD1688" s="6"/>
      <c r="AE1688" s="6"/>
      <c r="AF1688" s="126"/>
      <c r="AJ1688" s="6"/>
      <c r="AL1688" s="110"/>
      <c r="AM1688" s="110"/>
      <c r="AN1688" s="110"/>
      <c r="AP1688" s="6"/>
      <c r="AW1688" s="6"/>
      <c r="AX1688" s="6"/>
      <c r="AZ1688" s="110"/>
      <c r="BB1688" s="6"/>
      <c r="BD1688" s="6"/>
      <c r="BE1688" s="6"/>
      <c r="BV1688" s="17"/>
      <c r="BX1688" s="17"/>
      <c r="BZ1688" s="17"/>
    </row>
    <row r="1689" spans="4:78" x14ac:dyDescent="0.3">
      <c r="D1689" s="153"/>
      <c r="E1689" s="6"/>
      <c r="G1689" s="6"/>
      <c r="J1689" s="6"/>
      <c r="N1689" s="154"/>
      <c r="O1689" s="6"/>
      <c r="S1689" s="6"/>
      <c r="V1689" s="6"/>
      <c r="X1689" s="6"/>
      <c r="Z1689" s="110"/>
      <c r="AB1689" s="6"/>
      <c r="AD1689" s="6"/>
      <c r="AE1689" s="6"/>
      <c r="AF1689" s="126"/>
      <c r="AJ1689" s="6"/>
      <c r="AL1689" s="110"/>
      <c r="AM1689" s="110"/>
      <c r="AN1689" s="110"/>
      <c r="AP1689" s="6"/>
      <c r="AW1689" s="6"/>
      <c r="AX1689" s="6"/>
      <c r="AZ1689" s="110"/>
      <c r="BB1689" s="6"/>
      <c r="BD1689" s="6"/>
      <c r="BE1689" s="6"/>
      <c r="BV1689" s="17"/>
      <c r="BX1689" s="17"/>
      <c r="BZ1689" s="17"/>
    </row>
    <row r="1690" spans="4:78" x14ac:dyDescent="0.3">
      <c r="D1690" s="153"/>
      <c r="E1690" s="6"/>
      <c r="G1690" s="6"/>
      <c r="J1690" s="6"/>
      <c r="N1690" s="154"/>
      <c r="O1690" s="6"/>
      <c r="S1690" s="6"/>
      <c r="V1690" s="6"/>
      <c r="X1690" s="6"/>
      <c r="Z1690" s="110"/>
      <c r="AB1690" s="6"/>
      <c r="AD1690" s="6"/>
      <c r="AE1690" s="6"/>
      <c r="AF1690" s="126"/>
      <c r="AJ1690" s="6"/>
      <c r="AL1690" s="110"/>
      <c r="AM1690" s="110"/>
      <c r="AN1690" s="110"/>
      <c r="AP1690" s="6"/>
      <c r="AW1690" s="6"/>
      <c r="AX1690" s="6"/>
      <c r="AZ1690" s="110"/>
      <c r="BB1690" s="6"/>
      <c r="BD1690" s="6"/>
      <c r="BE1690" s="6"/>
      <c r="BV1690" s="17"/>
      <c r="BX1690" s="17"/>
      <c r="BZ1690" s="17"/>
    </row>
    <row r="1691" spans="4:78" x14ac:dyDescent="0.3">
      <c r="D1691" s="153"/>
      <c r="E1691" s="6"/>
      <c r="G1691" s="6"/>
      <c r="J1691" s="6"/>
      <c r="N1691" s="154"/>
      <c r="O1691" s="6"/>
      <c r="S1691" s="6"/>
      <c r="V1691" s="6"/>
      <c r="X1691" s="6"/>
      <c r="Z1691" s="110"/>
      <c r="AB1691" s="6"/>
      <c r="AD1691" s="6"/>
      <c r="AE1691" s="6"/>
      <c r="AF1691" s="126"/>
      <c r="AJ1691" s="6"/>
      <c r="AL1691" s="110"/>
      <c r="AM1691" s="110"/>
      <c r="AN1691" s="110"/>
      <c r="AP1691" s="6"/>
      <c r="AW1691" s="6"/>
      <c r="AX1691" s="6"/>
      <c r="AZ1691" s="110"/>
      <c r="BB1691" s="6"/>
      <c r="BD1691" s="6"/>
      <c r="BE1691" s="6"/>
      <c r="BV1691" s="17"/>
      <c r="BX1691" s="17"/>
      <c r="BZ1691" s="17"/>
    </row>
    <row r="1692" spans="4:78" x14ac:dyDescent="0.3">
      <c r="D1692" s="153"/>
      <c r="E1692" s="6"/>
      <c r="G1692" s="6"/>
      <c r="J1692" s="6"/>
      <c r="N1692" s="154"/>
      <c r="O1692" s="6"/>
      <c r="S1692" s="6"/>
      <c r="V1692" s="6"/>
      <c r="X1692" s="6"/>
      <c r="Z1692" s="110"/>
      <c r="AB1692" s="6"/>
      <c r="AD1692" s="6"/>
      <c r="AE1692" s="6"/>
      <c r="AF1692" s="126"/>
      <c r="AJ1692" s="6"/>
      <c r="AL1692" s="110"/>
      <c r="AM1692" s="110"/>
      <c r="AN1692" s="110"/>
      <c r="AP1692" s="6"/>
      <c r="AW1692" s="6"/>
      <c r="AX1692" s="6"/>
      <c r="AZ1692" s="110"/>
      <c r="BB1692" s="6"/>
      <c r="BD1692" s="6"/>
      <c r="BE1692" s="6"/>
      <c r="BV1692" s="17"/>
      <c r="BX1692" s="17"/>
      <c r="BZ1692" s="17"/>
    </row>
    <row r="1693" spans="4:78" x14ac:dyDescent="0.3">
      <c r="D1693" s="153"/>
      <c r="E1693" s="6"/>
      <c r="G1693" s="6"/>
      <c r="J1693" s="6"/>
      <c r="N1693" s="154"/>
      <c r="O1693" s="6"/>
      <c r="S1693" s="6"/>
      <c r="V1693" s="6"/>
      <c r="X1693" s="6"/>
      <c r="Z1693" s="110"/>
      <c r="AB1693" s="6"/>
      <c r="AD1693" s="6"/>
      <c r="AE1693" s="6"/>
      <c r="AF1693" s="126"/>
      <c r="AJ1693" s="6"/>
      <c r="AL1693" s="110"/>
      <c r="AM1693" s="110"/>
      <c r="AN1693" s="110"/>
      <c r="AP1693" s="6"/>
      <c r="AW1693" s="6"/>
      <c r="AX1693" s="6"/>
      <c r="AZ1693" s="110"/>
      <c r="BB1693" s="6"/>
      <c r="BD1693" s="6"/>
      <c r="BE1693" s="6"/>
      <c r="BV1693" s="17"/>
      <c r="BX1693" s="17"/>
      <c r="BZ1693" s="17"/>
    </row>
    <row r="1694" spans="4:78" x14ac:dyDescent="0.3">
      <c r="D1694" s="153"/>
      <c r="E1694" s="6"/>
      <c r="G1694" s="6"/>
      <c r="J1694" s="6"/>
      <c r="N1694" s="154"/>
      <c r="O1694" s="6"/>
      <c r="S1694" s="6"/>
      <c r="V1694" s="6"/>
      <c r="X1694" s="6"/>
      <c r="Z1694" s="110"/>
      <c r="AB1694" s="6"/>
      <c r="AD1694" s="6"/>
      <c r="AE1694" s="6"/>
      <c r="AF1694" s="126"/>
      <c r="AJ1694" s="6"/>
      <c r="AL1694" s="110"/>
      <c r="AM1694" s="110"/>
      <c r="AN1694" s="110"/>
      <c r="AP1694" s="6"/>
      <c r="AW1694" s="6"/>
      <c r="AX1694" s="6"/>
      <c r="AZ1694" s="110"/>
      <c r="BB1694" s="6"/>
      <c r="BD1694" s="6"/>
      <c r="BE1694" s="6"/>
      <c r="BV1694" s="17"/>
      <c r="BX1694" s="17"/>
      <c r="BZ1694" s="17"/>
    </row>
    <row r="1695" spans="4:78" x14ac:dyDescent="0.3">
      <c r="D1695" s="153"/>
      <c r="E1695" s="6"/>
      <c r="G1695" s="6"/>
      <c r="J1695" s="6"/>
      <c r="N1695" s="154"/>
      <c r="O1695" s="6"/>
      <c r="S1695" s="6"/>
      <c r="V1695" s="6"/>
      <c r="X1695" s="6"/>
      <c r="Z1695" s="110"/>
      <c r="AB1695" s="6"/>
      <c r="AD1695" s="6"/>
      <c r="AE1695" s="6"/>
      <c r="AF1695" s="126"/>
      <c r="AJ1695" s="6"/>
      <c r="AL1695" s="110"/>
      <c r="AM1695" s="110"/>
      <c r="AN1695" s="110"/>
      <c r="AP1695" s="6"/>
      <c r="AW1695" s="6"/>
      <c r="AX1695" s="6"/>
      <c r="AZ1695" s="110"/>
      <c r="BB1695" s="6"/>
      <c r="BD1695" s="6"/>
      <c r="BE1695" s="6"/>
      <c r="BV1695" s="17"/>
      <c r="BX1695" s="17"/>
      <c r="BZ1695" s="17"/>
    </row>
    <row r="1696" spans="4:78" x14ac:dyDescent="0.3">
      <c r="D1696" s="153"/>
      <c r="E1696" s="6"/>
      <c r="G1696" s="6"/>
      <c r="J1696" s="6"/>
      <c r="N1696" s="154"/>
      <c r="O1696" s="6"/>
      <c r="S1696" s="6"/>
      <c r="V1696" s="6"/>
      <c r="X1696" s="6"/>
      <c r="Z1696" s="110"/>
      <c r="AB1696" s="6"/>
      <c r="AD1696" s="6"/>
      <c r="AE1696" s="6"/>
      <c r="AF1696" s="126"/>
      <c r="AJ1696" s="6"/>
      <c r="AL1696" s="110"/>
      <c r="AM1696" s="110"/>
      <c r="AN1696" s="110"/>
      <c r="AP1696" s="6"/>
      <c r="AW1696" s="6"/>
      <c r="AX1696" s="6"/>
      <c r="AZ1696" s="110"/>
      <c r="BB1696" s="6"/>
      <c r="BD1696" s="6"/>
      <c r="BE1696" s="6"/>
      <c r="BV1696" s="17"/>
      <c r="BX1696" s="17"/>
      <c r="BZ1696" s="17"/>
    </row>
    <row r="1697" spans="4:78" x14ac:dyDescent="0.3">
      <c r="D1697" s="153"/>
      <c r="E1697" s="6"/>
      <c r="G1697" s="6"/>
      <c r="J1697" s="6"/>
      <c r="N1697" s="154"/>
      <c r="O1697" s="6"/>
      <c r="S1697" s="6"/>
      <c r="V1697" s="6"/>
      <c r="X1697" s="6"/>
      <c r="Z1697" s="110"/>
      <c r="AB1697" s="6"/>
      <c r="AD1697" s="6"/>
      <c r="AE1697" s="6"/>
      <c r="AF1697" s="126"/>
      <c r="AJ1697" s="6"/>
      <c r="AL1697" s="110"/>
      <c r="AM1697" s="110"/>
      <c r="AN1697" s="110"/>
      <c r="AP1697" s="6"/>
      <c r="AW1697" s="6"/>
      <c r="AX1697" s="6"/>
      <c r="AZ1697" s="110"/>
      <c r="BB1697" s="6"/>
      <c r="BD1697" s="6"/>
      <c r="BE1697" s="6"/>
      <c r="BV1697" s="17"/>
      <c r="BX1697" s="17"/>
      <c r="BZ1697" s="17"/>
    </row>
    <row r="1698" spans="4:78" x14ac:dyDescent="0.3">
      <c r="D1698" s="153"/>
      <c r="E1698" s="6"/>
      <c r="G1698" s="6"/>
      <c r="J1698" s="6"/>
      <c r="N1698" s="154"/>
      <c r="O1698" s="6"/>
      <c r="S1698" s="6"/>
      <c r="V1698" s="6"/>
      <c r="X1698" s="6"/>
      <c r="Z1698" s="110"/>
      <c r="AB1698" s="6"/>
      <c r="AD1698" s="6"/>
      <c r="AE1698" s="6"/>
      <c r="AF1698" s="126"/>
      <c r="AJ1698" s="6"/>
      <c r="AL1698" s="110"/>
      <c r="AM1698" s="110"/>
      <c r="AN1698" s="110"/>
      <c r="AP1698" s="6"/>
      <c r="AW1698" s="6"/>
      <c r="AX1698" s="6"/>
      <c r="AZ1698" s="110"/>
      <c r="BB1698" s="6"/>
      <c r="BD1698" s="6"/>
      <c r="BE1698" s="6"/>
      <c r="BV1698" s="17"/>
      <c r="BX1698" s="17"/>
      <c r="BZ1698" s="17"/>
    </row>
    <row r="1699" spans="4:78" x14ac:dyDescent="0.3">
      <c r="D1699" s="153"/>
      <c r="E1699" s="6"/>
      <c r="G1699" s="6"/>
      <c r="J1699" s="6"/>
      <c r="N1699" s="154"/>
      <c r="O1699" s="6"/>
      <c r="S1699" s="6"/>
      <c r="V1699" s="6"/>
      <c r="X1699" s="6"/>
      <c r="Z1699" s="110"/>
      <c r="AB1699" s="6"/>
      <c r="AD1699" s="6"/>
      <c r="AE1699" s="6"/>
      <c r="AF1699" s="126"/>
      <c r="AJ1699" s="6"/>
      <c r="AL1699" s="110"/>
      <c r="AM1699" s="110"/>
      <c r="AN1699" s="110"/>
      <c r="AP1699" s="6"/>
      <c r="AW1699" s="6"/>
      <c r="AX1699" s="6"/>
      <c r="AZ1699" s="110"/>
      <c r="BB1699" s="6"/>
      <c r="BD1699" s="6"/>
      <c r="BE1699" s="6"/>
      <c r="BV1699" s="17"/>
      <c r="BX1699" s="17"/>
      <c r="BZ1699" s="17"/>
    </row>
    <row r="1700" spans="4:78" x14ac:dyDescent="0.3">
      <c r="D1700" s="153"/>
      <c r="E1700" s="6"/>
      <c r="G1700" s="6"/>
      <c r="J1700" s="6"/>
      <c r="N1700" s="154"/>
      <c r="O1700" s="6"/>
      <c r="S1700" s="6"/>
      <c r="V1700" s="6"/>
      <c r="X1700" s="6"/>
      <c r="Z1700" s="110"/>
      <c r="AB1700" s="6"/>
      <c r="AD1700" s="6"/>
      <c r="AE1700" s="6"/>
      <c r="AF1700" s="126"/>
      <c r="AJ1700" s="6"/>
      <c r="AL1700" s="110"/>
      <c r="AM1700" s="110"/>
      <c r="AN1700" s="110"/>
      <c r="AP1700" s="6"/>
      <c r="AW1700" s="6"/>
      <c r="AX1700" s="6"/>
      <c r="AZ1700" s="110"/>
      <c r="BB1700" s="6"/>
      <c r="BD1700" s="6"/>
      <c r="BE1700" s="6"/>
      <c r="BV1700" s="17"/>
      <c r="BX1700" s="17"/>
      <c r="BZ1700" s="17"/>
    </row>
    <row r="1701" spans="4:78" x14ac:dyDescent="0.3">
      <c r="D1701" s="153"/>
      <c r="E1701" s="6"/>
      <c r="G1701" s="6"/>
      <c r="J1701" s="6"/>
      <c r="N1701" s="154"/>
      <c r="O1701" s="6"/>
      <c r="S1701" s="6"/>
      <c r="V1701" s="6"/>
      <c r="X1701" s="6"/>
      <c r="Z1701" s="110"/>
      <c r="AB1701" s="6"/>
      <c r="AD1701" s="6"/>
      <c r="AE1701" s="6"/>
      <c r="AF1701" s="126"/>
      <c r="AJ1701" s="6"/>
      <c r="AL1701" s="110"/>
      <c r="AM1701" s="110"/>
      <c r="AN1701" s="110"/>
      <c r="AP1701" s="6"/>
      <c r="AW1701" s="6"/>
      <c r="AX1701" s="6"/>
      <c r="AZ1701" s="110"/>
      <c r="BB1701" s="6"/>
      <c r="BD1701" s="6"/>
      <c r="BE1701" s="6"/>
      <c r="BV1701" s="17"/>
      <c r="BX1701" s="17"/>
      <c r="BZ1701" s="17"/>
    </row>
    <row r="1702" spans="4:78" x14ac:dyDescent="0.3">
      <c r="D1702" s="153"/>
      <c r="E1702" s="6"/>
      <c r="G1702" s="6"/>
      <c r="J1702" s="6"/>
      <c r="N1702" s="154"/>
      <c r="O1702" s="6"/>
      <c r="S1702" s="6"/>
      <c r="V1702" s="6"/>
      <c r="X1702" s="6"/>
      <c r="Z1702" s="110"/>
      <c r="AB1702" s="6"/>
      <c r="AD1702" s="6"/>
      <c r="AE1702" s="6"/>
      <c r="AF1702" s="126"/>
      <c r="AJ1702" s="6"/>
      <c r="AL1702" s="110"/>
      <c r="AM1702" s="110"/>
      <c r="AN1702" s="110"/>
      <c r="AP1702" s="6"/>
      <c r="AW1702" s="6"/>
      <c r="AX1702" s="6"/>
      <c r="AZ1702" s="110"/>
      <c r="BB1702" s="6"/>
      <c r="BD1702" s="6"/>
      <c r="BE1702" s="6"/>
      <c r="BV1702" s="17"/>
      <c r="BX1702" s="17"/>
      <c r="BZ1702" s="17"/>
    </row>
    <row r="1703" spans="4:78" x14ac:dyDescent="0.3">
      <c r="D1703" s="153"/>
      <c r="E1703" s="6"/>
      <c r="G1703" s="6"/>
      <c r="J1703" s="6"/>
      <c r="N1703" s="154"/>
      <c r="O1703" s="6"/>
      <c r="S1703" s="6"/>
      <c r="V1703" s="6"/>
      <c r="X1703" s="6"/>
      <c r="Z1703" s="110"/>
      <c r="AB1703" s="6"/>
      <c r="AD1703" s="6"/>
      <c r="AE1703" s="6"/>
      <c r="AF1703" s="126"/>
      <c r="AJ1703" s="6"/>
      <c r="AL1703" s="110"/>
      <c r="AM1703" s="110"/>
      <c r="AN1703" s="110"/>
      <c r="AP1703" s="6"/>
      <c r="AW1703" s="6"/>
      <c r="AX1703" s="6"/>
      <c r="AZ1703" s="110"/>
      <c r="BB1703" s="6"/>
      <c r="BD1703" s="6"/>
      <c r="BE1703" s="6"/>
      <c r="BV1703" s="17"/>
      <c r="BX1703" s="17"/>
      <c r="BZ1703" s="17"/>
    </row>
    <row r="1704" spans="4:78" x14ac:dyDescent="0.3">
      <c r="D1704" s="153"/>
      <c r="E1704" s="6"/>
      <c r="G1704" s="6"/>
      <c r="J1704" s="6"/>
      <c r="N1704" s="154"/>
      <c r="O1704" s="6"/>
      <c r="S1704" s="6"/>
      <c r="V1704" s="6"/>
      <c r="X1704" s="6"/>
      <c r="Z1704" s="110"/>
      <c r="AB1704" s="6"/>
      <c r="AD1704" s="6"/>
      <c r="AE1704" s="6"/>
      <c r="AF1704" s="126"/>
      <c r="AJ1704" s="6"/>
      <c r="AL1704" s="110"/>
      <c r="AM1704" s="110"/>
      <c r="AN1704" s="110"/>
      <c r="AP1704" s="6"/>
      <c r="AW1704" s="6"/>
      <c r="AX1704" s="6"/>
      <c r="AZ1704" s="110"/>
      <c r="BB1704" s="6"/>
      <c r="BD1704" s="6"/>
      <c r="BE1704" s="6"/>
      <c r="BV1704" s="17"/>
      <c r="BX1704" s="17"/>
      <c r="BZ1704" s="17"/>
    </row>
    <row r="1705" spans="4:78" x14ac:dyDescent="0.3">
      <c r="D1705" s="153"/>
      <c r="E1705" s="6"/>
      <c r="G1705" s="6"/>
      <c r="J1705" s="6"/>
      <c r="N1705" s="154"/>
      <c r="O1705" s="6"/>
      <c r="S1705" s="6"/>
      <c r="V1705" s="6"/>
      <c r="X1705" s="6"/>
      <c r="Z1705" s="110"/>
      <c r="AB1705" s="6"/>
      <c r="AD1705" s="6"/>
      <c r="AE1705" s="6"/>
      <c r="AF1705" s="126"/>
      <c r="AJ1705" s="6"/>
      <c r="AL1705" s="110"/>
      <c r="AM1705" s="110"/>
      <c r="AN1705" s="110"/>
      <c r="AP1705" s="6"/>
      <c r="AW1705" s="6"/>
      <c r="AX1705" s="6"/>
      <c r="AZ1705" s="110"/>
      <c r="BB1705" s="6"/>
      <c r="BD1705" s="6"/>
      <c r="BE1705" s="6"/>
      <c r="BV1705" s="17"/>
      <c r="BX1705" s="17"/>
      <c r="BZ1705" s="17"/>
    </row>
    <row r="1706" spans="4:78" x14ac:dyDescent="0.3">
      <c r="D1706" s="153"/>
      <c r="E1706" s="6"/>
      <c r="G1706" s="6"/>
      <c r="J1706" s="6"/>
      <c r="N1706" s="154"/>
      <c r="O1706" s="6"/>
      <c r="S1706" s="6"/>
      <c r="V1706" s="6"/>
      <c r="X1706" s="6"/>
      <c r="Z1706" s="110"/>
      <c r="AB1706" s="6"/>
      <c r="AD1706" s="6"/>
      <c r="AE1706" s="6"/>
      <c r="AF1706" s="126"/>
      <c r="AJ1706" s="6"/>
      <c r="AL1706" s="110"/>
      <c r="AM1706" s="110"/>
      <c r="AN1706" s="110"/>
      <c r="AP1706" s="6"/>
      <c r="AW1706" s="6"/>
      <c r="AX1706" s="6"/>
      <c r="AZ1706" s="110"/>
      <c r="BB1706" s="6"/>
      <c r="BD1706" s="6"/>
      <c r="BE1706" s="6"/>
      <c r="BV1706" s="17"/>
      <c r="BX1706" s="17"/>
      <c r="BZ1706" s="17"/>
    </row>
    <row r="1707" spans="4:78" x14ac:dyDescent="0.3">
      <c r="D1707" s="153"/>
      <c r="E1707" s="6"/>
      <c r="G1707" s="6"/>
      <c r="J1707" s="6"/>
      <c r="N1707" s="154"/>
      <c r="O1707" s="6"/>
      <c r="S1707" s="6"/>
      <c r="V1707" s="6"/>
      <c r="X1707" s="6"/>
      <c r="Z1707" s="110"/>
      <c r="AB1707" s="6"/>
      <c r="AD1707" s="6"/>
      <c r="AE1707" s="6"/>
      <c r="AF1707" s="126"/>
      <c r="AJ1707" s="6"/>
      <c r="AL1707" s="110"/>
      <c r="AM1707" s="110"/>
      <c r="AN1707" s="110"/>
      <c r="AP1707" s="6"/>
      <c r="AW1707" s="6"/>
      <c r="AX1707" s="6"/>
      <c r="AZ1707" s="110"/>
      <c r="BB1707" s="6"/>
      <c r="BD1707" s="6"/>
      <c r="BE1707" s="6"/>
      <c r="BV1707" s="17"/>
      <c r="BX1707" s="17"/>
      <c r="BZ1707" s="17"/>
    </row>
    <row r="1708" spans="4:78" x14ac:dyDescent="0.3">
      <c r="D1708" s="153"/>
      <c r="E1708" s="6"/>
      <c r="G1708" s="6"/>
      <c r="J1708" s="6"/>
      <c r="N1708" s="154"/>
      <c r="O1708" s="6"/>
      <c r="S1708" s="6"/>
      <c r="V1708" s="6"/>
      <c r="X1708" s="6"/>
      <c r="Z1708" s="110"/>
      <c r="AB1708" s="6"/>
      <c r="AD1708" s="6"/>
      <c r="AE1708" s="6"/>
      <c r="AF1708" s="126"/>
      <c r="AJ1708" s="6"/>
      <c r="AL1708" s="110"/>
      <c r="AM1708" s="110"/>
      <c r="AN1708" s="110"/>
      <c r="AP1708" s="6"/>
      <c r="AW1708" s="6"/>
      <c r="AX1708" s="6"/>
      <c r="AZ1708" s="110"/>
      <c r="BB1708" s="6"/>
      <c r="BD1708" s="6"/>
      <c r="BE1708" s="6"/>
      <c r="BV1708" s="17"/>
      <c r="BX1708" s="17"/>
      <c r="BZ1708" s="17"/>
    </row>
    <row r="1709" spans="4:78" x14ac:dyDescent="0.3">
      <c r="D1709" s="153"/>
      <c r="E1709" s="6"/>
      <c r="G1709" s="6"/>
      <c r="J1709" s="6"/>
      <c r="N1709" s="154"/>
      <c r="O1709" s="6"/>
      <c r="S1709" s="6"/>
      <c r="V1709" s="6"/>
      <c r="X1709" s="6"/>
      <c r="Z1709" s="110"/>
      <c r="AB1709" s="6"/>
      <c r="AD1709" s="6"/>
      <c r="AE1709" s="6"/>
      <c r="AF1709" s="126"/>
      <c r="AJ1709" s="6"/>
      <c r="AL1709" s="110"/>
      <c r="AM1709" s="110"/>
      <c r="AN1709" s="110"/>
      <c r="AP1709" s="6"/>
      <c r="AW1709" s="6"/>
      <c r="AX1709" s="6"/>
      <c r="AZ1709" s="110"/>
      <c r="BB1709" s="6"/>
      <c r="BD1709" s="6"/>
      <c r="BE1709" s="6"/>
      <c r="BV1709" s="17"/>
      <c r="BX1709" s="17"/>
      <c r="BZ1709" s="17"/>
    </row>
    <row r="1710" spans="4:78" x14ac:dyDescent="0.3">
      <c r="D1710" s="153"/>
      <c r="E1710" s="6"/>
      <c r="G1710" s="6"/>
      <c r="J1710" s="6"/>
      <c r="N1710" s="154"/>
      <c r="O1710" s="6"/>
      <c r="S1710" s="6"/>
      <c r="V1710" s="6"/>
      <c r="X1710" s="6"/>
      <c r="Z1710" s="110"/>
      <c r="AB1710" s="6"/>
      <c r="AD1710" s="6"/>
      <c r="AE1710" s="6"/>
      <c r="AF1710" s="126"/>
      <c r="AJ1710" s="6"/>
      <c r="AL1710" s="110"/>
      <c r="AM1710" s="110"/>
      <c r="AN1710" s="110"/>
      <c r="AP1710" s="6"/>
      <c r="AW1710" s="6"/>
      <c r="AX1710" s="6"/>
      <c r="AZ1710" s="110"/>
      <c r="BB1710" s="6"/>
      <c r="BD1710" s="6"/>
      <c r="BE1710" s="6"/>
      <c r="BV1710" s="17"/>
      <c r="BX1710" s="17"/>
      <c r="BZ1710" s="17"/>
    </row>
    <row r="1711" spans="4:78" x14ac:dyDescent="0.3">
      <c r="D1711" s="153"/>
      <c r="E1711" s="6"/>
      <c r="G1711" s="6"/>
      <c r="J1711" s="6"/>
      <c r="N1711" s="154"/>
      <c r="O1711" s="6"/>
      <c r="S1711" s="6"/>
      <c r="V1711" s="6"/>
      <c r="X1711" s="6"/>
      <c r="Z1711" s="110"/>
      <c r="AB1711" s="6"/>
      <c r="AD1711" s="6"/>
      <c r="AE1711" s="6"/>
      <c r="AF1711" s="126"/>
      <c r="AJ1711" s="6"/>
      <c r="AL1711" s="110"/>
      <c r="AM1711" s="110"/>
      <c r="AN1711" s="110"/>
      <c r="AP1711" s="6"/>
      <c r="AW1711" s="6"/>
      <c r="AX1711" s="6"/>
      <c r="AZ1711" s="110"/>
      <c r="BB1711" s="6"/>
      <c r="BD1711" s="6"/>
      <c r="BE1711" s="6"/>
      <c r="BV1711" s="17"/>
      <c r="BX1711" s="17"/>
      <c r="BZ1711" s="17"/>
    </row>
    <row r="1712" spans="4:78" x14ac:dyDescent="0.3">
      <c r="D1712" s="153"/>
      <c r="E1712" s="6"/>
      <c r="G1712" s="6"/>
      <c r="J1712" s="6"/>
      <c r="N1712" s="154"/>
      <c r="O1712" s="6"/>
      <c r="S1712" s="6"/>
      <c r="V1712" s="6"/>
      <c r="X1712" s="6"/>
      <c r="Z1712" s="110"/>
      <c r="AB1712" s="6"/>
      <c r="AD1712" s="6"/>
      <c r="AE1712" s="6"/>
      <c r="AF1712" s="126"/>
      <c r="AJ1712" s="6"/>
      <c r="AL1712" s="110"/>
      <c r="AM1712" s="110"/>
      <c r="AN1712" s="110"/>
      <c r="AP1712" s="6"/>
      <c r="AW1712" s="6"/>
      <c r="AX1712" s="6"/>
      <c r="AZ1712" s="110"/>
      <c r="BB1712" s="6"/>
      <c r="BD1712" s="6"/>
      <c r="BE1712" s="6"/>
      <c r="BV1712" s="17"/>
      <c r="BX1712" s="17"/>
      <c r="BZ1712" s="17"/>
    </row>
    <row r="1713" spans="4:78" x14ac:dyDescent="0.3">
      <c r="D1713" s="153"/>
      <c r="E1713" s="6"/>
      <c r="G1713" s="6"/>
      <c r="J1713" s="6"/>
      <c r="N1713" s="154"/>
      <c r="O1713" s="6"/>
      <c r="S1713" s="6"/>
      <c r="V1713" s="6"/>
      <c r="X1713" s="6"/>
      <c r="Z1713" s="110"/>
      <c r="AB1713" s="6"/>
      <c r="AD1713" s="6"/>
      <c r="AE1713" s="6"/>
      <c r="AF1713" s="126"/>
      <c r="AJ1713" s="6"/>
      <c r="AL1713" s="110"/>
      <c r="AM1713" s="110"/>
      <c r="AN1713" s="110"/>
      <c r="AP1713" s="6"/>
      <c r="AW1713" s="6"/>
      <c r="AX1713" s="6"/>
      <c r="AZ1713" s="110"/>
      <c r="BB1713" s="6"/>
      <c r="BD1713" s="6"/>
      <c r="BE1713" s="6"/>
      <c r="BV1713" s="17"/>
      <c r="BX1713" s="17"/>
      <c r="BZ1713" s="17"/>
    </row>
    <row r="1714" spans="4:78" x14ac:dyDescent="0.3">
      <c r="D1714" s="153"/>
      <c r="E1714" s="6"/>
      <c r="G1714" s="6"/>
      <c r="J1714" s="6"/>
      <c r="N1714" s="154"/>
      <c r="O1714" s="6"/>
      <c r="S1714" s="6"/>
      <c r="V1714" s="6"/>
      <c r="X1714" s="6"/>
      <c r="Z1714" s="110"/>
      <c r="AB1714" s="6"/>
      <c r="AD1714" s="6"/>
      <c r="AE1714" s="6"/>
      <c r="AF1714" s="126"/>
      <c r="AJ1714" s="6"/>
      <c r="AL1714" s="110"/>
      <c r="AM1714" s="110"/>
      <c r="AN1714" s="110"/>
      <c r="AP1714" s="6"/>
      <c r="AW1714" s="6"/>
      <c r="AX1714" s="6"/>
      <c r="AZ1714" s="110"/>
      <c r="BB1714" s="6"/>
      <c r="BD1714" s="6"/>
      <c r="BE1714" s="6"/>
      <c r="BV1714" s="17"/>
      <c r="BX1714" s="17"/>
      <c r="BZ1714" s="17"/>
    </row>
    <row r="1715" spans="4:78" x14ac:dyDescent="0.3">
      <c r="D1715" s="153"/>
      <c r="E1715" s="6"/>
      <c r="G1715" s="6"/>
      <c r="J1715" s="6"/>
      <c r="N1715" s="154"/>
      <c r="O1715" s="6"/>
      <c r="S1715" s="6"/>
      <c r="V1715" s="6"/>
      <c r="X1715" s="6"/>
      <c r="Z1715" s="110"/>
      <c r="AB1715" s="6"/>
      <c r="AD1715" s="6"/>
      <c r="AE1715" s="6"/>
      <c r="AF1715" s="126"/>
      <c r="AJ1715" s="6"/>
      <c r="AL1715" s="110"/>
      <c r="AM1715" s="110"/>
      <c r="AN1715" s="110"/>
      <c r="AP1715" s="6"/>
      <c r="AW1715" s="6"/>
      <c r="AX1715" s="6"/>
      <c r="AZ1715" s="110"/>
      <c r="BB1715" s="6"/>
      <c r="BD1715" s="6"/>
      <c r="BE1715" s="6"/>
      <c r="BV1715" s="17"/>
      <c r="BX1715" s="17"/>
      <c r="BZ1715" s="17"/>
    </row>
    <row r="1716" spans="4:78" x14ac:dyDescent="0.3">
      <c r="D1716" s="153"/>
      <c r="E1716" s="6"/>
      <c r="G1716" s="6"/>
      <c r="J1716" s="6"/>
      <c r="N1716" s="154"/>
      <c r="O1716" s="6"/>
      <c r="S1716" s="6"/>
      <c r="V1716" s="6"/>
      <c r="X1716" s="6"/>
      <c r="Z1716" s="110"/>
      <c r="AB1716" s="6"/>
      <c r="AD1716" s="6"/>
      <c r="AE1716" s="6"/>
      <c r="AF1716" s="126"/>
      <c r="AJ1716" s="6"/>
      <c r="AL1716" s="110"/>
      <c r="AM1716" s="110"/>
      <c r="AN1716" s="110"/>
      <c r="AP1716" s="6"/>
      <c r="AW1716" s="6"/>
      <c r="AX1716" s="6"/>
      <c r="AZ1716" s="110"/>
      <c r="BB1716" s="6"/>
      <c r="BD1716" s="6"/>
      <c r="BE1716" s="6"/>
      <c r="BV1716" s="17"/>
      <c r="BX1716" s="17"/>
      <c r="BZ1716" s="17"/>
    </row>
    <row r="1717" spans="4:78" x14ac:dyDescent="0.3">
      <c r="D1717" s="153"/>
      <c r="E1717" s="6"/>
      <c r="G1717" s="6"/>
      <c r="J1717" s="6"/>
      <c r="N1717" s="154"/>
      <c r="O1717" s="6"/>
      <c r="S1717" s="6"/>
      <c r="V1717" s="6"/>
      <c r="X1717" s="6"/>
      <c r="Z1717" s="110"/>
      <c r="AB1717" s="6"/>
      <c r="AD1717" s="6"/>
      <c r="AE1717" s="6"/>
      <c r="AF1717" s="126"/>
      <c r="AJ1717" s="6"/>
      <c r="AL1717" s="110"/>
      <c r="AM1717" s="110"/>
      <c r="AN1717" s="110"/>
      <c r="AP1717" s="6"/>
      <c r="AW1717" s="6"/>
      <c r="AX1717" s="6"/>
      <c r="AZ1717" s="110"/>
      <c r="BB1717" s="6"/>
      <c r="BD1717" s="6"/>
      <c r="BE1717" s="6"/>
      <c r="BV1717" s="17"/>
      <c r="BX1717" s="17"/>
      <c r="BZ1717" s="17"/>
    </row>
    <row r="1718" spans="4:78" x14ac:dyDescent="0.3">
      <c r="D1718" s="153"/>
      <c r="E1718" s="6"/>
      <c r="G1718" s="6"/>
      <c r="J1718" s="6"/>
      <c r="N1718" s="154"/>
      <c r="O1718" s="6"/>
      <c r="S1718" s="6"/>
      <c r="V1718" s="6"/>
      <c r="X1718" s="6"/>
      <c r="Z1718" s="110"/>
      <c r="AB1718" s="6"/>
      <c r="AD1718" s="6"/>
      <c r="AE1718" s="6"/>
      <c r="AF1718" s="126"/>
      <c r="AJ1718" s="6"/>
      <c r="AL1718" s="110"/>
      <c r="AM1718" s="110"/>
      <c r="AN1718" s="110"/>
      <c r="AP1718" s="6"/>
      <c r="AW1718" s="6"/>
      <c r="AX1718" s="6"/>
      <c r="AZ1718" s="110"/>
      <c r="BB1718" s="6"/>
      <c r="BD1718" s="6"/>
      <c r="BE1718" s="6"/>
      <c r="BV1718" s="17"/>
      <c r="BX1718" s="17"/>
      <c r="BZ1718" s="17"/>
    </row>
    <row r="1719" spans="4:78" x14ac:dyDescent="0.3">
      <c r="D1719" s="153"/>
      <c r="E1719" s="6"/>
      <c r="G1719" s="6"/>
      <c r="J1719" s="6"/>
      <c r="N1719" s="154"/>
      <c r="O1719" s="6"/>
      <c r="S1719" s="6"/>
      <c r="V1719" s="6"/>
      <c r="X1719" s="6"/>
      <c r="Z1719" s="110"/>
      <c r="AB1719" s="6"/>
      <c r="AD1719" s="6"/>
      <c r="AE1719" s="6"/>
      <c r="AF1719" s="126"/>
      <c r="AJ1719" s="6"/>
      <c r="AL1719" s="110"/>
      <c r="AM1719" s="110"/>
      <c r="AN1719" s="110"/>
      <c r="AP1719" s="6"/>
      <c r="AW1719" s="6"/>
      <c r="AX1719" s="6"/>
      <c r="AZ1719" s="110"/>
      <c r="BB1719" s="6"/>
      <c r="BD1719" s="6"/>
      <c r="BE1719" s="6"/>
      <c r="BV1719" s="17"/>
      <c r="BX1719" s="17"/>
      <c r="BZ1719" s="17"/>
    </row>
    <row r="1720" spans="4:78" x14ac:dyDescent="0.3">
      <c r="D1720" s="153"/>
      <c r="E1720" s="6"/>
      <c r="G1720" s="6"/>
      <c r="J1720" s="6"/>
      <c r="N1720" s="154"/>
      <c r="O1720" s="6"/>
      <c r="S1720" s="6"/>
      <c r="V1720" s="6"/>
      <c r="X1720" s="6"/>
      <c r="Z1720" s="110"/>
      <c r="AB1720" s="6"/>
      <c r="AD1720" s="6"/>
      <c r="AE1720" s="6"/>
      <c r="AF1720" s="126"/>
      <c r="AJ1720" s="6"/>
      <c r="AL1720" s="110"/>
      <c r="AM1720" s="110"/>
      <c r="AN1720" s="110"/>
      <c r="AP1720" s="6"/>
      <c r="AW1720" s="6"/>
      <c r="AX1720" s="6"/>
      <c r="AZ1720" s="110"/>
      <c r="BB1720" s="6"/>
      <c r="BD1720" s="6"/>
      <c r="BE1720" s="6"/>
      <c r="BV1720" s="17"/>
      <c r="BX1720" s="17"/>
      <c r="BZ1720" s="17"/>
    </row>
    <row r="1721" spans="4:78" x14ac:dyDescent="0.3">
      <c r="D1721" s="153"/>
      <c r="E1721" s="6"/>
      <c r="G1721" s="6"/>
      <c r="J1721" s="6"/>
      <c r="N1721" s="154"/>
      <c r="O1721" s="6"/>
      <c r="S1721" s="6"/>
      <c r="V1721" s="6"/>
      <c r="X1721" s="6"/>
      <c r="Z1721" s="110"/>
      <c r="AB1721" s="6"/>
      <c r="AD1721" s="6"/>
      <c r="AE1721" s="6"/>
      <c r="AF1721" s="126"/>
      <c r="AJ1721" s="6"/>
      <c r="AL1721" s="110"/>
      <c r="AM1721" s="110"/>
      <c r="AN1721" s="110"/>
      <c r="AP1721" s="6"/>
      <c r="AW1721" s="6"/>
      <c r="AX1721" s="6"/>
      <c r="AZ1721" s="110"/>
      <c r="BB1721" s="6"/>
      <c r="BD1721" s="6"/>
      <c r="BE1721" s="6"/>
      <c r="BV1721" s="17"/>
      <c r="BX1721" s="17"/>
      <c r="BZ1721" s="17"/>
    </row>
    <row r="1722" spans="4:78" x14ac:dyDescent="0.3">
      <c r="D1722" s="153"/>
      <c r="E1722" s="6"/>
      <c r="G1722" s="6"/>
      <c r="J1722" s="6"/>
      <c r="N1722" s="154"/>
      <c r="O1722" s="6"/>
      <c r="S1722" s="6"/>
      <c r="V1722" s="6"/>
      <c r="X1722" s="6"/>
      <c r="Z1722" s="110"/>
      <c r="AB1722" s="6"/>
      <c r="AD1722" s="6"/>
      <c r="AE1722" s="6"/>
      <c r="AF1722" s="126"/>
      <c r="AJ1722" s="6"/>
      <c r="AL1722" s="110"/>
      <c r="AM1722" s="110"/>
      <c r="AN1722" s="110"/>
      <c r="AP1722" s="6"/>
      <c r="AW1722" s="6"/>
      <c r="AX1722" s="6"/>
      <c r="AZ1722" s="110"/>
      <c r="BB1722" s="6"/>
      <c r="BD1722" s="6"/>
      <c r="BE1722" s="6"/>
      <c r="BV1722" s="17"/>
      <c r="BX1722" s="17"/>
      <c r="BZ1722" s="17"/>
    </row>
    <row r="1723" spans="4:78" x14ac:dyDescent="0.3">
      <c r="D1723" s="153"/>
      <c r="E1723" s="6"/>
      <c r="G1723" s="6"/>
      <c r="J1723" s="6"/>
      <c r="N1723" s="154"/>
      <c r="O1723" s="6"/>
      <c r="S1723" s="6"/>
      <c r="V1723" s="6"/>
      <c r="X1723" s="6"/>
      <c r="Z1723" s="110"/>
      <c r="AB1723" s="6"/>
      <c r="AD1723" s="6"/>
      <c r="AE1723" s="6"/>
      <c r="AF1723" s="126"/>
      <c r="AJ1723" s="6"/>
      <c r="AL1723" s="110"/>
      <c r="AM1723" s="110"/>
      <c r="AN1723" s="110"/>
      <c r="AP1723" s="6"/>
      <c r="AW1723" s="6"/>
      <c r="AX1723" s="6"/>
      <c r="AZ1723" s="110"/>
      <c r="BB1723" s="6"/>
      <c r="BD1723" s="6"/>
      <c r="BE1723" s="6"/>
      <c r="BV1723" s="17"/>
      <c r="BX1723" s="17"/>
      <c r="BZ1723" s="17"/>
    </row>
    <row r="1724" spans="4:78" x14ac:dyDescent="0.3">
      <c r="D1724" s="153"/>
      <c r="E1724" s="6"/>
      <c r="G1724" s="6"/>
      <c r="J1724" s="6"/>
      <c r="N1724" s="154"/>
      <c r="O1724" s="6"/>
      <c r="S1724" s="6"/>
      <c r="V1724" s="6"/>
      <c r="X1724" s="6"/>
      <c r="Z1724" s="110"/>
      <c r="AB1724" s="6"/>
      <c r="AD1724" s="6"/>
      <c r="AE1724" s="6"/>
      <c r="AF1724" s="126"/>
      <c r="AJ1724" s="6"/>
      <c r="AL1724" s="110"/>
      <c r="AM1724" s="110"/>
      <c r="AN1724" s="110"/>
      <c r="AP1724" s="6"/>
      <c r="AW1724" s="6"/>
      <c r="AX1724" s="6"/>
      <c r="AZ1724" s="110"/>
      <c r="BB1724" s="6"/>
      <c r="BD1724" s="6"/>
      <c r="BE1724" s="6"/>
      <c r="BV1724" s="17"/>
      <c r="BX1724" s="17"/>
      <c r="BZ1724" s="17"/>
    </row>
    <row r="1725" spans="4:78" x14ac:dyDescent="0.3">
      <c r="D1725" s="153"/>
      <c r="E1725" s="6"/>
      <c r="G1725" s="6"/>
      <c r="J1725" s="6"/>
      <c r="N1725" s="154"/>
      <c r="O1725" s="6"/>
      <c r="S1725" s="6"/>
      <c r="V1725" s="6"/>
      <c r="X1725" s="6"/>
      <c r="Z1725" s="110"/>
      <c r="AB1725" s="6"/>
      <c r="AD1725" s="6"/>
      <c r="AE1725" s="6"/>
      <c r="AF1725" s="126"/>
      <c r="AJ1725" s="6"/>
      <c r="AL1725" s="110"/>
      <c r="AM1725" s="110"/>
      <c r="AN1725" s="110"/>
      <c r="AP1725" s="6"/>
      <c r="AW1725" s="6"/>
      <c r="AX1725" s="6"/>
      <c r="AZ1725" s="110"/>
      <c r="BB1725" s="6"/>
      <c r="BD1725" s="6"/>
      <c r="BE1725" s="6"/>
      <c r="BV1725" s="17"/>
      <c r="BX1725" s="17"/>
      <c r="BZ1725" s="17"/>
    </row>
    <row r="1726" spans="4:78" x14ac:dyDescent="0.3">
      <c r="D1726" s="153"/>
      <c r="E1726" s="6"/>
      <c r="G1726" s="6"/>
      <c r="J1726" s="6"/>
      <c r="N1726" s="154"/>
      <c r="O1726" s="6"/>
      <c r="S1726" s="6"/>
      <c r="V1726" s="6"/>
      <c r="X1726" s="6"/>
      <c r="Z1726" s="110"/>
      <c r="AB1726" s="6"/>
      <c r="AD1726" s="6"/>
      <c r="AE1726" s="6"/>
      <c r="AF1726" s="126"/>
      <c r="AJ1726" s="6"/>
      <c r="AL1726" s="110"/>
      <c r="AM1726" s="110"/>
      <c r="AN1726" s="110"/>
      <c r="AP1726" s="6"/>
      <c r="AW1726" s="6"/>
      <c r="AX1726" s="6"/>
      <c r="AZ1726" s="110"/>
      <c r="BB1726" s="6"/>
      <c r="BD1726" s="6"/>
      <c r="BE1726" s="6"/>
      <c r="BV1726" s="17"/>
      <c r="BX1726" s="17"/>
      <c r="BZ1726" s="17"/>
    </row>
    <row r="1727" spans="4:78" x14ac:dyDescent="0.3">
      <c r="D1727" s="153"/>
      <c r="E1727" s="6"/>
      <c r="G1727" s="6"/>
      <c r="J1727" s="6"/>
      <c r="N1727" s="154"/>
      <c r="O1727" s="6"/>
      <c r="S1727" s="6"/>
      <c r="V1727" s="6"/>
      <c r="X1727" s="6"/>
      <c r="Z1727" s="110"/>
      <c r="AB1727" s="6"/>
      <c r="AD1727" s="6"/>
      <c r="AE1727" s="6"/>
      <c r="AF1727" s="126"/>
      <c r="AJ1727" s="6"/>
      <c r="AL1727" s="110"/>
      <c r="AM1727" s="110"/>
      <c r="AN1727" s="110"/>
      <c r="AP1727" s="6"/>
      <c r="AW1727" s="6"/>
      <c r="AX1727" s="6"/>
      <c r="AZ1727" s="110"/>
      <c r="BB1727" s="6"/>
      <c r="BD1727" s="6"/>
      <c r="BE1727" s="6"/>
      <c r="BV1727" s="17"/>
      <c r="BX1727" s="17"/>
      <c r="BZ1727" s="17"/>
    </row>
    <row r="1728" spans="4:78" x14ac:dyDescent="0.3">
      <c r="D1728" s="153"/>
      <c r="E1728" s="6"/>
      <c r="G1728" s="6"/>
      <c r="J1728" s="6"/>
      <c r="N1728" s="154"/>
      <c r="O1728" s="6"/>
      <c r="S1728" s="6"/>
      <c r="V1728" s="6"/>
      <c r="X1728" s="6"/>
      <c r="Z1728" s="110"/>
      <c r="AB1728" s="6"/>
      <c r="AD1728" s="6"/>
      <c r="AE1728" s="6"/>
      <c r="AF1728" s="126"/>
      <c r="AJ1728" s="6"/>
      <c r="AL1728" s="110"/>
      <c r="AM1728" s="110"/>
      <c r="AN1728" s="110"/>
      <c r="AP1728" s="6"/>
      <c r="AW1728" s="6"/>
      <c r="AX1728" s="6"/>
      <c r="AZ1728" s="110"/>
      <c r="BB1728" s="6"/>
      <c r="BD1728" s="6"/>
      <c r="BE1728" s="6"/>
      <c r="BV1728" s="17"/>
      <c r="BX1728" s="17"/>
      <c r="BZ1728" s="17"/>
    </row>
    <row r="1729" spans="4:78" x14ac:dyDescent="0.3">
      <c r="D1729" s="153"/>
      <c r="E1729" s="6"/>
      <c r="G1729" s="6"/>
      <c r="J1729" s="6"/>
      <c r="N1729" s="154"/>
      <c r="O1729" s="6"/>
      <c r="S1729" s="6"/>
      <c r="V1729" s="6"/>
      <c r="X1729" s="6"/>
      <c r="Z1729" s="110"/>
      <c r="AB1729" s="6"/>
      <c r="AD1729" s="6"/>
      <c r="AE1729" s="6"/>
      <c r="AF1729" s="126"/>
      <c r="AJ1729" s="6"/>
      <c r="AL1729" s="110"/>
      <c r="AM1729" s="110"/>
      <c r="AN1729" s="110"/>
      <c r="AP1729" s="6"/>
      <c r="AW1729" s="6"/>
      <c r="AX1729" s="6"/>
      <c r="AZ1729" s="110"/>
      <c r="BB1729" s="6"/>
      <c r="BD1729" s="6"/>
      <c r="BE1729" s="6"/>
      <c r="BV1729" s="17"/>
      <c r="BX1729" s="17"/>
      <c r="BZ1729" s="17"/>
    </row>
    <row r="1730" spans="4:78" x14ac:dyDescent="0.3">
      <c r="D1730" s="153"/>
      <c r="E1730" s="6"/>
      <c r="G1730" s="6"/>
      <c r="J1730" s="6"/>
      <c r="N1730" s="154"/>
      <c r="O1730" s="6"/>
      <c r="S1730" s="6"/>
      <c r="V1730" s="6"/>
      <c r="X1730" s="6"/>
      <c r="Z1730" s="110"/>
      <c r="AB1730" s="6"/>
      <c r="AD1730" s="6"/>
      <c r="AE1730" s="6"/>
      <c r="AF1730" s="126"/>
      <c r="AJ1730" s="6"/>
      <c r="AL1730" s="110"/>
      <c r="AM1730" s="110"/>
      <c r="AN1730" s="110"/>
      <c r="AP1730" s="6"/>
      <c r="AW1730" s="6"/>
      <c r="AX1730" s="6"/>
      <c r="AZ1730" s="110"/>
      <c r="BB1730" s="6"/>
      <c r="BD1730" s="6"/>
      <c r="BE1730" s="6"/>
      <c r="BV1730" s="17"/>
      <c r="BX1730" s="17"/>
      <c r="BZ1730" s="17"/>
    </row>
    <row r="1731" spans="4:78" x14ac:dyDescent="0.3">
      <c r="D1731" s="153"/>
      <c r="E1731" s="6"/>
      <c r="G1731" s="6"/>
      <c r="J1731" s="6"/>
      <c r="N1731" s="154"/>
      <c r="O1731" s="6"/>
      <c r="S1731" s="6"/>
      <c r="V1731" s="6"/>
      <c r="X1731" s="6"/>
      <c r="Z1731" s="110"/>
      <c r="AB1731" s="6"/>
      <c r="AD1731" s="6"/>
      <c r="AE1731" s="6"/>
      <c r="AF1731" s="126"/>
      <c r="AJ1731" s="6"/>
      <c r="AL1731" s="110"/>
      <c r="AM1731" s="110"/>
      <c r="AN1731" s="110"/>
      <c r="AP1731" s="6"/>
      <c r="AW1731" s="6"/>
      <c r="AX1731" s="6"/>
      <c r="AZ1731" s="110"/>
      <c r="BB1731" s="6"/>
      <c r="BD1731" s="6"/>
      <c r="BE1731" s="6"/>
      <c r="BV1731" s="17"/>
      <c r="BX1731" s="17"/>
      <c r="BZ1731" s="17"/>
    </row>
    <row r="1732" spans="4:78" x14ac:dyDescent="0.3">
      <c r="D1732" s="153"/>
      <c r="E1732" s="6"/>
      <c r="G1732" s="6"/>
      <c r="J1732" s="6"/>
      <c r="N1732" s="154"/>
      <c r="O1732" s="6"/>
      <c r="S1732" s="6"/>
      <c r="V1732" s="6"/>
      <c r="X1732" s="6"/>
      <c r="Z1732" s="110"/>
      <c r="AB1732" s="6"/>
      <c r="AD1732" s="6"/>
      <c r="AE1732" s="6"/>
      <c r="AF1732" s="126"/>
      <c r="AJ1732" s="6"/>
      <c r="AL1732" s="110"/>
      <c r="AM1732" s="110"/>
      <c r="AN1732" s="110"/>
      <c r="AP1732" s="6"/>
      <c r="AW1732" s="6"/>
      <c r="AX1732" s="6"/>
      <c r="AZ1732" s="110"/>
      <c r="BB1732" s="6"/>
      <c r="BD1732" s="6"/>
      <c r="BE1732" s="6"/>
      <c r="BV1732" s="17"/>
      <c r="BX1732" s="17"/>
      <c r="BZ1732" s="17"/>
    </row>
    <row r="1733" spans="4:78" x14ac:dyDescent="0.3">
      <c r="D1733" s="153"/>
      <c r="E1733" s="6"/>
      <c r="G1733" s="6"/>
      <c r="J1733" s="6"/>
      <c r="N1733" s="154"/>
      <c r="O1733" s="6"/>
      <c r="S1733" s="6"/>
      <c r="V1733" s="6"/>
      <c r="X1733" s="6"/>
      <c r="Z1733" s="110"/>
      <c r="AB1733" s="6"/>
      <c r="AD1733" s="6"/>
      <c r="AE1733" s="6"/>
      <c r="AF1733" s="126"/>
      <c r="AJ1733" s="6"/>
      <c r="AL1733" s="110"/>
      <c r="AM1733" s="110"/>
      <c r="AN1733" s="110"/>
      <c r="AP1733" s="6"/>
      <c r="AW1733" s="6"/>
      <c r="AX1733" s="6"/>
      <c r="AZ1733" s="110"/>
      <c r="BB1733" s="6"/>
      <c r="BD1733" s="6"/>
      <c r="BE1733" s="6"/>
      <c r="BV1733" s="17"/>
      <c r="BX1733" s="17"/>
      <c r="BZ1733" s="17"/>
    </row>
    <row r="1734" spans="4:78" x14ac:dyDescent="0.3">
      <c r="D1734" s="153"/>
      <c r="E1734" s="6"/>
      <c r="G1734" s="6"/>
      <c r="J1734" s="6"/>
      <c r="N1734" s="154"/>
      <c r="O1734" s="6"/>
      <c r="S1734" s="6"/>
      <c r="V1734" s="6"/>
      <c r="X1734" s="6"/>
      <c r="Z1734" s="110"/>
      <c r="AB1734" s="6"/>
      <c r="AD1734" s="6"/>
      <c r="AE1734" s="6"/>
      <c r="AF1734" s="126"/>
      <c r="AJ1734" s="6"/>
      <c r="AL1734" s="110"/>
      <c r="AM1734" s="110"/>
      <c r="AN1734" s="110"/>
      <c r="AP1734" s="6"/>
      <c r="AW1734" s="6"/>
      <c r="AX1734" s="6"/>
      <c r="AZ1734" s="110"/>
      <c r="BB1734" s="6"/>
      <c r="BD1734" s="6"/>
      <c r="BE1734" s="6"/>
      <c r="BV1734" s="17"/>
      <c r="BX1734" s="17"/>
      <c r="BZ1734" s="17"/>
    </row>
    <row r="1735" spans="4:78" x14ac:dyDescent="0.3">
      <c r="D1735" s="153"/>
      <c r="E1735" s="6"/>
      <c r="G1735" s="6"/>
      <c r="J1735" s="6"/>
      <c r="N1735" s="154"/>
      <c r="O1735" s="6"/>
      <c r="S1735" s="6"/>
      <c r="V1735" s="6"/>
      <c r="X1735" s="6"/>
      <c r="Z1735" s="110"/>
      <c r="AB1735" s="6"/>
      <c r="AD1735" s="6"/>
      <c r="AE1735" s="6"/>
      <c r="AF1735" s="126"/>
      <c r="AJ1735" s="6"/>
      <c r="AL1735" s="110"/>
      <c r="AM1735" s="110"/>
      <c r="AN1735" s="110"/>
      <c r="AP1735" s="6"/>
      <c r="AW1735" s="6"/>
      <c r="AX1735" s="6"/>
      <c r="AZ1735" s="110"/>
      <c r="BB1735" s="6"/>
      <c r="BD1735" s="6"/>
      <c r="BE1735" s="6"/>
      <c r="BV1735" s="17"/>
      <c r="BX1735" s="17"/>
      <c r="BZ1735" s="17"/>
    </row>
    <row r="1736" spans="4:78" x14ac:dyDescent="0.3">
      <c r="D1736" s="153"/>
      <c r="E1736" s="6"/>
      <c r="G1736" s="6"/>
      <c r="J1736" s="6"/>
      <c r="N1736" s="154"/>
      <c r="O1736" s="6"/>
      <c r="S1736" s="6"/>
      <c r="V1736" s="6"/>
      <c r="X1736" s="6"/>
      <c r="Z1736" s="110"/>
      <c r="AB1736" s="6"/>
      <c r="AD1736" s="6"/>
      <c r="AE1736" s="6"/>
      <c r="AF1736" s="126"/>
      <c r="AJ1736" s="6"/>
      <c r="AL1736" s="110"/>
      <c r="AM1736" s="110"/>
      <c r="AN1736" s="110"/>
      <c r="AP1736" s="6"/>
      <c r="AW1736" s="6"/>
      <c r="AX1736" s="6"/>
      <c r="AZ1736" s="110"/>
      <c r="BB1736" s="6"/>
      <c r="BD1736" s="6"/>
      <c r="BE1736" s="6"/>
      <c r="BV1736" s="17"/>
      <c r="BX1736" s="17"/>
      <c r="BZ1736" s="17"/>
    </row>
    <row r="1737" spans="4:78" x14ac:dyDescent="0.3">
      <c r="D1737" s="153"/>
      <c r="E1737" s="6"/>
      <c r="G1737" s="6"/>
      <c r="J1737" s="6"/>
      <c r="N1737" s="154"/>
      <c r="O1737" s="6"/>
      <c r="S1737" s="6"/>
      <c r="V1737" s="6"/>
      <c r="X1737" s="6"/>
      <c r="Z1737" s="110"/>
      <c r="AB1737" s="6"/>
      <c r="AD1737" s="6"/>
      <c r="AE1737" s="6"/>
      <c r="AF1737" s="126"/>
      <c r="AJ1737" s="6"/>
      <c r="AL1737" s="110"/>
      <c r="AM1737" s="110"/>
      <c r="AN1737" s="110"/>
      <c r="AP1737" s="6"/>
      <c r="AW1737" s="6"/>
      <c r="AX1737" s="6"/>
      <c r="AZ1737" s="110"/>
      <c r="BB1737" s="6"/>
      <c r="BD1737" s="6"/>
      <c r="BE1737" s="6"/>
      <c r="BV1737" s="17"/>
      <c r="BX1737" s="17"/>
      <c r="BZ1737" s="17"/>
    </row>
    <row r="1738" spans="4:78" x14ac:dyDescent="0.3">
      <c r="D1738" s="153"/>
      <c r="E1738" s="6"/>
      <c r="G1738" s="6"/>
      <c r="J1738" s="6"/>
      <c r="N1738" s="154"/>
      <c r="O1738" s="6"/>
      <c r="S1738" s="6"/>
      <c r="V1738" s="6"/>
      <c r="X1738" s="6"/>
      <c r="Z1738" s="110"/>
      <c r="AB1738" s="6"/>
      <c r="AD1738" s="6"/>
      <c r="AE1738" s="6"/>
      <c r="AF1738" s="126"/>
      <c r="AJ1738" s="6"/>
      <c r="AL1738" s="110"/>
      <c r="AM1738" s="110"/>
      <c r="AN1738" s="110"/>
      <c r="AP1738" s="6"/>
      <c r="AW1738" s="6"/>
      <c r="AX1738" s="6"/>
      <c r="AZ1738" s="110"/>
      <c r="BB1738" s="6"/>
      <c r="BD1738" s="6"/>
      <c r="BE1738" s="6"/>
      <c r="BV1738" s="17"/>
      <c r="BX1738" s="17"/>
      <c r="BZ1738" s="17"/>
    </row>
    <row r="1739" spans="4:78" x14ac:dyDescent="0.3">
      <c r="D1739" s="153"/>
      <c r="E1739" s="6"/>
      <c r="G1739" s="6"/>
      <c r="J1739" s="6"/>
      <c r="N1739" s="154"/>
      <c r="O1739" s="6"/>
      <c r="S1739" s="6"/>
      <c r="V1739" s="6"/>
      <c r="X1739" s="6"/>
      <c r="Z1739" s="110"/>
      <c r="AB1739" s="6"/>
      <c r="AD1739" s="6"/>
      <c r="AE1739" s="6"/>
      <c r="AF1739" s="126"/>
      <c r="AJ1739" s="6"/>
      <c r="AL1739" s="110"/>
      <c r="AM1739" s="110"/>
      <c r="AN1739" s="110"/>
      <c r="AP1739" s="6"/>
      <c r="AW1739" s="6"/>
      <c r="AX1739" s="6"/>
      <c r="AZ1739" s="110"/>
      <c r="BB1739" s="6"/>
      <c r="BD1739" s="6"/>
      <c r="BE1739" s="6"/>
      <c r="BV1739" s="17"/>
      <c r="BX1739" s="17"/>
      <c r="BZ1739" s="17"/>
    </row>
    <row r="1740" spans="4:78" x14ac:dyDescent="0.3">
      <c r="D1740" s="153"/>
      <c r="E1740" s="6"/>
      <c r="G1740" s="6"/>
      <c r="J1740" s="6"/>
      <c r="N1740" s="154"/>
      <c r="O1740" s="6"/>
      <c r="S1740" s="6"/>
      <c r="V1740" s="6"/>
      <c r="X1740" s="6"/>
      <c r="Z1740" s="110"/>
      <c r="AB1740" s="6"/>
      <c r="AD1740" s="6"/>
      <c r="AE1740" s="6"/>
      <c r="AF1740" s="126"/>
      <c r="AJ1740" s="6"/>
      <c r="AL1740" s="110"/>
      <c r="AM1740" s="110"/>
      <c r="AN1740" s="110"/>
      <c r="AP1740" s="6"/>
      <c r="AW1740" s="6"/>
      <c r="AX1740" s="6"/>
      <c r="AZ1740" s="110"/>
      <c r="BB1740" s="6"/>
      <c r="BD1740" s="6"/>
      <c r="BE1740" s="6"/>
      <c r="BV1740" s="17"/>
      <c r="BX1740" s="17"/>
      <c r="BZ1740" s="17"/>
    </row>
    <row r="1741" spans="4:78" x14ac:dyDescent="0.3">
      <c r="D1741" s="153"/>
      <c r="E1741" s="6"/>
      <c r="G1741" s="6"/>
      <c r="J1741" s="6"/>
      <c r="N1741" s="154"/>
      <c r="O1741" s="6"/>
      <c r="S1741" s="6"/>
      <c r="V1741" s="6"/>
      <c r="X1741" s="6"/>
      <c r="Z1741" s="110"/>
      <c r="AB1741" s="6"/>
      <c r="AD1741" s="6"/>
      <c r="AE1741" s="6"/>
      <c r="AF1741" s="126"/>
      <c r="AJ1741" s="6"/>
      <c r="AL1741" s="110"/>
      <c r="AM1741" s="110"/>
      <c r="AN1741" s="110"/>
      <c r="AP1741" s="6"/>
      <c r="AW1741" s="6"/>
      <c r="AX1741" s="6"/>
      <c r="AZ1741" s="110"/>
      <c r="BB1741" s="6"/>
      <c r="BD1741" s="6"/>
      <c r="BE1741" s="6"/>
      <c r="BV1741" s="17"/>
      <c r="BX1741" s="17"/>
      <c r="BZ1741" s="17"/>
    </row>
    <row r="1742" spans="4:78" x14ac:dyDescent="0.3">
      <c r="D1742" s="153"/>
      <c r="E1742" s="6"/>
      <c r="G1742" s="6"/>
      <c r="J1742" s="6"/>
      <c r="N1742" s="154"/>
      <c r="O1742" s="6"/>
      <c r="S1742" s="6"/>
      <c r="V1742" s="6"/>
      <c r="X1742" s="6"/>
      <c r="Z1742" s="110"/>
      <c r="AB1742" s="6"/>
      <c r="AD1742" s="6"/>
      <c r="AE1742" s="6"/>
      <c r="AF1742" s="126"/>
      <c r="AJ1742" s="6"/>
      <c r="AL1742" s="110"/>
      <c r="AM1742" s="110"/>
      <c r="AN1742" s="110"/>
      <c r="AP1742" s="6"/>
      <c r="AW1742" s="6"/>
      <c r="AX1742" s="6"/>
      <c r="AZ1742" s="110"/>
      <c r="BB1742" s="6"/>
      <c r="BD1742" s="6"/>
      <c r="BE1742" s="6"/>
      <c r="BV1742" s="17"/>
      <c r="BX1742" s="17"/>
      <c r="BZ1742" s="17"/>
    </row>
    <row r="1743" spans="4:78" x14ac:dyDescent="0.3">
      <c r="D1743" s="153"/>
      <c r="E1743" s="6"/>
      <c r="G1743" s="6"/>
      <c r="J1743" s="6"/>
      <c r="N1743" s="154"/>
      <c r="O1743" s="6"/>
      <c r="S1743" s="6"/>
      <c r="V1743" s="6"/>
      <c r="X1743" s="6"/>
      <c r="Z1743" s="110"/>
      <c r="AB1743" s="6"/>
      <c r="AD1743" s="6"/>
      <c r="AE1743" s="6"/>
      <c r="AF1743" s="126"/>
      <c r="AJ1743" s="6"/>
      <c r="AL1743" s="110"/>
      <c r="AM1743" s="110"/>
      <c r="AN1743" s="110"/>
      <c r="AP1743" s="6"/>
      <c r="AW1743" s="6"/>
      <c r="AX1743" s="6"/>
      <c r="AZ1743" s="110"/>
      <c r="BB1743" s="6"/>
      <c r="BD1743" s="6"/>
      <c r="BE1743" s="6"/>
      <c r="BV1743" s="17"/>
      <c r="BX1743" s="17"/>
      <c r="BZ1743" s="17"/>
    </row>
    <row r="1744" spans="4:78" x14ac:dyDescent="0.3">
      <c r="D1744" s="153"/>
      <c r="E1744" s="6"/>
      <c r="G1744" s="6"/>
      <c r="J1744" s="6"/>
      <c r="N1744" s="154"/>
      <c r="O1744" s="6"/>
      <c r="S1744" s="6"/>
      <c r="V1744" s="6"/>
      <c r="X1744" s="6"/>
      <c r="Z1744" s="110"/>
      <c r="AB1744" s="6"/>
      <c r="AD1744" s="6"/>
      <c r="AE1744" s="6"/>
      <c r="AF1744" s="126"/>
      <c r="AJ1744" s="6"/>
      <c r="AL1744" s="110"/>
      <c r="AM1744" s="110"/>
      <c r="AN1744" s="110"/>
      <c r="AP1744" s="6"/>
      <c r="AW1744" s="6"/>
      <c r="AX1744" s="6"/>
      <c r="AZ1744" s="110"/>
      <c r="BB1744" s="6"/>
      <c r="BD1744" s="6"/>
      <c r="BE1744" s="6"/>
      <c r="BV1744" s="17"/>
      <c r="BX1744" s="17"/>
      <c r="BZ1744" s="17"/>
    </row>
    <row r="1745" spans="4:78" x14ac:dyDescent="0.3">
      <c r="D1745" s="153"/>
      <c r="E1745" s="6"/>
      <c r="G1745" s="6"/>
      <c r="J1745" s="6"/>
      <c r="N1745" s="154"/>
      <c r="O1745" s="6"/>
      <c r="S1745" s="6"/>
      <c r="V1745" s="6"/>
      <c r="X1745" s="6"/>
      <c r="Z1745" s="110"/>
      <c r="AB1745" s="6"/>
      <c r="AD1745" s="6"/>
      <c r="AE1745" s="6"/>
      <c r="AF1745" s="126"/>
      <c r="AJ1745" s="6"/>
      <c r="AL1745" s="110"/>
      <c r="AM1745" s="110"/>
      <c r="AN1745" s="110"/>
      <c r="AP1745" s="6"/>
      <c r="AW1745" s="6"/>
      <c r="AX1745" s="6"/>
      <c r="AZ1745" s="110"/>
      <c r="BB1745" s="6"/>
      <c r="BD1745" s="6"/>
      <c r="BE1745" s="6"/>
      <c r="BV1745" s="17"/>
      <c r="BX1745" s="17"/>
      <c r="BZ1745" s="17"/>
    </row>
    <row r="1746" spans="4:78" x14ac:dyDescent="0.3">
      <c r="D1746" s="153"/>
      <c r="E1746" s="6"/>
      <c r="G1746" s="6"/>
      <c r="J1746" s="6"/>
      <c r="N1746" s="154"/>
      <c r="O1746" s="6"/>
      <c r="S1746" s="6"/>
      <c r="V1746" s="6"/>
      <c r="X1746" s="6"/>
      <c r="Z1746" s="110"/>
      <c r="AB1746" s="6"/>
      <c r="AD1746" s="6"/>
      <c r="AE1746" s="6"/>
      <c r="AF1746" s="126"/>
      <c r="AJ1746" s="6"/>
      <c r="AL1746" s="110"/>
      <c r="AM1746" s="110"/>
      <c r="AN1746" s="110"/>
      <c r="AP1746" s="6"/>
      <c r="AW1746" s="6"/>
      <c r="AX1746" s="6"/>
      <c r="AZ1746" s="110"/>
      <c r="BB1746" s="6"/>
      <c r="BD1746" s="6"/>
      <c r="BE1746" s="6"/>
      <c r="BV1746" s="17"/>
      <c r="BX1746" s="17"/>
      <c r="BZ1746" s="17"/>
    </row>
    <row r="1747" spans="4:78" x14ac:dyDescent="0.3">
      <c r="D1747" s="153"/>
      <c r="E1747" s="6"/>
      <c r="G1747" s="6"/>
      <c r="J1747" s="6"/>
      <c r="N1747" s="154"/>
      <c r="O1747" s="6"/>
      <c r="S1747" s="6"/>
      <c r="V1747" s="6"/>
      <c r="X1747" s="6"/>
      <c r="Z1747" s="110"/>
      <c r="AB1747" s="6"/>
      <c r="AD1747" s="6"/>
      <c r="AE1747" s="6"/>
      <c r="AF1747" s="126"/>
      <c r="AJ1747" s="6"/>
      <c r="AL1747" s="110"/>
      <c r="AM1747" s="110"/>
      <c r="AN1747" s="110"/>
      <c r="AP1747" s="6"/>
      <c r="AW1747" s="6"/>
      <c r="AX1747" s="6"/>
      <c r="AZ1747" s="110"/>
      <c r="BB1747" s="6"/>
      <c r="BD1747" s="6"/>
      <c r="BE1747" s="6"/>
      <c r="BV1747" s="17"/>
      <c r="BX1747" s="17"/>
      <c r="BZ1747" s="17"/>
    </row>
    <row r="1748" spans="4:78" x14ac:dyDescent="0.3">
      <c r="D1748" s="153"/>
      <c r="E1748" s="6"/>
      <c r="G1748" s="6"/>
      <c r="J1748" s="6"/>
      <c r="N1748" s="154"/>
      <c r="O1748" s="6"/>
      <c r="S1748" s="6"/>
      <c r="V1748" s="6"/>
      <c r="X1748" s="6"/>
      <c r="Z1748" s="110"/>
      <c r="AB1748" s="6"/>
      <c r="AD1748" s="6"/>
      <c r="AE1748" s="6"/>
      <c r="AF1748" s="126"/>
      <c r="AJ1748" s="6"/>
      <c r="AL1748" s="110"/>
      <c r="AM1748" s="110"/>
      <c r="AN1748" s="110"/>
      <c r="AP1748" s="6"/>
      <c r="AW1748" s="6"/>
      <c r="AX1748" s="6"/>
      <c r="AZ1748" s="110"/>
      <c r="BB1748" s="6"/>
      <c r="BD1748" s="6"/>
      <c r="BE1748" s="6"/>
      <c r="BV1748" s="17"/>
      <c r="BX1748" s="17"/>
      <c r="BZ1748" s="17"/>
    </row>
    <row r="1749" spans="4:78" x14ac:dyDescent="0.3">
      <c r="D1749" s="153"/>
      <c r="E1749" s="6"/>
      <c r="G1749" s="6"/>
      <c r="J1749" s="6"/>
      <c r="N1749" s="154"/>
      <c r="O1749" s="6"/>
      <c r="S1749" s="6"/>
      <c r="V1749" s="6"/>
      <c r="X1749" s="6"/>
      <c r="Z1749" s="110"/>
      <c r="AB1749" s="6"/>
      <c r="AD1749" s="6"/>
      <c r="AE1749" s="6"/>
      <c r="AF1749" s="126"/>
      <c r="AJ1749" s="6"/>
      <c r="AL1749" s="110"/>
      <c r="AM1749" s="110"/>
      <c r="AN1749" s="110"/>
      <c r="AP1749" s="6"/>
      <c r="AW1749" s="6"/>
      <c r="AX1749" s="6"/>
      <c r="AZ1749" s="110"/>
      <c r="BB1749" s="6"/>
      <c r="BD1749" s="6"/>
      <c r="BE1749" s="6"/>
      <c r="BV1749" s="17"/>
      <c r="BX1749" s="17"/>
      <c r="BZ1749" s="17"/>
    </row>
    <row r="1750" spans="4:78" x14ac:dyDescent="0.3">
      <c r="D1750" s="153"/>
      <c r="E1750" s="6"/>
      <c r="G1750" s="6"/>
      <c r="J1750" s="6"/>
      <c r="N1750" s="154"/>
      <c r="O1750" s="6"/>
      <c r="S1750" s="6"/>
      <c r="V1750" s="6"/>
      <c r="X1750" s="6"/>
      <c r="Z1750" s="110"/>
      <c r="AB1750" s="6"/>
      <c r="AD1750" s="6"/>
      <c r="AE1750" s="6"/>
      <c r="AF1750" s="126"/>
      <c r="AJ1750" s="6"/>
      <c r="AL1750" s="110"/>
      <c r="AM1750" s="110"/>
      <c r="AN1750" s="110"/>
      <c r="AP1750" s="6"/>
      <c r="AW1750" s="6"/>
      <c r="AX1750" s="6"/>
      <c r="AZ1750" s="110"/>
      <c r="BB1750" s="6"/>
      <c r="BD1750" s="6"/>
      <c r="BE1750" s="6"/>
      <c r="BV1750" s="17"/>
      <c r="BX1750" s="17"/>
      <c r="BZ1750" s="17"/>
    </row>
    <row r="1751" spans="4:78" x14ac:dyDescent="0.3">
      <c r="D1751" s="153"/>
      <c r="E1751" s="6"/>
      <c r="G1751" s="6"/>
      <c r="J1751" s="6"/>
      <c r="N1751" s="154"/>
      <c r="O1751" s="6"/>
      <c r="S1751" s="6"/>
      <c r="V1751" s="6"/>
      <c r="X1751" s="6"/>
      <c r="Z1751" s="110"/>
      <c r="AB1751" s="6"/>
      <c r="AD1751" s="6"/>
      <c r="AE1751" s="6"/>
      <c r="AF1751" s="126"/>
      <c r="AJ1751" s="6"/>
      <c r="AL1751" s="110"/>
      <c r="AM1751" s="110"/>
      <c r="AN1751" s="110"/>
      <c r="AP1751" s="6"/>
      <c r="AW1751" s="6"/>
      <c r="AX1751" s="6"/>
      <c r="AZ1751" s="110"/>
      <c r="BB1751" s="6"/>
      <c r="BD1751" s="6"/>
      <c r="BE1751" s="6"/>
      <c r="BV1751" s="17"/>
      <c r="BX1751" s="17"/>
      <c r="BZ1751" s="17"/>
    </row>
    <row r="1752" spans="4:78" x14ac:dyDescent="0.3">
      <c r="D1752" s="153"/>
      <c r="E1752" s="6"/>
      <c r="G1752" s="6"/>
      <c r="J1752" s="6"/>
      <c r="N1752" s="154"/>
      <c r="O1752" s="6"/>
      <c r="S1752" s="6"/>
      <c r="V1752" s="6"/>
      <c r="X1752" s="6"/>
      <c r="Z1752" s="110"/>
      <c r="AB1752" s="6"/>
      <c r="AD1752" s="6"/>
      <c r="AE1752" s="6"/>
      <c r="AF1752" s="126"/>
      <c r="AJ1752" s="6"/>
      <c r="AL1752" s="110"/>
      <c r="AM1752" s="110"/>
      <c r="AN1752" s="110"/>
      <c r="AP1752" s="6"/>
      <c r="AW1752" s="6"/>
      <c r="AX1752" s="6"/>
      <c r="AZ1752" s="110"/>
      <c r="BB1752" s="6"/>
      <c r="BD1752" s="6"/>
      <c r="BE1752" s="6"/>
      <c r="BV1752" s="17"/>
      <c r="BX1752" s="17"/>
      <c r="BZ1752" s="17"/>
    </row>
    <row r="1753" spans="4:78" x14ac:dyDescent="0.3">
      <c r="D1753" s="153"/>
      <c r="E1753" s="6"/>
      <c r="G1753" s="6"/>
      <c r="J1753" s="6"/>
      <c r="N1753" s="154"/>
      <c r="O1753" s="6"/>
      <c r="S1753" s="6"/>
      <c r="V1753" s="6"/>
      <c r="X1753" s="6"/>
      <c r="Z1753" s="110"/>
      <c r="AB1753" s="6"/>
      <c r="AD1753" s="6"/>
      <c r="AE1753" s="6"/>
      <c r="AF1753" s="126"/>
      <c r="AJ1753" s="6"/>
      <c r="AL1753" s="110"/>
      <c r="AM1753" s="110"/>
      <c r="AN1753" s="110"/>
      <c r="AP1753" s="6"/>
      <c r="AW1753" s="6"/>
      <c r="AX1753" s="6"/>
      <c r="AZ1753" s="110"/>
      <c r="BB1753" s="6"/>
      <c r="BD1753" s="6"/>
      <c r="BE1753" s="6"/>
      <c r="BV1753" s="17"/>
      <c r="BX1753" s="17"/>
      <c r="BZ1753" s="17"/>
    </row>
    <row r="1754" spans="4:78" x14ac:dyDescent="0.3">
      <c r="D1754" s="153"/>
      <c r="E1754" s="6"/>
      <c r="G1754" s="6"/>
      <c r="J1754" s="6"/>
      <c r="N1754" s="154"/>
      <c r="O1754" s="6"/>
      <c r="S1754" s="6"/>
      <c r="V1754" s="6"/>
      <c r="X1754" s="6"/>
      <c r="Z1754" s="110"/>
      <c r="AB1754" s="6"/>
      <c r="AD1754" s="6"/>
      <c r="AE1754" s="6"/>
      <c r="AF1754" s="126"/>
      <c r="AJ1754" s="6"/>
      <c r="AL1754" s="110"/>
      <c r="AM1754" s="110"/>
      <c r="AN1754" s="110"/>
      <c r="AP1754" s="6"/>
      <c r="AW1754" s="6"/>
      <c r="AX1754" s="6"/>
      <c r="AZ1754" s="110"/>
      <c r="BB1754" s="6"/>
      <c r="BD1754" s="6"/>
      <c r="BE1754" s="6"/>
      <c r="BV1754" s="17"/>
      <c r="BX1754" s="17"/>
      <c r="BZ1754" s="17"/>
    </row>
    <row r="1755" spans="4:78" x14ac:dyDescent="0.3">
      <c r="D1755" s="153"/>
      <c r="E1755" s="6"/>
      <c r="G1755" s="6"/>
      <c r="J1755" s="6"/>
      <c r="N1755" s="154"/>
      <c r="O1755" s="6"/>
      <c r="S1755" s="6"/>
      <c r="V1755" s="6"/>
      <c r="X1755" s="6"/>
      <c r="Z1755" s="110"/>
      <c r="AB1755" s="6"/>
      <c r="AD1755" s="6"/>
      <c r="AE1755" s="6"/>
      <c r="AF1755" s="126"/>
      <c r="AJ1755" s="6"/>
      <c r="AL1755" s="110"/>
      <c r="AM1755" s="110"/>
      <c r="AN1755" s="110"/>
      <c r="AP1755" s="6"/>
      <c r="AW1755" s="6"/>
      <c r="AX1755" s="6"/>
      <c r="AZ1755" s="110"/>
      <c r="BB1755" s="6"/>
      <c r="BD1755" s="6"/>
      <c r="BE1755" s="6"/>
      <c r="BV1755" s="17"/>
      <c r="BX1755" s="17"/>
      <c r="BZ1755" s="17"/>
    </row>
    <row r="1756" spans="4:78" x14ac:dyDescent="0.3">
      <c r="D1756" s="153"/>
      <c r="E1756" s="6"/>
      <c r="G1756" s="6"/>
      <c r="J1756" s="6"/>
      <c r="N1756" s="154"/>
      <c r="O1756" s="6"/>
      <c r="S1756" s="6"/>
      <c r="V1756" s="6"/>
      <c r="X1756" s="6"/>
      <c r="Z1756" s="110"/>
      <c r="AB1756" s="6"/>
      <c r="AD1756" s="6"/>
      <c r="AE1756" s="6"/>
      <c r="AF1756" s="126"/>
      <c r="AJ1756" s="6"/>
      <c r="AL1756" s="110"/>
      <c r="AM1756" s="110"/>
      <c r="AN1756" s="110"/>
      <c r="AP1756" s="6"/>
      <c r="AW1756" s="6"/>
      <c r="AX1756" s="6"/>
      <c r="AZ1756" s="110"/>
      <c r="BB1756" s="6"/>
      <c r="BD1756" s="6"/>
      <c r="BE1756" s="6"/>
      <c r="BV1756" s="17"/>
      <c r="BX1756" s="17"/>
      <c r="BZ1756" s="17"/>
    </row>
    <row r="1757" spans="4:78" x14ac:dyDescent="0.3">
      <c r="D1757" s="153"/>
      <c r="E1757" s="6"/>
      <c r="G1757" s="6"/>
      <c r="J1757" s="6"/>
      <c r="N1757" s="154"/>
      <c r="O1757" s="6"/>
      <c r="S1757" s="6"/>
      <c r="V1757" s="6"/>
      <c r="X1757" s="6"/>
      <c r="Z1757" s="110"/>
      <c r="AB1757" s="6"/>
      <c r="AD1757" s="6"/>
      <c r="AE1757" s="6"/>
      <c r="AF1757" s="126"/>
      <c r="AJ1757" s="6"/>
      <c r="AL1757" s="110"/>
      <c r="AM1757" s="110"/>
      <c r="AN1757" s="110"/>
      <c r="AP1757" s="6"/>
      <c r="AW1757" s="6"/>
      <c r="AX1757" s="6"/>
      <c r="AZ1757" s="110"/>
      <c r="BB1757" s="6"/>
      <c r="BD1757" s="6"/>
      <c r="BE1757" s="6"/>
      <c r="BV1757" s="17"/>
      <c r="BX1757" s="17"/>
      <c r="BZ1757" s="17"/>
    </row>
    <row r="1758" spans="4:78" x14ac:dyDescent="0.3">
      <c r="D1758" s="153"/>
      <c r="E1758" s="6"/>
      <c r="G1758" s="6"/>
      <c r="J1758" s="6"/>
      <c r="N1758" s="154"/>
      <c r="O1758" s="6"/>
      <c r="S1758" s="6"/>
      <c r="V1758" s="6"/>
      <c r="X1758" s="6"/>
      <c r="Z1758" s="110"/>
      <c r="AB1758" s="6"/>
      <c r="AD1758" s="6"/>
      <c r="AE1758" s="6"/>
      <c r="AF1758" s="126"/>
      <c r="AJ1758" s="6"/>
      <c r="AL1758" s="110"/>
      <c r="AM1758" s="110"/>
      <c r="AN1758" s="110"/>
      <c r="AP1758" s="6"/>
      <c r="AW1758" s="6"/>
      <c r="AX1758" s="6"/>
      <c r="AZ1758" s="110"/>
      <c r="BB1758" s="6"/>
      <c r="BD1758" s="6"/>
      <c r="BE1758" s="6"/>
      <c r="BV1758" s="17"/>
      <c r="BX1758" s="17"/>
      <c r="BZ1758" s="17"/>
    </row>
    <row r="1759" spans="4:78" x14ac:dyDescent="0.3">
      <c r="D1759" s="153"/>
      <c r="E1759" s="6"/>
      <c r="G1759" s="6"/>
      <c r="J1759" s="6"/>
      <c r="N1759" s="154"/>
      <c r="O1759" s="6"/>
      <c r="S1759" s="6"/>
      <c r="V1759" s="6"/>
      <c r="X1759" s="6"/>
      <c r="Z1759" s="110"/>
      <c r="AB1759" s="6"/>
      <c r="AD1759" s="6"/>
      <c r="AE1759" s="6"/>
      <c r="AF1759" s="126"/>
      <c r="AJ1759" s="6"/>
      <c r="AL1759" s="110"/>
      <c r="AM1759" s="110"/>
      <c r="AN1759" s="110"/>
      <c r="AP1759" s="6"/>
      <c r="AW1759" s="6"/>
      <c r="AX1759" s="6"/>
      <c r="AZ1759" s="110"/>
      <c r="BB1759" s="6"/>
      <c r="BD1759" s="6"/>
      <c r="BE1759" s="6"/>
      <c r="BV1759" s="17"/>
      <c r="BX1759" s="17"/>
      <c r="BZ1759" s="17"/>
    </row>
    <row r="1760" spans="4:78" x14ac:dyDescent="0.3">
      <c r="D1760" s="153"/>
      <c r="E1760" s="6"/>
      <c r="G1760" s="6"/>
      <c r="J1760" s="6"/>
      <c r="N1760" s="154"/>
      <c r="O1760" s="6"/>
      <c r="S1760" s="6"/>
      <c r="V1760" s="6"/>
      <c r="X1760" s="6"/>
      <c r="Z1760" s="110"/>
      <c r="AB1760" s="6"/>
      <c r="AD1760" s="6"/>
      <c r="AE1760" s="6"/>
      <c r="AF1760" s="126"/>
      <c r="AJ1760" s="6"/>
      <c r="AL1760" s="110"/>
      <c r="AM1760" s="110"/>
      <c r="AN1760" s="110"/>
      <c r="AP1760" s="6"/>
      <c r="AW1760" s="6"/>
      <c r="AX1760" s="6"/>
      <c r="AZ1760" s="110"/>
      <c r="BB1760" s="6"/>
      <c r="BD1760" s="6"/>
      <c r="BE1760" s="6"/>
      <c r="BV1760" s="17"/>
      <c r="BX1760" s="17"/>
      <c r="BZ1760" s="17"/>
    </row>
    <row r="1761" spans="4:78" x14ac:dyDescent="0.3">
      <c r="D1761" s="153"/>
      <c r="E1761" s="6"/>
      <c r="G1761" s="6"/>
      <c r="J1761" s="6"/>
      <c r="N1761" s="154"/>
      <c r="O1761" s="6"/>
      <c r="S1761" s="6"/>
      <c r="V1761" s="6"/>
      <c r="X1761" s="6"/>
      <c r="Z1761" s="110"/>
      <c r="AB1761" s="6"/>
      <c r="AD1761" s="6"/>
      <c r="AE1761" s="6"/>
      <c r="AF1761" s="126"/>
      <c r="AJ1761" s="6"/>
      <c r="AL1761" s="110"/>
      <c r="AM1761" s="110"/>
      <c r="AN1761" s="110"/>
      <c r="AP1761" s="6"/>
      <c r="AW1761" s="6"/>
      <c r="AX1761" s="6"/>
      <c r="AZ1761" s="110"/>
      <c r="BB1761" s="6"/>
      <c r="BD1761" s="6"/>
      <c r="BE1761" s="6"/>
      <c r="BV1761" s="17"/>
      <c r="BX1761" s="17"/>
      <c r="BZ1761" s="17"/>
    </row>
    <row r="1762" spans="4:78" x14ac:dyDescent="0.3">
      <c r="D1762" s="153"/>
      <c r="E1762" s="6"/>
      <c r="G1762" s="6"/>
      <c r="J1762" s="6"/>
      <c r="N1762" s="154"/>
      <c r="O1762" s="6"/>
      <c r="S1762" s="6"/>
      <c r="V1762" s="6"/>
      <c r="X1762" s="6"/>
      <c r="Z1762" s="110"/>
      <c r="AB1762" s="6"/>
      <c r="AD1762" s="6"/>
      <c r="AE1762" s="6"/>
      <c r="AF1762" s="126"/>
      <c r="AJ1762" s="6"/>
      <c r="AL1762" s="110"/>
      <c r="AM1762" s="110"/>
      <c r="AN1762" s="110"/>
      <c r="AP1762" s="6"/>
      <c r="AW1762" s="6"/>
      <c r="AX1762" s="6"/>
      <c r="AZ1762" s="110"/>
      <c r="BB1762" s="6"/>
      <c r="BD1762" s="6"/>
      <c r="BE1762" s="6"/>
      <c r="BV1762" s="17"/>
      <c r="BX1762" s="17"/>
      <c r="BZ1762" s="17"/>
    </row>
    <row r="1763" spans="4:78" x14ac:dyDescent="0.3">
      <c r="D1763" s="153"/>
      <c r="E1763" s="6"/>
      <c r="G1763" s="6"/>
      <c r="J1763" s="6"/>
      <c r="N1763" s="154"/>
      <c r="O1763" s="6"/>
      <c r="S1763" s="6"/>
      <c r="V1763" s="6"/>
      <c r="X1763" s="6"/>
      <c r="Z1763" s="110"/>
      <c r="AB1763" s="6"/>
      <c r="AD1763" s="6"/>
      <c r="AE1763" s="6"/>
      <c r="AF1763" s="126"/>
      <c r="AJ1763" s="6"/>
      <c r="AL1763" s="110"/>
      <c r="AM1763" s="110"/>
      <c r="AN1763" s="110"/>
      <c r="AP1763" s="6"/>
      <c r="AW1763" s="6"/>
      <c r="AX1763" s="6"/>
      <c r="AZ1763" s="110"/>
      <c r="BB1763" s="6"/>
      <c r="BD1763" s="6"/>
      <c r="BE1763" s="6"/>
      <c r="BV1763" s="17"/>
      <c r="BX1763" s="17"/>
      <c r="BZ1763" s="17"/>
    </row>
    <row r="1764" spans="4:78" x14ac:dyDescent="0.3">
      <c r="D1764" s="153"/>
      <c r="E1764" s="6"/>
      <c r="G1764" s="6"/>
      <c r="J1764" s="6"/>
      <c r="N1764" s="154"/>
      <c r="O1764" s="6"/>
      <c r="S1764" s="6"/>
      <c r="V1764" s="6"/>
      <c r="X1764" s="6"/>
      <c r="Z1764" s="110"/>
      <c r="AB1764" s="6"/>
      <c r="AD1764" s="6"/>
      <c r="AE1764" s="6"/>
      <c r="AF1764" s="126"/>
      <c r="AJ1764" s="6"/>
      <c r="AL1764" s="110"/>
      <c r="AM1764" s="110"/>
      <c r="AN1764" s="110"/>
      <c r="AP1764" s="6"/>
      <c r="AW1764" s="6"/>
      <c r="AX1764" s="6"/>
      <c r="AZ1764" s="110"/>
      <c r="BB1764" s="6"/>
      <c r="BD1764" s="6"/>
      <c r="BE1764" s="6"/>
      <c r="BV1764" s="17"/>
      <c r="BX1764" s="17"/>
      <c r="BZ1764" s="17"/>
    </row>
    <row r="1765" spans="4:78" x14ac:dyDescent="0.3">
      <c r="D1765" s="153"/>
      <c r="E1765" s="6"/>
      <c r="G1765" s="6"/>
      <c r="J1765" s="6"/>
      <c r="N1765" s="154"/>
      <c r="O1765" s="6"/>
      <c r="S1765" s="6"/>
      <c r="V1765" s="6"/>
      <c r="X1765" s="6"/>
      <c r="Z1765" s="110"/>
      <c r="AB1765" s="6"/>
      <c r="AD1765" s="6"/>
      <c r="AE1765" s="6"/>
      <c r="AF1765" s="126"/>
      <c r="AJ1765" s="6"/>
      <c r="AL1765" s="110"/>
      <c r="AM1765" s="110"/>
      <c r="AN1765" s="110"/>
      <c r="AP1765" s="6"/>
      <c r="AW1765" s="6"/>
      <c r="AX1765" s="6"/>
      <c r="AZ1765" s="110"/>
      <c r="BB1765" s="6"/>
      <c r="BD1765" s="6"/>
      <c r="BE1765" s="6"/>
      <c r="BV1765" s="17"/>
      <c r="BX1765" s="17"/>
      <c r="BZ1765" s="17"/>
    </row>
    <row r="1766" spans="4:78" x14ac:dyDescent="0.3">
      <c r="D1766" s="153"/>
      <c r="E1766" s="6"/>
      <c r="G1766" s="6"/>
      <c r="J1766" s="6"/>
      <c r="N1766" s="154"/>
      <c r="O1766" s="6"/>
      <c r="S1766" s="6"/>
      <c r="V1766" s="6"/>
      <c r="X1766" s="6"/>
      <c r="Z1766" s="110"/>
      <c r="AB1766" s="6"/>
      <c r="AD1766" s="6"/>
      <c r="AE1766" s="6"/>
      <c r="AF1766" s="126"/>
      <c r="AJ1766" s="6"/>
      <c r="AL1766" s="110"/>
      <c r="AM1766" s="110"/>
      <c r="AN1766" s="110"/>
      <c r="AP1766" s="6"/>
      <c r="AW1766" s="6"/>
      <c r="AX1766" s="6"/>
      <c r="AZ1766" s="110"/>
      <c r="BB1766" s="6"/>
      <c r="BD1766" s="6"/>
      <c r="BE1766" s="6"/>
      <c r="BV1766" s="17"/>
      <c r="BX1766" s="17"/>
      <c r="BZ1766" s="17"/>
    </row>
    <row r="1767" spans="4:78" x14ac:dyDescent="0.3">
      <c r="D1767" s="153"/>
      <c r="E1767" s="6"/>
      <c r="G1767" s="6"/>
      <c r="J1767" s="6"/>
      <c r="N1767" s="154"/>
      <c r="O1767" s="6"/>
      <c r="S1767" s="6"/>
      <c r="V1767" s="6"/>
      <c r="X1767" s="6"/>
      <c r="Z1767" s="110"/>
      <c r="AB1767" s="6"/>
      <c r="AD1767" s="6"/>
      <c r="AE1767" s="6"/>
      <c r="AF1767" s="126"/>
      <c r="AJ1767" s="6"/>
      <c r="AL1767" s="110"/>
      <c r="AM1767" s="110"/>
      <c r="AN1767" s="110"/>
      <c r="AP1767" s="6"/>
      <c r="AW1767" s="6"/>
      <c r="AX1767" s="6"/>
      <c r="AZ1767" s="110"/>
      <c r="BB1767" s="6"/>
      <c r="BD1767" s="6"/>
      <c r="BE1767" s="6"/>
      <c r="BV1767" s="17"/>
      <c r="BX1767" s="17"/>
      <c r="BZ1767" s="17"/>
    </row>
    <row r="1768" spans="4:78" x14ac:dyDescent="0.3">
      <c r="D1768" s="153"/>
      <c r="E1768" s="6"/>
      <c r="G1768" s="6"/>
      <c r="J1768" s="6"/>
      <c r="N1768" s="154"/>
      <c r="O1768" s="6"/>
      <c r="S1768" s="6"/>
      <c r="V1768" s="6"/>
      <c r="X1768" s="6"/>
      <c r="Z1768" s="110"/>
      <c r="AB1768" s="6"/>
      <c r="AD1768" s="6"/>
      <c r="AE1768" s="6"/>
      <c r="AF1768" s="126"/>
      <c r="AJ1768" s="6"/>
      <c r="AL1768" s="110"/>
      <c r="AM1768" s="110"/>
      <c r="AN1768" s="110"/>
      <c r="AP1768" s="6"/>
      <c r="AW1768" s="6"/>
      <c r="AX1768" s="6"/>
      <c r="AZ1768" s="110"/>
      <c r="BB1768" s="6"/>
      <c r="BD1768" s="6"/>
      <c r="BE1768" s="6"/>
      <c r="BV1768" s="17"/>
      <c r="BX1768" s="17"/>
      <c r="BZ1768" s="17"/>
    </row>
    <row r="1769" spans="4:78" x14ac:dyDescent="0.3">
      <c r="D1769" s="153"/>
      <c r="E1769" s="6"/>
      <c r="G1769" s="6"/>
      <c r="J1769" s="6"/>
      <c r="N1769" s="154"/>
      <c r="O1769" s="6"/>
      <c r="S1769" s="6"/>
      <c r="V1769" s="6"/>
      <c r="X1769" s="6"/>
      <c r="Z1769" s="110"/>
      <c r="AB1769" s="6"/>
      <c r="AD1769" s="6"/>
      <c r="AE1769" s="6"/>
      <c r="AF1769" s="126"/>
      <c r="AJ1769" s="6"/>
      <c r="AL1769" s="110"/>
      <c r="AM1769" s="110"/>
      <c r="AN1769" s="110"/>
      <c r="AP1769" s="6"/>
      <c r="AW1769" s="6"/>
      <c r="AX1769" s="6"/>
      <c r="AZ1769" s="110"/>
      <c r="BB1769" s="6"/>
      <c r="BD1769" s="6"/>
      <c r="BE1769" s="6"/>
      <c r="BV1769" s="17"/>
      <c r="BX1769" s="17"/>
      <c r="BZ1769" s="17"/>
    </row>
    <row r="1770" spans="4:78" x14ac:dyDescent="0.3">
      <c r="D1770" s="153"/>
      <c r="E1770" s="6"/>
      <c r="G1770" s="6"/>
      <c r="J1770" s="6"/>
      <c r="N1770" s="154"/>
      <c r="O1770" s="6"/>
      <c r="S1770" s="6"/>
      <c r="V1770" s="6"/>
      <c r="X1770" s="6"/>
      <c r="Z1770" s="110"/>
      <c r="AB1770" s="6"/>
      <c r="AD1770" s="6"/>
      <c r="AE1770" s="6"/>
      <c r="AF1770" s="126"/>
      <c r="AJ1770" s="6"/>
      <c r="AL1770" s="110"/>
      <c r="AM1770" s="110"/>
      <c r="AN1770" s="110"/>
      <c r="AP1770" s="6"/>
      <c r="AW1770" s="6"/>
      <c r="AX1770" s="6"/>
      <c r="AZ1770" s="110"/>
      <c r="BB1770" s="6"/>
      <c r="BD1770" s="6"/>
      <c r="BE1770" s="6"/>
      <c r="BV1770" s="17"/>
      <c r="BX1770" s="17"/>
      <c r="BZ1770" s="17"/>
    </row>
    <row r="1771" spans="4:78" x14ac:dyDescent="0.3">
      <c r="D1771" s="153"/>
      <c r="E1771" s="6"/>
      <c r="G1771" s="6"/>
      <c r="J1771" s="6"/>
      <c r="N1771" s="154"/>
      <c r="O1771" s="6"/>
      <c r="S1771" s="6"/>
      <c r="V1771" s="6"/>
      <c r="X1771" s="6"/>
      <c r="Z1771" s="110"/>
      <c r="AB1771" s="6"/>
      <c r="AD1771" s="6"/>
      <c r="AE1771" s="6"/>
      <c r="AF1771" s="126"/>
      <c r="AJ1771" s="6"/>
      <c r="AL1771" s="110"/>
      <c r="AM1771" s="110"/>
      <c r="AN1771" s="110"/>
      <c r="AP1771" s="6"/>
      <c r="AW1771" s="6"/>
      <c r="AX1771" s="6"/>
      <c r="AZ1771" s="110"/>
      <c r="BB1771" s="6"/>
      <c r="BD1771" s="6"/>
      <c r="BE1771" s="6"/>
      <c r="BV1771" s="17"/>
      <c r="BX1771" s="17"/>
      <c r="BZ1771" s="17"/>
    </row>
    <row r="1772" spans="4:78" x14ac:dyDescent="0.3">
      <c r="D1772" s="153"/>
      <c r="E1772" s="6"/>
      <c r="G1772" s="6"/>
      <c r="J1772" s="6"/>
      <c r="N1772" s="154"/>
      <c r="O1772" s="6"/>
      <c r="S1772" s="6"/>
      <c r="V1772" s="6"/>
      <c r="X1772" s="6"/>
      <c r="Z1772" s="110"/>
      <c r="AB1772" s="6"/>
      <c r="AD1772" s="6"/>
      <c r="AE1772" s="6"/>
      <c r="AF1772" s="126"/>
      <c r="AJ1772" s="6"/>
      <c r="AL1772" s="110"/>
      <c r="AM1772" s="110"/>
      <c r="AN1772" s="110"/>
      <c r="AP1772" s="6"/>
      <c r="AW1772" s="6"/>
      <c r="AX1772" s="6"/>
      <c r="AZ1772" s="110"/>
      <c r="BB1772" s="6"/>
      <c r="BD1772" s="6"/>
      <c r="BE1772" s="6"/>
      <c r="BV1772" s="17"/>
      <c r="BX1772" s="17"/>
      <c r="BZ1772" s="17"/>
    </row>
    <row r="1773" spans="4:78" x14ac:dyDescent="0.3">
      <c r="D1773" s="153"/>
      <c r="E1773" s="6"/>
      <c r="G1773" s="6"/>
      <c r="J1773" s="6"/>
      <c r="N1773" s="154"/>
      <c r="O1773" s="6"/>
      <c r="S1773" s="6"/>
      <c r="V1773" s="6"/>
      <c r="X1773" s="6"/>
      <c r="Z1773" s="110"/>
      <c r="AB1773" s="6"/>
      <c r="AD1773" s="6"/>
      <c r="AE1773" s="6"/>
      <c r="AF1773" s="126"/>
      <c r="AJ1773" s="6"/>
      <c r="AL1773" s="110"/>
      <c r="AM1773" s="110"/>
      <c r="AN1773" s="110"/>
      <c r="AP1773" s="6"/>
      <c r="AW1773" s="6"/>
      <c r="AX1773" s="6"/>
      <c r="AZ1773" s="110"/>
      <c r="BB1773" s="6"/>
      <c r="BD1773" s="6"/>
      <c r="BE1773" s="6"/>
      <c r="BV1773" s="17"/>
      <c r="BX1773" s="17"/>
      <c r="BZ1773" s="17"/>
    </row>
    <row r="1774" spans="4:78" x14ac:dyDescent="0.3">
      <c r="D1774" s="153"/>
      <c r="E1774" s="6"/>
      <c r="G1774" s="6"/>
      <c r="J1774" s="6"/>
      <c r="N1774" s="154"/>
      <c r="O1774" s="6"/>
      <c r="S1774" s="6"/>
      <c r="V1774" s="6"/>
      <c r="X1774" s="6"/>
      <c r="Z1774" s="110"/>
      <c r="AB1774" s="6"/>
      <c r="AD1774" s="6"/>
      <c r="AE1774" s="6"/>
      <c r="AF1774" s="126"/>
      <c r="AJ1774" s="6"/>
      <c r="AL1774" s="110"/>
      <c r="AM1774" s="110"/>
      <c r="AN1774" s="110"/>
      <c r="AP1774" s="6"/>
      <c r="AW1774" s="6"/>
      <c r="AX1774" s="6"/>
      <c r="AZ1774" s="110"/>
      <c r="BB1774" s="6"/>
      <c r="BD1774" s="6"/>
      <c r="BE1774" s="6"/>
      <c r="BV1774" s="17"/>
      <c r="BX1774" s="17"/>
      <c r="BZ1774" s="17"/>
    </row>
    <row r="1775" spans="4:78" x14ac:dyDescent="0.3">
      <c r="D1775" s="153"/>
      <c r="E1775" s="6"/>
      <c r="G1775" s="6"/>
      <c r="J1775" s="6"/>
      <c r="N1775" s="154"/>
      <c r="O1775" s="6"/>
      <c r="S1775" s="6"/>
      <c r="V1775" s="6"/>
      <c r="X1775" s="6"/>
      <c r="Z1775" s="110"/>
      <c r="AB1775" s="6"/>
      <c r="AD1775" s="6"/>
      <c r="AE1775" s="6"/>
      <c r="AF1775" s="126"/>
      <c r="AJ1775" s="6"/>
      <c r="AL1775" s="110"/>
      <c r="AM1775" s="110"/>
      <c r="AN1775" s="110"/>
      <c r="AP1775" s="6"/>
      <c r="AW1775" s="6"/>
      <c r="AX1775" s="6"/>
      <c r="AZ1775" s="110"/>
      <c r="BB1775" s="6"/>
      <c r="BD1775" s="6"/>
      <c r="BE1775" s="6"/>
      <c r="BV1775" s="17"/>
      <c r="BX1775" s="17"/>
      <c r="BZ1775" s="17"/>
    </row>
    <row r="1776" spans="4:78" x14ac:dyDescent="0.3">
      <c r="D1776" s="153"/>
      <c r="E1776" s="6"/>
      <c r="G1776" s="6"/>
      <c r="J1776" s="6"/>
      <c r="N1776" s="154"/>
      <c r="O1776" s="6"/>
      <c r="S1776" s="6"/>
      <c r="V1776" s="6"/>
      <c r="X1776" s="6"/>
      <c r="Z1776" s="110"/>
      <c r="AB1776" s="6"/>
      <c r="AD1776" s="6"/>
      <c r="AE1776" s="6"/>
      <c r="AF1776" s="126"/>
      <c r="AJ1776" s="6"/>
      <c r="AL1776" s="110"/>
      <c r="AM1776" s="110"/>
      <c r="AN1776" s="110"/>
      <c r="AP1776" s="6"/>
      <c r="AW1776" s="6"/>
      <c r="AX1776" s="6"/>
      <c r="AZ1776" s="110"/>
      <c r="BB1776" s="6"/>
      <c r="BD1776" s="6"/>
      <c r="BE1776" s="6"/>
      <c r="BV1776" s="17"/>
      <c r="BX1776" s="17"/>
      <c r="BZ1776" s="17"/>
    </row>
    <row r="1777" spans="4:78" x14ac:dyDescent="0.3">
      <c r="D1777" s="153"/>
      <c r="E1777" s="6"/>
      <c r="G1777" s="6"/>
      <c r="J1777" s="6"/>
      <c r="N1777" s="154"/>
      <c r="O1777" s="6"/>
      <c r="S1777" s="6"/>
      <c r="V1777" s="6"/>
      <c r="X1777" s="6"/>
      <c r="Z1777" s="110"/>
      <c r="AB1777" s="6"/>
      <c r="AD1777" s="6"/>
      <c r="AE1777" s="6"/>
      <c r="AF1777" s="126"/>
      <c r="AJ1777" s="6"/>
      <c r="AL1777" s="110"/>
      <c r="AM1777" s="110"/>
      <c r="AN1777" s="110"/>
      <c r="AP1777" s="6"/>
      <c r="AW1777" s="6"/>
      <c r="AX1777" s="6"/>
      <c r="AZ1777" s="110"/>
      <c r="BB1777" s="6"/>
      <c r="BD1777" s="6"/>
      <c r="BE1777" s="6"/>
      <c r="BV1777" s="17"/>
      <c r="BX1777" s="17"/>
      <c r="BZ1777" s="17"/>
    </row>
    <row r="1778" spans="4:78" x14ac:dyDescent="0.3">
      <c r="D1778" s="153"/>
      <c r="E1778" s="6"/>
      <c r="G1778" s="6"/>
      <c r="J1778" s="6"/>
      <c r="N1778" s="154"/>
      <c r="O1778" s="6"/>
      <c r="S1778" s="6"/>
      <c r="V1778" s="6"/>
      <c r="X1778" s="6"/>
      <c r="Z1778" s="110"/>
      <c r="AB1778" s="6"/>
      <c r="AD1778" s="6"/>
      <c r="AE1778" s="6"/>
      <c r="AF1778" s="126"/>
      <c r="AJ1778" s="6"/>
      <c r="AL1778" s="110"/>
      <c r="AM1778" s="110"/>
      <c r="AN1778" s="110"/>
      <c r="AP1778" s="6"/>
      <c r="AW1778" s="6"/>
      <c r="AX1778" s="6"/>
      <c r="AZ1778" s="110"/>
      <c r="BB1778" s="6"/>
      <c r="BD1778" s="6"/>
      <c r="BE1778" s="6"/>
      <c r="BV1778" s="17"/>
      <c r="BX1778" s="17"/>
      <c r="BZ1778" s="17"/>
    </row>
    <row r="1779" spans="4:78" x14ac:dyDescent="0.3">
      <c r="D1779" s="153"/>
      <c r="E1779" s="6"/>
      <c r="G1779" s="6"/>
      <c r="J1779" s="6"/>
      <c r="N1779" s="154"/>
      <c r="O1779" s="6"/>
      <c r="S1779" s="6"/>
      <c r="V1779" s="6"/>
      <c r="X1779" s="6"/>
      <c r="Z1779" s="110"/>
      <c r="AB1779" s="6"/>
      <c r="AD1779" s="6"/>
      <c r="AE1779" s="6"/>
      <c r="AF1779" s="126"/>
      <c r="AJ1779" s="6"/>
      <c r="AL1779" s="110"/>
      <c r="AM1779" s="110"/>
      <c r="AN1779" s="110"/>
      <c r="AP1779" s="6"/>
      <c r="AW1779" s="6"/>
      <c r="AX1779" s="6"/>
      <c r="AZ1779" s="110"/>
      <c r="BB1779" s="6"/>
      <c r="BD1779" s="6"/>
      <c r="BE1779" s="6"/>
      <c r="BV1779" s="17"/>
      <c r="BX1779" s="17"/>
      <c r="BZ1779" s="17"/>
    </row>
    <row r="1780" spans="4:78" x14ac:dyDescent="0.3">
      <c r="D1780" s="153"/>
      <c r="E1780" s="6"/>
      <c r="G1780" s="6"/>
      <c r="J1780" s="6"/>
      <c r="N1780" s="154"/>
      <c r="O1780" s="6"/>
      <c r="S1780" s="6"/>
      <c r="V1780" s="6"/>
      <c r="X1780" s="6"/>
      <c r="Z1780" s="110"/>
      <c r="AB1780" s="6"/>
      <c r="AD1780" s="6"/>
      <c r="AE1780" s="6"/>
      <c r="AF1780" s="126"/>
      <c r="AJ1780" s="6"/>
      <c r="AL1780" s="110"/>
      <c r="AM1780" s="110"/>
      <c r="AN1780" s="110"/>
      <c r="AP1780" s="6"/>
      <c r="AW1780" s="6"/>
      <c r="AX1780" s="6"/>
      <c r="AZ1780" s="110"/>
      <c r="BB1780" s="6"/>
      <c r="BD1780" s="6"/>
      <c r="BE1780" s="6"/>
      <c r="BV1780" s="17"/>
      <c r="BX1780" s="17"/>
      <c r="BZ1780" s="17"/>
    </row>
    <row r="1781" spans="4:78" x14ac:dyDescent="0.3">
      <c r="D1781" s="153"/>
      <c r="E1781" s="6"/>
      <c r="G1781" s="6"/>
      <c r="J1781" s="6"/>
      <c r="N1781" s="154"/>
      <c r="O1781" s="6"/>
      <c r="S1781" s="6"/>
      <c r="V1781" s="6"/>
      <c r="X1781" s="6"/>
      <c r="Z1781" s="110"/>
      <c r="AB1781" s="6"/>
      <c r="AD1781" s="6"/>
      <c r="AE1781" s="6"/>
      <c r="AF1781" s="126"/>
      <c r="AJ1781" s="6"/>
      <c r="AL1781" s="110"/>
      <c r="AM1781" s="110"/>
      <c r="AN1781" s="110"/>
      <c r="AP1781" s="6"/>
      <c r="AW1781" s="6"/>
      <c r="AX1781" s="6"/>
      <c r="AZ1781" s="110"/>
      <c r="BB1781" s="6"/>
      <c r="BD1781" s="6"/>
      <c r="BE1781" s="6"/>
      <c r="BV1781" s="17"/>
      <c r="BX1781" s="17"/>
      <c r="BZ1781" s="17"/>
    </row>
    <row r="1782" spans="4:78" x14ac:dyDescent="0.3">
      <c r="D1782" s="153"/>
      <c r="E1782" s="6"/>
      <c r="G1782" s="6"/>
      <c r="J1782" s="6"/>
      <c r="N1782" s="154"/>
      <c r="O1782" s="6"/>
      <c r="S1782" s="6"/>
      <c r="V1782" s="6"/>
      <c r="X1782" s="6"/>
      <c r="Z1782" s="110"/>
      <c r="AB1782" s="6"/>
      <c r="AD1782" s="6"/>
      <c r="AE1782" s="6"/>
      <c r="AF1782" s="126"/>
      <c r="AJ1782" s="6"/>
      <c r="AL1782" s="110"/>
      <c r="AM1782" s="110"/>
      <c r="AN1782" s="110"/>
      <c r="AP1782" s="6"/>
      <c r="AW1782" s="6"/>
      <c r="AX1782" s="6"/>
      <c r="AZ1782" s="110"/>
      <c r="BB1782" s="6"/>
      <c r="BD1782" s="6"/>
      <c r="BE1782" s="6"/>
      <c r="BV1782" s="17"/>
      <c r="BX1782" s="17"/>
      <c r="BZ1782" s="17"/>
    </row>
    <row r="1783" spans="4:78" x14ac:dyDescent="0.3">
      <c r="D1783" s="153"/>
      <c r="E1783" s="6"/>
      <c r="G1783" s="6"/>
      <c r="J1783" s="6"/>
      <c r="N1783" s="154"/>
      <c r="O1783" s="6"/>
      <c r="S1783" s="6"/>
      <c r="V1783" s="6"/>
      <c r="X1783" s="6"/>
      <c r="Z1783" s="110"/>
      <c r="AB1783" s="6"/>
      <c r="AD1783" s="6"/>
      <c r="AE1783" s="6"/>
      <c r="AF1783" s="126"/>
      <c r="AJ1783" s="6"/>
      <c r="AL1783" s="110"/>
      <c r="AM1783" s="110"/>
      <c r="AN1783" s="110"/>
      <c r="AP1783" s="6"/>
      <c r="AW1783" s="6"/>
      <c r="AX1783" s="6"/>
      <c r="AZ1783" s="110"/>
      <c r="BB1783" s="6"/>
      <c r="BD1783" s="6"/>
      <c r="BE1783" s="6"/>
      <c r="BV1783" s="17"/>
      <c r="BX1783" s="17"/>
      <c r="BZ1783" s="17"/>
    </row>
    <row r="1784" spans="4:78" x14ac:dyDescent="0.3">
      <c r="D1784" s="153"/>
      <c r="E1784" s="6"/>
      <c r="G1784" s="6"/>
      <c r="J1784" s="6"/>
      <c r="N1784" s="154"/>
      <c r="O1784" s="6"/>
      <c r="S1784" s="6"/>
      <c r="V1784" s="6"/>
      <c r="X1784" s="6"/>
      <c r="Z1784" s="110"/>
      <c r="AB1784" s="6"/>
      <c r="AD1784" s="6"/>
      <c r="AE1784" s="6"/>
      <c r="AF1784" s="126"/>
      <c r="AJ1784" s="6"/>
      <c r="AL1784" s="110"/>
      <c r="AM1784" s="110"/>
      <c r="AN1784" s="110"/>
      <c r="AP1784" s="6"/>
      <c r="AW1784" s="6"/>
      <c r="AX1784" s="6"/>
      <c r="AZ1784" s="110"/>
      <c r="BB1784" s="6"/>
      <c r="BD1784" s="6"/>
      <c r="BE1784" s="6"/>
      <c r="BV1784" s="17"/>
      <c r="BX1784" s="17"/>
      <c r="BZ1784" s="17"/>
    </row>
    <row r="1785" spans="4:78" x14ac:dyDescent="0.3">
      <c r="D1785" s="153"/>
      <c r="E1785" s="6"/>
      <c r="G1785" s="6"/>
      <c r="J1785" s="6"/>
      <c r="N1785" s="154"/>
      <c r="O1785" s="6"/>
      <c r="S1785" s="6"/>
      <c r="V1785" s="6"/>
      <c r="X1785" s="6"/>
      <c r="Z1785" s="110"/>
      <c r="AB1785" s="6"/>
      <c r="AD1785" s="6"/>
      <c r="AE1785" s="6"/>
      <c r="AF1785" s="126"/>
      <c r="AJ1785" s="6"/>
      <c r="AL1785" s="110"/>
      <c r="AM1785" s="110"/>
      <c r="AN1785" s="110"/>
      <c r="AP1785" s="6"/>
      <c r="AW1785" s="6"/>
      <c r="AX1785" s="6"/>
      <c r="AZ1785" s="110"/>
      <c r="BB1785" s="6"/>
      <c r="BD1785" s="6"/>
      <c r="BE1785" s="6"/>
      <c r="BV1785" s="17"/>
      <c r="BX1785" s="17"/>
      <c r="BZ1785" s="17"/>
    </row>
    <row r="1786" spans="4:78" x14ac:dyDescent="0.3">
      <c r="D1786" s="153"/>
      <c r="E1786" s="6"/>
      <c r="G1786" s="6"/>
      <c r="J1786" s="6"/>
      <c r="N1786" s="154"/>
      <c r="O1786" s="6"/>
      <c r="S1786" s="6"/>
      <c r="V1786" s="6"/>
      <c r="X1786" s="6"/>
      <c r="Z1786" s="110"/>
      <c r="AB1786" s="6"/>
      <c r="AD1786" s="6"/>
      <c r="AE1786" s="6"/>
      <c r="AF1786" s="126"/>
      <c r="AJ1786" s="6"/>
      <c r="AL1786" s="110"/>
      <c r="AM1786" s="110"/>
      <c r="AN1786" s="110"/>
      <c r="AP1786" s="6"/>
      <c r="AW1786" s="6"/>
      <c r="AX1786" s="6"/>
      <c r="AZ1786" s="110"/>
      <c r="BB1786" s="6"/>
      <c r="BD1786" s="6"/>
      <c r="BE1786" s="6"/>
      <c r="BV1786" s="17"/>
      <c r="BX1786" s="17"/>
      <c r="BZ1786" s="17"/>
    </row>
    <row r="1787" spans="4:78" x14ac:dyDescent="0.3">
      <c r="D1787" s="153"/>
      <c r="E1787" s="6"/>
      <c r="G1787" s="6"/>
      <c r="J1787" s="6"/>
      <c r="N1787" s="154"/>
      <c r="O1787" s="6"/>
      <c r="S1787" s="6"/>
      <c r="V1787" s="6"/>
      <c r="X1787" s="6"/>
      <c r="Z1787" s="110"/>
      <c r="AB1787" s="6"/>
      <c r="AD1787" s="6"/>
      <c r="AE1787" s="6"/>
      <c r="AF1787" s="126"/>
      <c r="AJ1787" s="6"/>
      <c r="AL1787" s="110"/>
      <c r="AM1787" s="110"/>
      <c r="AN1787" s="110"/>
      <c r="AP1787" s="6"/>
      <c r="AW1787" s="6"/>
      <c r="AX1787" s="6"/>
      <c r="AZ1787" s="110"/>
      <c r="BB1787" s="6"/>
      <c r="BD1787" s="6"/>
      <c r="BE1787" s="6"/>
      <c r="BV1787" s="17"/>
      <c r="BX1787" s="17"/>
      <c r="BZ1787" s="17"/>
    </row>
    <row r="1788" spans="4:78" x14ac:dyDescent="0.3">
      <c r="D1788" s="153"/>
      <c r="E1788" s="6"/>
      <c r="G1788" s="6"/>
      <c r="J1788" s="6"/>
      <c r="N1788" s="154"/>
      <c r="O1788" s="6"/>
      <c r="S1788" s="6"/>
      <c r="V1788" s="6"/>
      <c r="X1788" s="6"/>
      <c r="Z1788" s="110"/>
      <c r="AB1788" s="6"/>
      <c r="AD1788" s="6"/>
      <c r="AE1788" s="6"/>
      <c r="AF1788" s="126"/>
      <c r="AJ1788" s="6"/>
      <c r="AL1788" s="110"/>
      <c r="AM1788" s="110"/>
      <c r="AN1788" s="110"/>
      <c r="AP1788" s="6"/>
      <c r="AW1788" s="6"/>
      <c r="AX1788" s="6"/>
      <c r="AZ1788" s="110"/>
      <c r="BB1788" s="6"/>
      <c r="BD1788" s="6"/>
      <c r="BE1788" s="6"/>
      <c r="BV1788" s="17"/>
      <c r="BX1788" s="17"/>
      <c r="BZ1788" s="17"/>
    </row>
    <row r="1789" spans="4:78" x14ac:dyDescent="0.3">
      <c r="D1789" s="153"/>
      <c r="E1789" s="6"/>
      <c r="G1789" s="6"/>
      <c r="J1789" s="6"/>
      <c r="N1789" s="154"/>
      <c r="O1789" s="6"/>
      <c r="S1789" s="6"/>
      <c r="V1789" s="6"/>
      <c r="X1789" s="6"/>
      <c r="Z1789" s="110"/>
      <c r="AB1789" s="6"/>
      <c r="AD1789" s="6"/>
      <c r="AE1789" s="6"/>
      <c r="AF1789" s="126"/>
      <c r="AJ1789" s="6"/>
      <c r="AL1789" s="110"/>
      <c r="AM1789" s="110"/>
      <c r="AN1789" s="110"/>
      <c r="AP1789" s="6"/>
      <c r="AW1789" s="6"/>
      <c r="AX1789" s="6"/>
      <c r="AZ1789" s="110"/>
      <c r="BB1789" s="6"/>
      <c r="BD1789" s="6"/>
      <c r="BE1789" s="6"/>
      <c r="BV1789" s="17"/>
      <c r="BX1789" s="17"/>
      <c r="BZ1789" s="17"/>
    </row>
    <row r="1790" spans="4:78" x14ac:dyDescent="0.3">
      <c r="D1790" s="153"/>
      <c r="E1790" s="6"/>
      <c r="G1790" s="6"/>
      <c r="J1790" s="6"/>
      <c r="N1790" s="154"/>
      <c r="O1790" s="6"/>
      <c r="S1790" s="6"/>
      <c r="V1790" s="6"/>
      <c r="X1790" s="6"/>
      <c r="Z1790" s="110"/>
      <c r="AB1790" s="6"/>
      <c r="AD1790" s="6"/>
      <c r="AE1790" s="6"/>
      <c r="AF1790" s="126"/>
      <c r="AJ1790" s="6"/>
      <c r="AL1790" s="110"/>
      <c r="AM1790" s="110"/>
      <c r="AN1790" s="110"/>
      <c r="AP1790" s="6"/>
      <c r="AW1790" s="6"/>
      <c r="AX1790" s="6"/>
      <c r="AZ1790" s="110"/>
      <c r="BB1790" s="6"/>
      <c r="BD1790" s="6"/>
      <c r="BE1790" s="6"/>
      <c r="BV1790" s="17"/>
      <c r="BX1790" s="17"/>
      <c r="BZ1790" s="17"/>
    </row>
    <row r="1791" spans="4:78" x14ac:dyDescent="0.3">
      <c r="D1791" s="153"/>
      <c r="E1791" s="6"/>
      <c r="G1791" s="6"/>
      <c r="J1791" s="6"/>
      <c r="N1791" s="154"/>
      <c r="O1791" s="6"/>
      <c r="S1791" s="6"/>
      <c r="V1791" s="6"/>
      <c r="X1791" s="6"/>
      <c r="Z1791" s="110"/>
      <c r="AB1791" s="6"/>
      <c r="AD1791" s="6"/>
      <c r="AE1791" s="6"/>
      <c r="AF1791" s="126"/>
      <c r="AJ1791" s="6"/>
      <c r="AL1791" s="110"/>
      <c r="AM1791" s="110"/>
      <c r="AN1791" s="110"/>
      <c r="AP1791" s="6"/>
      <c r="AW1791" s="6"/>
      <c r="AX1791" s="6"/>
      <c r="AZ1791" s="110"/>
      <c r="BB1791" s="6"/>
      <c r="BD1791" s="6"/>
      <c r="BE1791" s="6"/>
      <c r="BV1791" s="17"/>
      <c r="BX1791" s="17"/>
      <c r="BZ1791" s="17"/>
    </row>
    <row r="1792" spans="4:78" x14ac:dyDescent="0.3">
      <c r="D1792" s="153"/>
      <c r="E1792" s="6"/>
      <c r="G1792" s="6"/>
      <c r="J1792" s="6"/>
      <c r="N1792" s="154"/>
      <c r="O1792" s="6"/>
      <c r="S1792" s="6"/>
      <c r="V1792" s="6"/>
      <c r="X1792" s="6"/>
      <c r="Z1792" s="110"/>
      <c r="AB1792" s="6"/>
      <c r="AD1792" s="6"/>
      <c r="AE1792" s="6"/>
      <c r="AF1792" s="126"/>
      <c r="AJ1792" s="6"/>
      <c r="AL1792" s="110"/>
      <c r="AM1792" s="110"/>
      <c r="AN1792" s="110"/>
      <c r="AP1792" s="6"/>
      <c r="AW1792" s="6"/>
      <c r="AX1792" s="6"/>
      <c r="AZ1792" s="110"/>
      <c r="BB1792" s="6"/>
      <c r="BD1792" s="6"/>
      <c r="BE1792" s="6"/>
      <c r="BV1792" s="17"/>
      <c r="BX1792" s="17"/>
      <c r="BZ1792" s="17"/>
    </row>
    <row r="1793" spans="4:78" x14ac:dyDescent="0.3">
      <c r="D1793" s="153"/>
      <c r="E1793" s="6"/>
      <c r="G1793" s="6"/>
      <c r="J1793" s="6"/>
      <c r="N1793" s="154"/>
      <c r="O1793" s="6"/>
      <c r="S1793" s="6"/>
      <c r="V1793" s="6"/>
      <c r="X1793" s="6"/>
      <c r="Z1793" s="110"/>
      <c r="AB1793" s="6"/>
      <c r="AD1793" s="6"/>
      <c r="AE1793" s="6"/>
      <c r="AF1793" s="126"/>
      <c r="AJ1793" s="6"/>
      <c r="AL1793" s="110"/>
      <c r="AM1793" s="110"/>
      <c r="AN1793" s="110"/>
      <c r="AP1793" s="6"/>
      <c r="AW1793" s="6"/>
      <c r="AX1793" s="6"/>
      <c r="AZ1793" s="110"/>
      <c r="BB1793" s="6"/>
      <c r="BD1793" s="6"/>
      <c r="BE1793" s="6"/>
      <c r="BV1793" s="17"/>
      <c r="BX1793" s="17"/>
      <c r="BZ1793" s="17"/>
    </row>
    <row r="1794" spans="4:78" x14ac:dyDescent="0.3">
      <c r="D1794" s="153"/>
      <c r="E1794" s="6"/>
      <c r="G1794" s="6"/>
      <c r="J1794" s="6"/>
      <c r="N1794" s="154"/>
      <c r="O1794" s="6"/>
      <c r="S1794" s="6"/>
      <c r="V1794" s="6"/>
      <c r="X1794" s="6"/>
      <c r="Z1794" s="110"/>
      <c r="AB1794" s="6"/>
      <c r="AD1794" s="6"/>
      <c r="AE1794" s="6"/>
      <c r="AF1794" s="126"/>
      <c r="AJ1794" s="6"/>
      <c r="AL1794" s="110"/>
      <c r="AM1794" s="110"/>
      <c r="AN1794" s="110"/>
      <c r="AP1794" s="6"/>
      <c r="AW1794" s="6"/>
      <c r="AX1794" s="6"/>
      <c r="AZ1794" s="110"/>
      <c r="BB1794" s="6"/>
      <c r="BD1794" s="6"/>
      <c r="BE1794" s="6"/>
      <c r="BV1794" s="17"/>
      <c r="BX1794" s="17"/>
      <c r="BZ1794" s="17"/>
    </row>
    <row r="1795" spans="4:78" x14ac:dyDescent="0.3">
      <c r="D1795" s="153"/>
      <c r="E1795" s="6"/>
      <c r="G1795" s="6"/>
      <c r="J1795" s="6"/>
      <c r="N1795" s="154"/>
      <c r="O1795" s="6"/>
      <c r="S1795" s="6"/>
      <c r="V1795" s="6"/>
      <c r="X1795" s="6"/>
      <c r="Z1795" s="110"/>
      <c r="AB1795" s="6"/>
      <c r="AD1795" s="6"/>
      <c r="AE1795" s="6"/>
      <c r="AF1795" s="126"/>
      <c r="AJ1795" s="6"/>
      <c r="AL1795" s="110"/>
      <c r="AM1795" s="110"/>
      <c r="AN1795" s="110"/>
      <c r="AP1795" s="6"/>
      <c r="AW1795" s="6"/>
      <c r="AX1795" s="6"/>
      <c r="AZ1795" s="110"/>
      <c r="BB1795" s="6"/>
      <c r="BD1795" s="6"/>
      <c r="BE1795" s="6"/>
      <c r="BV1795" s="17"/>
      <c r="BX1795" s="17"/>
      <c r="BZ1795" s="17"/>
    </row>
    <row r="1796" spans="4:78" x14ac:dyDescent="0.3">
      <c r="D1796" s="153"/>
      <c r="E1796" s="6"/>
      <c r="G1796" s="6"/>
      <c r="J1796" s="6"/>
      <c r="N1796" s="154"/>
      <c r="O1796" s="6"/>
      <c r="S1796" s="6"/>
      <c r="V1796" s="6"/>
      <c r="X1796" s="6"/>
      <c r="Z1796" s="110"/>
      <c r="AB1796" s="6"/>
      <c r="AD1796" s="6"/>
      <c r="AE1796" s="6"/>
      <c r="AF1796" s="126"/>
      <c r="AJ1796" s="6"/>
      <c r="AL1796" s="110"/>
      <c r="AM1796" s="110"/>
      <c r="AN1796" s="110"/>
      <c r="AP1796" s="6"/>
      <c r="AW1796" s="6"/>
      <c r="AX1796" s="6"/>
      <c r="AZ1796" s="110"/>
      <c r="BB1796" s="6"/>
      <c r="BD1796" s="6"/>
      <c r="BE1796" s="6"/>
      <c r="BV1796" s="17"/>
      <c r="BX1796" s="17"/>
      <c r="BZ1796" s="17"/>
    </row>
    <row r="1797" spans="4:78" x14ac:dyDescent="0.3">
      <c r="D1797" s="153"/>
      <c r="E1797" s="6"/>
      <c r="G1797" s="6"/>
      <c r="J1797" s="6"/>
      <c r="N1797" s="154"/>
      <c r="O1797" s="6"/>
      <c r="S1797" s="6"/>
      <c r="V1797" s="6"/>
      <c r="X1797" s="6"/>
      <c r="Z1797" s="110"/>
      <c r="AB1797" s="6"/>
      <c r="AD1797" s="6"/>
      <c r="AE1797" s="6"/>
      <c r="AF1797" s="126"/>
      <c r="AJ1797" s="6"/>
      <c r="AL1797" s="110"/>
      <c r="AM1797" s="110"/>
      <c r="AN1797" s="110"/>
      <c r="AP1797" s="6"/>
      <c r="AW1797" s="6"/>
      <c r="AX1797" s="6"/>
      <c r="AZ1797" s="110"/>
      <c r="BB1797" s="6"/>
      <c r="BD1797" s="6"/>
      <c r="BE1797" s="6"/>
      <c r="BV1797" s="17"/>
      <c r="BX1797" s="17"/>
      <c r="BZ1797" s="17"/>
    </row>
    <row r="1798" spans="4:78" x14ac:dyDescent="0.3">
      <c r="D1798" s="153"/>
      <c r="E1798" s="6"/>
      <c r="G1798" s="6"/>
      <c r="J1798" s="6"/>
      <c r="N1798" s="154"/>
      <c r="O1798" s="6"/>
      <c r="S1798" s="6"/>
      <c r="V1798" s="6"/>
      <c r="X1798" s="6"/>
      <c r="Z1798" s="110"/>
      <c r="AB1798" s="6"/>
      <c r="AD1798" s="6"/>
      <c r="AE1798" s="6"/>
      <c r="AF1798" s="126"/>
      <c r="AJ1798" s="6"/>
      <c r="AL1798" s="110"/>
      <c r="AM1798" s="110"/>
      <c r="AN1798" s="110"/>
      <c r="AP1798" s="6"/>
      <c r="AW1798" s="6"/>
      <c r="AX1798" s="6"/>
      <c r="AZ1798" s="110"/>
      <c r="BB1798" s="6"/>
      <c r="BD1798" s="6"/>
      <c r="BE1798" s="6"/>
      <c r="BV1798" s="17"/>
      <c r="BX1798" s="17"/>
      <c r="BZ1798" s="17"/>
    </row>
    <row r="1799" spans="4:78" x14ac:dyDescent="0.3">
      <c r="D1799" s="153"/>
      <c r="E1799" s="6"/>
      <c r="G1799" s="6"/>
      <c r="J1799" s="6"/>
      <c r="N1799" s="154"/>
      <c r="O1799" s="6"/>
      <c r="S1799" s="6"/>
      <c r="V1799" s="6"/>
      <c r="X1799" s="6"/>
      <c r="Z1799" s="110"/>
      <c r="AB1799" s="6"/>
      <c r="AD1799" s="6"/>
      <c r="AE1799" s="6"/>
      <c r="AF1799" s="126"/>
      <c r="AJ1799" s="6"/>
      <c r="AL1799" s="110"/>
      <c r="AM1799" s="110"/>
      <c r="AN1799" s="110"/>
      <c r="AP1799" s="6"/>
      <c r="AW1799" s="6"/>
      <c r="AX1799" s="6"/>
      <c r="AZ1799" s="110"/>
      <c r="BB1799" s="6"/>
      <c r="BD1799" s="6"/>
      <c r="BE1799" s="6"/>
      <c r="BV1799" s="17"/>
      <c r="BX1799" s="17"/>
      <c r="BZ1799" s="17"/>
    </row>
    <row r="1800" spans="4:78" x14ac:dyDescent="0.3">
      <c r="D1800" s="153"/>
      <c r="E1800" s="6"/>
      <c r="G1800" s="6"/>
      <c r="J1800" s="6"/>
      <c r="N1800" s="154"/>
      <c r="O1800" s="6"/>
      <c r="S1800" s="6"/>
      <c r="V1800" s="6"/>
      <c r="X1800" s="6"/>
      <c r="Z1800" s="110"/>
      <c r="AB1800" s="6"/>
      <c r="AD1800" s="6"/>
      <c r="AE1800" s="6"/>
      <c r="AF1800" s="126"/>
      <c r="AJ1800" s="6"/>
      <c r="AL1800" s="110"/>
      <c r="AM1800" s="110"/>
      <c r="AN1800" s="110"/>
      <c r="AP1800" s="6"/>
      <c r="AW1800" s="6"/>
      <c r="AX1800" s="6"/>
      <c r="AZ1800" s="110"/>
      <c r="BB1800" s="6"/>
      <c r="BD1800" s="6"/>
      <c r="BE1800" s="6"/>
      <c r="BV1800" s="17"/>
      <c r="BX1800" s="17"/>
      <c r="BZ1800" s="17"/>
    </row>
    <row r="1801" spans="4:78" x14ac:dyDescent="0.3">
      <c r="D1801" s="153"/>
      <c r="E1801" s="6"/>
      <c r="G1801" s="6"/>
      <c r="J1801" s="6"/>
      <c r="N1801" s="154"/>
      <c r="O1801" s="6"/>
      <c r="S1801" s="6"/>
      <c r="V1801" s="6"/>
      <c r="X1801" s="6"/>
      <c r="Z1801" s="110"/>
      <c r="AB1801" s="6"/>
      <c r="AD1801" s="6"/>
      <c r="AE1801" s="6"/>
      <c r="AF1801" s="126"/>
      <c r="AJ1801" s="6"/>
      <c r="AL1801" s="110"/>
      <c r="AM1801" s="110"/>
      <c r="AN1801" s="110"/>
      <c r="AP1801" s="6"/>
      <c r="AW1801" s="6"/>
      <c r="AX1801" s="6"/>
      <c r="AZ1801" s="110"/>
      <c r="BB1801" s="6"/>
      <c r="BD1801" s="6"/>
      <c r="BE1801" s="6"/>
      <c r="BV1801" s="17"/>
      <c r="BX1801" s="17"/>
      <c r="BZ1801" s="17"/>
    </row>
    <row r="1802" spans="4:78" x14ac:dyDescent="0.3">
      <c r="D1802" s="153"/>
      <c r="E1802" s="6"/>
      <c r="G1802" s="6"/>
      <c r="J1802" s="6"/>
      <c r="N1802" s="154"/>
      <c r="O1802" s="6"/>
      <c r="S1802" s="6"/>
      <c r="V1802" s="6"/>
      <c r="X1802" s="6"/>
      <c r="Z1802" s="110"/>
      <c r="AB1802" s="6"/>
      <c r="AD1802" s="6"/>
      <c r="AE1802" s="6"/>
      <c r="AF1802" s="126"/>
      <c r="AJ1802" s="6"/>
      <c r="AL1802" s="110"/>
      <c r="AM1802" s="110"/>
      <c r="AN1802" s="110"/>
      <c r="AP1802" s="6"/>
      <c r="AW1802" s="6"/>
      <c r="AX1802" s="6"/>
      <c r="AZ1802" s="110"/>
      <c r="BB1802" s="6"/>
      <c r="BD1802" s="6"/>
      <c r="BE1802" s="6"/>
      <c r="BV1802" s="17"/>
      <c r="BX1802" s="17"/>
      <c r="BZ1802" s="17"/>
    </row>
    <row r="1803" spans="4:78" x14ac:dyDescent="0.3">
      <c r="D1803" s="153"/>
      <c r="E1803" s="6"/>
      <c r="G1803" s="6"/>
      <c r="J1803" s="6"/>
      <c r="N1803" s="154"/>
      <c r="O1803" s="6"/>
      <c r="S1803" s="6"/>
      <c r="V1803" s="6"/>
      <c r="X1803" s="6"/>
      <c r="Z1803" s="110"/>
      <c r="AB1803" s="6"/>
      <c r="AD1803" s="6"/>
      <c r="AE1803" s="6"/>
      <c r="AF1803" s="126"/>
      <c r="AJ1803" s="6"/>
      <c r="AL1803" s="110"/>
      <c r="AM1803" s="110"/>
      <c r="AN1803" s="110"/>
      <c r="AP1803" s="6"/>
      <c r="AW1803" s="6"/>
      <c r="AX1803" s="6"/>
      <c r="AZ1803" s="110"/>
      <c r="BB1803" s="6"/>
      <c r="BD1803" s="6"/>
      <c r="BE1803" s="6"/>
      <c r="BV1803" s="17"/>
      <c r="BX1803" s="17"/>
      <c r="BZ1803" s="17"/>
    </row>
    <row r="1804" spans="4:78" x14ac:dyDescent="0.3">
      <c r="D1804" s="153"/>
      <c r="E1804" s="6"/>
      <c r="G1804" s="6"/>
      <c r="J1804" s="6"/>
      <c r="N1804" s="154"/>
      <c r="O1804" s="6"/>
      <c r="S1804" s="6"/>
      <c r="V1804" s="6"/>
      <c r="X1804" s="6"/>
      <c r="Z1804" s="110"/>
      <c r="AB1804" s="6"/>
      <c r="AD1804" s="6"/>
      <c r="AE1804" s="6"/>
      <c r="AF1804" s="126"/>
      <c r="AJ1804" s="6"/>
      <c r="AL1804" s="110"/>
      <c r="AM1804" s="110"/>
      <c r="AN1804" s="110"/>
      <c r="AP1804" s="6"/>
      <c r="AW1804" s="6"/>
      <c r="AX1804" s="6"/>
      <c r="AZ1804" s="110"/>
      <c r="BB1804" s="6"/>
      <c r="BD1804" s="6"/>
      <c r="BE1804" s="6"/>
      <c r="BV1804" s="17"/>
      <c r="BX1804" s="17"/>
      <c r="BZ1804" s="17"/>
    </row>
    <row r="1805" spans="4:78" x14ac:dyDescent="0.3">
      <c r="D1805" s="153"/>
      <c r="E1805" s="6"/>
      <c r="G1805" s="6"/>
      <c r="J1805" s="6"/>
      <c r="N1805" s="154"/>
      <c r="O1805" s="6"/>
      <c r="S1805" s="6"/>
      <c r="V1805" s="6"/>
      <c r="X1805" s="6"/>
      <c r="Z1805" s="110"/>
      <c r="AB1805" s="6"/>
      <c r="AD1805" s="6"/>
      <c r="AE1805" s="6"/>
      <c r="AF1805" s="126"/>
      <c r="AJ1805" s="6"/>
      <c r="AL1805" s="110"/>
      <c r="AM1805" s="110"/>
      <c r="AN1805" s="110"/>
      <c r="AP1805" s="6"/>
      <c r="AW1805" s="6"/>
      <c r="AX1805" s="6"/>
      <c r="AZ1805" s="110"/>
      <c r="BB1805" s="6"/>
      <c r="BD1805" s="6"/>
      <c r="BE1805" s="6"/>
      <c r="BV1805" s="17"/>
      <c r="BX1805" s="17"/>
      <c r="BZ1805" s="17"/>
    </row>
    <row r="1806" spans="4:78" x14ac:dyDescent="0.3">
      <c r="D1806" s="153"/>
      <c r="E1806" s="6"/>
      <c r="G1806" s="6"/>
      <c r="J1806" s="6"/>
      <c r="N1806" s="154"/>
      <c r="O1806" s="6"/>
      <c r="S1806" s="6"/>
      <c r="V1806" s="6"/>
      <c r="X1806" s="6"/>
      <c r="Z1806" s="110"/>
      <c r="AB1806" s="6"/>
      <c r="AD1806" s="6"/>
      <c r="AE1806" s="6"/>
      <c r="AF1806" s="126"/>
      <c r="AJ1806" s="6"/>
      <c r="AL1806" s="110"/>
      <c r="AM1806" s="110"/>
      <c r="AN1806" s="110"/>
      <c r="AP1806" s="6"/>
      <c r="AW1806" s="6"/>
      <c r="AX1806" s="6"/>
      <c r="AZ1806" s="110"/>
      <c r="BB1806" s="6"/>
      <c r="BD1806" s="6"/>
      <c r="BE1806" s="6"/>
      <c r="BV1806" s="17"/>
      <c r="BX1806" s="17"/>
      <c r="BZ1806" s="17"/>
    </row>
    <row r="1807" spans="4:78" x14ac:dyDescent="0.3">
      <c r="D1807" s="153"/>
      <c r="E1807" s="6"/>
      <c r="G1807" s="6"/>
      <c r="J1807" s="6"/>
      <c r="N1807" s="154"/>
      <c r="O1807" s="6"/>
      <c r="S1807" s="6"/>
      <c r="V1807" s="6"/>
      <c r="X1807" s="6"/>
      <c r="Z1807" s="110"/>
      <c r="AB1807" s="6"/>
      <c r="AD1807" s="6"/>
      <c r="AE1807" s="6"/>
      <c r="AF1807" s="126"/>
      <c r="AJ1807" s="6"/>
      <c r="AL1807" s="110"/>
      <c r="AM1807" s="110"/>
      <c r="AN1807" s="110"/>
      <c r="AP1807" s="6"/>
      <c r="AW1807" s="6"/>
      <c r="AX1807" s="6"/>
      <c r="AZ1807" s="110"/>
      <c r="BB1807" s="6"/>
      <c r="BD1807" s="6"/>
      <c r="BE1807" s="6"/>
      <c r="BV1807" s="17"/>
      <c r="BX1807" s="17"/>
      <c r="BZ1807" s="17"/>
    </row>
    <row r="1808" spans="4:78" x14ac:dyDescent="0.3">
      <c r="D1808" s="153"/>
      <c r="E1808" s="6"/>
      <c r="G1808" s="6"/>
      <c r="J1808" s="6"/>
      <c r="N1808" s="154"/>
      <c r="O1808" s="6"/>
      <c r="S1808" s="6"/>
      <c r="V1808" s="6"/>
      <c r="X1808" s="6"/>
      <c r="Z1808" s="110"/>
      <c r="AB1808" s="6"/>
      <c r="AD1808" s="6"/>
      <c r="AE1808" s="6"/>
      <c r="AF1808" s="126"/>
      <c r="AJ1808" s="6"/>
      <c r="AL1808" s="110"/>
      <c r="AM1808" s="110"/>
      <c r="AN1808" s="110"/>
      <c r="AP1808" s="6"/>
      <c r="AW1808" s="6"/>
      <c r="AX1808" s="6"/>
      <c r="AZ1808" s="110"/>
      <c r="BB1808" s="6"/>
      <c r="BD1808" s="6"/>
      <c r="BE1808" s="6"/>
      <c r="BV1808" s="17"/>
      <c r="BX1808" s="17"/>
      <c r="BZ1808" s="17"/>
    </row>
    <row r="1809" spans="4:78" x14ac:dyDescent="0.3">
      <c r="D1809" s="153"/>
      <c r="E1809" s="6"/>
      <c r="G1809" s="6"/>
      <c r="J1809" s="6"/>
      <c r="N1809" s="154"/>
      <c r="O1809" s="6"/>
      <c r="S1809" s="6"/>
      <c r="V1809" s="6"/>
      <c r="X1809" s="6"/>
      <c r="Z1809" s="110"/>
      <c r="AB1809" s="6"/>
      <c r="AD1809" s="6"/>
      <c r="AE1809" s="6"/>
      <c r="AF1809" s="126"/>
      <c r="AJ1809" s="6"/>
      <c r="AL1809" s="110"/>
      <c r="AM1809" s="110"/>
      <c r="AN1809" s="110"/>
      <c r="AP1809" s="6"/>
      <c r="AW1809" s="6"/>
      <c r="AX1809" s="6"/>
      <c r="AZ1809" s="110"/>
      <c r="BB1809" s="6"/>
      <c r="BD1809" s="6"/>
      <c r="BE1809" s="6"/>
      <c r="BV1809" s="17"/>
      <c r="BX1809" s="17"/>
      <c r="BZ1809" s="17"/>
    </row>
    <row r="1810" spans="4:78" x14ac:dyDescent="0.3">
      <c r="D1810" s="153"/>
      <c r="E1810" s="6"/>
      <c r="G1810" s="6"/>
      <c r="J1810" s="6"/>
      <c r="N1810" s="154"/>
      <c r="O1810" s="6"/>
      <c r="S1810" s="6"/>
      <c r="V1810" s="6"/>
      <c r="X1810" s="6"/>
      <c r="Z1810" s="110"/>
      <c r="AB1810" s="6"/>
      <c r="AD1810" s="6"/>
      <c r="AE1810" s="6"/>
      <c r="AF1810" s="126"/>
      <c r="AJ1810" s="6"/>
      <c r="AL1810" s="110"/>
      <c r="AM1810" s="110"/>
      <c r="AN1810" s="110"/>
      <c r="AP1810" s="6"/>
      <c r="AW1810" s="6"/>
      <c r="AX1810" s="6"/>
      <c r="AZ1810" s="110"/>
      <c r="BB1810" s="6"/>
      <c r="BD1810" s="6"/>
      <c r="BE1810" s="6"/>
      <c r="BV1810" s="17"/>
      <c r="BX1810" s="17"/>
      <c r="BZ1810" s="17"/>
    </row>
    <row r="1811" spans="4:78" x14ac:dyDescent="0.3">
      <c r="D1811" s="153"/>
      <c r="E1811" s="6"/>
      <c r="G1811" s="6"/>
      <c r="J1811" s="6"/>
      <c r="N1811" s="154"/>
      <c r="O1811" s="6"/>
      <c r="S1811" s="6"/>
      <c r="V1811" s="6"/>
      <c r="X1811" s="6"/>
      <c r="Z1811" s="110"/>
      <c r="AB1811" s="6"/>
      <c r="AD1811" s="6"/>
      <c r="AE1811" s="6"/>
      <c r="AF1811" s="126"/>
      <c r="AJ1811" s="6"/>
      <c r="AL1811" s="110"/>
      <c r="AM1811" s="110"/>
      <c r="AN1811" s="110"/>
      <c r="AP1811" s="6"/>
      <c r="AW1811" s="6"/>
      <c r="AX1811" s="6"/>
      <c r="AZ1811" s="110"/>
      <c r="BB1811" s="6"/>
      <c r="BD1811" s="6"/>
      <c r="BE1811" s="6"/>
      <c r="BV1811" s="17"/>
      <c r="BX1811" s="17"/>
      <c r="BZ1811" s="17"/>
    </row>
    <row r="1812" spans="4:78" x14ac:dyDescent="0.3">
      <c r="D1812" s="153"/>
      <c r="E1812" s="6"/>
      <c r="G1812" s="6"/>
      <c r="J1812" s="6"/>
      <c r="N1812" s="154"/>
      <c r="O1812" s="6"/>
      <c r="S1812" s="6"/>
      <c r="V1812" s="6"/>
      <c r="X1812" s="6"/>
      <c r="Z1812" s="110"/>
      <c r="AB1812" s="6"/>
      <c r="AD1812" s="6"/>
      <c r="AE1812" s="6"/>
      <c r="AF1812" s="126"/>
      <c r="AJ1812" s="6"/>
      <c r="AL1812" s="110"/>
      <c r="AM1812" s="110"/>
      <c r="AN1812" s="110"/>
      <c r="AP1812" s="6"/>
      <c r="AW1812" s="6"/>
      <c r="AX1812" s="6"/>
      <c r="AZ1812" s="110"/>
      <c r="BB1812" s="6"/>
      <c r="BD1812" s="6"/>
      <c r="BE1812" s="6"/>
      <c r="BV1812" s="17"/>
      <c r="BX1812" s="17"/>
      <c r="BZ1812" s="17"/>
    </row>
    <row r="1813" spans="4:78" x14ac:dyDescent="0.3">
      <c r="D1813" s="153"/>
      <c r="E1813" s="6"/>
      <c r="G1813" s="6"/>
      <c r="J1813" s="6"/>
      <c r="N1813" s="154"/>
      <c r="O1813" s="6"/>
      <c r="S1813" s="6"/>
      <c r="V1813" s="6"/>
      <c r="X1813" s="6"/>
      <c r="Z1813" s="110"/>
      <c r="AB1813" s="6"/>
      <c r="AD1813" s="6"/>
      <c r="AE1813" s="6"/>
      <c r="AF1813" s="126"/>
      <c r="AJ1813" s="6"/>
      <c r="AL1813" s="110"/>
      <c r="AM1813" s="110"/>
      <c r="AN1813" s="110"/>
      <c r="AP1813" s="6"/>
      <c r="AW1813" s="6"/>
      <c r="AX1813" s="6"/>
      <c r="AZ1813" s="110"/>
      <c r="BB1813" s="6"/>
      <c r="BD1813" s="6"/>
      <c r="BE1813" s="6"/>
      <c r="BV1813" s="17"/>
      <c r="BX1813" s="17"/>
      <c r="BZ1813" s="17"/>
    </row>
    <row r="1814" spans="4:78" x14ac:dyDescent="0.3">
      <c r="D1814" s="153"/>
      <c r="E1814" s="6"/>
      <c r="G1814" s="6"/>
      <c r="J1814" s="6"/>
      <c r="N1814" s="154"/>
      <c r="O1814" s="6"/>
      <c r="S1814" s="6"/>
      <c r="V1814" s="6"/>
      <c r="X1814" s="6"/>
      <c r="Z1814" s="110"/>
      <c r="AB1814" s="6"/>
      <c r="AD1814" s="6"/>
      <c r="AE1814" s="6"/>
      <c r="AF1814" s="126"/>
      <c r="AJ1814" s="6"/>
      <c r="AL1814" s="110"/>
      <c r="AM1814" s="110"/>
      <c r="AN1814" s="110"/>
      <c r="AP1814" s="6"/>
      <c r="AW1814" s="6"/>
      <c r="AX1814" s="6"/>
      <c r="AZ1814" s="110"/>
      <c r="BB1814" s="6"/>
      <c r="BD1814" s="6"/>
      <c r="BE1814" s="6"/>
      <c r="BV1814" s="17"/>
      <c r="BX1814" s="17"/>
      <c r="BZ1814" s="17"/>
    </row>
    <row r="1815" spans="4:78" x14ac:dyDescent="0.3">
      <c r="D1815" s="153"/>
      <c r="E1815" s="6"/>
      <c r="G1815" s="6"/>
      <c r="J1815" s="6"/>
      <c r="N1815" s="154"/>
      <c r="O1815" s="6"/>
      <c r="S1815" s="6"/>
      <c r="V1815" s="6"/>
      <c r="X1815" s="6"/>
      <c r="Z1815" s="110"/>
      <c r="AB1815" s="6"/>
      <c r="AD1815" s="6"/>
      <c r="AE1815" s="6"/>
      <c r="AF1815" s="126"/>
      <c r="AJ1815" s="6"/>
      <c r="AL1815" s="110"/>
      <c r="AM1815" s="110"/>
      <c r="AN1815" s="110"/>
      <c r="AP1815" s="6"/>
      <c r="AW1815" s="6"/>
      <c r="AX1815" s="6"/>
      <c r="AZ1815" s="110"/>
      <c r="BB1815" s="6"/>
      <c r="BD1815" s="6"/>
      <c r="BE1815" s="6"/>
      <c r="BV1815" s="17"/>
      <c r="BX1815" s="17"/>
      <c r="BZ1815" s="17"/>
    </row>
    <row r="1816" spans="4:78" x14ac:dyDescent="0.3">
      <c r="D1816" s="153"/>
      <c r="E1816" s="6"/>
      <c r="G1816" s="6"/>
      <c r="J1816" s="6"/>
      <c r="N1816" s="154"/>
      <c r="O1816" s="6"/>
      <c r="S1816" s="6"/>
      <c r="V1816" s="6"/>
      <c r="X1816" s="6"/>
      <c r="Z1816" s="110"/>
      <c r="AB1816" s="6"/>
      <c r="AD1816" s="6"/>
      <c r="AE1816" s="6"/>
      <c r="AF1816" s="126"/>
      <c r="AJ1816" s="6"/>
      <c r="AL1816" s="110"/>
      <c r="AM1816" s="110"/>
      <c r="AN1816" s="110"/>
      <c r="AP1816" s="6"/>
      <c r="AW1816" s="6"/>
      <c r="AX1816" s="6"/>
      <c r="AZ1816" s="110"/>
      <c r="BB1816" s="6"/>
      <c r="BD1816" s="6"/>
      <c r="BE1816" s="6"/>
      <c r="BV1816" s="17"/>
      <c r="BX1816" s="17"/>
      <c r="BZ1816" s="17"/>
    </row>
    <row r="1817" spans="4:78" x14ac:dyDescent="0.3">
      <c r="D1817" s="153"/>
      <c r="E1817" s="6"/>
      <c r="G1817" s="6"/>
      <c r="J1817" s="6"/>
      <c r="N1817" s="154"/>
      <c r="O1817" s="6"/>
      <c r="S1817" s="6"/>
      <c r="V1817" s="6"/>
      <c r="X1817" s="6"/>
      <c r="Z1817" s="110"/>
      <c r="AB1817" s="6"/>
      <c r="AD1817" s="6"/>
      <c r="AE1817" s="6"/>
      <c r="AF1817" s="126"/>
      <c r="AJ1817" s="6"/>
      <c r="AL1817" s="110"/>
      <c r="AM1817" s="110"/>
      <c r="AN1817" s="110"/>
      <c r="AP1817" s="6"/>
      <c r="AW1817" s="6"/>
      <c r="AX1817" s="6"/>
      <c r="AZ1817" s="110"/>
      <c r="BB1817" s="6"/>
      <c r="BD1817" s="6"/>
      <c r="BE1817" s="6"/>
      <c r="BV1817" s="17"/>
      <c r="BX1817" s="17"/>
      <c r="BZ1817" s="17"/>
    </row>
    <row r="1818" spans="4:78" x14ac:dyDescent="0.3">
      <c r="D1818" s="153"/>
      <c r="E1818" s="6"/>
      <c r="G1818" s="6"/>
      <c r="J1818" s="6"/>
      <c r="N1818" s="154"/>
      <c r="O1818" s="6"/>
      <c r="S1818" s="6"/>
      <c r="V1818" s="6"/>
      <c r="X1818" s="6"/>
      <c r="Z1818" s="110"/>
      <c r="AB1818" s="6"/>
      <c r="AD1818" s="6"/>
      <c r="AE1818" s="6"/>
      <c r="AF1818" s="126"/>
      <c r="AJ1818" s="6"/>
      <c r="AL1818" s="110"/>
      <c r="AM1818" s="110"/>
      <c r="AN1818" s="110"/>
      <c r="AP1818" s="6"/>
      <c r="AW1818" s="6"/>
      <c r="AX1818" s="6"/>
      <c r="AZ1818" s="110"/>
      <c r="BB1818" s="6"/>
      <c r="BD1818" s="6"/>
      <c r="BE1818" s="6"/>
      <c r="BV1818" s="17"/>
      <c r="BX1818" s="17"/>
      <c r="BZ1818" s="17"/>
    </row>
    <row r="1819" spans="4:78" x14ac:dyDescent="0.3">
      <c r="D1819" s="153"/>
      <c r="E1819" s="6"/>
      <c r="G1819" s="6"/>
      <c r="J1819" s="6"/>
      <c r="N1819" s="154"/>
      <c r="O1819" s="6"/>
      <c r="S1819" s="6"/>
      <c r="V1819" s="6"/>
      <c r="X1819" s="6"/>
      <c r="Z1819" s="110"/>
      <c r="AB1819" s="6"/>
      <c r="AD1819" s="6"/>
      <c r="AE1819" s="6"/>
      <c r="AF1819" s="126"/>
      <c r="AJ1819" s="6"/>
      <c r="AL1819" s="110"/>
      <c r="AM1819" s="110"/>
      <c r="AN1819" s="110"/>
      <c r="AP1819" s="6"/>
      <c r="AW1819" s="6"/>
      <c r="AX1819" s="6"/>
      <c r="AZ1819" s="110"/>
      <c r="BB1819" s="6"/>
      <c r="BD1819" s="6"/>
      <c r="BE1819" s="6"/>
      <c r="BV1819" s="17"/>
      <c r="BX1819" s="17"/>
      <c r="BZ1819" s="17"/>
    </row>
    <row r="1820" spans="4:78" x14ac:dyDescent="0.3">
      <c r="D1820" s="153"/>
      <c r="E1820" s="6"/>
      <c r="G1820" s="6"/>
      <c r="J1820" s="6"/>
      <c r="N1820" s="154"/>
      <c r="O1820" s="6"/>
      <c r="S1820" s="6"/>
      <c r="V1820" s="6"/>
      <c r="X1820" s="6"/>
      <c r="Z1820" s="110"/>
      <c r="AB1820" s="6"/>
      <c r="AD1820" s="6"/>
      <c r="AE1820" s="6"/>
      <c r="AF1820" s="126"/>
      <c r="AJ1820" s="6"/>
      <c r="AL1820" s="110"/>
      <c r="AM1820" s="110"/>
      <c r="AN1820" s="110"/>
      <c r="AP1820" s="6"/>
      <c r="AW1820" s="6"/>
      <c r="AX1820" s="6"/>
      <c r="AZ1820" s="110"/>
      <c r="BB1820" s="6"/>
      <c r="BD1820" s="6"/>
      <c r="BE1820" s="6"/>
      <c r="BV1820" s="17"/>
      <c r="BX1820" s="17"/>
      <c r="BZ1820" s="17"/>
    </row>
    <row r="1821" spans="4:78" x14ac:dyDescent="0.3">
      <c r="D1821" s="153"/>
      <c r="E1821" s="6"/>
      <c r="G1821" s="6"/>
      <c r="J1821" s="6"/>
      <c r="N1821" s="154"/>
      <c r="O1821" s="6"/>
      <c r="S1821" s="6"/>
      <c r="V1821" s="6"/>
      <c r="X1821" s="6"/>
      <c r="Z1821" s="110"/>
      <c r="AB1821" s="6"/>
      <c r="AD1821" s="6"/>
      <c r="AE1821" s="6"/>
      <c r="AF1821" s="126"/>
      <c r="AJ1821" s="6"/>
      <c r="AL1821" s="110"/>
      <c r="AM1821" s="110"/>
      <c r="AN1821" s="110"/>
      <c r="AP1821" s="6"/>
      <c r="AW1821" s="6"/>
      <c r="AX1821" s="6"/>
      <c r="AZ1821" s="110"/>
      <c r="BB1821" s="6"/>
      <c r="BD1821" s="6"/>
      <c r="BE1821" s="6"/>
      <c r="BV1821" s="17"/>
      <c r="BX1821" s="17"/>
      <c r="BZ1821" s="17"/>
    </row>
    <row r="1822" spans="4:78" x14ac:dyDescent="0.3">
      <c r="D1822" s="153"/>
      <c r="E1822" s="6"/>
      <c r="G1822" s="6"/>
      <c r="J1822" s="6"/>
      <c r="N1822" s="154"/>
      <c r="O1822" s="6"/>
      <c r="S1822" s="6"/>
      <c r="V1822" s="6"/>
      <c r="X1822" s="6"/>
      <c r="Z1822" s="110"/>
      <c r="AB1822" s="6"/>
      <c r="AD1822" s="6"/>
      <c r="AE1822" s="6"/>
      <c r="AF1822" s="126"/>
      <c r="AJ1822" s="6"/>
      <c r="AL1822" s="110"/>
      <c r="AM1822" s="110"/>
      <c r="AN1822" s="110"/>
      <c r="AP1822" s="6"/>
      <c r="AW1822" s="6"/>
      <c r="AX1822" s="6"/>
      <c r="AZ1822" s="110"/>
      <c r="BB1822" s="6"/>
      <c r="BD1822" s="6"/>
      <c r="BE1822" s="6"/>
      <c r="BV1822" s="17"/>
      <c r="BX1822" s="17"/>
      <c r="BZ1822" s="17"/>
    </row>
    <row r="1823" spans="4:78" x14ac:dyDescent="0.3">
      <c r="D1823" s="153"/>
      <c r="E1823" s="6"/>
      <c r="G1823" s="6"/>
      <c r="J1823" s="6"/>
      <c r="N1823" s="154"/>
      <c r="O1823" s="6"/>
      <c r="S1823" s="6"/>
      <c r="V1823" s="6"/>
      <c r="X1823" s="6"/>
      <c r="Z1823" s="110"/>
      <c r="AB1823" s="6"/>
      <c r="AD1823" s="6"/>
      <c r="AE1823" s="6"/>
      <c r="AF1823" s="126"/>
      <c r="AJ1823" s="6"/>
      <c r="AL1823" s="110"/>
      <c r="AM1823" s="110"/>
      <c r="AN1823" s="110"/>
      <c r="AP1823" s="6"/>
      <c r="AW1823" s="6"/>
      <c r="AX1823" s="6"/>
      <c r="AZ1823" s="110"/>
      <c r="BB1823" s="6"/>
      <c r="BD1823" s="6"/>
      <c r="BE1823" s="6"/>
      <c r="BV1823" s="17"/>
      <c r="BX1823" s="17"/>
      <c r="BZ1823" s="17"/>
    </row>
    <row r="1824" spans="4:78" x14ac:dyDescent="0.3">
      <c r="D1824" s="153"/>
      <c r="E1824" s="6"/>
      <c r="G1824" s="6"/>
      <c r="J1824" s="6"/>
      <c r="N1824" s="154"/>
      <c r="O1824" s="6"/>
      <c r="S1824" s="6"/>
      <c r="V1824" s="6"/>
      <c r="X1824" s="6"/>
      <c r="Z1824" s="110"/>
      <c r="AB1824" s="6"/>
      <c r="AD1824" s="6"/>
      <c r="AE1824" s="6"/>
      <c r="AF1824" s="126"/>
      <c r="AJ1824" s="6"/>
      <c r="AL1824" s="110"/>
      <c r="AM1824" s="110"/>
      <c r="AN1824" s="110"/>
      <c r="AP1824" s="6"/>
      <c r="AW1824" s="6"/>
      <c r="AX1824" s="6"/>
      <c r="AZ1824" s="110"/>
      <c r="BB1824" s="6"/>
      <c r="BD1824" s="6"/>
      <c r="BE1824" s="6"/>
      <c r="BV1824" s="17"/>
      <c r="BX1824" s="17"/>
      <c r="BZ1824" s="17"/>
    </row>
    <row r="1825" spans="4:78" x14ac:dyDescent="0.3">
      <c r="D1825" s="153"/>
      <c r="E1825" s="6"/>
      <c r="G1825" s="6"/>
      <c r="J1825" s="6"/>
      <c r="N1825" s="154"/>
      <c r="O1825" s="6"/>
      <c r="S1825" s="6"/>
      <c r="V1825" s="6"/>
      <c r="X1825" s="6"/>
      <c r="Z1825" s="110"/>
      <c r="AB1825" s="6"/>
      <c r="AD1825" s="6"/>
      <c r="AE1825" s="6"/>
      <c r="AF1825" s="126"/>
      <c r="AJ1825" s="6"/>
      <c r="AL1825" s="110"/>
      <c r="AM1825" s="110"/>
      <c r="AN1825" s="110"/>
      <c r="AP1825" s="6"/>
      <c r="AW1825" s="6"/>
      <c r="AX1825" s="6"/>
      <c r="AZ1825" s="110"/>
      <c r="BB1825" s="6"/>
      <c r="BD1825" s="6"/>
      <c r="BE1825" s="6"/>
      <c r="BV1825" s="17"/>
      <c r="BX1825" s="17"/>
      <c r="BZ1825" s="17"/>
    </row>
    <row r="1826" spans="4:78" x14ac:dyDescent="0.3">
      <c r="D1826" s="153"/>
      <c r="E1826" s="6"/>
      <c r="G1826" s="6"/>
      <c r="J1826" s="6"/>
      <c r="N1826" s="154"/>
      <c r="O1826" s="6"/>
      <c r="S1826" s="6"/>
      <c r="V1826" s="6"/>
      <c r="X1826" s="6"/>
      <c r="Z1826" s="110"/>
      <c r="AB1826" s="6"/>
      <c r="AD1826" s="6"/>
      <c r="AE1826" s="6"/>
      <c r="AF1826" s="126"/>
      <c r="AJ1826" s="6"/>
      <c r="AL1826" s="110"/>
      <c r="AM1826" s="110"/>
      <c r="AN1826" s="110"/>
      <c r="AP1826" s="6"/>
      <c r="AW1826" s="6"/>
      <c r="AX1826" s="6"/>
      <c r="AZ1826" s="110"/>
      <c r="BB1826" s="6"/>
      <c r="BD1826" s="6"/>
      <c r="BE1826" s="6"/>
      <c r="BV1826" s="17"/>
      <c r="BX1826" s="17"/>
      <c r="BZ1826" s="17"/>
    </row>
    <row r="1827" spans="4:78" x14ac:dyDescent="0.3">
      <c r="D1827" s="153"/>
      <c r="E1827" s="6"/>
      <c r="G1827" s="6"/>
      <c r="J1827" s="6"/>
      <c r="N1827" s="154"/>
      <c r="O1827" s="6"/>
      <c r="S1827" s="6"/>
      <c r="V1827" s="6"/>
      <c r="X1827" s="6"/>
      <c r="Z1827" s="110"/>
      <c r="AB1827" s="6"/>
      <c r="AD1827" s="6"/>
      <c r="AE1827" s="6"/>
      <c r="AF1827" s="126"/>
      <c r="AJ1827" s="6"/>
      <c r="AL1827" s="110"/>
      <c r="AM1827" s="110"/>
      <c r="AN1827" s="110"/>
      <c r="AP1827" s="6"/>
      <c r="AW1827" s="6"/>
      <c r="AX1827" s="6"/>
      <c r="AZ1827" s="110"/>
      <c r="BB1827" s="6"/>
      <c r="BD1827" s="6"/>
      <c r="BE1827" s="6"/>
      <c r="BV1827" s="17"/>
      <c r="BX1827" s="17"/>
      <c r="BZ1827" s="17"/>
    </row>
    <row r="1828" spans="4:78" x14ac:dyDescent="0.3">
      <c r="D1828" s="153"/>
      <c r="E1828" s="6"/>
      <c r="G1828" s="6"/>
      <c r="J1828" s="6"/>
      <c r="N1828" s="154"/>
      <c r="O1828" s="6"/>
      <c r="S1828" s="6"/>
      <c r="V1828" s="6"/>
      <c r="X1828" s="6"/>
      <c r="Z1828" s="110"/>
      <c r="AB1828" s="6"/>
      <c r="AD1828" s="6"/>
      <c r="AE1828" s="6"/>
      <c r="AF1828" s="126"/>
      <c r="AJ1828" s="6"/>
      <c r="AL1828" s="110"/>
      <c r="AM1828" s="110"/>
      <c r="AN1828" s="110"/>
      <c r="AP1828" s="6"/>
      <c r="AW1828" s="6"/>
      <c r="AX1828" s="6"/>
      <c r="AZ1828" s="110"/>
      <c r="BB1828" s="6"/>
      <c r="BD1828" s="6"/>
      <c r="BE1828" s="6"/>
      <c r="BV1828" s="17"/>
      <c r="BX1828" s="17"/>
      <c r="BZ1828" s="17"/>
    </row>
    <row r="1829" spans="4:78" x14ac:dyDescent="0.3">
      <c r="D1829" s="153"/>
      <c r="E1829" s="6"/>
      <c r="G1829" s="6"/>
      <c r="J1829" s="6"/>
      <c r="N1829" s="154"/>
      <c r="O1829" s="6"/>
      <c r="S1829" s="6"/>
      <c r="V1829" s="6"/>
      <c r="X1829" s="6"/>
      <c r="Z1829" s="110"/>
      <c r="AB1829" s="6"/>
      <c r="AD1829" s="6"/>
      <c r="AE1829" s="6"/>
      <c r="AF1829" s="126"/>
      <c r="AJ1829" s="6"/>
      <c r="AL1829" s="110"/>
      <c r="AM1829" s="110"/>
      <c r="AN1829" s="110"/>
      <c r="AP1829" s="6"/>
      <c r="AW1829" s="6"/>
      <c r="AX1829" s="6"/>
      <c r="AZ1829" s="110"/>
      <c r="BB1829" s="6"/>
      <c r="BD1829" s="6"/>
      <c r="BE1829" s="6"/>
      <c r="BV1829" s="17"/>
      <c r="BX1829" s="17"/>
      <c r="BZ1829" s="17"/>
    </row>
    <row r="1830" spans="4:78" x14ac:dyDescent="0.3">
      <c r="D1830" s="153"/>
      <c r="E1830" s="6"/>
      <c r="G1830" s="6"/>
      <c r="J1830" s="6"/>
      <c r="N1830" s="154"/>
      <c r="O1830" s="6"/>
      <c r="S1830" s="6"/>
      <c r="V1830" s="6"/>
      <c r="X1830" s="6"/>
      <c r="Z1830" s="110"/>
      <c r="AB1830" s="6"/>
      <c r="AD1830" s="6"/>
      <c r="AE1830" s="6"/>
      <c r="AF1830" s="126"/>
      <c r="AJ1830" s="6"/>
      <c r="AL1830" s="110"/>
      <c r="AM1830" s="110"/>
      <c r="AN1830" s="110"/>
      <c r="AP1830" s="6"/>
      <c r="AW1830" s="6"/>
      <c r="AX1830" s="6"/>
      <c r="AZ1830" s="110"/>
      <c r="BB1830" s="6"/>
      <c r="BD1830" s="6"/>
      <c r="BE1830" s="6"/>
      <c r="BV1830" s="17"/>
      <c r="BX1830" s="17"/>
      <c r="BZ1830" s="17"/>
    </row>
    <row r="1831" spans="4:78" x14ac:dyDescent="0.3">
      <c r="D1831" s="153"/>
      <c r="E1831" s="6"/>
      <c r="G1831" s="6"/>
      <c r="J1831" s="6"/>
      <c r="N1831" s="154"/>
      <c r="O1831" s="6"/>
      <c r="S1831" s="6"/>
      <c r="V1831" s="6"/>
      <c r="X1831" s="6"/>
      <c r="Z1831" s="110"/>
      <c r="AB1831" s="6"/>
      <c r="AD1831" s="6"/>
      <c r="AE1831" s="6"/>
      <c r="AF1831" s="126"/>
      <c r="AJ1831" s="6"/>
      <c r="AL1831" s="110"/>
      <c r="AM1831" s="110"/>
      <c r="AN1831" s="110"/>
      <c r="AP1831" s="6"/>
      <c r="AW1831" s="6"/>
      <c r="AX1831" s="6"/>
      <c r="AZ1831" s="110"/>
      <c r="BB1831" s="6"/>
      <c r="BD1831" s="6"/>
      <c r="BE1831" s="6"/>
      <c r="BV1831" s="17"/>
      <c r="BX1831" s="17"/>
      <c r="BZ1831" s="17"/>
    </row>
    <row r="1832" spans="4:78" x14ac:dyDescent="0.3">
      <c r="D1832" s="153"/>
      <c r="E1832" s="6"/>
      <c r="G1832" s="6"/>
      <c r="J1832" s="6"/>
      <c r="N1832" s="154"/>
      <c r="O1832" s="6"/>
      <c r="S1832" s="6"/>
      <c r="V1832" s="6"/>
      <c r="X1832" s="6"/>
      <c r="Z1832" s="110"/>
      <c r="AB1832" s="6"/>
      <c r="AD1832" s="6"/>
      <c r="AE1832" s="6"/>
      <c r="AF1832" s="126"/>
      <c r="AJ1832" s="6"/>
      <c r="AL1832" s="110"/>
      <c r="AM1832" s="110"/>
      <c r="AN1832" s="110"/>
      <c r="AP1832" s="6"/>
      <c r="AW1832" s="6"/>
      <c r="AX1832" s="6"/>
      <c r="AZ1832" s="110"/>
      <c r="BB1832" s="6"/>
      <c r="BD1832" s="6"/>
      <c r="BE1832" s="6"/>
      <c r="BV1832" s="17"/>
      <c r="BX1832" s="17"/>
      <c r="BZ1832" s="17"/>
    </row>
    <row r="1833" spans="4:78" x14ac:dyDescent="0.3">
      <c r="D1833" s="153"/>
      <c r="E1833" s="6"/>
      <c r="G1833" s="6"/>
      <c r="J1833" s="6"/>
      <c r="N1833" s="154"/>
      <c r="O1833" s="6"/>
      <c r="S1833" s="6"/>
      <c r="V1833" s="6"/>
      <c r="X1833" s="6"/>
      <c r="Z1833" s="110"/>
      <c r="AB1833" s="6"/>
      <c r="AD1833" s="6"/>
      <c r="AE1833" s="6"/>
      <c r="AF1833" s="126"/>
      <c r="AJ1833" s="6"/>
      <c r="AL1833" s="110"/>
      <c r="AM1833" s="110"/>
      <c r="AN1833" s="110"/>
      <c r="AP1833" s="6"/>
      <c r="AW1833" s="6"/>
      <c r="AX1833" s="6"/>
      <c r="AZ1833" s="110"/>
      <c r="BB1833" s="6"/>
      <c r="BD1833" s="6"/>
      <c r="BE1833" s="6"/>
      <c r="BV1833" s="17"/>
      <c r="BX1833" s="17"/>
      <c r="BZ1833" s="17"/>
    </row>
    <row r="1834" spans="4:78" x14ac:dyDescent="0.3">
      <c r="D1834" s="153"/>
      <c r="E1834" s="6"/>
      <c r="G1834" s="6"/>
      <c r="J1834" s="6"/>
      <c r="N1834" s="154"/>
      <c r="O1834" s="6"/>
      <c r="S1834" s="6"/>
      <c r="V1834" s="6"/>
      <c r="X1834" s="6"/>
      <c r="Z1834" s="110"/>
      <c r="AB1834" s="6"/>
      <c r="AD1834" s="6"/>
      <c r="AE1834" s="6"/>
      <c r="AF1834" s="126"/>
      <c r="AJ1834" s="6"/>
      <c r="AL1834" s="110"/>
      <c r="AM1834" s="110"/>
      <c r="AN1834" s="110"/>
      <c r="AP1834" s="6"/>
      <c r="AW1834" s="6"/>
      <c r="AX1834" s="6"/>
      <c r="AZ1834" s="110"/>
      <c r="BB1834" s="6"/>
      <c r="BD1834" s="6"/>
      <c r="BE1834" s="6"/>
      <c r="BV1834" s="17"/>
      <c r="BX1834" s="17"/>
      <c r="BZ1834" s="17"/>
    </row>
    <row r="1835" spans="4:78" x14ac:dyDescent="0.3">
      <c r="D1835" s="153"/>
      <c r="E1835" s="6"/>
      <c r="G1835" s="6"/>
      <c r="J1835" s="6"/>
      <c r="N1835" s="154"/>
      <c r="O1835" s="6"/>
      <c r="S1835" s="6"/>
      <c r="V1835" s="6"/>
      <c r="X1835" s="6"/>
      <c r="Z1835" s="110"/>
      <c r="AB1835" s="6"/>
      <c r="AD1835" s="6"/>
      <c r="AE1835" s="6"/>
      <c r="AF1835" s="126"/>
      <c r="AJ1835" s="6"/>
      <c r="AL1835" s="110"/>
      <c r="AM1835" s="110"/>
      <c r="AN1835" s="110"/>
      <c r="AP1835" s="6"/>
      <c r="AW1835" s="6"/>
      <c r="AX1835" s="6"/>
      <c r="AZ1835" s="110"/>
      <c r="BB1835" s="6"/>
      <c r="BD1835" s="6"/>
      <c r="BE1835" s="6"/>
      <c r="BV1835" s="17"/>
      <c r="BX1835" s="17"/>
      <c r="BZ1835" s="17"/>
    </row>
    <row r="1836" spans="4:78" x14ac:dyDescent="0.3">
      <c r="D1836" s="153"/>
      <c r="E1836" s="6"/>
      <c r="G1836" s="6"/>
      <c r="J1836" s="6"/>
      <c r="N1836" s="154"/>
      <c r="O1836" s="6"/>
      <c r="S1836" s="6"/>
      <c r="V1836" s="6"/>
      <c r="X1836" s="6"/>
      <c r="Z1836" s="110"/>
      <c r="AB1836" s="6"/>
      <c r="AD1836" s="6"/>
      <c r="AE1836" s="6"/>
      <c r="AF1836" s="126"/>
      <c r="AJ1836" s="6"/>
      <c r="AL1836" s="110"/>
      <c r="AM1836" s="110"/>
      <c r="AN1836" s="110"/>
      <c r="AP1836" s="6"/>
      <c r="AW1836" s="6"/>
      <c r="AX1836" s="6"/>
      <c r="AZ1836" s="110"/>
      <c r="BB1836" s="6"/>
      <c r="BD1836" s="6"/>
      <c r="BE1836" s="6"/>
      <c r="BV1836" s="17"/>
      <c r="BX1836" s="17"/>
      <c r="BZ1836" s="17"/>
    </row>
    <row r="1837" spans="4:78" x14ac:dyDescent="0.3">
      <c r="D1837" s="153"/>
      <c r="E1837" s="6"/>
      <c r="G1837" s="6"/>
      <c r="J1837" s="6"/>
      <c r="N1837" s="154"/>
      <c r="O1837" s="6"/>
      <c r="S1837" s="6"/>
      <c r="V1837" s="6"/>
      <c r="X1837" s="6"/>
      <c r="Z1837" s="110"/>
      <c r="AB1837" s="6"/>
      <c r="AD1837" s="6"/>
      <c r="AE1837" s="6"/>
      <c r="AF1837" s="126"/>
      <c r="AJ1837" s="6"/>
      <c r="AL1837" s="110"/>
      <c r="AM1837" s="110"/>
      <c r="AN1837" s="110"/>
      <c r="AP1837" s="6"/>
      <c r="AW1837" s="6"/>
      <c r="AX1837" s="6"/>
      <c r="AZ1837" s="110"/>
      <c r="BB1837" s="6"/>
      <c r="BD1837" s="6"/>
      <c r="BE1837" s="6"/>
      <c r="BV1837" s="17"/>
      <c r="BX1837" s="17"/>
      <c r="BZ1837" s="17"/>
    </row>
    <row r="1838" spans="4:78" x14ac:dyDescent="0.3">
      <c r="D1838" s="153"/>
      <c r="E1838" s="6"/>
      <c r="G1838" s="6"/>
      <c r="J1838" s="6"/>
      <c r="N1838" s="154"/>
      <c r="O1838" s="6"/>
      <c r="S1838" s="6"/>
      <c r="V1838" s="6"/>
      <c r="X1838" s="6"/>
      <c r="Z1838" s="110"/>
      <c r="AB1838" s="6"/>
      <c r="AD1838" s="6"/>
      <c r="AE1838" s="6"/>
      <c r="AF1838" s="126"/>
      <c r="AJ1838" s="6"/>
      <c r="AL1838" s="110"/>
      <c r="AM1838" s="110"/>
      <c r="AN1838" s="110"/>
      <c r="AP1838" s="6"/>
      <c r="AW1838" s="6"/>
      <c r="AX1838" s="6"/>
      <c r="AZ1838" s="110"/>
      <c r="BB1838" s="6"/>
      <c r="BD1838" s="6"/>
      <c r="BE1838" s="6"/>
      <c r="BV1838" s="17"/>
      <c r="BX1838" s="17"/>
      <c r="BZ1838" s="17"/>
    </row>
    <row r="1839" spans="4:78" x14ac:dyDescent="0.3">
      <c r="D1839" s="153"/>
      <c r="E1839" s="6"/>
      <c r="G1839" s="6"/>
      <c r="J1839" s="6"/>
      <c r="N1839" s="154"/>
      <c r="O1839" s="6"/>
      <c r="S1839" s="6"/>
      <c r="V1839" s="6"/>
      <c r="X1839" s="6"/>
      <c r="Z1839" s="110"/>
      <c r="AB1839" s="6"/>
      <c r="AD1839" s="6"/>
      <c r="AE1839" s="6"/>
      <c r="AF1839" s="126"/>
      <c r="AJ1839" s="6"/>
      <c r="AL1839" s="110"/>
      <c r="AM1839" s="110"/>
      <c r="AN1839" s="110"/>
      <c r="AP1839" s="6"/>
      <c r="AW1839" s="6"/>
      <c r="AX1839" s="6"/>
      <c r="AZ1839" s="110"/>
      <c r="BB1839" s="6"/>
      <c r="BD1839" s="6"/>
      <c r="BE1839" s="6"/>
      <c r="BV1839" s="17"/>
      <c r="BX1839" s="17"/>
      <c r="BZ1839" s="17"/>
    </row>
    <row r="1840" spans="4:78" x14ac:dyDescent="0.3">
      <c r="D1840" s="153"/>
      <c r="E1840" s="6"/>
      <c r="G1840" s="6"/>
      <c r="J1840" s="6"/>
      <c r="N1840" s="154"/>
      <c r="O1840" s="6"/>
      <c r="S1840" s="6"/>
      <c r="V1840" s="6"/>
      <c r="X1840" s="6"/>
      <c r="Z1840" s="110"/>
      <c r="AB1840" s="6"/>
      <c r="AD1840" s="6"/>
      <c r="AE1840" s="6"/>
      <c r="AF1840" s="126"/>
      <c r="AJ1840" s="6"/>
      <c r="AL1840" s="110"/>
      <c r="AM1840" s="110"/>
      <c r="AN1840" s="110"/>
      <c r="AP1840" s="6"/>
      <c r="AW1840" s="6"/>
      <c r="AX1840" s="6"/>
      <c r="AZ1840" s="110"/>
      <c r="BB1840" s="6"/>
      <c r="BD1840" s="6"/>
      <c r="BE1840" s="6"/>
      <c r="BV1840" s="17"/>
      <c r="BX1840" s="17"/>
      <c r="BZ1840" s="17"/>
    </row>
    <row r="1841" spans="4:78" x14ac:dyDescent="0.3">
      <c r="D1841" s="153"/>
      <c r="E1841" s="6"/>
      <c r="G1841" s="6"/>
      <c r="J1841" s="6"/>
      <c r="N1841" s="154"/>
      <c r="O1841" s="6"/>
      <c r="S1841" s="6"/>
      <c r="V1841" s="6"/>
      <c r="X1841" s="6"/>
      <c r="Z1841" s="110"/>
      <c r="AB1841" s="6"/>
      <c r="AD1841" s="6"/>
      <c r="AE1841" s="6"/>
      <c r="AF1841" s="126"/>
      <c r="AJ1841" s="6"/>
      <c r="AL1841" s="110"/>
      <c r="AM1841" s="110"/>
      <c r="AN1841" s="110"/>
      <c r="AP1841" s="6"/>
      <c r="AW1841" s="6"/>
      <c r="AX1841" s="6"/>
      <c r="AZ1841" s="110"/>
      <c r="BB1841" s="6"/>
      <c r="BD1841" s="6"/>
      <c r="BE1841" s="6"/>
      <c r="BV1841" s="17"/>
      <c r="BX1841" s="17"/>
      <c r="BZ1841" s="17"/>
    </row>
    <row r="1842" spans="4:78" x14ac:dyDescent="0.3">
      <c r="D1842" s="153"/>
      <c r="E1842" s="6"/>
      <c r="G1842" s="6"/>
      <c r="J1842" s="6"/>
      <c r="N1842" s="154"/>
      <c r="O1842" s="6"/>
      <c r="S1842" s="6"/>
      <c r="V1842" s="6"/>
      <c r="X1842" s="6"/>
      <c r="Z1842" s="110"/>
      <c r="AB1842" s="6"/>
      <c r="AD1842" s="6"/>
      <c r="AE1842" s="6"/>
      <c r="AF1842" s="126"/>
      <c r="AJ1842" s="6"/>
      <c r="AL1842" s="110"/>
      <c r="AM1842" s="110"/>
      <c r="AN1842" s="110"/>
      <c r="AP1842" s="6"/>
      <c r="AW1842" s="6"/>
      <c r="AX1842" s="6"/>
      <c r="AZ1842" s="110"/>
      <c r="BB1842" s="6"/>
      <c r="BD1842" s="6"/>
      <c r="BE1842" s="6"/>
      <c r="BV1842" s="17"/>
      <c r="BX1842" s="17"/>
      <c r="BZ1842" s="17"/>
    </row>
    <row r="1843" spans="4:78" x14ac:dyDescent="0.3">
      <c r="D1843" s="153"/>
      <c r="E1843" s="6"/>
      <c r="G1843" s="6"/>
      <c r="J1843" s="6"/>
      <c r="N1843" s="154"/>
      <c r="O1843" s="6"/>
      <c r="S1843" s="6"/>
      <c r="V1843" s="6"/>
      <c r="X1843" s="6"/>
      <c r="Z1843" s="110"/>
      <c r="AB1843" s="6"/>
      <c r="AD1843" s="6"/>
      <c r="AE1843" s="6"/>
      <c r="AF1843" s="126"/>
      <c r="AJ1843" s="6"/>
      <c r="AL1843" s="110"/>
      <c r="AM1843" s="110"/>
      <c r="AN1843" s="110"/>
      <c r="AP1843" s="6"/>
      <c r="AW1843" s="6"/>
      <c r="AX1843" s="6"/>
      <c r="AZ1843" s="110"/>
      <c r="BB1843" s="6"/>
      <c r="BD1843" s="6"/>
      <c r="BE1843" s="6"/>
      <c r="BV1843" s="17"/>
      <c r="BX1843" s="17"/>
      <c r="BZ1843" s="17"/>
    </row>
    <row r="1844" spans="4:78" x14ac:dyDescent="0.3">
      <c r="D1844" s="153"/>
      <c r="E1844" s="6"/>
      <c r="G1844" s="6"/>
      <c r="J1844" s="6"/>
      <c r="N1844" s="154"/>
      <c r="O1844" s="6"/>
      <c r="S1844" s="6"/>
      <c r="V1844" s="6"/>
      <c r="X1844" s="6"/>
      <c r="Z1844" s="110"/>
      <c r="AB1844" s="6"/>
      <c r="AD1844" s="6"/>
      <c r="AE1844" s="6"/>
      <c r="AF1844" s="126"/>
      <c r="AJ1844" s="6"/>
      <c r="AL1844" s="110"/>
      <c r="AM1844" s="110"/>
      <c r="AN1844" s="110"/>
      <c r="AP1844" s="6"/>
      <c r="AW1844" s="6"/>
      <c r="AX1844" s="6"/>
      <c r="AZ1844" s="110"/>
      <c r="BB1844" s="6"/>
      <c r="BD1844" s="6"/>
      <c r="BE1844" s="6"/>
      <c r="BV1844" s="17"/>
      <c r="BX1844" s="17"/>
      <c r="BZ1844" s="17"/>
    </row>
    <row r="1845" spans="4:78" x14ac:dyDescent="0.3">
      <c r="D1845" s="153"/>
      <c r="E1845" s="6"/>
      <c r="G1845" s="6"/>
      <c r="J1845" s="6"/>
      <c r="N1845" s="154"/>
      <c r="O1845" s="6"/>
      <c r="S1845" s="6"/>
      <c r="V1845" s="6"/>
      <c r="X1845" s="6"/>
      <c r="Z1845" s="110"/>
      <c r="AB1845" s="6"/>
      <c r="AD1845" s="6"/>
      <c r="AE1845" s="6"/>
      <c r="AF1845" s="126"/>
      <c r="AJ1845" s="6"/>
      <c r="AL1845" s="110"/>
      <c r="AM1845" s="110"/>
      <c r="AN1845" s="110"/>
      <c r="AP1845" s="6"/>
      <c r="AW1845" s="6"/>
      <c r="AX1845" s="6"/>
      <c r="AZ1845" s="110"/>
      <c r="BB1845" s="6"/>
      <c r="BD1845" s="6"/>
      <c r="BE1845" s="6"/>
      <c r="BV1845" s="17"/>
      <c r="BX1845" s="17"/>
      <c r="BZ1845" s="17"/>
    </row>
    <row r="1846" spans="4:78" x14ac:dyDescent="0.3">
      <c r="D1846" s="153"/>
      <c r="E1846" s="6"/>
      <c r="G1846" s="6"/>
      <c r="J1846" s="6"/>
      <c r="N1846" s="154"/>
      <c r="O1846" s="6"/>
      <c r="S1846" s="6"/>
      <c r="V1846" s="6"/>
      <c r="X1846" s="6"/>
      <c r="Z1846" s="110"/>
      <c r="AB1846" s="6"/>
      <c r="AD1846" s="6"/>
      <c r="AE1846" s="6"/>
      <c r="AF1846" s="126"/>
      <c r="AJ1846" s="6"/>
      <c r="AL1846" s="110"/>
      <c r="AM1846" s="110"/>
      <c r="AN1846" s="110"/>
      <c r="AP1846" s="6"/>
      <c r="AW1846" s="6"/>
      <c r="AX1846" s="6"/>
      <c r="AZ1846" s="110"/>
      <c r="BB1846" s="6"/>
      <c r="BD1846" s="6"/>
      <c r="BE1846" s="6"/>
      <c r="BV1846" s="17"/>
      <c r="BX1846" s="17"/>
      <c r="BZ1846" s="17"/>
    </row>
    <row r="1847" spans="4:78" x14ac:dyDescent="0.3">
      <c r="D1847" s="153"/>
      <c r="E1847" s="6"/>
      <c r="G1847" s="6"/>
      <c r="J1847" s="6"/>
      <c r="N1847" s="154"/>
      <c r="O1847" s="6"/>
      <c r="S1847" s="6"/>
      <c r="V1847" s="6"/>
      <c r="X1847" s="6"/>
      <c r="Z1847" s="110"/>
      <c r="AB1847" s="6"/>
      <c r="AD1847" s="6"/>
      <c r="AE1847" s="6"/>
      <c r="AF1847" s="126"/>
      <c r="AJ1847" s="6"/>
      <c r="AL1847" s="110"/>
      <c r="AM1847" s="110"/>
      <c r="AN1847" s="110"/>
      <c r="AP1847" s="6"/>
      <c r="AW1847" s="6"/>
      <c r="AX1847" s="6"/>
      <c r="AZ1847" s="110"/>
      <c r="BB1847" s="6"/>
      <c r="BD1847" s="6"/>
      <c r="BE1847" s="6"/>
      <c r="BV1847" s="17"/>
      <c r="BX1847" s="17"/>
      <c r="BZ1847" s="17"/>
    </row>
    <row r="1848" spans="4:78" x14ac:dyDescent="0.3">
      <c r="D1848" s="153"/>
      <c r="E1848" s="6"/>
      <c r="G1848" s="6"/>
      <c r="J1848" s="6"/>
      <c r="N1848" s="154"/>
      <c r="O1848" s="6"/>
      <c r="S1848" s="6"/>
      <c r="V1848" s="6"/>
      <c r="X1848" s="6"/>
      <c r="Z1848" s="110"/>
      <c r="AB1848" s="6"/>
      <c r="AD1848" s="6"/>
      <c r="AE1848" s="6"/>
      <c r="AF1848" s="126"/>
      <c r="AJ1848" s="6"/>
      <c r="AL1848" s="110"/>
      <c r="AM1848" s="110"/>
      <c r="AN1848" s="110"/>
      <c r="AP1848" s="6"/>
      <c r="AW1848" s="6"/>
      <c r="AX1848" s="6"/>
      <c r="AZ1848" s="110"/>
      <c r="BB1848" s="6"/>
      <c r="BD1848" s="6"/>
      <c r="BE1848" s="6"/>
      <c r="BV1848" s="17"/>
      <c r="BX1848" s="17"/>
      <c r="BZ1848" s="17"/>
    </row>
    <row r="1849" spans="4:78" x14ac:dyDescent="0.3">
      <c r="D1849" s="153"/>
      <c r="E1849" s="6"/>
      <c r="G1849" s="6"/>
      <c r="J1849" s="6"/>
      <c r="N1849" s="154"/>
      <c r="O1849" s="6"/>
      <c r="S1849" s="6"/>
      <c r="V1849" s="6"/>
      <c r="X1849" s="6"/>
      <c r="Z1849" s="110"/>
      <c r="AB1849" s="6"/>
      <c r="AD1849" s="6"/>
      <c r="AE1849" s="6"/>
      <c r="AF1849" s="126"/>
      <c r="AJ1849" s="6"/>
      <c r="AL1849" s="110"/>
      <c r="AM1849" s="110"/>
      <c r="AN1849" s="110"/>
      <c r="AP1849" s="6"/>
      <c r="AW1849" s="6"/>
      <c r="AX1849" s="6"/>
      <c r="AZ1849" s="110"/>
      <c r="BB1849" s="6"/>
      <c r="BD1849" s="6"/>
      <c r="BE1849" s="6"/>
      <c r="BV1849" s="17"/>
      <c r="BX1849" s="17"/>
      <c r="BZ1849" s="17"/>
    </row>
    <row r="1850" spans="4:78" x14ac:dyDescent="0.3">
      <c r="D1850" s="153"/>
      <c r="E1850" s="6"/>
      <c r="G1850" s="6"/>
      <c r="J1850" s="6"/>
      <c r="N1850" s="154"/>
      <c r="O1850" s="6"/>
      <c r="S1850" s="6"/>
      <c r="V1850" s="6"/>
      <c r="X1850" s="6"/>
      <c r="Z1850" s="110"/>
      <c r="AB1850" s="6"/>
      <c r="AD1850" s="6"/>
      <c r="AE1850" s="6"/>
      <c r="AF1850" s="126"/>
      <c r="AJ1850" s="6"/>
      <c r="AL1850" s="110"/>
      <c r="AM1850" s="110"/>
      <c r="AN1850" s="110"/>
      <c r="AP1850" s="6"/>
      <c r="AW1850" s="6"/>
      <c r="AX1850" s="6"/>
      <c r="AZ1850" s="110"/>
      <c r="BB1850" s="6"/>
      <c r="BD1850" s="6"/>
      <c r="BE1850" s="6"/>
      <c r="BV1850" s="17"/>
      <c r="BX1850" s="17"/>
      <c r="BZ1850" s="17"/>
    </row>
    <row r="1851" spans="4:78" x14ac:dyDescent="0.3">
      <c r="D1851" s="153"/>
      <c r="E1851" s="6"/>
      <c r="G1851" s="6"/>
      <c r="J1851" s="6"/>
      <c r="N1851" s="154"/>
      <c r="O1851" s="6"/>
      <c r="S1851" s="6"/>
      <c r="V1851" s="6"/>
      <c r="X1851" s="6"/>
      <c r="Z1851" s="110"/>
      <c r="AB1851" s="6"/>
      <c r="AD1851" s="6"/>
      <c r="AE1851" s="6"/>
      <c r="AF1851" s="126"/>
      <c r="AJ1851" s="6"/>
      <c r="AL1851" s="110"/>
      <c r="AM1851" s="110"/>
      <c r="AN1851" s="110"/>
      <c r="AP1851" s="6"/>
      <c r="AW1851" s="6"/>
      <c r="AX1851" s="6"/>
      <c r="AZ1851" s="110"/>
      <c r="BB1851" s="6"/>
      <c r="BD1851" s="6"/>
      <c r="BE1851" s="6"/>
      <c r="BV1851" s="17"/>
      <c r="BX1851" s="17"/>
      <c r="BZ1851" s="17"/>
    </row>
    <row r="1852" spans="4:78" x14ac:dyDescent="0.3">
      <c r="D1852" s="153"/>
      <c r="E1852" s="6"/>
      <c r="G1852" s="6"/>
      <c r="J1852" s="6"/>
      <c r="N1852" s="154"/>
      <c r="O1852" s="6"/>
      <c r="S1852" s="6"/>
      <c r="V1852" s="6"/>
      <c r="X1852" s="6"/>
      <c r="Z1852" s="110"/>
      <c r="AB1852" s="6"/>
      <c r="AD1852" s="6"/>
      <c r="AE1852" s="6"/>
      <c r="AF1852" s="126"/>
      <c r="AJ1852" s="6"/>
      <c r="AL1852" s="110"/>
      <c r="AM1852" s="110"/>
      <c r="AN1852" s="110"/>
      <c r="AP1852" s="6"/>
      <c r="AW1852" s="6"/>
      <c r="AX1852" s="6"/>
      <c r="AZ1852" s="110"/>
      <c r="BB1852" s="6"/>
      <c r="BD1852" s="6"/>
      <c r="BE1852" s="6"/>
      <c r="BV1852" s="17"/>
      <c r="BX1852" s="17"/>
      <c r="BZ1852" s="17"/>
    </row>
    <row r="1853" spans="4:78" x14ac:dyDescent="0.3">
      <c r="D1853" s="153"/>
      <c r="E1853" s="6"/>
      <c r="G1853" s="6"/>
      <c r="J1853" s="6"/>
      <c r="N1853" s="154"/>
      <c r="O1853" s="6"/>
      <c r="S1853" s="6"/>
      <c r="V1853" s="6"/>
      <c r="X1853" s="6"/>
      <c r="Z1853" s="110"/>
      <c r="AB1853" s="6"/>
      <c r="AD1853" s="6"/>
      <c r="AE1853" s="6"/>
      <c r="AF1853" s="126"/>
      <c r="AJ1853" s="6"/>
      <c r="AL1853" s="110"/>
      <c r="AM1853" s="110"/>
      <c r="AN1853" s="110"/>
      <c r="AP1853" s="6"/>
      <c r="AW1853" s="6"/>
      <c r="AX1853" s="6"/>
      <c r="AZ1853" s="110"/>
      <c r="BB1853" s="6"/>
      <c r="BD1853" s="6"/>
      <c r="BE1853" s="6"/>
      <c r="BV1853" s="17"/>
      <c r="BX1853" s="17"/>
      <c r="BZ1853" s="17"/>
    </row>
    <row r="1854" spans="4:78" x14ac:dyDescent="0.3">
      <c r="D1854" s="153"/>
      <c r="E1854" s="6"/>
      <c r="G1854" s="6"/>
      <c r="J1854" s="6"/>
      <c r="N1854" s="154"/>
      <c r="O1854" s="6"/>
      <c r="S1854" s="6"/>
      <c r="V1854" s="6"/>
      <c r="X1854" s="6"/>
      <c r="Z1854" s="110"/>
      <c r="AB1854" s="6"/>
      <c r="AD1854" s="6"/>
      <c r="AE1854" s="6"/>
      <c r="AF1854" s="126"/>
      <c r="AJ1854" s="6"/>
      <c r="AL1854" s="110"/>
      <c r="AM1854" s="110"/>
      <c r="AN1854" s="110"/>
      <c r="AP1854" s="6"/>
      <c r="AW1854" s="6"/>
      <c r="AX1854" s="6"/>
      <c r="AZ1854" s="110"/>
      <c r="BB1854" s="6"/>
      <c r="BD1854" s="6"/>
      <c r="BE1854" s="6"/>
      <c r="BV1854" s="17"/>
      <c r="BX1854" s="17"/>
      <c r="BZ1854" s="17"/>
    </row>
    <row r="1855" spans="4:78" x14ac:dyDescent="0.3">
      <c r="D1855" s="153"/>
      <c r="E1855" s="6"/>
      <c r="G1855" s="6"/>
      <c r="J1855" s="6"/>
      <c r="N1855" s="154"/>
      <c r="O1855" s="6"/>
      <c r="S1855" s="6"/>
      <c r="V1855" s="6"/>
      <c r="X1855" s="6"/>
      <c r="Z1855" s="110"/>
      <c r="AB1855" s="6"/>
      <c r="AD1855" s="6"/>
      <c r="AE1855" s="6"/>
      <c r="AF1855" s="126"/>
      <c r="AJ1855" s="6"/>
      <c r="AL1855" s="110"/>
      <c r="AM1855" s="110"/>
      <c r="AN1855" s="110"/>
      <c r="AP1855" s="6"/>
      <c r="AW1855" s="6"/>
      <c r="AX1855" s="6"/>
      <c r="AZ1855" s="110"/>
      <c r="BB1855" s="6"/>
      <c r="BD1855" s="6"/>
      <c r="BE1855" s="6"/>
      <c r="BV1855" s="17"/>
      <c r="BX1855" s="17"/>
      <c r="BZ1855" s="17"/>
    </row>
    <row r="1856" spans="4:78" x14ac:dyDescent="0.3">
      <c r="D1856" s="153"/>
      <c r="E1856" s="6"/>
      <c r="G1856" s="6"/>
      <c r="J1856" s="6"/>
      <c r="N1856" s="154"/>
      <c r="O1856" s="6"/>
      <c r="S1856" s="6"/>
      <c r="V1856" s="6"/>
      <c r="X1856" s="6"/>
      <c r="Z1856" s="110"/>
      <c r="AB1856" s="6"/>
      <c r="AD1856" s="6"/>
      <c r="AE1856" s="6"/>
      <c r="AF1856" s="126"/>
      <c r="AJ1856" s="6"/>
      <c r="AL1856" s="110"/>
      <c r="AM1856" s="110"/>
      <c r="AN1856" s="110"/>
      <c r="AP1856" s="6"/>
      <c r="AW1856" s="6"/>
      <c r="AX1856" s="6"/>
      <c r="AZ1856" s="110"/>
      <c r="BB1856" s="6"/>
      <c r="BD1856" s="6"/>
      <c r="BE1856" s="6"/>
      <c r="BV1856" s="17"/>
      <c r="BX1856" s="17"/>
      <c r="BZ1856" s="17"/>
    </row>
    <row r="1857" spans="4:78" x14ac:dyDescent="0.3">
      <c r="D1857" s="153"/>
      <c r="E1857" s="6"/>
      <c r="G1857" s="6"/>
      <c r="J1857" s="6"/>
      <c r="N1857" s="154"/>
      <c r="O1857" s="6"/>
      <c r="S1857" s="6"/>
      <c r="V1857" s="6"/>
      <c r="X1857" s="6"/>
      <c r="Z1857" s="110"/>
      <c r="AB1857" s="6"/>
      <c r="AD1857" s="6"/>
      <c r="AE1857" s="6"/>
      <c r="AF1857" s="126"/>
      <c r="AJ1857" s="6"/>
      <c r="AL1857" s="110"/>
      <c r="AM1857" s="110"/>
      <c r="AN1857" s="110"/>
      <c r="AP1857" s="6"/>
      <c r="AW1857" s="6"/>
      <c r="AX1857" s="6"/>
      <c r="AZ1857" s="110"/>
      <c r="BB1857" s="6"/>
      <c r="BD1857" s="6"/>
      <c r="BE1857" s="6"/>
      <c r="BV1857" s="17"/>
      <c r="BX1857" s="17"/>
      <c r="BZ1857" s="17"/>
    </row>
    <row r="1858" spans="4:78" x14ac:dyDescent="0.3">
      <c r="D1858" s="153"/>
      <c r="E1858" s="6"/>
      <c r="G1858" s="6"/>
      <c r="J1858" s="6"/>
      <c r="N1858" s="154"/>
      <c r="O1858" s="6"/>
      <c r="S1858" s="6"/>
      <c r="V1858" s="6"/>
      <c r="X1858" s="6"/>
      <c r="Z1858" s="110"/>
      <c r="AB1858" s="6"/>
      <c r="AD1858" s="6"/>
      <c r="AE1858" s="6"/>
      <c r="AF1858" s="126"/>
      <c r="AJ1858" s="6"/>
      <c r="AL1858" s="110"/>
      <c r="AM1858" s="110"/>
      <c r="AN1858" s="110"/>
      <c r="AP1858" s="6"/>
      <c r="AW1858" s="6"/>
      <c r="AX1858" s="6"/>
      <c r="AZ1858" s="110"/>
      <c r="BB1858" s="6"/>
      <c r="BD1858" s="6"/>
      <c r="BE1858" s="6"/>
      <c r="BV1858" s="17"/>
      <c r="BX1858" s="17"/>
      <c r="BZ1858" s="17"/>
    </row>
    <row r="1859" spans="4:78" x14ac:dyDescent="0.3">
      <c r="D1859" s="153"/>
      <c r="E1859" s="6"/>
      <c r="G1859" s="6"/>
      <c r="J1859" s="6"/>
      <c r="N1859" s="154"/>
      <c r="O1859" s="6"/>
      <c r="S1859" s="6"/>
      <c r="V1859" s="6"/>
      <c r="X1859" s="6"/>
      <c r="Z1859" s="110"/>
      <c r="AB1859" s="6"/>
      <c r="AD1859" s="6"/>
      <c r="AE1859" s="6"/>
      <c r="AF1859" s="126"/>
      <c r="AJ1859" s="6"/>
      <c r="AL1859" s="110"/>
      <c r="AM1859" s="110"/>
      <c r="AN1859" s="110"/>
      <c r="AP1859" s="6"/>
      <c r="AW1859" s="6"/>
      <c r="AX1859" s="6"/>
      <c r="AZ1859" s="110"/>
      <c r="BB1859" s="6"/>
      <c r="BD1859" s="6"/>
      <c r="BE1859" s="6"/>
      <c r="BV1859" s="17"/>
      <c r="BX1859" s="17"/>
      <c r="BZ1859" s="17"/>
    </row>
    <row r="1860" spans="4:78" x14ac:dyDescent="0.3">
      <c r="D1860" s="153"/>
      <c r="E1860" s="6"/>
      <c r="G1860" s="6"/>
      <c r="J1860" s="6"/>
      <c r="N1860" s="154"/>
      <c r="O1860" s="6"/>
      <c r="S1860" s="6"/>
      <c r="V1860" s="6"/>
      <c r="X1860" s="6"/>
      <c r="Z1860" s="110"/>
      <c r="AB1860" s="6"/>
      <c r="AD1860" s="6"/>
      <c r="AE1860" s="6"/>
      <c r="AF1860" s="126"/>
      <c r="AJ1860" s="6"/>
      <c r="AL1860" s="110"/>
      <c r="AM1860" s="110"/>
      <c r="AN1860" s="110"/>
      <c r="AP1860" s="6"/>
      <c r="AW1860" s="6"/>
      <c r="AX1860" s="6"/>
      <c r="AZ1860" s="110"/>
      <c r="BB1860" s="6"/>
      <c r="BD1860" s="6"/>
      <c r="BE1860" s="6"/>
      <c r="BV1860" s="17"/>
      <c r="BX1860" s="17"/>
      <c r="BZ1860" s="17"/>
    </row>
    <row r="1861" spans="4:78" x14ac:dyDescent="0.3">
      <c r="D1861" s="153"/>
      <c r="E1861" s="6"/>
      <c r="G1861" s="6"/>
      <c r="J1861" s="6"/>
      <c r="N1861" s="154"/>
      <c r="O1861" s="6"/>
      <c r="S1861" s="6"/>
      <c r="V1861" s="6"/>
      <c r="X1861" s="6"/>
      <c r="Z1861" s="110"/>
      <c r="AB1861" s="6"/>
      <c r="AD1861" s="6"/>
      <c r="AE1861" s="6"/>
      <c r="AF1861" s="126"/>
      <c r="AJ1861" s="6"/>
      <c r="AL1861" s="110"/>
      <c r="AM1861" s="110"/>
      <c r="AN1861" s="110"/>
      <c r="AP1861" s="6"/>
      <c r="AW1861" s="6"/>
      <c r="AX1861" s="6"/>
      <c r="AZ1861" s="110"/>
      <c r="BB1861" s="6"/>
      <c r="BD1861" s="6"/>
      <c r="BE1861" s="6"/>
      <c r="BV1861" s="17"/>
      <c r="BX1861" s="17"/>
      <c r="BZ1861" s="17"/>
    </row>
    <row r="1862" spans="4:78" x14ac:dyDescent="0.3">
      <c r="D1862" s="153"/>
      <c r="E1862" s="6"/>
      <c r="G1862" s="6"/>
      <c r="J1862" s="6"/>
      <c r="N1862" s="154"/>
      <c r="O1862" s="6"/>
      <c r="S1862" s="6"/>
      <c r="V1862" s="6"/>
      <c r="X1862" s="6"/>
      <c r="Z1862" s="110"/>
      <c r="AB1862" s="6"/>
      <c r="AD1862" s="6"/>
      <c r="AE1862" s="6"/>
      <c r="AF1862" s="126"/>
      <c r="AJ1862" s="6"/>
      <c r="AL1862" s="110"/>
      <c r="AM1862" s="110"/>
      <c r="AN1862" s="110"/>
      <c r="AP1862" s="6"/>
      <c r="AW1862" s="6"/>
      <c r="AX1862" s="6"/>
      <c r="AZ1862" s="110"/>
      <c r="BB1862" s="6"/>
      <c r="BD1862" s="6"/>
      <c r="BE1862" s="6"/>
      <c r="BV1862" s="17"/>
      <c r="BX1862" s="17"/>
      <c r="BZ1862" s="17"/>
    </row>
    <row r="1863" spans="4:78" x14ac:dyDescent="0.3">
      <c r="D1863" s="153"/>
      <c r="E1863" s="6"/>
      <c r="G1863" s="6"/>
      <c r="J1863" s="6"/>
      <c r="N1863" s="154"/>
      <c r="O1863" s="6"/>
      <c r="S1863" s="6"/>
      <c r="V1863" s="6"/>
      <c r="X1863" s="6"/>
      <c r="Z1863" s="110"/>
      <c r="AB1863" s="6"/>
      <c r="AD1863" s="6"/>
      <c r="AE1863" s="6"/>
      <c r="AF1863" s="126"/>
      <c r="AJ1863" s="6"/>
      <c r="AL1863" s="110"/>
      <c r="AM1863" s="110"/>
      <c r="AN1863" s="110"/>
      <c r="AP1863" s="6"/>
      <c r="AW1863" s="6"/>
      <c r="AX1863" s="6"/>
      <c r="AZ1863" s="110"/>
      <c r="BB1863" s="6"/>
      <c r="BD1863" s="6"/>
      <c r="BE1863" s="6"/>
      <c r="BV1863" s="17"/>
      <c r="BX1863" s="17"/>
      <c r="BZ1863" s="17"/>
    </row>
    <row r="1864" spans="4:78" x14ac:dyDescent="0.3">
      <c r="D1864" s="153"/>
      <c r="E1864" s="6"/>
      <c r="G1864" s="6"/>
      <c r="J1864" s="6"/>
      <c r="N1864" s="154"/>
      <c r="O1864" s="6"/>
      <c r="S1864" s="6"/>
      <c r="V1864" s="6"/>
      <c r="X1864" s="6"/>
      <c r="Z1864" s="110"/>
      <c r="AB1864" s="6"/>
      <c r="AD1864" s="6"/>
      <c r="AE1864" s="6"/>
      <c r="AF1864" s="126"/>
      <c r="AJ1864" s="6"/>
      <c r="AL1864" s="110"/>
      <c r="AM1864" s="110"/>
      <c r="AN1864" s="110"/>
      <c r="AP1864" s="6"/>
      <c r="AW1864" s="6"/>
      <c r="AX1864" s="6"/>
      <c r="AZ1864" s="110"/>
      <c r="BB1864" s="6"/>
      <c r="BD1864" s="6"/>
      <c r="BE1864" s="6"/>
      <c r="BV1864" s="17"/>
      <c r="BX1864" s="17"/>
      <c r="BZ1864" s="17"/>
    </row>
    <row r="1865" spans="4:78" x14ac:dyDescent="0.3">
      <c r="D1865" s="153"/>
      <c r="E1865" s="6"/>
      <c r="G1865" s="6"/>
      <c r="J1865" s="6"/>
      <c r="N1865" s="154"/>
      <c r="O1865" s="6"/>
      <c r="S1865" s="6"/>
      <c r="V1865" s="6"/>
      <c r="X1865" s="6"/>
      <c r="Z1865" s="110"/>
      <c r="AB1865" s="6"/>
      <c r="AD1865" s="6"/>
      <c r="AE1865" s="6"/>
      <c r="AF1865" s="126"/>
      <c r="AJ1865" s="6"/>
      <c r="AL1865" s="110"/>
      <c r="AM1865" s="110"/>
      <c r="AN1865" s="110"/>
      <c r="AP1865" s="6"/>
      <c r="AW1865" s="6"/>
      <c r="AX1865" s="6"/>
      <c r="AZ1865" s="110"/>
      <c r="BB1865" s="6"/>
      <c r="BD1865" s="6"/>
      <c r="BE1865" s="6"/>
      <c r="BV1865" s="17"/>
      <c r="BX1865" s="17"/>
      <c r="BZ1865" s="17"/>
    </row>
    <row r="1866" spans="4:78" x14ac:dyDescent="0.3">
      <c r="D1866" s="153"/>
      <c r="E1866" s="6"/>
      <c r="G1866" s="6"/>
      <c r="J1866" s="6"/>
      <c r="N1866" s="154"/>
      <c r="O1866" s="6"/>
      <c r="S1866" s="6"/>
      <c r="V1866" s="6"/>
      <c r="X1866" s="6"/>
      <c r="Z1866" s="110"/>
      <c r="AB1866" s="6"/>
      <c r="AD1866" s="6"/>
      <c r="AE1866" s="6"/>
      <c r="AF1866" s="126"/>
      <c r="AJ1866" s="6"/>
      <c r="AL1866" s="110"/>
      <c r="AM1866" s="110"/>
      <c r="AN1866" s="110"/>
      <c r="AP1866" s="6"/>
      <c r="AW1866" s="6"/>
      <c r="AX1866" s="6"/>
      <c r="AZ1866" s="110"/>
      <c r="BB1866" s="6"/>
      <c r="BD1866" s="6"/>
      <c r="BE1866" s="6"/>
      <c r="BV1866" s="17"/>
      <c r="BX1866" s="17"/>
      <c r="BZ1866" s="17"/>
    </row>
    <row r="1867" spans="4:78" x14ac:dyDescent="0.3">
      <c r="D1867" s="153"/>
      <c r="E1867" s="6"/>
      <c r="G1867" s="6"/>
      <c r="J1867" s="6"/>
      <c r="N1867" s="154"/>
      <c r="O1867" s="6"/>
      <c r="S1867" s="6"/>
      <c r="V1867" s="6"/>
      <c r="X1867" s="6"/>
      <c r="Z1867" s="110"/>
      <c r="AB1867" s="6"/>
      <c r="AD1867" s="6"/>
      <c r="AE1867" s="6"/>
      <c r="AF1867" s="126"/>
      <c r="AJ1867" s="6"/>
      <c r="AL1867" s="110"/>
      <c r="AM1867" s="110"/>
      <c r="AN1867" s="110"/>
      <c r="AP1867" s="6"/>
      <c r="AW1867" s="6"/>
      <c r="AX1867" s="6"/>
      <c r="AZ1867" s="110"/>
      <c r="BB1867" s="6"/>
      <c r="BD1867" s="6"/>
      <c r="BE1867" s="6"/>
      <c r="BV1867" s="17"/>
      <c r="BX1867" s="17"/>
      <c r="BZ1867" s="17"/>
    </row>
    <row r="1868" spans="4:78" x14ac:dyDescent="0.3">
      <c r="D1868" s="153"/>
      <c r="E1868" s="6"/>
      <c r="G1868" s="6"/>
      <c r="J1868" s="6"/>
      <c r="N1868" s="154"/>
      <c r="O1868" s="6"/>
      <c r="S1868" s="6"/>
      <c r="V1868" s="6"/>
      <c r="X1868" s="6"/>
      <c r="Z1868" s="110"/>
      <c r="AB1868" s="6"/>
      <c r="AD1868" s="6"/>
      <c r="AE1868" s="6"/>
      <c r="AF1868" s="126"/>
      <c r="AJ1868" s="6"/>
      <c r="AL1868" s="110"/>
      <c r="AM1868" s="110"/>
      <c r="AN1868" s="110"/>
      <c r="AP1868" s="6"/>
      <c r="AW1868" s="6"/>
      <c r="AX1868" s="6"/>
      <c r="AZ1868" s="110"/>
      <c r="BB1868" s="6"/>
      <c r="BD1868" s="6"/>
      <c r="BE1868" s="6"/>
      <c r="BV1868" s="17"/>
      <c r="BX1868" s="17"/>
      <c r="BZ1868" s="17"/>
    </row>
    <row r="1869" spans="4:78" x14ac:dyDescent="0.3">
      <c r="D1869" s="153"/>
      <c r="E1869" s="6"/>
      <c r="G1869" s="6"/>
      <c r="J1869" s="6"/>
      <c r="N1869" s="154"/>
      <c r="O1869" s="6"/>
      <c r="S1869" s="6"/>
      <c r="V1869" s="6"/>
      <c r="X1869" s="6"/>
      <c r="Z1869" s="110"/>
      <c r="AB1869" s="6"/>
      <c r="AD1869" s="6"/>
      <c r="AE1869" s="6"/>
      <c r="AF1869" s="126"/>
      <c r="AJ1869" s="6"/>
      <c r="AL1869" s="110"/>
      <c r="AM1869" s="110"/>
      <c r="AN1869" s="110"/>
      <c r="AP1869" s="6"/>
      <c r="AW1869" s="6"/>
      <c r="AX1869" s="6"/>
      <c r="AZ1869" s="110"/>
      <c r="BB1869" s="6"/>
      <c r="BD1869" s="6"/>
      <c r="BE1869" s="6"/>
      <c r="BV1869" s="17"/>
      <c r="BX1869" s="17"/>
      <c r="BZ1869" s="17"/>
    </row>
    <row r="1870" spans="4:78" x14ac:dyDescent="0.3">
      <c r="D1870" s="153"/>
      <c r="E1870" s="6"/>
      <c r="G1870" s="6"/>
      <c r="J1870" s="6"/>
      <c r="N1870" s="154"/>
      <c r="O1870" s="6"/>
      <c r="S1870" s="6"/>
      <c r="V1870" s="6"/>
      <c r="X1870" s="6"/>
      <c r="Z1870" s="110"/>
      <c r="AB1870" s="6"/>
      <c r="AD1870" s="6"/>
      <c r="AE1870" s="6"/>
      <c r="AF1870" s="126"/>
      <c r="AJ1870" s="6"/>
      <c r="AL1870" s="110"/>
      <c r="AM1870" s="110"/>
      <c r="AN1870" s="110"/>
      <c r="AP1870" s="6"/>
      <c r="AW1870" s="6"/>
      <c r="AX1870" s="6"/>
      <c r="AZ1870" s="110"/>
      <c r="BB1870" s="6"/>
      <c r="BD1870" s="6"/>
      <c r="BE1870" s="6"/>
      <c r="BV1870" s="17"/>
      <c r="BX1870" s="17"/>
      <c r="BZ1870" s="17"/>
    </row>
    <row r="1871" spans="4:78" x14ac:dyDescent="0.3">
      <c r="D1871" s="153"/>
      <c r="E1871" s="6"/>
      <c r="G1871" s="6"/>
      <c r="J1871" s="6"/>
      <c r="N1871" s="154"/>
      <c r="O1871" s="6"/>
      <c r="S1871" s="6"/>
      <c r="V1871" s="6"/>
      <c r="X1871" s="6"/>
      <c r="Z1871" s="110"/>
      <c r="AB1871" s="6"/>
      <c r="AD1871" s="6"/>
      <c r="AE1871" s="6"/>
      <c r="AF1871" s="126"/>
      <c r="AJ1871" s="6"/>
      <c r="AL1871" s="110"/>
      <c r="AM1871" s="110"/>
      <c r="AN1871" s="110"/>
      <c r="AP1871" s="6"/>
      <c r="AW1871" s="6"/>
      <c r="AX1871" s="6"/>
      <c r="AZ1871" s="110"/>
      <c r="BB1871" s="6"/>
      <c r="BD1871" s="6"/>
      <c r="BE1871" s="6"/>
      <c r="BV1871" s="17"/>
      <c r="BX1871" s="17"/>
      <c r="BZ1871" s="17"/>
    </row>
    <row r="1872" spans="4:78" x14ac:dyDescent="0.3">
      <c r="D1872" s="153"/>
      <c r="E1872" s="6"/>
      <c r="G1872" s="6"/>
      <c r="J1872" s="6"/>
      <c r="N1872" s="154"/>
      <c r="O1872" s="6"/>
      <c r="S1872" s="6"/>
      <c r="V1872" s="6"/>
      <c r="X1872" s="6"/>
      <c r="Z1872" s="110"/>
      <c r="AB1872" s="6"/>
      <c r="AD1872" s="6"/>
      <c r="AE1872" s="6"/>
      <c r="AF1872" s="126"/>
      <c r="AJ1872" s="6"/>
      <c r="AL1872" s="110"/>
      <c r="AM1872" s="110"/>
      <c r="AN1872" s="110"/>
      <c r="AP1872" s="6"/>
      <c r="AW1872" s="6"/>
      <c r="AX1872" s="6"/>
      <c r="AZ1872" s="110"/>
      <c r="BB1872" s="6"/>
      <c r="BD1872" s="6"/>
      <c r="BE1872" s="6"/>
      <c r="BV1872" s="17"/>
      <c r="BX1872" s="17"/>
      <c r="BZ1872" s="17"/>
    </row>
    <row r="1873" spans="4:78" x14ac:dyDescent="0.3">
      <c r="D1873" s="153"/>
      <c r="E1873" s="6"/>
      <c r="G1873" s="6"/>
      <c r="J1873" s="6"/>
      <c r="N1873" s="154"/>
      <c r="O1873" s="6"/>
      <c r="S1873" s="6"/>
      <c r="V1873" s="6"/>
      <c r="X1873" s="6"/>
      <c r="Z1873" s="110"/>
      <c r="AB1873" s="6"/>
      <c r="AD1873" s="6"/>
      <c r="AE1873" s="6"/>
      <c r="AF1873" s="126"/>
      <c r="AJ1873" s="6"/>
      <c r="AL1873" s="110"/>
      <c r="AM1873" s="110"/>
      <c r="AN1873" s="110"/>
      <c r="AP1873" s="6"/>
      <c r="AW1873" s="6"/>
      <c r="AX1873" s="6"/>
      <c r="AZ1873" s="110"/>
      <c r="BB1873" s="6"/>
      <c r="BD1873" s="6"/>
      <c r="BE1873" s="6"/>
      <c r="BV1873" s="17"/>
      <c r="BX1873" s="17"/>
      <c r="BZ1873" s="17"/>
    </row>
    <row r="1874" spans="4:78" x14ac:dyDescent="0.3">
      <c r="D1874" s="153"/>
      <c r="E1874" s="6"/>
      <c r="G1874" s="6"/>
      <c r="J1874" s="6"/>
      <c r="N1874" s="154"/>
      <c r="O1874" s="6"/>
      <c r="S1874" s="6"/>
      <c r="V1874" s="6"/>
      <c r="X1874" s="6"/>
      <c r="Z1874" s="110"/>
      <c r="AB1874" s="6"/>
      <c r="AD1874" s="6"/>
      <c r="AE1874" s="6"/>
      <c r="AF1874" s="126"/>
      <c r="AJ1874" s="6"/>
      <c r="AL1874" s="110"/>
      <c r="AM1874" s="110"/>
      <c r="AN1874" s="110"/>
      <c r="AP1874" s="6"/>
      <c r="AW1874" s="6"/>
      <c r="AX1874" s="6"/>
      <c r="AZ1874" s="110"/>
      <c r="BB1874" s="6"/>
      <c r="BD1874" s="6"/>
      <c r="BE1874" s="6"/>
      <c r="BV1874" s="17"/>
      <c r="BX1874" s="17"/>
      <c r="BZ1874" s="17"/>
    </row>
    <row r="1875" spans="4:78" x14ac:dyDescent="0.3">
      <c r="D1875" s="153"/>
      <c r="E1875" s="6"/>
      <c r="G1875" s="6"/>
      <c r="J1875" s="6"/>
      <c r="N1875" s="154"/>
      <c r="O1875" s="6"/>
      <c r="S1875" s="6"/>
      <c r="V1875" s="6"/>
      <c r="X1875" s="6"/>
      <c r="Z1875" s="110"/>
      <c r="AB1875" s="6"/>
      <c r="AD1875" s="6"/>
      <c r="AE1875" s="6"/>
      <c r="AF1875" s="126"/>
      <c r="AJ1875" s="6"/>
      <c r="AL1875" s="110"/>
      <c r="AM1875" s="110"/>
      <c r="AN1875" s="110"/>
      <c r="AP1875" s="6"/>
      <c r="AW1875" s="6"/>
      <c r="AX1875" s="6"/>
      <c r="AZ1875" s="110"/>
      <c r="BB1875" s="6"/>
      <c r="BD1875" s="6"/>
      <c r="BE1875" s="6"/>
      <c r="BV1875" s="17"/>
      <c r="BX1875" s="17"/>
      <c r="BZ1875" s="17"/>
    </row>
    <row r="1876" spans="4:78" x14ac:dyDescent="0.3">
      <c r="D1876" s="153"/>
      <c r="E1876" s="6"/>
      <c r="G1876" s="6"/>
      <c r="J1876" s="6"/>
      <c r="N1876" s="154"/>
      <c r="O1876" s="6"/>
      <c r="S1876" s="6"/>
      <c r="V1876" s="6"/>
      <c r="X1876" s="6"/>
      <c r="Z1876" s="110"/>
      <c r="AB1876" s="6"/>
      <c r="AD1876" s="6"/>
      <c r="AE1876" s="6"/>
      <c r="AF1876" s="126"/>
      <c r="AJ1876" s="6"/>
      <c r="AL1876" s="110"/>
      <c r="AM1876" s="110"/>
      <c r="AN1876" s="110"/>
      <c r="AP1876" s="6"/>
      <c r="AW1876" s="6"/>
      <c r="AX1876" s="6"/>
      <c r="AZ1876" s="110"/>
      <c r="BB1876" s="6"/>
      <c r="BD1876" s="6"/>
      <c r="BE1876" s="6"/>
      <c r="BV1876" s="17"/>
      <c r="BX1876" s="17"/>
      <c r="BZ1876" s="17"/>
    </row>
    <row r="1877" spans="4:78" x14ac:dyDescent="0.3">
      <c r="D1877" s="153"/>
      <c r="E1877" s="6"/>
      <c r="G1877" s="6"/>
      <c r="J1877" s="6"/>
      <c r="N1877" s="154"/>
      <c r="O1877" s="6"/>
      <c r="S1877" s="6"/>
      <c r="V1877" s="6"/>
      <c r="X1877" s="6"/>
      <c r="Z1877" s="110"/>
      <c r="AB1877" s="6"/>
      <c r="AD1877" s="6"/>
      <c r="AE1877" s="6"/>
      <c r="AF1877" s="126"/>
      <c r="AJ1877" s="6"/>
      <c r="AL1877" s="110"/>
      <c r="AM1877" s="110"/>
      <c r="AN1877" s="110"/>
      <c r="AP1877" s="6"/>
      <c r="AW1877" s="6"/>
      <c r="AX1877" s="6"/>
      <c r="AZ1877" s="110"/>
      <c r="BB1877" s="6"/>
      <c r="BD1877" s="6"/>
      <c r="BE1877" s="6"/>
      <c r="BV1877" s="17"/>
      <c r="BX1877" s="17"/>
      <c r="BZ1877" s="17"/>
    </row>
    <row r="1878" spans="4:78" x14ac:dyDescent="0.3">
      <c r="D1878" s="153"/>
      <c r="E1878" s="6"/>
      <c r="G1878" s="6"/>
      <c r="J1878" s="6"/>
      <c r="N1878" s="154"/>
      <c r="O1878" s="6"/>
      <c r="S1878" s="6"/>
      <c r="V1878" s="6"/>
      <c r="X1878" s="6"/>
      <c r="Z1878" s="110"/>
      <c r="AB1878" s="6"/>
      <c r="AD1878" s="6"/>
      <c r="AE1878" s="6"/>
      <c r="AF1878" s="126"/>
      <c r="AJ1878" s="6"/>
      <c r="AL1878" s="110"/>
      <c r="AM1878" s="110"/>
      <c r="AN1878" s="110"/>
      <c r="AP1878" s="6"/>
      <c r="AW1878" s="6"/>
      <c r="AX1878" s="6"/>
      <c r="AZ1878" s="110"/>
      <c r="BB1878" s="6"/>
      <c r="BD1878" s="6"/>
      <c r="BE1878" s="6"/>
      <c r="BV1878" s="17"/>
      <c r="BX1878" s="17"/>
      <c r="BZ1878" s="17"/>
    </row>
    <row r="1879" spans="4:78" x14ac:dyDescent="0.3">
      <c r="D1879" s="153"/>
      <c r="E1879" s="6"/>
      <c r="G1879" s="6"/>
      <c r="J1879" s="6"/>
      <c r="N1879" s="154"/>
      <c r="O1879" s="6"/>
      <c r="S1879" s="6"/>
      <c r="V1879" s="6"/>
      <c r="X1879" s="6"/>
      <c r="Z1879" s="110"/>
      <c r="AB1879" s="6"/>
      <c r="AD1879" s="6"/>
      <c r="AE1879" s="6"/>
      <c r="AF1879" s="126"/>
      <c r="AJ1879" s="6"/>
      <c r="AL1879" s="110"/>
      <c r="AM1879" s="110"/>
      <c r="AN1879" s="110"/>
      <c r="AP1879" s="6"/>
      <c r="AW1879" s="6"/>
      <c r="AX1879" s="6"/>
      <c r="AZ1879" s="110"/>
      <c r="BB1879" s="6"/>
      <c r="BD1879" s="6"/>
      <c r="BE1879" s="6"/>
      <c r="BV1879" s="17"/>
      <c r="BX1879" s="17"/>
      <c r="BZ1879" s="17"/>
    </row>
    <row r="1880" spans="4:78" x14ac:dyDescent="0.3">
      <c r="D1880" s="153"/>
      <c r="E1880" s="6"/>
      <c r="G1880" s="6"/>
      <c r="J1880" s="6"/>
      <c r="N1880" s="154"/>
      <c r="O1880" s="6"/>
      <c r="S1880" s="6"/>
      <c r="V1880" s="6"/>
      <c r="X1880" s="6"/>
      <c r="Z1880" s="110"/>
      <c r="AB1880" s="6"/>
      <c r="AD1880" s="6"/>
      <c r="AE1880" s="6"/>
      <c r="AF1880" s="126"/>
      <c r="AJ1880" s="6"/>
      <c r="AL1880" s="110"/>
      <c r="AM1880" s="110"/>
      <c r="AN1880" s="110"/>
      <c r="AP1880" s="6"/>
      <c r="AW1880" s="6"/>
      <c r="AX1880" s="6"/>
      <c r="AZ1880" s="110"/>
      <c r="BB1880" s="6"/>
      <c r="BD1880" s="6"/>
      <c r="BE1880" s="6"/>
      <c r="BV1880" s="17"/>
      <c r="BX1880" s="17"/>
      <c r="BZ1880" s="17"/>
    </row>
    <row r="1881" spans="4:78" x14ac:dyDescent="0.3">
      <c r="D1881" s="153"/>
      <c r="E1881" s="6"/>
      <c r="G1881" s="6"/>
      <c r="J1881" s="6"/>
      <c r="N1881" s="154"/>
      <c r="O1881" s="6"/>
      <c r="S1881" s="6"/>
      <c r="V1881" s="6"/>
      <c r="X1881" s="6"/>
      <c r="Z1881" s="110"/>
      <c r="AB1881" s="6"/>
      <c r="AD1881" s="6"/>
      <c r="AE1881" s="6"/>
      <c r="AF1881" s="126"/>
      <c r="AJ1881" s="6"/>
      <c r="AL1881" s="110"/>
      <c r="AM1881" s="110"/>
      <c r="AN1881" s="110"/>
      <c r="AP1881" s="6"/>
      <c r="AW1881" s="6"/>
      <c r="AX1881" s="6"/>
      <c r="AZ1881" s="110"/>
      <c r="BB1881" s="6"/>
      <c r="BD1881" s="6"/>
      <c r="BE1881" s="6"/>
      <c r="BV1881" s="17"/>
      <c r="BX1881" s="17"/>
      <c r="BZ1881" s="17"/>
    </row>
    <row r="1882" spans="4:78" x14ac:dyDescent="0.3">
      <c r="D1882" s="153"/>
      <c r="E1882" s="6"/>
      <c r="G1882" s="6"/>
      <c r="J1882" s="6"/>
      <c r="N1882" s="154"/>
      <c r="O1882" s="6"/>
      <c r="S1882" s="6"/>
      <c r="V1882" s="6"/>
      <c r="X1882" s="6"/>
      <c r="Z1882" s="110"/>
      <c r="AB1882" s="6"/>
      <c r="AD1882" s="6"/>
      <c r="AE1882" s="6"/>
      <c r="AF1882" s="126"/>
      <c r="AJ1882" s="6"/>
      <c r="AL1882" s="110"/>
      <c r="AM1882" s="110"/>
      <c r="AN1882" s="110"/>
      <c r="AP1882" s="6"/>
      <c r="AW1882" s="6"/>
      <c r="AX1882" s="6"/>
      <c r="AZ1882" s="110"/>
      <c r="BB1882" s="6"/>
      <c r="BD1882" s="6"/>
      <c r="BE1882" s="6"/>
      <c r="BV1882" s="17"/>
      <c r="BX1882" s="17"/>
      <c r="BZ1882" s="17"/>
    </row>
    <row r="1883" spans="4:78" x14ac:dyDescent="0.3">
      <c r="D1883" s="153"/>
      <c r="E1883" s="6"/>
      <c r="G1883" s="6"/>
      <c r="J1883" s="6"/>
      <c r="N1883" s="154"/>
      <c r="O1883" s="6"/>
      <c r="S1883" s="6"/>
      <c r="V1883" s="6"/>
      <c r="X1883" s="6"/>
      <c r="Z1883" s="110"/>
      <c r="AB1883" s="6"/>
      <c r="AD1883" s="6"/>
      <c r="AE1883" s="6"/>
      <c r="AF1883" s="126"/>
      <c r="AJ1883" s="6"/>
      <c r="AL1883" s="110"/>
      <c r="AM1883" s="110"/>
      <c r="AN1883" s="110"/>
      <c r="AP1883" s="6"/>
      <c r="AW1883" s="6"/>
      <c r="AX1883" s="6"/>
      <c r="AZ1883" s="110"/>
      <c r="BB1883" s="6"/>
      <c r="BD1883" s="6"/>
      <c r="BE1883" s="6"/>
      <c r="BV1883" s="17"/>
      <c r="BX1883" s="17"/>
      <c r="BZ1883" s="17"/>
    </row>
    <row r="1884" spans="4:78" x14ac:dyDescent="0.3">
      <c r="D1884" s="153"/>
      <c r="E1884" s="6"/>
      <c r="G1884" s="6"/>
      <c r="J1884" s="6"/>
      <c r="N1884" s="154"/>
      <c r="O1884" s="6"/>
      <c r="S1884" s="6"/>
      <c r="V1884" s="6"/>
      <c r="X1884" s="6"/>
      <c r="Z1884" s="110"/>
      <c r="AB1884" s="6"/>
      <c r="AD1884" s="6"/>
      <c r="AE1884" s="6"/>
      <c r="AF1884" s="126"/>
      <c r="AJ1884" s="6"/>
      <c r="AL1884" s="110"/>
      <c r="AM1884" s="110"/>
      <c r="AN1884" s="110"/>
      <c r="AP1884" s="6"/>
      <c r="AW1884" s="6"/>
      <c r="AX1884" s="6"/>
      <c r="AZ1884" s="110"/>
      <c r="BB1884" s="6"/>
      <c r="BD1884" s="6"/>
      <c r="BE1884" s="6"/>
      <c r="BV1884" s="17"/>
      <c r="BX1884" s="17"/>
      <c r="BZ1884" s="17"/>
    </row>
    <row r="1885" spans="4:78" x14ac:dyDescent="0.3">
      <c r="D1885" s="153"/>
      <c r="E1885" s="6"/>
      <c r="G1885" s="6"/>
      <c r="J1885" s="6"/>
      <c r="N1885" s="154"/>
      <c r="O1885" s="6"/>
      <c r="S1885" s="6"/>
      <c r="V1885" s="6"/>
      <c r="X1885" s="6"/>
      <c r="Z1885" s="110"/>
      <c r="AB1885" s="6"/>
      <c r="AD1885" s="6"/>
      <c r="AE1885" s="6"/>
      <c r="AF1885" s="126"/>
      <c r="AJ1885" s="6"/>
      <c r="AL1885" s="110"/>
      <c r="AM1885" s="110"/>
      <c r="AN1885" s="110"/>
      <c r="AP1885" s="6"/>
      <c r="AW1885" s="6"/>
      <c r="AX1885" s="6"/>
      <c r="AZ1885" s="110"/>
      <c r="BB1885" s="6"/>
      <c r="BD1885" s="6"/>
      <c r="BE1885" s="6"/>
      <c r="BV1885" s="17"/>
      <c r="BX1885" s="17"/>
      <c r="BZ1885" s="17"/>
    </row>
    <row r="1886" spans="4:78" x14ac:dyDescent="0.3">
      <c r="D1886" s="153"/>
      <c r="E1886" s="6"/>
      <c r="G1886" s="6"/>
      <c r="J1886" s="6"/>
      <c r="N1886" s="154"/>
      <c r="O1886" s="6"/>
      <c r="S1886" s="6"/>
      <c r="V1886" s="6"/>
      <c r="X1886" s="6"/>
      <c r="Z1886" s="110"/>
      <c r="AB1886" s="6"/>
      <c r="AD1886" s="6"/>
      <c r="AE1886" s="6"/>
      <c r="AF1886" s="126"/>
      <c r="AJ1886" s="6"/>
      <c r="AL1886" s="110"/>
      <c r="AM1886" s="110"/>
      <c r="AN1886" s="110"/>
      <c r="AP1886" s="6"/>
      <c r="AW1886" s="6"/>
      <c r="AX1886" s="6"/>
      <c r="AZ1886" s="110"/>
      <c r="BB1886" s="6"/>
      <c r="BD1886" s="6"/>
      <c r="BE1886" s="6"/>
      <c r="BV1886" s="17"/>
      <c r="BX1886" s="17"/>
      <c r="BZ1886" s="17"/>
    </row>
    <row r="1887" spans="4:78" x14ac:dyDescent="0.3">
      <c r="D1887" s="153"/>
      <c r="E1887" s="6"/>
      <c r="G1887" s="6"/>
      <c r="J1887" s="6"/>
      <c r="N1887" s="154"/>
      <c r="O1887" s="6"/>
      <c r="S1887" s="6"/>
      <c r="V1887" s="6"/>
      <c r="X1887" s="6"/>
      <c r="Z1887" s="110"/>
      <c r="AB1887" s="6"/>
      <c r="AD1887" s="6"/>
      <c r="AE1887" s="6"/>
      <c r="AF1887" s="126"/>
      <c r="AJ1887" s="6"/>
      <c r="AL1887" s="110"/>
      <c r="AM1887" s="110"/>
      <c r="AN1887" s="110"/>
      <c r="AP1887" s="6"/>
      <c r="AW1887" s="6"/>
      <c r="AX1887" s="6"/>
      <c r="AZ1887" s="110"/>
      <c r="BB1887" s="6"/>
      <c r="BD1887" s="6"/>
      <c r="BE1887" s="6"/>
      <c r="BV1887" s="17"/>
      <c r="BX1887" s="17"/>
      <c r="BZ1887" s="17"/>
    </row>
    <row r="1888" spans="4:78" x14ac:dyDescent="0.3">
      <c r="D1888" s="153"/>
      <c r="E1888" s="6"/>
      <c r="G1888" s="6"/>
      <c r="J1888" s="6"/>
      <c r="N1888" s="154"/>
      <c r="O1888" s="6"/>
      <c r="S1888" s="6"/>
      <c r="V1888" s="6"/>
      <c r="X1888" s="6"/>
      <c r="Z1888" s="110"/>
      <c r="AB1888" s="6"/>
      <c r="AD1888" s="6"/>
      <c r="AE1888" s="6"/>
      <c r="AF1888" s="126"/>
      <c r="AJ1888" s="6"/>
      <c r="AL1888" s="110"/>
      <c r="AM1888" s="110"/>
      <c r="AN1888" s="110"/>
      <c r="AP1888" s="6"/>
      <c r="AW1888" s="6"/>
      <c r="AX1888" s="6"/>
      <c r="AZ1888" s="110"/>
      <c r="BB1888" s="6"/>
      <c r="BD1888" s="6"/>
      <c r="BE1888" s="6"/>
      <c r="BV1888" s="17"/>
      <c r="BX1888" s="17"/>
      <c r="BZ1888" s="17"/>
    </row>
    <row r="1889" spans="4:78" x14ac:dyDescent="0.3">
      <c r="D1889" s="153"/>
      <c r="E1889" s="6"/>
      <c r="G1889" s="6"/>
      <c r="J1889" s="6"/>
      <c r="N1889" s="154"/>
      <c r="O1889" s="6"/>
      <c r="S1889" s="6"/>
      <c r="V1889" s="6"/>
      <c r="X1889" s="6"/>
      <c r="Z1889" s="110"/>
      <c r="AB1889" s="6"/>
      <c r="AD1889" s="6"/>
      <c r="AE1889" s="6"/>
      <c r="AF1889" s="126"/>
      <c r="AJ1889" s="6"/>
      <c r="AL1889" s="110"/>
      <c r="AM1889" s="110"/>
      <c r="AN1889" s="110"/>
      <c r="AP1889" s="6"/>
      <c r="AW1889" s="6"/>
      <c r="AX1889" s="6"/>
      <c r="AZ1889" s="110"/>
      <c r="BB1889" s="6"/>
      <c r="BD1889" s="6"/>
      <c r="BE1889" s="6"/>
      <c r="BV1889" s="17"/>
      <c r="BX1889" s="17"/>
      <c r="BZ1889" s="17"/>
    </row>
    <row r="1890" spans="4:78" x14ac:dyDescent="0.3">
      <c r="D1890" s="153"/>
      <c r="E1890" s="6"/>
      <c r="G1890" s="6"/>
      <c r="J1890" s="6"/>
      <c r="N1890" s="154"/>
      <c r="O1890" s="6"/>
      <c r="S1890" s="6"/>
      <c r="V1890" s="6"/>
      <c r="X1890" s="6"/>
      <c r="Z1890" s="110"/>
      <c r="AB1890" s="6"/>
      <c r="AD1890" s="6"/>
      <c r="AE1890" s="6"/>
      <c r="AF1890" s="126"/>
      <c r="AJ1890" s="6"/>
      <c r="AL1890" s="110"/>
      <c r="AM1890" s="110"/>
      <c r="AN1890" s="110"/>
      <c r="AP1890" s="6"/>
      <c r="AW1890" s="6"/>
      <c r="AX1890" s="6"/>
      <c r="AZ1890" s="110"/>
      <c r="BB1890" s="6"/>
      <c r="BD1890" s="6"/>
      <c r="BE1890" s="6"/>
      <c r="BV1890" s="17"/>
      <c r="BX1890" s="17"/>
      <c r="BZ1890" s="17"/>
    </row>
    <row r="1891" spans="4:78" x14ac:dyDescent="0.3">
      <c r="D1891" s="153"/>
      <c r="E1891" s="6"/>
      <c r="G1891" s="6"/>
      <c r="J1891" s="6"/>
      <c r="N1891" s="154"/>
      <c r="O1891" s="6"/>
      <c r="S1891" s="6"/>
      <c r="V1891" s="6"/>
      <c r="X1891" s="6"/>
      <c r="Z1891" s="110"/>
      <c r="AB1891" s="6"/>
      <c r="AD1891" s="6"/>
      <c r="AE1891" s="6"/>
      <c r="AF1891" s="126"/>
      <c r="AJ1891" s="6"/>
      <c r="AL1891" s="110"/>
      <c r="AM1891" s="110"/>
      <c r="AN1891" s="110"/>
      <c r="AP1891" s="6"/>
      <c r="AW1891" s="6"/>
      <c r="AX1891" s="6"/>
      <c r="AZ1891" s="110"/>
      <c r="BB1891" s="6"/>
      <c r="BD1891" s="6"/>
      <c r="BE1891" s="6"/>
      <c r="BV1891" s="17"/>
      <c r="BX1891" s="17"/>
      <c r="BZ1891" s="17"/>
    </row>
    <row r="1892" spans="4:78" x14ac:dyDescent="0.3">
      <c r="D1892" s="153"/>
      <c r="E1892" s="6"/>
      <c r="G1892" s="6"/>
      <c r="J1892" s="6"/>
      <c r="N1892" s="154"/>
      <c r="O1892" s="6"/>
      <c r="S1892" s="6"/>
      <c r="V1892" s="6"/>
      <c r="X1892" s="6"/>
      <c r="Z1892" s="110"/>
      <c r="AB1892" s="6"/>
      <c r="AD1892" s="6"/>
      <c r="AE1892" s="6"/>
      <c r="AF1892" s="126"/>
      <c r="AJ1892" s="6"/>
      <c r="AL1892" s="110"/>
      <c r="AM1892" s="110"/>
      <c r="AN1892" s="110"/>
      <c r="AP1892" s="6"/>
      <c r="AW1892" s="6"/>
      <c r="AX1892" s="6"/>
      <c r="AZ1892" s="110"/>
      <c r="BB1892" s="6"/>
      <c r="BD1892" s="6"/>
      <c r="BE1892" s="6"/>
      <c r="BV1892" s="17"/>
      <c r="BX1892" s="17"/>
      <c r="BZ1892" s="17"/>
    </row>
    <row r="1893" spans="4:78" x14ac:dyDescent="0.3">
      <c r="D1893" s="153"/>
      <c r="E1893" s="6"/>
      <c r="G1893" s="6"/>
      <c r="J1893" s="6"/>
      <c r="N1893" s="154"/>
      <c r="O1893" s="6"/>
      <c r="S1893" s="6"/>
      <c r="V1893" s="6"/>
      <c r="X1893" s="6"/>
      <c r="Z1893" s="110"/>
      <c r="AB1893" s="6"/>
      <c r="AD1893" s="6"/>
      <c r="AE1893" s="6"/>
      <c r="AF1893" s="126"/>
      <c r="AJ1893" s="6"/>
      <c r="AL1893" s="110"/>
      <c r="AM1893" s="110"/>
      <c r="AN1893" s="110"/>
      <c r="AP1893" s="6"/>
      <c r="AW1893" s="6"/>
      <c r="AX1893" s="6"/>
      <c r="AZ1893" s="110"/>
      <c r="BB1893" s="6"/>
      <c r="BD1893" s="6"/>
      <c r="BE1893" s="6"/>
      <c r="BV1893" s="17"/>
      <c r="BX1893" s="17"/>
      <c r="BZ1893" s="17"/>
    </row>
    <row r="1894" spans="4:78" x14ac:dyDescent="0.3">
      <c r="D1894" s="153"/>
      <c r="E1894" s="6"/>
      <c r="G1894" s="6"/>
      <c r="J1894" s="6"/>
      <c r="N1894" s="154"/>
      <c r="O1894" s="6"/>
      <c r="S1894" s="6"/>
      <c r="V1894" s="6"/>
      <c r="X1894" s="6"/>
      <c r="Z1894" s="110"/>
      <c r="AB1894" s="6"/>
      <c r="AD1894" s="6"/>
      <c r="AE1894" s="6"/>
      <c r="AF1894" s="126"/>
      <c r="AJ1894" s="6"/>
      <c r="AL1894" s="110"/>
      <c r="AM1894" s="110"/>
      <c r="AN1894" s="110"/>
      <c r="AP1894" s="6"/>
      <c r="AW1894" s="6"/>
      <c r="AX1894" s="6"/>
      <c r="AZ1894" s="110"/>
      <c r="BB1894" s="6"/>
      <c r="BD1894" s="6"/>
      <c r="BE1894" s="6"/>
      <c r="BV1894" s="17"/>
      <c r="BX1894" s="17"/>
      <c r="BZ1894" s="17"/>
    </row>
    <row r="1895" spans="4:78" x14ac:dyDescent="0.3">
      <c r="D1895" s="153"/>
      <c r="E1895" s="6"/>
      <c r="G1895" s="6"/>
      <c r="J1895" s="6"/>
      <c r="N1895" s="154"/>
      <c r="O1895" s="6"/>
      <c r="S1895" s="6"/>
      <c r="V1895" s="6"/>
      <c r="X1895" s="6"/>
      <c r="Z1895" s="110"/>
      <c r="AB1895" s="6"/>
      <c r="AD1895" s="6"/>
      <c r="AE1895" s="6"/>
      <c r="AF1895" s="126"/>
      <c r="AJ1895" s="6"/>
      <c r="AL1895" s="110"/>
      <c r="AM1895" s="110"/>
      <c r="AN1895" s="110"/>
      <c r="AP1895" s="6"/>
      <c r="AW1895" s="6"/>
      <c r="AX1895" s="6"/>
      <c r="AZ1895" s="110"/>
      <c r="BB1895" s="6"/>
      <c r="BD1895" s="6"/>
      <c r="BE1895" s="6"/>
      <c r="BV1895" s="17"/>
      <c r="BX1895" s="17"/>
      <c r="BZ1895" s="17"/>
    </row>
    <row r="1896" spans="4:78" x14ac:dyDescent="0.3">
      <c r="D1896" s="153"/>
      <c r="E1896" s="6"/>
      <c r="G1896" s="6"/>
      <c r="J1896" s="6"/>
      <c r="N1896" s="154"/>
      <c r="O1896" s="6"/>
      <c r="S1896" s="6"/>
      <c r="V1896" s="6"/>
      <c r="X1896" s="6"/>
      <c r="Z1896" s="110"/>
      <c r="AB1896" s="6"/>
      <c r="AD1896" s="6"/>
      <c r="AE1896" s="6"/>
      <c r="AF1896" s="126"/>
      <c r="AJ1896" s="6"/>
      <c r="AL1896" s="110"/>
      <c r="AM1896" s="110"/>
      <c r="AN1896" s="110"/>
      <c r="AP1896" s="6"/>
      <c r="AW1896" s="6"/>
      <c r="AX1896" s="6"/>
      <c r="AZ1896" s="110"/>
      <c r="BB1896" s="6"/>
      <c r="BD1896" s="6"/>
      <c r="BE1896" s="6"/>
      <c r="BV1896" s="17"/>
      <c r="BX1896" s="17"/>
      <c r="BZ1896" s="17"/>
    </row>
    <row r="1897" spans="4:78" x14ac:dyDescent="0.3">
      <c r="D1897" s="153"/>
      <c r="E1897" s="6"/>
      <c r="G1897" s="6"/>
      <c r="J1897" s="6"/>
      <c r="N1897" s="154"/>
      <c r="O1897" s="6"/>
      <c r="S1897" s="6"/>
      <c r="V1897" s="6"/>
      <c r="X1897" s="6"/>
      <c r="Z1897" s="110"/>
      <c r="AB1897" s="6"/>
      <c r="AD1897" s="6"/>
      <c r="AE1897" s="6"/>
      <c r="AF1897" s="126"/>
      <c r="AJ1897" s="6"/>
      <c r="AL1897" s="110"/>
      <c r="AM1897" s="110"/>
      <c r="AN1897" s="110"/>
      <c r="AP1897" s="6"/>
      <c r="AW1897" s="6"/>
      <c r="AX1897" s="6"/>
      <c r="AZ1897" s="110"/>
      <c r="BB1897" s="6"/>
      <c r="BD1897" s="6"/>
      <c r="BE1897" s="6"/>
      <c r="BV1897" s="17"/>
      <c r="BX1897" s="17"/>
      <c r="BZ1897" s="17"/>
    </row>
    <row r="1898" spans="4:78" x14ac:dyDescent="0.3">
      <c r="D1898" s="153"/>
      <c r="E1898" s="6"/>
      <c r="G1898" s="6"/>
      <c r="J1898" s="6"/>
      <c r="N1898" s="154"/>
      <c r="O1898" s="6"/>
      <c r="S1898" s="6"/>
      <c r="V1898" s="6"/>
      <c r="X1898" s="6"/>
      <c r="Z1898" s="110"/>
      <c r="AB1898" s="6"/>
      <c r="AD1898" s="6"/>
      <c r="AE1898" s="6"/>
      <c r="AF1898" s="126"/>
      <c r="AJ1898" s="6"/>
      <c r="AL1898" s="110"/>
      <c r="AM1898" s="110"/>
      <c r="AN1898" s="110"/>
      <c r="AP1898" s="6"/>
      <c r="AW1898" s="6"/>
      <c r="AX1898" s="6"/>
      <c r="AZ1898" s="110"/>
      <c r="BB1898" s="6"/>
      <c r="BD1898" s="6"/>
      <c r="BE1898" s="6"/>
      <c r="BV1898" s="17"/>
      <c r="BX1898" s="17"/>
      <c r="BZ1898" s="17"/>
    </row>
    <row r="1899" spans="4:78" x14ac:dyDescent="0.3">
      <c r="D1899" s="153"/>
      <c r="E1899" s="6"/>
      <c r="G1899" s="6"/>
      <c r="J1899" s="6"/>
      <c r="N1899" s="154"/>
      <c r="O1899" s="6"/>
      <c r="S1899" s="6"/>
      <c r="V1899" s="6"/>
      <c r="X1899" s="6"/>
      <c r="Z1899" s="110"/>
      <c r="AB1899" s="6"/>
      <c r="AD1899" s="6"/>
      <c r="AE1899" s="6"/>
      <c r="AF1899" s="126"/>
      <c r="AJ1899" s="6"/>
      <c r="AL1899" s="110"/>
      <c r="AM1899" s="110"/>
      <c r="AN1899" s="110"/>
      <c r="AP1899" s="6"/>
      <c r="AW1899" s="6"/>
      <c r="AX1899" s="6"/>
      <c r="AZ1899" s="110"/>
      <c r="BB1899" s="6"/>
      <c r="BD1899" s="6"/>
      <c r="BE1899" s="6"/>
      <c r="BV1899" s="17"/>
      <c r="BX1899" s="17"/>
      <c r="BZ1899" s="17"/>
    </row>
    <row r="1900" spans="4:78" x14ac:dyDescent="0.3">
      <c r="D1900" s="153"/>
      <c r="E1900" s="6"/>
      <c r="G1900" s="6"/>
      <c r="J1900" s="6"/>
      <c r="N1900" s="154"/>
      <c r="O1900" s="6"/>
      <c r="S1900" s="6"/>
      <c r="V1900" s="6"/>
      <c r="X1900" s="6"/>
      <c r="Z1900" s="110"/>
      <c r="AB1900" s="6"/>
      <c r="AD1900" s="6"/>
      <c r="AE1900" s="6"/>
      <c r="AF1900" s="126"/>
      <c r="AJ1900" s="6"/>
      <c r="AL1900" s="110"/>
      <c r="AM1900" s="110"/>
      <c r="AN1900" s="110"/>
      <c r="AP1900" s="6"/>
      <c r="AW1900" s="6"/>
      <c r="AX1900" s="6"/>
      <c r="AZ1900" s="110"/>
      <c r="BB1900" s="6"/>
      <c r="BD1900" s="6"/>
      <c r="BE1900" s="6"/>
      <c r="BV1900" s="17"/>
      <c r="BX1900" s="17"/>
      <c r="BZ1900" s="17"/>
    </row>
    <row r="1901" spans="4:78" x14ac:dyDescent="0.3">
      <c r="D1901" s="153"/>
      <c r="E1901" s="6"/>
      <c r="G1901" s="6"/>
      <c r="J1901" s="6"/>
      <c r="N1901" s="154"/>
      <c r="O1901" s="6"/>
      <c r="S1901" s="6"/>
      <c r="V1901" s="6"/>
      <c r="X1901" s="6"/>
      <c r="Z1901" s="110"/>
      <c r="AB1901" s="6"/>
      <c r="AD1901" s="6"/>
      <c r="AE1901" s="6"/>
      <c r="AF1901" s="126"/>
      <c r="AJ1901" s="6"/>
      <c r="AL1901" s="110"/>
      <c r="AM1901" s="110"/>
      <c r="AN1901" s="110"/>
      <c r="AP1901" s="6"/>
      <c r="AW1901" s="6"/>
      <c r="AX1901" s="6"/>
      <c r="AZ1901" s="110"/>
      <c r="BB1901" s="6"/>
      <c r="BD1901" s="6"/>
      <c r="BE1901" s="6"/>
      <c r="BV1901" s="17"/>
      <c r="BX1901" s="17"/>
      <c r="BZ1901" s="17"/>
    </row>
    <row r="1902" spans="4:78" x14ac:dyDescent="0.3">
      <c r="D1902" s="153"/>
      <c r="E1902" s="6"/>
      <c r="G1902" s="6"/>
      <c r="J1902" s="6"/>
      <c r="N1902" s="154"/>
      <c r="O1902" s="6"/>
      <c r="S1902" s="6"/>
      <c r="V1902" s="6"/>
      <c r="X1902" s="6"/>
      <c r="Z1902" s="110"/>
      <c r="AB1902" s="6"/>
      <c r="AD1902" s="6"/>
      <c r="AE1902" s="6"/>
      <c r="AF1902" s="126"/>
      <c r="AJ1902" s="6"/>
      <c r="AL1902" s="110"/>
      <c r="AM1902" s="110"/>
      <c r="AN1902" s="110"/>
      <c r="AP1902" s="6"/>
      <c r="AW1902" s="6"/>
      <c r="AX1902" s="6"/>
      <c r="AZ1902" s="110"/>
      <c r="BB1902" s="6"/>
      <c r="BD1902" s="6"/>
      <c r="BE1902" s="6"/>
      <c r="BV1902" s="17"/>
      <c r="BX1902" s="17"/>
      <c r="BZ1902" s="17"/>
    </row>
    <row r="1903" spans="4:78" x14ac:dyDescent="0.3">
      <c r="D1903" s="153"/>
      <c r="E1903" s="6"/>
      <c r="G1903" s="6"/>
      <c r="J1903" s="6"/>
      <c r="N1903" s="154"/>
      <c r="O1903" s="6"/>
      <c r="S1903" s="6"/>
      <c r="V1903" s="6"/>
      <c r="X1903" s="6"/>
      <c r="Z1903" s="110"/>
      <c r="AB1903" s="6"/>
      <c r="AD1903" s="6"/>
      <c r="AE1903" s="6"/>
      <c r="AF1903" s="126"/>
      <c r="AJ1903" s="6"/>
      <c r="AL1903" s="110"/>
      <c r="AM1903" s="110"/>
      <c r="AN1903" s="110"/>
      <c r="AP1903" s="6"/>
      <c r="AW1903" s="6"/>
      <c r="AX1903" s="6"/>
      <c r="AZ1903" s="110"/>
      <c r="BB1903" s="6"/>
      <c r="BD1903" s="6"/>
      <c r="BE1903" s="6"/>
      <c r="BV1903" s="17"/>
      <c r="BX1903" s="17"/>
      <c r="BZ1903" s="17"/>
    </row>
    <row r="1904" spans="4:78" x14ac:dyDescent="0.3">
      <c r="D1904" s="153"/>
      <c r="E1904" s="6"/>
      <c r="G1904" s="6"/>
      <c r="J1904" s="6"/>
      <c r="N1904" s="154"/>
      <c r="O1904" s="6"/>
      <c r="S1904" s="6"/>
      <c r="V1904" s="6"/>
      <c r="X1904" s="6"/>
      <c r="Z1904" s="110"/>
      <c r="AB1904" s="6"/>
      <c r="AD1904" s="6"/>
      <c r="AE1904" s="6"/>
      <c r="AF1904" s="126"/>
      <c r="AJ1904" s="6"/>
      <c r="AL1904" s="110"/>
      <c r="AM1904" s="110"/>
      <c r="AN1904" s="110"/>
      <c r="AP1904" s="6"/>
      <c r="AW1904" s="6"/>
      <c r="AX1904" s="6"/>
      <c r="AZ1904" s="110"/>
      <c r="BB1904" s="6"/>
      <c r="BD1904" s="6"/>
      <c r="BE1904" s="6"/>
      <c r="BV1904" s="17"/>
      <c r="BX1904" s="17"/>
      <c r="BZ1904" s="17"/>
    </row>
    <row r="1905" spans="4:78" x14ac:dyDescent="0.3">
      <c r="D1905" s="153"/>
      <c r="E1905" s="6"/>
      <c r="G1905" s="6"/>
      <c r="J1905" s="6"/>
      <c r="N1905" s="154"/>
      <c r="O1905" s="6"/>
      <c r="S1905" s="6"/>
      <c r="V1905" s="6"/>
      <c r="X1905" s="6"/>
      <c r="Z1905" s="110"/>
      <c r="AB1905" s="6"/>
      <c r="AD1905" s="6"/>
      <c r="AE1905" s="6"/>
      <c r="AF1905" s="126"/>
      <c r="AJ1905" s="6"/>
      <c r="AL1905" s="110"/>
      <c r="AM1905" s="110"/>
      <c r="AN1905" s="110"/>
      <c r="AP1905" s="6"/>
      <c r="AW1905" s="6"/>
      <c r="AX1905" s="6"/>
      <c r="AZ1905" s="110"/>
      <c r="BB1905" s="6"/>
      <c r="BD1905" s="6"/>
      <c r="BE1905" s="6"/>
      <c r="BV1905" s="17"/>
      <c r="BX1905" s="17"/>
      <c r="BZ1905" s="17"/>
    </row>
    <row r="1906" spans="4:78" x14ac:dyDescent="0.3">
      <c r="D1906" s="153"/>
      <c r="E1906" s="6"/>
      <c r="G1906" s="6"/>
      <c r="J1906" s="6"/>
      <c r="N1906" s="154"/>
      <c r="O1906" s="6"/>
      <c r="S1906" s="6"/>
      <c r="V1906" s="6"/>
      <c r="X1906" s="6"/>
      <c r="Z1906" s="110"/>
      <c r="AB1906" s="6"/>
      <c r="AD1906" s="6"/>
      <c r="AE1906" s="6"/>
      <c r="AF1906" s="126"/>
      <c r="AJ1906" s="6"/>
      <c r="AL1906" s="110"/>
      <c r="AM1906" s="110"/>
      <c r="AN1906" s="110"/>
      <c r="AP1906" s="6"/>
      <c r="AW1906" s="6"/>
      <c r="AX1906" s="6"/>
      <c r="AZ1906" s="110"/>
      <c r="BB1906" s="6"/>
      <c r="BD1906" s="6"/>
      <c r="BE1906" s="6"/>
      <c r="BV1906" s="17"/>
      <c r="BX1906" s="17"/>
      <c r="BZ1906" s="17"/>
    </row>
    <row r="1907" spans="4:78" x14ac:dyDescent="0.3">
      <c r="D1907" s="153"/>
      <c r="E1907" s="6"/>
      <c r="G1907" s="6"/>
      <c r="J1907" s="6"/>
      <c r="N1907" s="154"/>
      <c r="O1907" s="6"/>
      <c r="S1907" s="6"/>
      <c r="V1907" s="6"/>
      <c r="X1907" s="6"/>
      <c r="Z1907" s="110"/>
      <c r="AB1907" s="6"/>
      <c r="AD1907" s="6"/>
      <c r="AE1907" s="6"/>
      <c r="AF1907" s="126"/>
      <c r="AJ1907" s="6"/>
      <c r="AL1907" s="110"/>
      <c r="AM1907" s="110"/>
      <c r="AN1907" s="110"/>
      <c r="AP1907" s="6"/>
      <c r="AW1907" s="6"/>
      <c r="AX1907" s="6"/>
      <c r="AZ1907" s="110"/>
      <c r="BB1907" s="6"/>
      <c r="BD1907" s="6"/>
      <c r="BE1907" s="6"/>
      <c r="BV1907" s="17"/>
      <c r="BX1907" s="17"/>
      <c r="BZ1907" s="17"/>
    </row>
    <row r="1908" spans="4:78" x14ac:dyDescent="0.3">
      <c r="D1908" s="153"/>
      <c r="E1908" s="6"/>
      <c r="G1908" s="6"/>
      <c r="J1908" s="6"/>
      <c r="N1908" s="154"/>
      <c r="O1908" s="6"/>
      <c r="S1908" s="6"/>
      <c r="V1908" s="6"/>
      <c r="X1908" s="6"/>
      <c r="Z1908" s="110"/>
      <c r="AB1908" s="6"/>
      <c r="AD1908" s="6"/>
      <c r="AE1908" s="6"/>
      <c r="AF1908" s="126"/>
      <c r="AJ1908" s="6"/>
      <c r="AL1908" s="110"/>
      <c r="AM1908" s="110"/>
      <c r="AN1908" s="110"/>
      <c r="AP1908" s="6"/>
      <c r="AW1908" s="6"/>
      <c r="AX1908" s="6"/>
      <c r="AZ1908" s="110"/>
      <c r="BB1908" s="6"/>
      <c r="BD1908" s="6"/>
      <c r="BE1908" s="6"/>
      <c r="BV1908" s="17"/>
      <c r="BX1908" s="17"/>
      <c r="BZ1908" s="17"/>
    </row>
    <row r="1909" spans="4:78" x14ac:dyDescent="0.3">
      <c r="D1909" s="153"/>
      <c r="E1909" s="6"/>
      <c r="G1909" s="6"/>
      <c r="J1909" s="6"/>
      <c r="N1909" s="154"/>
      <c r="O1909" s="6"/>
      <c r="S1909" s="6"/>
      <c r="V1909" s="6"/>
      <c r="X1909" s="6"/>
      <c r="Z1909" s="110"/>
      <c r="AB1909" s="6"/>
      <c r="AD1909" s="6"/>
      <c r="AE1909" s="6"/>
      <c r="AF1909" s="126"/>
      <c r="AJ1909" s="6"/>
      <c r="AL1909" s="110"/>
      <c r="AM1909" s="110"/>
      <c r="AN1909" s="110"/>
      <c r="AP1909" s="6"/>
      <c r="AW1909" s="6"/>
      <c r="AX1909" s="6"/>
      <c r="AZ1909" s="110"/>
      <c r="BB1909" s="6"/>
      <c r="BD1909" s="6"/>
      <c r="BE1909" s="6"/>
      <c r="BV1909" s="17"/>
      <c r="BX1909" s="17"/>
      <c r="BZ1909" s="17"/>
    </row>
    <row r="1910" spans="4:78" x14ac:dyDescent="0.3">
      <c r="D1910" s="153"/>
      <c r="E1910" s="6"/>
      <c r="G1910" s="6"/>
      <c r="J1910" s="6"/>
      <c r="N1910" s="154"/>
      <c r="O1910" s="6"/>
      <c r="S1910" s="6"/>
      <c r="V1910" s="6"/>
      <c r="X1910" s="6"/>
      <c r="Z1910" s="110"/>
      <c r="AB1910" s="6"/>
      <c r="AD1910" s="6"/>
      <c r="AE1910" s="6"/>
      <c r="AF1910" s="126"/>
      <c r="AJ1910" s="6"/>
      <c r="AL1910" s="110"/>
      <c r="AM1910" s="110"/>
      <c r="AN1910" s="110"/>
      <c r="AP1910" s="6"/>
      <c r="AW1910" s="6"/>
      <c r="AX1910" s="6"/>
      <c r="AZ1910" s="110"/>
      <c r="BB1910" s="6"/>
      <c r="BD1910" s="6"/>
      <c r="BE1910" s="6"/>
      <c r="BV1910" s="17"/>
      <c r="BX1910" s="17"/>
      <c r="BZ1910" s="17"/>
    </row>
    <row r="1911" spans="4:78" x14ac:dyDescent="0.3">
      <c r="D1911" s="153"/>
      <c r="E1911" s="6"/>
      <c r="G1911" s="6"/>
      <c r="J1911" s="6"/>
      <c r="N1911" s="154"/>
      <c r="O1911" s="6"/>
      <c r="S1911" s="6"/>
      <c r="V1911" s="6"/>
      <c r="X1911" s="6"/>
      <c r="Z1911" s="110"/>
      <c r="AB1911" s="6"/>
      <c r="AD1911" s="6"/>
      <c r="AE1911" s="6"/>
      <c r="AF1911" s="126"/>
      <c r="AJ1911" s="6"/>
      <c r="AL1911" s="110"/>
      <c r="AM1911" s="110"/>
      <c r="AN1911" s="110"/>
      <c r="AP1911" s="6"/>
      <c r="AW1911" s="6"/>
      <c r="AX1911" s="6"/>
      <c r="AZ1911" s="110"/>
      <c r="BB1911" s="6"/>
      <c r="BD1911" s="6"/>
      <c r="BE1911" s="6"/>
      <c r="BV1911" s="17"/>
      <c r="BX1911" s="17"/>
      <c r="BZ1911" s="17"/>
    </row>
    <row r="1912" spans="4:78" x14ac:dyDescent="0.3">
      <c r="D1912" s="153"/>
      <c r="E1912" s="6"/>
      <c r="G1912" s="6"/>
      <c r="J1912" s="6"/>
      <c r="N1912" s="154"/>
      <c r="O1912" s="6"/>
      <c r="S1912" s="6"/>
      <c r="V1912" s="6"/>
      <c r="X1912" s="6"/>
      <c r="Z1912" s="110"/>
      <c r="AB1912" s="6"/>
      <c r="AD1912" s="6"/>
      <c r="AE1912" s="6"/>
      <c r="AF1912" s="126"/>
      <c r="AJ1912" s="6"/>
      <c r="AL1912" s="110"/>
      <c r="AM1912" s="110"/>
      <c r="AN1912" s="110"/>
      <c r="AP1912" s="6"/>
      <c r="AW1912" s="6"/>
      <c r="AX1912" s="6"/>
      <c r="AZ1912" s="110"/>
      <c r="BB1912" s="6"/>
      <c r="BD1912" s="6"/>
      <c r="BE1912" s="6"/>
      <c r="BV1912" s="17"/>
      <c r="BX1912" s="17"/>
      <c r="BZ1912" s="17"/>
    </row>
    <row r="1913" spans="4:78" x14ac:dyDescent="0.3">
      <c r="D1913" s="153"/>
      <c r="E1913" s="6"/>
      <c r="G1913" s="6"/>
      <c r="J1913" s="6"/>
      <c r="N1913" s="154"/>
      <c r="O1913" s="6"/>
      <c r="S1913" s="6"/>
      <c r="V1913" s="6"/>
      <c r="X1913" s="6"/>
      <c r="Z1913" s="110"/>
      <c r="AB1913" s="6"/>
      <c r="AD1913" s="6"/>
      <c r="AE1913" s="6"/>
      <c r="AF1913" s="126"/>
      <c r="AJ1913" s="6"/>
      <c r="AL1913" s="110"/>
      <c r="AM1913" s="110"/>
      <c r="AN1913" s="110"/>
      <c r="AP1913" s="6"/>
      <c r="AW1913" s="6"/>
      <c r="AX1913" s="6"/>
      <c r="AZ1913" s="110"/>
      <c r="BB1913" s="6"/>
      <c r="BD1913" s="6"/>
      <c r="BE1913" s="6"/>
      <c r="BV1913" s="17"/>
      <c r="BX1913" s="17"/>
      <c r="BZ1913" s="17"/>
    </row>
    <row r="1914" spans="4:78" x14ac:dyDescent="0.3">
      <c r="D1914" s="153"/>
      <c r="E1914" s="6"/>
      <c r="G1914" s="6"/>
      <c r="J1914" s="6"/>
      <c r="N1914" s="154"/>
      <c r="O1914" s="6"/>
      <c r="S1914" s="6"/>
      <c r="V1914" s="6"/>
      <c r="X1914" s="6"/>
      <c r="Z1914" s="110"/>
      <c r="AB1914" s="6"/>
      <c r="AD1914" s="6"/>
      <c r="AE1914" s="6"/>
      <c r="AF1914" s="126"/>
      <c r="AJ1914" s="6"/>
      <c r="AL1914" s="110"/>
      <c r="AM1914" s="110"/>
      <c r="AN1914" s="110"/>
      <c r="AP1914" s="6"/>
      <c r="AW1914" s="6"/>
      <c r="AX1914" s="6"/>
      <c r="AZ1914" s="110"/>
      <c r="BB1914" s="6"/>
      <c r="BD1914" s="6"/>
      <c r="BE1914" s="6"/>
      <c r="BV1914" s="17"/>
      <c r="BX1914" s="17"/>
      <c r="BZ1914" s="17"/>
    </row>
    <row r="1915" spans="4:78" x14ac:dyDescent="0.3">
      <c r="D1915" s="153"/>
      <c r="E1915" s="6"/>
      <c r="G1915" s="6"/>
      <c r="J1915" s="6"/>
      <c r="N1915" s="154"/>
      <c r="O1915" s="6"/>
      <c r="S1915" s="6"/>
      <c r="V1915" s="6"/>
      <c r="X1915" s="6"/>
      <c r="Z1915" s="110"/>
      <c r="AB1915" s="6"/>
      <c r="AD1915" s="6"/>
      <c r="AE1915" s="6"/>
      <c r="AF1915" s="126"/>
      <c r="AJ1915" s="6"/>
      <c r="AL1915" s="110"/>
      <c r="AM1915" s="110"/>
      <c r="AN1915" s="110"/>
      <c r="AP1915" s="6"/>
      <c r="AW1915" s="6"/>
      <c r="AX1915" s="6"/>
      <c r="AZ1915" s="110"/>
      <c r="BB1915" s="6"/>
      <c r="BD1915" s="6"/>
      <c r="BE1915" s="6"/>
      <c r="BV1915" s="17"/>
      <c r="BX1915" s="17"/>
      <c r="BZ1915" s="17"/>
    </row>
    <row r="1916" spans="4:78" x14ac:dyDescent="0.3">
      <c r="D1916" s="153"/>
      <c r="E1916" s="6"/>
      <c r="G1916" s="6"/>
      <c r="J1916" s="6"/>
      <c r="N1916" s="154"/>
      <c r="O1916" s="6"/>
      <c r="S1916" s="6"/>
      <c r="V1916" s="6"/>
      <c r="X1916" s="6"/>
      <c r="Z1916" s="110"/>
      <c r="AB1916" s="6"/>
      <c r="AD1916" s="6"/>
      <c r="AE1916" s="6"/>
      <c r="AF1916" s="126"/>
      <c r="AJ1916" s="6"/>
      <c r="AL1916" s="110"/>
      <c r="AM1916" s="110"/>
      <c r="AN1916" s="110"/>
      <c r="AP1916" s="6"/>
      <c r="AW1916" s="6"/>
      <c r="AX1916" s="6"/>
      <c r="AZ1916" s="110"/>
      <c r="BB1916" s="6"/>
      <c r="BD1916" s="6"/>
      <c r="BE1916" s="6"/>
      <c r="BV1916" s="17"/>
      <c r="BX1916" s="17"/>
      <c r="BZ1916" s="17"/>
    </row>
    <row r="1917" spans="4:78" x14ac:dyDescent="0.3">
      <c r="D1917" s="153"/>
      <c r="E1917" s="6"/>
      <c r="G1917" s="6"/>
      <c r="J1917" s="6"/>
      <c r="N1917" s="154"/>
      <c r="O1917" s="6"/>
      <c r="S1917" s="6"/>
      <c r="V1917" s="6"/>
      <c r="X1917" s="6"/>
      <c r="Z1917" s="110"/>
      <c r="AB1917" s="6"/>
      <c r="AD1917" s="6"/>
      <c r="AE1917" s="6"/>
      <c r="AF1917" s="126"/>
      <c r="AJ1917" s="6"/>
      <c r="AL1917" s="110"/>
      <c r="AM1917" s="110"/>
      <c r="AN1917" s="110"/>
      <c r="AP1917" s="6"/>
      <c r="AW1917" s="6"/>
      <c r="AX1917" s="6"/>
      <c r="AZ1917" s="110"/>
      <c r="BB1917" s="6"/>
      <c r="BD1917" s="6"/>
      <c r="BE1917" s="6"/>
      <c r="BV1917" s="17"/>
      <c r="BX1917" s="17"/>
      <c r="BZ1917" s="17"/>
    </row>
    <row r="1918" spans="4:78" x14ac:dyDescent="0.3">
      <c r="D1918" s="153"/>
      <c r="E1918" s="6"/>
      <c r="G1918" s="6"/>
      <c r="J1918" s="6"/>
      <c r="N1918" s="154"/>
      <c r="O1918" s="6"/>
      <c r="S1918" s="6"/>
      <c r="V1918" s="6"/>
      <c r="X1918" s="6"/>
      <c r="Z1918" s="110"/>
      <c r="AB1918" s="6"/>
      <c r="AD1918" s="6"/>
      <c r="AE1918" s="6"/>
      <c r="AF1918" s="126"/>
      <c r="AJ1918" s="6"/>
      <c r="AL1918" s="110"/>
      <c r="AM1918" s="110"/>
      <c r="AN1918" s="110"/>
      <c r="AP1918" s="6"/>
      <c r="AW1918" s="6"/>
      <c r="AX1918" s="6"/>
      <c r="AZ1918" s="110"/>
      <c r="BB1918" s="6"/>
      <c r="BD1918" s="6"/>
      <c r="BE1918" s="6"/>
      <c r="BV1918" s="17"/>
      <c r="BX1918" s="17"/>
      <c r="BZ1918" s="17"/>
    </row>
    <row r="1919" spans="4:78" x14ac:dyDescent="0.3">
      <c r="D1919" s="153"/>
      <c r="E1919" s="6"/>
      <c r="G1919" s="6"/>
      <c r="J1919" s="6"/>
      <c r="N1919" s="154"/>
      <c r="O1919" s="6"/>
      <c r="S1919" s="6"/>
      <c r="V1919" s="6"/>
      <c r="X1919" s="6"/>
      <c r="Z1919" s="110"/>
      <c r="AB1919" s="6"/>
      <c r="AD1919" s="6"/>
      <c r="AE1919" s="6"/>
      <c r="AF1919" s="126"/>
      <c r="AJ1919" s="6"/>
      <c r="AL1919" s="110"/>
      <c r="AM1919" s="110"/>
      <c r="AN1919" s="110"/>
      <c r="AP1919" s="6"/>
      <c r="AW1919" s="6"/>
      <c r="AX1919" s="6"/>
      <c r="AZ1919" s="110"/>
      <c r="BB1919" s="6"/>
      <c r="BD1919" s="6"/>
      <c r="BE1919" s="6"/>
      <c r="BV1919" s="17"/>
      <c r="BX1919" s="17"/>
      <c r="BZ1919" s="17"/>
    </row>
    <row r="1920" spans="4:78" x14ac:dyDescent="0.3">
      <c r="D1920" s="153"/>
      <c r="E1920" s="6"/>
      <c r="G1920" s="6"/>
      <c r="J1920" s="6"/>
      <c r="N1920" s="154"/>
      <c r="O1920" s="6"/>
      <c r="S1920" s="6"/>
      <c r="V1920" s="6"/>
      <c r="X1920" s="6"/>
      <c r="Z1920" s="110"/>
      <c r="AB1920" s="6"/>
      <c r="AD1920" s="6"/>
      <c r="AE1920" s="6"/>
      <c r="AF1920" s="126"/>
      <c r="AJ1920" s="6"/>
      <c r="AL1920" s="110"/>
      <c r="AM1920" s="110"/>
      <c r="AN1920" s="110"/>
      <c r="AP1920" s="6"/>
      <c r="AW1920" s="6"/>
      <c r="AX1920" s="6"/>
      <c r="AZ1920" s="110"/>
      <c r="BB1920" s="6"/>
      <c r="BD1920" s="6"/>
      <c r="BE1920" s="6"/>
      <c r="BV1920" s="17"/>
      <c r="BX1920" s="17"/>
      <c r="BZ1920" s="17"/>
    </row>
    <row r="1921" spans="4:78" x14ac:dyDescent="0.3">
      <c r="D1921" s="153"/>
      <c r="E1921" s="6"/>
      <c r="G1921" s="6"/>
      <c r="J1921" s="6"/>
      <c r="N1921" s="154"/>
      <c r="O1921" s="6"/>
      <c r="S1921" s="6"/>
      <c r="V1921" s="6"/>
      <c r="X1921" s="6"/>
      <c r="Z1921" s="110"/>
      <c r="AB1921" s="6"/>
      <c r="AD1921" s="6"/>
      <c r="AE1921" s="6"/>
      <c r="AF1921" s="126"/>
      <c r="AJ1921" s="6"/>
      <c r="AL1921" s="110"/>
      <c r="AM1921" s="110"/>
      <c r="AN1921" s="110"/>
      <c r="AP1921" s="6"/>
      <c r="AW1921" s="6"/>
      <c r="AX1921" s="6"/>
      <c r="AZ1921" s="110"/>
      <c r="BB1921" s="6"/>
      <c r="BD1921" s="6"/>
      <c r="BE1921" s="6"/>
      <c r="BV1921" s="17"/>
      <c r="BX1921" s="17"/>
      <c r="BZ1921" s="17"/>
    </row>
    <row r="1922" spans="4:78" x14ac:dyDescent="0.3">
      <c r="D1922" s="153"/>
      <c r="E1922" s="6"/>
      <c r="G1922" s="6"/>
      <c r="J1922" s="6"/>
      <c r="N1922" s="154"/>
      <c r="O1922" s="6"/>
      <c r="S1922" s="6"/>
      <c r="V1922" s="6"/>
      <c r="X1922" s="6"/>
      <c r="Z1922" s="110"/>
      <c r="AB1922" s="6"/>
      <c r="AD1922" s="6"/>
      <c r="AE1922" s="6"/>
      <c r="AF1922" s="126"/>
      <c r="AJ1922" s="6"/>
      <c r="AL1922" s="110"/>
      <c r="AM1922" s="110"/>
      <c r="AN1922" s="110"/>
      <c r="AP1922" s="6"/>
      <c r="AW1922" s="6"/>
      <c r="AX1922" s="6"/>
      <c r="AZ1922" s="110"/>
      <c r="BB1922" s="6"/>
      <c r="BD1922" s="6"/>
      <c r="BE1922" s="6"/>
      <c r="BV1922" s="17"/>
      <c r="BX1922" s="17"/>
      <c r="BZ1922" s="17"/>
    </row>
    <row r="1923" spans="4:78" x14ac:dyDescent="0.3">
      <c r="D1923" s="153"/>
      <c r="E1923" s="6"/>
      <c r="G1923" s="6"/>
      <c r="J1923" s="6"/>
      <c r="N1923" s="154"/>
      <c r="O1923" s="6"/>
      <c r="S1923" s="6"/>
      <c r="V1923" s="6"/>
      <c r="X1923" s="6"/>
      <c r="Z1923" s="110"/>
      <c r="AB1923" s="6"/>
      <c r="AD1923" s="6"/>
      <c r="AE1923" s="6"/>
      <c r="AF1923" s="126"/>
      <c r="AJ1923" s="6"/>
      <c r="AL1923" s="110"/>
      <c r="AM1923" s="110"/>
      <c r="AN1923" s="110"/>
      <c r="AP1923" s="6"/>
      <c r="AW1923" s="6"/>
      <c r="AX1923" s="6"/>
      <c r="AZ1923" s="110"/>
      <c r="BB1923" s="6"/>
      <c r="BD1923" s="6"/>
      <c r="BE1923" s="6"/>
      <c r="BV1923" s="17"/>
      <c r="BX1923" s="17"/>
      <c r="BZ1923" s="17"/>
    </row>
    <row r="1924" spans="4:78" x14ac:dyDescent="0.3">
      <c r="D1924" s="153"/>
      <c r="E1924" s="6"/>
      <c r="G1924" s="6"/>
      <c r="J1924" s="6"/>
      <c r="N1924" s="154"/>
      <c r="O1924" s="6"/>
      <c r="S1924" s="6"/>
      <c r="V1924" s="6"/>
      <c r="X1924" s="6"/>
      <c r="Z1924" s="110"/>
      <c r="AB1924" s="6"/>
      <c r="AD1924" s="6"/>
      <c r="AE1924" s="6"/>
      <c r="AF1924" s="126"/>
      <c r="AJ1924" s="6"/>
      <c r="AL1924" s="110"/>
      <c r="AM1924" s="110"/>
      <c r="AN1924" s="110"/>
      <c r="AP1924" s="6"/>
      <c r="AW1924" s="6"/>
      <c r="AX1924" s="6"/>
      <c r="AZ1924" s="110"/>
      <c r="BB1924" s="6"/>
      <c r="BD1924" s="6"/>
      <c r="BE1924" s="6"/>
      <c r="BV1924" s="17"/>
      <c r="BX1924" s="17"/>
      <c r="BZ1924" s="17"/>
    </row>
    <row r="1925" spans="4:78" x14ac:dyDescent="0.3">
      <c r="D1925" s="153"/>
      <c r="E1925" s="6"/>
      <c r="G1925" s="6"/>
      <c r="J1925" s="6"/>
      <c r="N1925" s="154"/>
      <c r="O1925" s="6"/>
      <c r="S1925" s="6"/>
      <c r="V1925" s="6"/>
      <c r="X1925" s="6"/>
      <c r="Z1925" s="110"/>
      <c r="AB1925" s="6"/>
      <c r="AD1925" s="6"/>
      <c r="AE1925" s="6"/>
      <c r="AF1925" s="126"/>
      <c r="AJ1925" s="6"/>
      <c r="AL1925" s="110"/>
      <c r="AM1925" s="110"/>
      <c r="AN1925" s="110"/>
      <c r="AP1925" s="6"/>
      <c r="AW1925" s="6"/>
      <c r="AX1925" s="6"/>
      <c r="AZ1925" s="110"/>
      <c r="BB1925" s="6"/>
      <c r="BD1925" s="6"/>
      <c r="BE1925" s="6"/>
      <c r="BV1925" s="17"/>
      <c r="BX1925" s="17"/>
      <c r="BZ1925" s="17"/>
    </row>
    <row r="1926" spans="4:78" x14ac:dyDescent="0.3">
      <c r="D1926" s="153"/>
      <c r="E1926" s="6"/>
      <c r="G1926" s="6"/>
      <c r="J1926" s="6"/>
      <c r="N1926" s="154"/>
      <c r="O1926" s="6"/>
      <c r="S1926" s="6"/>
      <c r="V1926" s="6"/>
      <c r="X1926" s="6"/>
      <c r="Z1926" s="110"/>
      <c r="AB1926" s="6"/>
      <c r="AD1926" s="6"/>
      <c r="AE1926" s="6"/>
      <c r="AF1926" s="126"/>
      <c r="AJ1926" s="6"/>
      <c r="AL1926" s="110"/>
      <c r="AM1926" s="110"/>
      <c r="AN1926" s="110"/>
      <c r="AP1926" s="6"/>
      <c r="AW1926" s="6"/>
      <c r="AX1926" s="6"/>
      <c r="AZ1926" s="110"/>
      <c r="BB1926" s="6"/>
      <c r="BD1926" s="6"/>
      <c r="BE1926" s="6"/>
      <c r="BV1926" s="17"/>
      <c r="BX1926" s="17"/>
      <c r="BZ1926" s="17"/>
    </row>
    <row r="1927" spans="4:78" x14ac:dyDescent="0.3">
      <c r="D1927" s="153"/>
      <c r="E1927" s="6"/>
      <c r="G1927" s="6"/>
      <c r="J1927" s="6"/>
      <c r="N1927" s="154"/>
      <c r="O1927" s="6"/>
      <c r="S1927" s="6"/>
      <c r="V1927" s="6"/>
      <c r="X1927" s="6"/>
      <c r="Z1927" s="110"/>
      <c r="AB1927" s="6"/>
      <c r="AD1927" s="6"/>
      <c r="AE1927" s="6"/>
      <c r="AF1927" s="126"/>
      <c r="AJ1927" s="6"/>
      <c r="AL1927" s="110"/>
      <c r="AM1927" s="110"/>
      <c r="AN1927" s="110"/>
      <c r="AP1927" s="6"/>
      <c r="AW1927" s="6"/>
      <c r="AX1927" s="6"/>
      <c r="AZ1927" s="110"/>
      <c r="BB1927" s="6"/>
      <c r="BD1927" s="6"/>
      <c r="BE1927" s="6"/>
      <c r="BV1927" s="17"/>
      <c r="BX1927" s="17"/>
      <c r="BZ1927" s="17"/>
    </row>
    <row r="1928" spans="4:78" x14ac:dyDescent="0.3">
      <c r="D1928" s="153"/>
      <c r="E1928" s="6"/>
      <c r="G1928" s="6"/>
      <c r="J1928" s="6"/>
      <c r="N1928" s="154"/>
      <c r="O1928" s="6"/>
      <c r="S1928" s="6"/>
      <c r="V1928" s="6"/>
      <c r="X1928" s="6"/>
      <c r="Z1928" s="110"/>
      <c r="AB1928" s="6"/>
      <c r="AD1928" s="6"/>
      <c r="AE1928" s="6"/>
      <c r="AF1928" s="126"/>
      <c r="AJ1928" s="6"/>
      <c r="AL1928" s="110"/>
      <c r="AM1928" s="110"/>
      <c r="AN1928" s="110"/>
      <c r="AP1928" s="6"/>
      <c r="AW1928" s="6"/>
      <c r="AX1928" s="6"/>
      <c r="AZ1928" s="110"/>
      <c r="BB1928" s="6"/>
      <c r="BD1928" s="6"/>
      <c r="BE1928" s="6"/>
      <c r="BV1928" s="17"/>
      <c r="BX1928" s="17"/>
      <c r="BZ1928" s="17"/>
    </row>
    <row r="1929" spans="4:78" x14ac:dyDescent="0.3">
      <c r="D1929" s="153"/>
      <c r="E1929" s="6"/>
      <c r="G1929" s="6"/>
      <c r="J1929" s="6"/>
      <c r="N1929" s="154"/>
      <c r="O1929" s="6"/>
      <c r="S1929" s="6"/>
      <c r="V1929" s="6"/>
      <c r="X1929" s="6"/>
      <c r="Z1929" s="110"/>
      <c r="AB1929" s="6"/>
      <c r="AD1929" s="6"/>
      <c r="AE1929" s="6"/>
      <c r="AF1929" s="126"/>
      <c r="AJ1929" s="6"/>
      <c r="AL1929" s="110"/>
      <c r="AM1929" s="110"/>
      <c r="AN1929" s="110"/>
      <c r="AP1929" s="6"/>
      <c r="AW1929" s="6"/>
      <c r="AX1929" s="6"/>
      <c r="AZ1929" s="110"/>
      <c r="BB1929" s="6"/>
      <c r="BD1929" s="6"/>
      <c r="BE1929" s="6"/>
      <c r="BV1929" s="17"/>
      <c r="BX1929" s="17"/>
      <c r="BZ1929" s="17"/>
    </row>
    <row r="1930" spans="4:78" x14ac:dyDescent="0.3">
      <c r="D1930" s="153"/>
      <c r="E1930" s="6"/>
      <c r="G1930" s="6"/>
      <c r="J1930" s="6"/>
      <c r="N1930" s="154"/>
      <c r="O1930" s="6"/>
      <c r="S1930" s="6"/>
      <c r="V1930" s="6"/>
      <c r="X1930" s="6"/>
      <c r="Z1930" s="110"/>
      <c r="AB1930" s="6"/>
      <c r="AD1930" s="6"/>
      <c r="AE1930" s="6"/>
      <c r="AF1930" s="126"/>
      <c r="AJ1930" s="6"/>
      <c r="AL1930" s="110"/>
      <c r="AM1930" s="110"/>
      <c r="AN1930" s="110"/>
      <c r="AP1930" s="6"/>
      <c r="AW1930" s="6"/>
      <c r="AX1930" s="6"/>
      <c r="AZ1930" s="110"/>
      <c r="BB1930" s="6"/>
      <c r="BD1930" s="6"/>
      <c r="BE1930" s="6"/>
      <c r="BV1930" s="17"/>
      <c r="BX1930" s="17"/>
      <c r="BZ1930" s="17"/>
    </row>
    <row r="1931" spans="4:78" x14ac:dyDescent="0.3">
      <c r="D1931" s="153"/>
      <c r="E1931" s="6"/>
      <c r="G1931" s="6"/>
      <c r="J1931" s="6"/>
      <c r="N1931" s="154"/>
      <c r="O1931" s="6"/>
      <c r="S1931" s="6"/>
      <c r="V1931" s="6"/>
      <c r="X1931" s="6"/>
      <c r="Z1931" s="110"/>
      <c r="AB1931" s="6"/>
      <c r="AD1931" s="6"/>
      <c r="AE1931" s="6"/>
      <c r="AF1931" s="126"/>
      <c r="AJ1931" s="6"/>
      <c r="AL1931" s="110"/>
      <c r="AM1931" s="110"/>
      <c r="AN1931" s="110"/>
      <c r="AP1931" s="6"/>
      <c r="AW1931" s="6"/>
      <c r="AX1931" s="6"/>
      <c r="AZ1931" s="110"/>
      <c r="BB1931" s="6"/>
      <c r="BD1931" s="6"/>
      <c r="BE1931" s="6"/>
      <c r="BV1931" s="17"/>
      <c r="BX1931" s="17"/>
      <c r="BZ1931" s="17"/>
    </row>
    <row r="1932" spans="4:78" x14ac:dyDescent="0.3">
      <c r="D1932" s="153"/>
      <c r="E1932" s="6"/>
      <c r="G1932" s="6"/>
      <c r="J1932" s="6"/>
      <c r="N1932" s="154"/>
      <c r="O1932" s="6"/>
      <c r="S1932" s="6"/>
      <c r="V1932" s="6"/>
      <c r="X1932" s="6"/>
      <c r="Z1932" s="110"/>
      <c r="AB1932" s="6"/>
      <c r="AD1932" s="6"/>
      <c r="AE1932" s="6"/>
      <c r="AF1932" s="126"/>
      <c r="AJ1932" s="6"/>
      <c r="AL1932" s="110"/>
      <c r="AM1932" s="110"/>
      <c r="AN1932" s="110"/>
      <c r="AP1932" s="6"/>
      <c r="AW1932" s="6"/>
      <c r="AX1932" s="6"/>
      <c r="AZ1932" s="110"/>
      <c r="BB1932" s="6"/>
      <c r="BD1932" s="6"/>
      <c r="BE1932" s="6"/>
      <c r="BV1932" s="17"/>
      <c r="BX1932" s="17"/>
      <c r="BZ1932" s="17"/>
    </row>
    <row r="1933" spans="4:78" x14ac:dyDescent="0.3">
      <c r="D1933" s="153"/>
      <c r="E1933" s="6"/>
      <c r="G1933" s="6"/>
      <c r="J1933" s="6"/>
      <c r="N1933" s="154"/>
      <c r="O1933" s="6"/>
      <c r="S1933" s="6"/>
      <c r="V1933" s="6"/>
      <c r="X1933" s="6"/>
      <c r="Z1933" s="110"/>
      <c r="AB1933" s="6"/>
      <c r="AD1933" s="6"/>
      <c r="AE1933" s="6"/>
      <c r="AF1933" s="126"/>
      <c r="AJ1933" s="6"/>
      <c r="AL1933" s="110"/>
      <c r="AM1933" s="110"/>
      <c r="AN1933" s="110"/>
      <c r="AP1933" s="6"/>
      <c r="AW1933" s="6"/>
      <c r="AX1933" s="6"/>
      <c r="AZ1933" s="110"/>
      <c r="BB1933" s="6"/>
      <c r="BD1933" s="6"/>
      <c r="BE1933" s="6"/>
      <c r="BV1933" s="17"/>
      <c r="BX1933" s="17"/>
      <c r="BZ1933" s="17"/>
    </row>
    <row r="1934" spans="4:78" x14ac:dyDescent="0.3">
      <c r="D1934" s="153"/>
      <c r="E1934" s="6"/>
      <c r="G1934" s="6"/>
      <c r="J1934" s="6"/>
      <c r="N1934" s="154"/>
      <c r="O1934" s="6"/>
      <c r="S1934" s="6"/>
      <c r="V1934" s="6"/>
      <c r="X1934" s="6"/>
      <c r="Z1934" s="110"/>
      <c r="AB1934" s="6"/>
      <c r="AD1934" s="6"/>
      <c r="AE1934" s="6"/>
      <c r="AF1934" s="126"/>
      <c r="AJ1934" s="6"/>
      <c r="AL1934" s="110"/>
      <c r="AM1934" s="110"/>
      <c r="AN1934" s="110"/>
      <c r="AP1934" s="6"/>
      <c r="AW1934" s="6"/>
      <c r="AX1934" s="6"/>
      <c r="AZ1934" s="110"/>
      <c r="BB1934" s="6"/>
      <c r="BD1934" s="6"/>
      <c r="BE1934" s="6"/>
      <c r="BV1934" s="17"/>
      <c r="BX1934" s="17"/>
      <c r="BZ1934" s="17"/>
    </row>
    <row r="1935" spans="4:78" x14ac:dyDescent="0.3">
      <c r="D1935" s="153"/>
      <c r="E1935" s="6"/>
      <c r="G1935" s="6"/>
      <c r="J1935" s="6"/>
      <c r="N1935" s="154"/>
      <c r="O1935" s="6"/>
      <c r="S1935" s="6"/>
      <c r="V1935" s="6"/>
      <c r="X1935" s="6"/>
      <c r="Z1935" s="110"/>
      <c r="AB1935" s="6"/>
      <c r="AD1935" s="6"/>
      <c r="AE1935" s="6"/>
      <c r="AF1935" s="126"/>
      <c r="AJ1935" s="6"/>
      <c r="AL1935" s="110"/>
      <c r="AM1935" s="110"/>
      <c r="AN1935" s="110"/>
      <c r="AP1935" s="6"/>
      <c r="AW1935" s="6"/>
      <c r="AX1935" s="6"/>
      <c r="AZ1935" s="110"/>
      <c r="BB1935" s="6"/>
      <c r="BD1935" s="6"/>
      <c r="BE1935" s="6"/>
      <c r="BV1935" s="17"/>
      <c r="BX1935" s="17"/>
      <c r="BZ1935" s="17"/>
    </row>
    <row r="1936" spans="4:78" x14ac:dyDescent="0.3">
      <c r="D1936" s="153"/>
      <c r="E1936" s="6"/>
      <c r="G1936" s="6"/>
      <c r="J1936" s="6"/>
      <c r="N1936" s="154"/>
      <c r="O1936" s="6"/>
      <c r="S1936" s="6"/>
      <c r="V1936" s="6"/>
      <c r="X1936" s="6"/>
      <c r="Z1936" s="110"/>
      <c r="AB1936" s="6"/>
      <c r="AD1936" s="6"/>
      <c r="AE1936" s="6"/>
      <c r="AF1936" s="126"/>
      <c r="AJ1936" s="6"/>
      <c r="AL1936" s="110"/>
      <c r="AM1936" s="110"/>
      <c r="AN1936" s="110"/>
      <c r="AP1936" s="6"/>
      <c r="AW1936" s="6"/>
      <c r="AX1936" s="6"/>
      <c r="AZ1936" s="110"/>
      <c r="BB1936" s="6"/>
      <c r="BD1936" s="6"/>
      <c r="BE1936" s="6"/>
      <c r="BV1936" s="17"/>
      <c r="BX1936" s="17"/>
      <c r="BZ1936" s="17"/>
    </row>
    <row r="1937" spans="4:78" x14ac:dyDescent="0.3">
      <c r="D1937" s="153"/>
      <c r="E1937" s="6"/>
      <c r="G1937" s="6"/>
      <c r="J1937" s="6"/>
      <c r="N1937" s="154"/>
      <c r="O1937" s="6"/>
      <c r="S1937" s="6"/>
      <c r="V1937" s="6"/>
      <c r="X1937" s="6"/>
      <c r="Z1937" s="110"/>
      <c r="AB1937" s="6"/>
      <c r="AD1937" s="6"/>
      <c r="AE1937" s="6"/>
      <c r="AF1937" s="126"/>
      <c r="AJ1937" s="6"/>
      <c r="AL1937" s="110"/>
      <c r="AM1937" s="110"/>
      <c r="AN1937" s="110"/>
      <c r="AP1937" s="6"/>
      <c r="AW1937" s="6"/>
      <c r="AX1937" s="6"/>
      <c r="AZ1937" s="110"/>
      <c r="BB1937" s="6"/>
      <c r="BD1937" s="6"/>
      <c r="BE1937" s="6"/>
      <c r="BV1937" s="17"/>
      <c r="BX1937" s="17"/>
      <c r="BZ1937" s="17"/>
    </row>
    <row r="1938" spans="4:78" x14ac:dyDescent="0.3">
      <c r="D1938" s="153"/>
      <c r="E1938" s="6"/>
      <c r="G1938" s="6"/>
      <c r="J1938" s="6"/>
      <c r="N1938" s="154"/>
      <c r="O1938" s="6"/>
      <c r="S1938" s="6"/>
      <c r="V1938" s="6"/>
      <c r="X1938" s="6"/>
      <c r="Z1938" s="110"/>
      <c r="AB1938" s="6"/>
      <c r="AD1938" s="6"/>
      <c r="AE1938" s="6"/>
      <c r="AF1938" s="126"/>
      <c r="AJ1938" s="6"/>
      <c r="AL1938" s="110"/>
      <c r="AM1938" s="110"/>
      <c r="AN1938" s="110"/>
      <c r="AP1938" s="6"/>
      <c r="AW1938" s="6"/>
      <c r="AX1938" s="6"/>
      <c r="AZ1938" s="110"/>
      <c r="BB1938" s="6"/>
      <c r="BD1938" s="6"/>
      <c r="BE1938" s="6"/>
      <c r="BV1938" s="17"/>
      <c r="BX1938" s="17"/>
      <c r="BZ1938" s="17"/>
    </row>
    <row r="1939" spans="4:78" x14ac:dyDescent="0.3">
      <c r="D1939" s="153"/>
      <c r="E1939" s="6"/>
      <c r="G1939" s="6"/>
      <c r="J1939" s="6"/>
      <c r="N1939" s="154"/>
      <c r="O1939" s="6"/>
      <c r="S1939" s="6"/>
      <c r="V1939" s="6"/>
      <c r="X1939" s="6"/>
      <c r="Z1939" s="110"/>
      <c r="AB1939" s="6"/>
      <c r="AD1939" s="6"/>
      <c r="AE1939" s="6"/>
      <c r="AF1939" s="126"/>
      <c r="AJ1939" s="6"/>
      <c r="AL1939" s="110"/>
      <c r="AM1939" s="110"/>
      <c r="AN1939" s="110"/>
      <c r="AP1939" s="6"/>
      <c r="AW1939" s="6"/>
      <c r="AX1939" s="6"/>
      <c r="AZ1939" s="110"/>
      <c r="BB1939" s="6"/>
      <c r="BD1939" s="6"/>
      <c r="BE1939" s="6"/>
      <c r="BV1939" s="17"/>
      <c r="BX1939" s="17"/>
      <c r="BZ1939" s="17"/>
    </row>
    <row r="1940" spans="4:78" x14ac:dyDescent="0.3">
      <c r="D1940" s="153"/>
      <c r="E1940" s="6"/>
      <c r="G1940" s="6"/>
      <c r="J1940" s="6"/>
      <c r="N1940" s="154"/>
      <c r="O1940" s="6"/>
      <c r="S1940" s="6"/>
      <c r="V1940" s="6"/>
      <c r="X1940" s="6"/>
      <c r="Z1940" s="110"/>
      <c r="AB1940" s="6"/>
      <c r="AD1940" s="6"/>
      <c r="AE1940" s="6"/>
      <c r="AF1940" s="126"/>
      <c r="AJ1940" s="6"/>
      <c r="AL1940" s="110"/>
      <c r="AM1940" s="110"/>
      <c r="AN1940" s="110"/>
      <c r="AP1940" s="6"/>
      <c r="AW1940" s="6"/>
      <c r="AX1940" s="6"/>
      <c r="AZ1940" s="110"/>
      <c r="BB1940" s="6"/>
      <c r="BD1940" s="6"/>
      <c r="BE1940" s="6"/>
      <c r="BV1940" s="17"/>
      <c r="BX1940" s="17"/>
      <c r="BZ1940" s="17"/>
    </row>
    <row r="1941" spans="4:78" x14ac:dyDescent="0.3">
      <c r="D1941" s="153"/>
      <c r="E1941" s="6"/>
      <c r="G1941" s="6"/>
      <c r="J1941" s="6"/>
      <c r="N1941" s="154"/>
      <c r="O1941" s="6"/>
      <c r="S1941" s="6"/>
      <c r="V1941" s="6"/>
      <c r="X1941" s="6"/>
      <c r="Z1941" s="110"/>
      <c r="AB1941" s="6"/>
      <c r="AD1941" s="6"/>
      <c r="AE1941" s="6"/>
      <c r="AF1941" s="126"/>
      <c r="AJ1941" s="6"/>
      <c r="AL1941" s="110"/>
      <c r="AM1941" s="110"/>
      <c r="AN1941" s="110"/>
      <c r="AP1941" s="6"/>
      <c r="AW1941" s="6"/>
      <c r="AX1941" s="6"/>
      <c r="AZ1941" s="110"/>
      <c r="BB1941" s="6"/>
      <c r="BD1941" s="6"/>
      <c r="BE1941" s="6"/>
      <c r="BV1941" s="17"/>
      <c r="BX1941" s="17"/>
      <c r="BZ1941" s="17"/>
    </row>
    <row r="1942" spans="4:78" x14ac:dyDescent="0.3">
      <c r="D1942" s="153"/>
      <c r="E1942" s="6"/>
      <c r="G1942" s="6"/>
      <c r="J1942" s="6"/>
      <c r="N1942" s="154"/>
      <c r="O1942" s="6"/>
      <c r="S1942" s="6"/>
      <c r="V1942" s="6"/>
      <c r="X1942" s="6"/>
      <c r="Z1942" s="110"/>
      <c r="AB1942" s="6"/>
      <c r="AD1942" s="6"/>
      <c r="AE1942" s="6"/>
      <c r="AF1942" s="126"/>
      <c r="AJ1942" s="6"/>
      <c r="AL1942" s="110"/>
      <c r="AM1942" s="110"/>
      <c r="AN1942" s="110"/>
      <c r="AP1942" s="6"/>
      <c r="AW1942" s="6"/>
      <c r="AX1942" s="6"/>
      <c r="AZ1942" s="110"/>
      <c r="BB1942" s="6"/>
      <c r="BD1942" s="6"/>
      <c r="BE1942" s="6"/>
      <c r="BV1942" s="17"/>
      <c r="BX1942" s="17"/>
      <c r="BZ1942" s="17"/>
    </row>
    <row r="1943" spans="4:78" x14ac:dyDescent="0.3">
      <c r="D1943" s="153"/>
      <c r="E1943" s="6"/>
      <c r="G1943" s="6"/>
      <c r="J1943" s="6"/>
      <c r="N1943" s="154"/>
      <c r="O1943" s="6"/>
      <c r="S1943" s="6"/>
      <c r="V1943" s="6"/>
      <c r="X1943" s="6"/>
      <c r="Z1943" s="110"/>
      <c r="AB1943" s="6"/>
      <c r="AD1943" s="6"/>
      <c r="AE1943" s="6"/>
      <c r="AF1943" s="126"/>
      <c r="AJ1943" s="6"/>
      <c r="AL1943" s="110"/>
      <c r="AM1943" s="110"/>
      <c r="AN1943" s="110"/>
      <c r="AP1943" s="6"/>
      <c r="AW1943" s="6"/>
      <c r="AX1943" s="6"/>
      <c r="AZ1943" s="110"/>
      <c r="BB1943" s="6"/>
      <c r="BD1943" s="6"/>
      <c r="BE1943" s="6"/>
      <c r="BV1943" s="17"/>
      <c r="BX1943" s="17"/>
      <c r="BZ1943" s="17"/>
    </row>
    <row r="1944" spans="4:78" x14ac:dyDescent="0.3">
      <c r="D1944" s="153"/>
      <c r="E1944" s="6"/>
      <c r="G1944" s="6"/>
      <c r="J1944" s="6"/>
      <c r="N1944" s="154"/>
      <c r="O1944" s="6"/>
      <c r="S1944" s="6"/>
      <c r="V1944" s="6"/>
      <c r="X1944" s="6"/>
      <c r="Z1944" s="110"/>
      <c r="AB1944" s="6"/>
      <c r="AD1944" s="6"/>
      <c r="AE1944" s="6"/>
      <c r="AF1944" s="126"/>
      <c r="AJ1944" s="6"/>
      <c r="AL1944" s="110"/>
      <c r="AM1944" s="110"/>
      <c r="AN1944" s="110"/>
      <c r="AP1944" s="6"/>
      <c r="AW1944" s="6"/>
      <c r="AX1944" s="6"/>
      <c r="AZ1944" s="110"/>
      <c r="BB1944" s="6"/>
      <c r="BD1944" s="6"/>
      <c r="BE1944" s="6"/>
      <c r="BV1944" s="17"/>
      <c r="BX1944" s="17"/>
      <c r="BZ1944" s="17"/>
    </row>
    <row r="1945" spans="4:78" x14ac:dyDescent="0.3">
      <c r="D1945" s="153"/>
      <c r="E1945" s="6"/>
      <c r="G1945" s="6"/>
      <c r="J1945" s="6"/>
      <c r="N1945" s="154"/>
      <c r="O1945" s="6"/>
      <c r="S1945" s="6"/>
      <c r="V1945" s="6"/>
      <c r="X1945" s="6"/>
      <c r="Z1945" s="110"/>
      <c r="AB1945" s="6"/>
      <c r="AD1945" s="6"/>
      <c r="AE1945" s="6"/>
      <c r="AF1945" s="126"/>
      <c r="AJ1945" s="6"/>
      <c r="AL1945" s="110"/>
      <c r="AM1945" s="110"/>
      <c r="AN1945" s="110"/>
      <c r="AP1945" s="6"/>
      <c r="AW1945" s="6"/>
      <c r="AX1945" s="6"/>
      <c r="AZ1945" s="110"/>
      <c r="BB1945" s="6"/>
      <c r="BD1945" s="6"/>
      <c r="BE1945" s="6"/>
      <c r="BV1945" s="17"/>
      <c r="BX1945" s="17"/>
      <c r="BZ1945" s="17"/>
    </row>
    <row r="1946" spans="4:78" x14ac:dyDescent="0.3">
      <c r="D1946" s="153"/>
      <c r="E1946" s="6"/>
      <c r="G1946" s="6"/>
      <c r="J1946" s="6"/>
      <c r="N1946" s="154"/>
      <c r="O1946" s="6"/>
      <c r="S1946" s="6"/>
      <c r="V1946" s="6"/>
      <c r="X1946" s="6"/>
      <c r="Z1946" s="110"/>
      <c r="AB1946" s="6"/>
      <c r="AD1946" s="6"/>
      <c r="AE1946" s="6"/>
      <c r="AF1946" s="126"/>
      <c r="AJ1946" s="6"/>
      <c r="AL1946" s="110"/>
      <c r="AM1946" s="110"/>
      <c r="AN1946" s="110"/>
      <c r="AP1946" s="6"/>
      <c r="AW1946" s="6"/>
      <c r="AX1946" s="6"/>
      <c r="AZ1946" s="110"/>
      <c r="BB1946" s="6"/>
      <c r="BD1946" s="6"/>
      <c r="BE1946" s="6"/>
      <c r="BV1946" s="17"/>
      <c r="BX1946" s="17"/>
      <c r="BZ1946" s="17"/>
    </row>
    <row r="1947" spans="4:78" x14ac:dyDescent="0.3">
      <c r="D1947" s="153"/>
      <c r="E1947" s="6"/>
      <c r="G1947" s="6"/>
      <c r="J1947" s="6"/>
      <c r="N1947" s="154"/>
      <c r="O1947" s="6"/>
      <c r="S1947" s="6"/>
      <c r="V1947" s="6"/>
      <c r="X1947" s="6"/>
      <c r="Z1947" s="110"/>
      <c r="AB1947" s="6"/>
      <c r="AD1947" s="6"/>
      <c r="AE1947" s="6"/>
      <c r="AF1947" s="126"/>
      <c r="AJ1947" s="6"/>
      <c r="AL1947" s="110"/>
      <c r="AM1947" s="110"/>
      <c r="AN1947" s="110"/>
      <c r="AP1947" s="6"/>
      <c r="AW1947" s="6"/>
      <c r="AX1947" s="6"/>
      <c r="AZ1947" s="110"/>
      <c r="BB1947" s="6"/>
      <c r="BD1947" s="6"/>
      <c r="BE1947" s="6"/>
      <c r="BV1947" s="17"/>
      <c r="BX1947" s="17"/>
      <c r="BZ1947" s="17"/>
    </row>
    <row r="1948" spans="4:78" x14ac:dyDescent="0.3">
      <c r="D1948" s="153"/>
      <c r="E1948" s="6"/>
      <c r="G1948" s="6"/>
      <c r="J1948" s="6"/>
      <c r="N1948" s="154"/>
      <c r="O1948" s="6"/>
      <c r="S1948" s="6"/>
      <c r="V1948" s="6"/>
      <c r="X1948" s="6"/>
      <c r="Z1948" s="110"/>
      <c r="AB1948" s="6"/>
      <c r="AD1948" s="6"/>
      <c r="AE1948" s="6"/>
      <c r="AF1948" s="126"/>
      <c r="AJ1948" s="6"/>
      <c r="AL1948" s="110"/>
      <c r="AM1948" s="110"/>
      <c r="AN1948" s="110"/>
      <c r="AP1948" s="6"/>
      <c r="AW1948" s="6"/>
      <c r="AX1948" s="6"/>
      <c r="AZ1948" s="110"/>
      <c r="BB1948" s="6"/>
      <c r="BD1948" s="6"/>
      <c r="BE1948" s="6"/>
      <c r="BV1948" s="17"/>
      <c r="BX1948" s="17"/>
      <c r="BZ1948" s="17"/>
    </row>
    <row r="1949" spans="4:78" x14ac:dyDescent="0.3">
      <c r="D1949" s="153"/>
      <c r="E1949" s="6"/>
      <c r="G1949" s="6"/>
      <c r="J1949" s="6"/>
      <c r="N1949" s="154"/>
      <c r="O1949" s="6"/>
      <c r="S1949" s="6"/>
      <c r="V1949" s="6"/>
      <c r="X1949" s="6"/>
      <c r="Z1949" s="110"/>
      <c r="AB1949" s="6"/>
      <c r="AD1949" s="6"/>
      <c r="AE1949" s="6"/>
      <c r="AF1949" s="126"/>
      <c r="AJ1949" s="6"/>
      <c r="AL1949" s="110"/>
      <c r="AM1949" s="110"/>
      <c r="AN1949" s="110"/>
      <c r="AP1949" s="6"/>
      <c r="AW1949" s="6"/>
      <c r="AX1949" s="6"/>
      <c r="AZ1949" s="110"/>
      <c r="BB1949" s="6"/>
      <c r="BD1949" s="6"/>
      <c r="BE1949" s="6"/>
      <c r="BV1949" s="17"/>
      <c r="BX1949" s="17"/>
      <c r="BZ1949" s="17"/>
    </row>
    <row r="1950" spans="4:78" x14ac:dyDescent="0.3">
      <c r="D1950" s="153"/>
      <c r="E1950" s="6"/>
      <c r="G1950" s="6"/>
      <c r="J1950" s="6"/>
      <c r="N1950" s="154"/>
      <c r="O1950" s="6"/>
      <c r="S1950" s="6"/>
      <c r="V1950" s="6"/>
      <c r="X1950" s="6"/>
      <c r="Z1950" s="110"/>
      <c r="AB1950" s="6"/>
      <c r="AD1950" s="6"/>
      <c r="AE1950" s="6"/>
      <c r="AF1950" s="126"/>
      <c r="AJ1950" s="6"/>
      <c r="AL1950" s="110"/>
      <c r="AM1950" s="110"/>
      <c r="AN1950" s="110"/>
      <c r="AP1950" s="6"/>
      <c r="AW1950" s="6"/>
      <c r="AX1950" s="6"/>
      <c r="AZ1950" s="110"/>
      <c r="BB1950" s="6"/>
      <c r="BD1950" s="6"/>
      <c r="BE1950" s="6"/>
      <c r="BV1950" s="17"/>
      <c r="BX1950" s="17"/>
      <c r="BZ1950" s="17"/>
    </row>
    <row r="1951" spans="4:78" x14ac:dyDescent="0.3">
      <c r="D1951" s="153"/>
      <c r="E1951" s="6"/>
      <c r="G1951" s="6"/>
      <c r="J1951" s="6"/>
      <c r="N1951" s="154"/>
      <c r="O1951" s="6"/>
      <c r="S1951" s="6"/>
      <c r="V1951" s="6"/>
      <c r="X1951" s="6"/>
      <c r="Z1951" s="110"/>
      <c r="AB1951" s="6"/>
      <c r="AD1951" s="6"/>
      <c r="AE1951" s="6"/>
      <c r="AF1951" s="126"/>
      <c r="AJ1951" s="6"/>
      <c r="AL1951" s="110"/>
      <c r="AM1951" s="110"/>
      <c r="AN1951" s="110"/>
      <c r="AP1951" s="6"/>
      <c r="AW1951" s="6"/>
      <c r="AX1951" s="6"/>
      <c r="AZ1951" s="110"/>
      <c r="BB1951" s="6"/>
      <c r="BD1951" s="6"/>
      <c r="BE1951" s="6"/>
      <c r="BV1951" s="17"/>
      <c r="BX1951" s="17"/>
      <c r="BZ1951" s="17"/>
    </row>
    <row r="1952" spans="4:78" x14ac:dyDescent="0.3">
      <c r="D1952" s="153"/>
      <c r="E1952" s="6"/>
      <c r="G1952" s="6"/>
      <c r="J1952" s="6"/>
      <c r="N1952" s="154"/>
      <c r="O1952" s="6"/>
      <c r="S1952" s="6"/>
      <c r="V1952" s="6"/>
      <c r="X1952" s="6"/>
      <c r="Z1952" s="110"/>
      <c r="AB1952" s="6"/>
      <c r="AD1952" s="6"/>
      <c r="AE1952" s="6"/>
      <c r="AF1952" s="126"/>
      <c r="AJ1952" s="6"/>
      <c r="AL1952" s="110"/>
      <c r="AM1952" s="110"/>
      <c r="AN1952" s="110"/>
      <c r="AP1952" s="6"/>
      <c r="AW1952" s="6"/>
      <c r="AX1952" s="6"/>
      <c r="AZ1952" s="110"/>
      <c r="BB1952" s="6"/>
      <c r="BD1952" s="6"/>
      <c r="BE1952" s="6"/>
      <c r="BV1952" s="17"/>
      <c r="BX1952" s="17"/>
      <c r="BZ1952" s="17"/>
    </row>
    <row r="1953" spans="4:78" x14ac:dyDescent="0.3">
      <c r="D1953" s="153"/>
      <c r="E1953" s="6"/>
      <c r="G1953" s="6"/>
      <c r="J1953" s="6"/>
      <c r="N1953" s="154"/>
      <c r="O1953" s="6"/>
      <c r="S1953" s="6"/>
      <c r="V1953" s="6"/>
      <c r="X1953" s="6"/>
      <c r="Z1953" s="110"/>
      <c r="AB1953" s="6"/>
      <c r="AD1953" s="6"/>
      <c r="AE1953" s="6"/>
      <c r="AF1953" s="126"/>
      <c r="AJ1953" s="6"/>
      <c r="AL1953" s="110"/>
      <c r="AM1953" s="110"/>
      <c r="AN1953" s="110"/>
      <c r="AP1953" s="6"/>
      <c r="AW1953" s="6"/>
      <c r="AX1953" s="6"/>
      <c r="AZ1953" s="110"/>
      <c r="BB1953" s="6"/>
      <c r="BD1953" s="6"/>
      <c r="BE1953" s="6"/>
      <c r="BV1953" s="17"/>
      <c r="BX1953" s="17"/>
      <c r="BZ1953" s="17"/>
    </row>
    <row r="1954" spans="4:78" x14ac:dyDescent="0.3">
      <c r="D1954" s="153"/>
      <c r="E1954" s="6"/>
      <c r="G1954" s="6"/>
      <c r="J1954" s="6"/>
      <c r="N1954" s="154"/>
      <c r="O1954" s="6"/>
      <c r="S1954" s="6"/>
      <c r="V1954" s="6"/>
      <c r="X1954" s="6"/>
      <c r="Z1954" s="110"/>
      <c r="AB1954" s="6"/>
      <c r="AD1954" s="6"/>
      <c r="AE1954" s="6"/>
      <c r="AF1954" s="126"/>
      <c r="AJ1954" s="6"/>
      <c r="AL1954" s="110"/>
      <c r="AM1954" s="110"/>
      <c r="AN1954" s="110"/>
      <c r="AP1954" s="6"/>
      <c r="AW1954" s="6"/>
      <c r="AX1954" s="6"/>
      <c r="AZ1954" s="110"/>
      <c r="BB1954" s="6"/>
      <c r="BD1954" s="6"/>
      <c r="BE1954" s="6"/>
      <c r="BV1954" s="17"/>
      <c r="BX1954" s="17"/>
      <c r="BZ1954" s="17"/>
    </row>
    <row r="1955" spans="4:78" x14ac:dyDescent="0.3">
      <c r="D1955" s="153"/>
      <c r="E1955" s="6"/>
      <c r="G1955" s="6"/>
      <c r="J1955" s="6"/>
      <c r="N1955" s="154"/>
      <c r="O1955" s="6"/>
      <c r="S1955" s="6"/>
      <c r="V1955" s="6"/>
      <c r="X1955" s="6"/>
      <c r="Z1955" s="110"/>
      <c r="AB1955" s="6"/>
      <c r="AD1955" s="6"/>
      <c r="AE1955" s="6"/>
      <c r="AF1955" s="126"/>
      <c r="AJ1955" s="6"/>
      <c r="AL1955" s="110"/>
      <c r="AM1955" s="110"/>
      <c r="AN1955" s="110"/>
      <c r="AP1955" s="6"/>
      <c r="AW1955" s="6"/>
      <c r="AX1955" s="6"/>
      <c r="AZ1955" s="110"/>
      <c r="BB1955" s="6"/>
      <c r="BD1955" s="6"/>
      <c r="BE1955" s="6"/>
      <c r="BV1955" s="17"/>
      <c r="BX1955" s="17"/>
      <c r="BZ1955" s="17"/>
    </row>
    <row r="1956" spans="4:78" x14ac:dyDescent="0.3">
      <c r="D1956" s="153"/>
      <c r="E1956" s="6"/>
      <c r="G1956" s="6"/>
      <c r="J1956" s="6"/>
      <c r="N1956" s="154"/>
      <c r="O1956" s="6"/>
      <c r="S1956" s="6"/>
      <c r="V1956" s="6"/>
      <c r="X1956" s="6"/>
      <c r="Z1956" s="110"/>
      <c r="AB1956" s="6"/>
      <c r="AD1956" s="6"/>
      <c r="AE1956" s="6"/>
      <c r="AF1956" s="126"/>
      <c r="AJ1956" s="6"/>
      <c r="AL1956" s="110"/>
      <c r="AM1956" s="110"/>
      <c r="AN1956" s="110"/>
      <c r="AP1956" s="6"/>
      <c r="AW1956" s="6"/>
      <c r="AX1956" s="6"/>
      <c r="AZ1956" s="110"/>
      <c r="BB1956" s="6"/>
      <c r="BD1956" s="6"/>
      <c r="BE1956" s="6"/>
      <c r="BV1956" s="17"/>
      <c r="BX1956" s="17"/>
      <c r="BZ1956" s="17"/>
    </row>
    <row r="1957" spans="4:78" x14ac:dyDescent="0.3">
      <c r="D1957" s="153"/>
      <c r="E1957" s="6"/>
      <c r="G1957" s="6"/>
      <c r="J1957" s="6"/>
      <c r="N1957" s="154"/>
      <c r="O1957" s="6"/>
      <c r="S1957" s="6"/>
      <c r="V1957" s="6"/>
      <c r="X1957" s="6"/>
      <c r="Z1957" s="110"/>
      <c r="AB1957" s="6"/>
      <c r="AD1957" s="6"/>
      <c r="AE1957" s="6"/>
      <c r="AF1957" s="126"/>
      <c r="AJ1957" s="6"/>
      <c r="AL1957" s="110"/>
      <c r="AM1957" s="110"/>
      <c r="AN1957" s="110"/>
      <c r="AP1957" s="6"/>
      <c r="AW1957" s="6"/>
      <c r="AX1957" s="6"/>
      <c r="AZ1957" s="110"/>
      <c r="BB1957" s="6"/>
      <c r="BD1957" s="6"/>
      <c r="BE1957" s="6"/>
      <c r="BV1957" s="17"/>
      <c r="BX1957" s="17"/>
      <c r="BZ1957" s="17"/>
    </row>
    <row r="1958" spans="4:78" x14ac:dyDescent="0.3">
      <c r="D1958" s="153"/>
      <c r="E1958" s="6"/>
      <c r="G1958" s="6"/>
      <c r="J1958" s="6"/>
      <c r="N1958" s="154"/>
      <c r="O1958" s="6"/>
      <c r="S1958" s="6"/>
      <c r="V1958" s="6"/>
      <c r="X1958" s="6"/>
      <c r="Z1958" s="110"/>
      <c r="AB1958" s="6"/>
      <c r="AD1958" s="6"/>
      <c r="AE1958" s="6"/>
      <c r="AF1958" s="126"/>
      <c r="AJ1958" s="6"/>
      <c r="AL1958" s="110"/>
      <c r="AM1958" s="110"/>
      <c r="AN1958" s="110"/>
      <c r="AP1958" s="6"/>
      <c r="AW1958" s="6"/>
      <c r="AX1958" s="6"/>
      <c r="AZ1958" s="110"/>
      <c r="BB1958" s="6"/>
      <c r="BD1958" s="6"/>
      <c r="BE1958" s="6"/>
      <c r="BV1958" s="17"/>
      <c r="BX1958" s="17"/>
      <c r="BZ1958" s="17"/>
    </row>
    <row r="1959" spans="4:78" x14ac:dyDescent="0.3">
      <c r="D1959" s="153"/>
      <c r="E1959" s="6"/>
      <c r="G1959" s="6"/>
      <c r="J1959" s="6"/>
      <c r="N1959" s="154"/>
      <c r="O1959" s="6"/>
      <c r="S1959" s="6"/>
      <c r="V1959" s="6"/>
      <c r="X1959" s="6"/>
      <c r="Z1959" s="110"/>
      <c r="AB1959" s="6"/>
      <c r="AD1959" s="6"/>
      <c r="AE1959" s="6"/>
      <c r="AF1959" s="126"/>
      <c r="AJ1959" s="6"/>
      <c r="AL1959" s="110"/>
      <c r="AM1959" s="110"/>
      <c r="AN1959" s="110"/>
      <c r="AP1959" s="6"/>
      <c r="AW1959" s="6"/>
      <c r="AX1959" s="6"/>
      <c r="AZ1959" s="110"/>
      <c r="BB1959" s="6"/>
      <c r="BD1959" s="6"/>
      <c r="BE1959" s="6"/>
      <c r="BV1959" s="17"/>
      <c r="BX1959" s="17"/>
      <c r="BZ1959" s="17"/>
    </row>
    <row r="1960" spans="4:78" x14ac:dyDescent="0.3">
      <c r="D1960" s="153"/>
      <c r="E1960" s="6"/>
      <c r="G1960" s="6"/>
      <c r="J1960" s="6"/>
      <c r="N1960" s="154"/>
      <c r="O1960" s="6"/>
      <c r="S1960" s="6"/>
      <c r="V1960" s="6"/>
      <c r="X1960" s="6"/>
      <c r="Z1960" s="110"/>
      <c r="AB1960" s="6"/>
      <c r="AD1960" s="6"/>
      <c r="AE1960" s="6"/>
      <c r="AF1960" s="126"/>
      <c r="AJ1960" s="6"/>
      <c r="AL1960" s="110"/>
      <c r="AM1960" s="110"/>
      <c r="AN1960" s="110"/>
      <c r="AP1960" s="6"/>
      <c r="AW1960" s="6"/>
      <c r="AX1960" s="6"/>
      <c r="AZ1960" s="110"/>
      <c r="BB1960" s="6"/>
      <c r="BD1960" s="6"/>
      <c r="BE1960" s="6"/>
      <c r="BV1960" s="17"/>
      <c r="BX1960" s="17"/>
      <c r="BZ1960" s="17"/>
    </row>
    <row r="1961" spans="4:78" x14ac:dyDescent="0.3">
      <c r="D1961" s="153"/>
      <c r="E1961" s="6"/>
      <c r="G1961" s="6"/>
      <c r="J1961" s="6"/>
      <c r="N1961" s="154"/>
      <c r="O1961" s="6"/>
      <c r="S1961" s="6"/>
      <c r="V1961" s="6"/>
      <c r="X1961" s="6"/>
      <c r="Z1961" s="110"/>
      <c r="AB1961" s="6"/>
      <c r="AD1961" s="6"/>
      <c r="AE1961" s="6"/>
      <c r="AF1961" s="126"/>
      <c r="AJ1961" s="6"/>
      <c r="AL1961" s="110"/>
      <c r="AM1961" s="110"/>
      <c r="AN1961" s="110"/>
      <c r="AP1961" s="6"/>
      <c r="AW1961" s="6"/>
      <c r="AX1961" s="6"/>
      <c r="AZ1961" s="110"/>
      <c r="BB1961" s="6"/>
      <c r="BD1961" s="6"/>
      <c r="BE1961" s="6"/>
      <c r="BV1961" s="17"/>
      <c r="BX1961" s="17"/>
      <c r="BZ1961" s="17"/>
    </row>
    <row r="1962" spans="4:78" x14ac:dyDescent="0.3">
      <c r="D1962" s="153"/>
      <c r="E1962" s="6"/>
      <c r="G1962" s="6"/>
      <c r="J1962" s="6"/>
      <c r="N1962" s="154"/>
      <c r="O1962" s="6"/>
      <c r="S1962" s="6"/>
      <c r="V1962" s="6"/>
      <c r="X1962" s="6"/>
      <c r="Z1962" s="110"/>
      <c r="AB1962" s="6"/>
      <c r="AD1962" s="6"/>
      <c r="AE1962" s="6"/>
      <c r="AF1962" s="126"/>
      <c r="AJ1962" s="6"/>
      <c r="AL1962" s="110"/>
      <c r="AM1962" s="110"/>
      <c r="AN1962" s="110"/>
      <c r="AP1962" s="6"/>
      <c r="AW1962" s="6"/>
      <c r="AX1962" s="6"/>
      <c r="AZ1962" s="110"/>
      <c r="BB1962" s="6"/>
      <c r="BD1962" s="6"/>
      <c r="BE1962" s="6"/>
      <c r="BV1962" s="17"/>
      <c r="BX1962" s="17"/>
      <c r="BZ1962" s="17"/>
    </row>
    <row r="1963" spans="4:78" x14ac:dyDescent="0.3">
      <c r="D1963" s="153"/>
      <c r="E1963" s="6"/>
      <c r="G1963" s="6"/>
      <c r="J1963" s="6"/>
      <c r="N1963" s="154"/>
      <c r="O1963" s="6"/>
      <c r="S1963" s="6"/>
      <c r="V1963" s="6"/>
      <c r="X1963" s="6"/>
      <c r="Z1963" s="110"/>
      <c r="AB1963" s="6"/>
      <c r="AD1963" s="6"/>
      <c r="AE1963" s="6"/>
      <c r="AF1963" s="126"/>
      <c r="AJ1963" s="6"/>
      <c r="AL1963" s="110"/>
      <c r="AM1963" s="110"/>
      <c r="AN1963" s="110"/>
      <c r="AP1963" s="6"/>
      <c r="AW1963" s="6"/>
      <c r="AX1963" s="6"/>
      <c r="AZ1963" s="110"/>
      <c r="BB1963" s="6"/>
      <c r="BD1963" s="6"/>
      <c r="BE1963" s="6"/>
      <c r="BV1963" s="17"/>
      <c r="BX1963" s="17"/>
      <c r="BZ1963" s="17"/>
    </row>
    <row r="1964" spans="4:78" x14ac:dyDescent="0.3">
      <c r="D1964" s="153"/>
      <c r="E1964" s="6"/>
      <c r="G1964" s="6"/>
      <c r="J1964" s="6"/>
      <c r="N1964" s="154"/>
      <c r="O1964" s="6"/>
      <c r="S1964" s="6"/>
      <c r="V1964" s="6"/>
      <c r="X1964" s="6"/>
      <c r="Z1964" s="110"/>
      <c r="AB1964" s="6"/>
      <c r="AD1964" s="6"/>
      <c r="AE1964" s="6"/>
      <c r="AF1964" s="126"/>
      <c r="AJ1964" s="6"/>
      <c r="AL1964" s="110"/>
      <c r="AM1964" s="110"/>
      <c r="AN1964" s="110"/>
      <c r="AP1964" s="6"/>
      <c r="AW1964" s="6"/>
      <c r="AX1964" s="6"/>
      <c r="AZ1964" s="110"/>
      <c r="BB1964" s="6"/>
      <c r="BD1964" s="6"/>
      <c r="BE1964" s="6"/>
      <c r="BV1964" s="17"/>
      <c r="BX1964" s="17"/>
      <c r="BZ1964" s="17"/>
    </row>
    <row r="1965" spans="4:78" x14ac:dyDescent="0.3">
      <c r="D1965" s="153"/>
      <c r="E1965" s="6"/>
      <c r="G1965" s="6"/>
      <c r="J1965" s="6"/>
      <c r="N1965" s="154"/>
      <c r="O1965" s="6"/>
      <c r="S1965" s="6"/>
      <c r="V1965" s="6"/>
      <c r="X1965" s="6"/>
      <c r="Z1965" s="110"/>
      <c r="AB1965" s="6"/>
      <c r="AD1965" s="6"/>
      <c r="AE1965" s="6"/>
      <c r="AF1965" s="126"/>
      <c r="AJ1965" s="6"/>
      <c r="AL1965" s="110"/>
      <c r="AM1965" s="110"/>
      <c r="AN1965" s="110"/>
      <c r="AP1965" s="6"/>
      <c r="AW1965" s="6"/>
      <c r="AX1965" s="6"/>
      <c r="AZ1965" s="110"/>
      <c r="BB1965" s="6"/>
      <c r="BD1965" s="6"/>
      <c r="BE1965" s="6"/>
      <c r="BV1965" s="17"/>
      <c r="BX1965" s="17"/>
      <c r="BZ1965" s="17"/>
    </row>
    <row r="1966" spans="4:78" x14ac:dyDescent="0.3">
      <c r="D1966" s="153"/>
      <c r="E1966" s="6"/>
      <c r="G1966" s="6"/>
      <c r="J1966" s="6"/>
      <c r="N1966" s="154"/>
      <c r="O1966" s="6"/>
      <c r="S1966" s="6"/>
      <c r="V1966" s="6"/>
      <c r="X1966" s="6"/>
      <c r="Z1966" s="110"/>
      <c r="AB1966" s="6"/>
      <c r="AD1966" s="6"/>
      <c r="AE1966" s="6"/>
      <c r="AF1966" s="126"/>
      <c r="AJ1966" s="6"/>
      <c r="AL1966" s="110"/>
      <c r="AM1966" s="110"/>
      <c r="AN1966" s="110"/>
      <c r="AP1966" s="6"/>
      <c r="AW1966" s="6"/>
      <c r="AX1966" s="6"/>
      <c r="AZ1966" s="110"/>
      <c r="BB1966" s="6"/>
      <c r="BD1966" s="6"/>
      <c r="BE1966" s="6"/>
      <c r="BV1966" s="17"/>
      <c r="BX1966" s="17"/>
      <c r="BZ1966" s="17"/>
    </row>
    <row r="1967" spans="4:78" x14ac:dyDescent="0.3">
      <c r="D1967" s="153"/>
      <c r="E1967" s="6"/>
      <c r="G1967" s="6"/>
      <c r="J1967" s="6"/>
      <c r="N1967" s="154"/>
      <c r="O1967" s="6"/>
      <c r="S1967" s="6"/>
      <c r="V1967" s="6"/>
      <c r="X1967" s="6"/>
      <c r="Z1967" s="110"/>
      <c r="AB1967" s="6"/>
      <c r="AD1967" s="6"/>
      <c r="AE1967" s="6"/>
      <c r="AF1967" s="126"/>
      <c r="AJ1967" s="6"/>
      <c r="AL1967" s="110"/>
      <c r="AM1967" s="110"/>
      <c r="AN1967" s="110"/>
      <c r="AP1967" s="6"/>
      <c r="AW1967" s="6"/>
      <c r="AX1967" s="6"/>
      <c r="AZ1967" s="110"/>
      <c r="BB1967" s="6"/>
      <c r="BD1967" s="6"/>
      <c r="BE1967" s="6"/>
      <c r="BV1967" s="17"/>
      <c r="BX1967" s="17"/>
      <c r="BZ1967" s="17"/>
    </row>
    <row r="1968" spans="4:78" x14ac:dyDescent="0.3">
      <c r="D1968" s="153"/>
      <c r="E1968" s="6"/>
      <c r="G1968" s="6"/>
      <c r="J1968" s="6"/>
      <c r="N1968" s="154"/>
      <c r="O1968" s="6"/>
      <c r="S1968" s="6"/>
      <c r="V1968" s="6"/>
      <c r="X1968" s="6"/>
      <c r="Z1968" s="110"/>
      <c r="AB1968" s="6"/>
      <c r="AD1968" s="6"/>
      <c r="AE1968" s="6"/>
      <c r="AF1968" s="126"/>
      <c r="AJ1968" s="6"/>
      <c r="AL1968" s="110"/>
      <c r="AM1968" s="110"/>
      <c r="AN1968" s="110"/>
      <c r="AP1968" s="6"/>
      <c r="AW1968" s="6"/>
      <c r="AX1968" s="6"/>
      <c r="AZ1968" s="110"/>
      <c r="BB1968" s="6"/>
      <c r="BD1968" s="6"/>
      <c r="BE1968" s="6"/>
      <c r="BV1968" s="17"/>
      <c r="BX1968" s="17"/>
      <c r="BZ1968" s="17"/>
    </row>
    <row r="1969" spans="4:78" x14ac:dyDescent="0.3">
      <c r="D1969" s="153"/>
      <c r="E1969" s="6"/>
      <c r="G1969" s="6"/>
      <c r="J1969" s="6"/>
      <c r="N1969" s="154"/>
      <c r="O1969" s="6"/>
      <c r="S1969" s="6"/>
      <c r="V1969" s="6"/>
      <c r="X1969" s="6"/>
      <c r="Z1969" s="110"/>
      <c r="AB1969" s="6"/>
      <c r="AD1969" s="6"/>
      <c r="AE1969" s="6"/>
      <c r="AF1969" s="126"/>
      <c r="AJ1969" s="6"/>
      <c r="AL1969" s="110"/>
      <c r="AM1969" s="110"/>
      <c r="AN1969" s="110"/>
      <c r="AP1969" s="6"/>
      <c r="AW1969" s="6"/>
      <c r="AX1969" s="6"/>
      <c r="AZ1969" s="110"/>
      <c r="BB1969" s="6"/>
      <c r="BD1969" s="6"/>
      <c r="BE1969" s="6"/>
      <c r="BV1969" s="17"/>
      <c r="BX1969" s="17"/>
      <c r="BZ1969" s="17"/>
    </row>
    <row r="1970" spans="4:78" x14ac:dyDescent="0.3">
      <c r="D1970" s="153"/>
      <c r="E1970" s="6"/>
      <c r="G1970" s="6"/>
      <c r="J1970" s="6"/>
      <c r="N1970" s="154"/>
      <c r="O1970" s="6"/>
      <c r="S1970" s="6"/>
      <c r="V1970" s="6"/>
      <c r="X1970" s="6"/>
      <c r="Z1970" s="110"/>
      <c r="AB1970" s="6"/>
      <c r="AD1970" s="6"/>
      <c r="AE1970" s="6"/>
      <c r="AF1970" s="126"/>
      <c r="AJ1970" s="6"/>
      <c r="AL1970" s="110"/>
      <c r="AM1970" s="110"/>
      <c r="AN1970" s="110"/>
      <c r="AP1970" s="6"/>
      <c r="AW1970" s="6"/>
      <c r="AX1970" s="6"/>
      <c r="AZ1970" s="110"/>
      <c r="BB1970" s="6"/>
      <c r="BD1970" s="6"/>
      <c r="BE1970" s="6"/>
      <c r="BV1970" s="17"/>
      <c r="BX1970" s="17"/>
      <c r="BZ1970" s="17"/>
    </row>
    <row r="1971" spans="4:78" x14ac:dyDescent="0.3">
      <c r="D1971" s="153"/>
      <c r="E1971" s="6"/>
      <c r="G1971" s="6"/>
      <c r="J1971" s="6"/>
      <c r="N1971" s="154"/>
      <c r="O1971" s="6"/>
      <c r="S1971" s="6"/>
      <c r="V1971" s="6"/>
      <c r="X1971" s="6"/>
      <c r="Z1971" s="110"/>
      <c r="AB1971" s="6"/>
      <c r="AD1971" s="6"/>
      <c r="AE1971" s="6"/>
      <c r="AF1971" s="126"/>
      <c r="AJ1971" s="6"/>
      <c r="AL1971" s="110"/>
      <c r="AM1971" s="110"/>
      <c r="AN1971" s="110"/>
      <c r="AP1971" s="6"/>
      <c r="AW1971" s="6"/>
      <c r="AX1971" s="6"/>
      <c r="AZ1971" s="110"/>
      <c r="BB1971" s="6"/>
      <c r="BD1971" s="6"/>
      <c r="BE1971" s="6"/>
      <c r="BV1971" s="17"/>
      <c r="BX1971" s="17"/>
      <c r="BZ1971" s="17"/>
    </row>
    <row r="1972" spans="4:78" x14ac:dyDescent="0.3">
      <c r="D1972" s="153"/>
      <c r="E1972" s="6"/>
      <c r="G1972" s="6"/>
      <c r="J1972" s="6"/>
      <c r="N1972" s="154"/>
      <c r="O1972" s="6"/>
      <c r="S1972" s="6"/>
      <c r="V1972" s="6"/>
      <c r="X1972" s="6"/>
      <c r="Z1972" s="110"/>
      <c r="AB1972" s="6"/>
      <c r="AD1972" s="6"/>
      <c r="AE1972" s="6"/>
      <c r="AF1972" s="126"/>
      <c r="AJ1972" s="6"/>
      <c r="AL1972" s="110"/>
      <c r="AM1972" s="110"/>
      <c r="AN1972" s="110"/>
      <c r="AP1972" s="6"/>
      <c r="AW1972" s="6"/>
      <c r="AX1972" s="6"/>
      <c r="AZ1972" s="110"/>
      <c r="BB1972" s="6"/>
      <c r="BD1972" s="6"/>
      <c r="BE1972" s="6"/>
      <c r="BV1972" s="17"/>
      <c r="BX1972" s="17"/>
      <c r="BZ1972" s="17"/>
    </row>
    <row r="1973" spans="4:78" x14ac:dyDescent="0.3">
      <c r="D1973" s="153"/>
      <c r="E1973" s="6"/>
      <c r="G1973" s="6"/>
      <c r="J1973" s="6"/>
      <c r="N1973" s="154"/>
      <c r="O1973" s="6"/>
      <c r="S1973" s="6"/>
      <c r="V1973" s="6"/>
      <c r="X1973" s="6"/>
      <c r="Z1973" s="110"/>
      <c r="AB1973" s="6"/>
      <c r="AD1973" s="6"/>
      <c r="AE1973" s="6"/>
      <c r="AF1973" s="126"/>
      <c r="AJ1973" s="6"/>
      <c r="AL1973" s="110"/>
      <c r="AM1973" s="110"/>
      <c r="AN1973" s="110"/>
      <c r="AP1973" s="6"/>
      <c r="AW1973" s="6"/>
      <c r="AX1973" s="6"/>
      <c r="AZ1973" s="110"/>
      <c r="BB1973" s="6"/>
      <c r="BD1973" s="6"/>
      <c r="BE1973" s="6"/>
      <c r="BV1973" s="17"/>
      <c r="BX1973" s="17"/>
      <c r="BZ1973" s="17"/>
    </row>
    <row r="1974" spans="4:78" x14ac:dyDescent="0.3">
      <c r="D1974" s="153"/>
      <c r="E1974" s="6"/>
      <c r="G1974" s="6"/>
      <c r="J1974" s="6"/>
      <c r="N1974" s="154"/>
      <c r="O1974" s="6"/>
      <c r="S1974" s="6"/>
      <c r="V1974" s="6"/>
      <c r="X1974" s="6"/>
      <c r="Z1974" s="110"/>
      <c r="AB1974" s="6"/>
      <c r="AD1974" s="6"/>
      <c r="AE1974" s="6"/>
      <c r="AF1974" s="126"/>
      <c r="AJ1974" s="6"/>
      <c r="AL1974" s="110"/>
      <c r="AM1974" s="110"/>
      <c r="AN1974" s="110"/>
      <c r="AP1974" s="6"/>
      <c r="AW1974" s="6"/>
      <c r="AX1974" s="6"/>
      <c r="AZ1974" s="110"/>
      <c r="BB1974" s="6"/>
      <c r="BD1974" s="6"/>
      <c r="BE1974" s="6"/>
      <c r="BV1974" s="17"/>
      <c r="BX1974" s="17"/>
      <c r="BZ1974" s="17"/>
    </row>
    <row r="1975" spans="4:78" x14ac:dyDescent="0.3">
      <c r="D1975" s="153"/>
      <c r="E1975" s="6"/>
      <c r="G1975" s="6"/>
      <c r="J1975" s="6"/>
      <c r="N1975" s="154"/>
      <c r="O1975" s="6"/>
      <c r="S1975" s="6"/>
      <c r="V1975" s="6"/>
      <c r="X1975" s="6"/>
      <c r="Z1975" s="110"/>
      <c r="AB1975" s="6"/>
      <c r="AD1975" s="6"/>
      <c r="AE1975" s="6"/>
      <c r="AF1975" s="126"/>
      <c r="AJ1975" s="6"/>
      <c r="AL1975" s="110"/>
      <c r="AM1975" s="110"/>
      <c r="AN1975" s="110"/>
      <c r="AP1975" s="6"/>
      <c r="AW1975" s="6"/>
      <c r="AX1975" s="6"/>
      <c r="AZ1975" s="110"/>
      <c r="BB1975" s="6"/>
      <c r="BD1975" s="6"/>
      <c r="BE1975" s="6"/>
      <c r="BV1975" s="17"/>
      <c r="BX1975" s="17"/>
      <c r="BZ1975" s="17"/>
    </row>
    <row r="1976" spans="4:78" x14ac:dyDescent="0.3">
      <c r="D1976" s="153"/>
      <c r="E1976" s="6"/>
      <c r="G1976" s="6"/>
      <c r="J1976" s="6"/>
      <c r="N1976" s="154"/>
      <c r="O1976" s="6"/>
      <c r="S1976" s="6"/>
      <c r="V1976" s="6"/>
      <c r="X1976" s="6"/>
      <c r="Z1976" s="110"/>
      <c r="AB1976" s="6"/>
      <c r="AD1976" s="6"/>
      <c r="AE1976" s="6"/>
      <c r="AF1976" s="126"/>
      <c r="AJ1976" s="6"/>
      <c r="AL1976" s="110"/>
      <c r="AM1976" s="110"/>
      <c r="AN1976" s="110"/>
      <c r="AP1976" s="6"/>
      <c r="AW1976" s="6"/>
      <c r="AX1976" s="6"/>
      <c r="AZ1976" s="110"/>
      <c r="BB1976" s="6"/>
      <c r="BD1976" s="6"/>
      <c r="BE1976" s="6"/>
      <c r="BV1976" s="17"/>
      <c r="BX1976" s="17"/>
      <c r="BZ1976" s="17"/>
    </row>
    <row r="1977" spans="4:78" x14ac:dyDescent="0.3">
      <c r="D1977" s="153"/>
      <c r="E1977" s="6"/>
      <c r="G1977" s="6"/>
      <c r="J1977" s="6"/>
      <c r="N1977" s="154"/>
      <c r="O1977" s="6"/>
      <c r="S1977" s="6"/>
      <c r="V1977" s="6"/>
      <c r="X1977" s="6"/>
      <c r="Z1977" s="110"/>
      <c r="AB1977" s="6"/>
      <c r="AD1977" s="6"/>
      <c r="AE1977" s="6"/>
      <c r="AF1977" s="126"/>
      <c r="AJ1977" s="6"/>
      <c r="AL1977" s="110"/>
      <c r="AM1977" s="110"/>
      <c r="AN1977" s="110"/>
      <c r="AP1977" s="6"/>
      <c r="AW1977" s="6"/>
      <c r="AX1977" s="6"/>
      <c r="AZ1977" s="110"/>
      <c r="BB1977" s="6"/>
      <c r="BD1977" s="6"/>
      <c r="BE1977" s="6"/>
      <c r="BV1977" s="17"/>
      <c r="BX1977" s="17"/>
      <c r="BZ1977" s="17"/>
    </row>
    <row r="1978" spans="4:78" x14ac:dyDescent="0.3">
      <c r="D1978" s="153"/>
      <c r="E1978" s="6"/>
      <c r="G1978" s="6"/>
      <c r="J1978" s="6"/>
      <c r="N1978" s="154"/>
      <c r="O1978" s="6"/>
      <c r="S1978" s="6"/>
      <c r="V1978" s="6"/>
      <c r="X1978" s="6"/>
      <c r="Z1978" s="110"/>
      <c r="AB1978" s="6"/>
      <c r="AD1978" s="6"/>
      <c r="AE1978" s="6"/>
      <c r="AF1978" s="126"/>
      <c r="AJ1978" s="6"/>
      <c r="AL1978" s="110"/>
      <c r="AM1978" s="110"/>
      <c r="AN1978" s="110"/>
      <c r="AP1978" s="6"/>
      <c r="AW1978" s="6"/>
      <c r="AX1978" s="6"/>
      <c r="AZ1978" s="110"/>
      <c r="BB1978" s="6"/>
      <c r="BD1978" s="6"/>
      <c r="BE1978" s="6"/>
      <c r="BV1978" s="17"/>
      <c r="BX1978" s="17"/>
      <c r="BZ1978" s="17"/>
    </row>
    <row r="1979" spans="4:78" x14ac:dyDescent="0.3">
      <c r="D1979" s="153"/>
      <c r="E1979" s="6"/>
      <c r="G1979" s="6"/>
      <c r="J1979" s="6"/>
      <c r="N1979" s="154"/>
      <c r="O1979" s="6"/>
      <c r="S1979" s="6"/>
      <c r="V1979" s="6"/>
      <c r="X1979" s="6"/>
      <c r="Z1979" s="110"/>
      <c r="AB1979" s="6"/>
      <c r="AD1979" s="6"/>
      <c r="AE1979" s="6"/>
      <c r="AF1979" s="126"/>
      <c r="AJ1979" s="6"/>
      <c r="AL1979" s="110"/>
      <c r="AM1979" s="110"/>
      <c r="AN1979" s="110"/>
      <c r="AP1979" s="6"/>
      <c r="AW1979" s="6"/>
      <c r="AX1979" s="6"/>
      <c r="AZ1979" s="110"/>
      <c r="BB1979" s="6"/>
      <c r="BD1979" s="6"/>
      <c r="BE1979" s="6"/>
      <c r="BV1979" s="17"/>
      <c r="BX1979" s="17"/>
      <c r="BZ1979" s="17"/>
    </row>
    <row r="1980" spans="4:78" x14ac:dyDescent="0.3">
      <c r="D1980" s="153"/>
      <c r="E1980" s="6"/>
      <c r="G1980" s="6"/>
      <c r="J1980" s="6"/>
      <c r="N1980" s="154"/>
      <c r="O1980" s="6"/>
      <c r="S1980" s="6"/>
      <c r="V1980" s="6"/>
      <c r="X1980" s="6"/>
      <c r="Z1980" s="110"/>
      <c r="AB1980" s="6"/>
      <c r="AD1980" s="6"/>
      <c r="AE1980" s="6"/>
      <c r="AF1980" s="126"/>
      <c r="AJ1980" s="6"/>
      <c r="AL1980" s="110"/>
      <c r="AM1980" s="110"/>
      <c r="AN1980" s="110"/>
      <c r="AP1980" s="6"/>
      <c r="AW1980" s="6"/>
      <c r="AX1980" s="6"/>
      <c r="AZ1980" s="110"/>
      <c r="BB1980" s="6"/>
      <c r="BD1980" s="6"/>
      <c r="BE1980" s="6"/>
      <c r="BV1980" s="17"/>
      <c r="BX1980" s="17"/>
      <c r="BZ1980" s="17"/>
    </row>
    <row r="1981" spans="4:78" x14ac:dyDescent="0.3">
      <c r="D1981" s="153"/>
      <c r="E1981" s="6"/>
      <c r="G1981" s="6"/>
      <c r="J1981" s="6"/>
      <c r="N1981" s="154"/>
      <c r="O1981" s="6"/>
      <c r="S1981" s="6"/>
      <c r="V1981" s="6"/>
      <c r="X1981" s="6"/>
      <c r="Z1981" s="110"/>
      <c r="AB1981" s="6"/>
      <c r="AD1981" s="6"/>
      <c r="AE1981" s="6"/>
      <c r="AF1981" s="126"/>
      <c r="AJ1981" s="6"/>
      <c r="AL1981" s="110"/>
      <c r="AM1981" s="110"/>
      <c r="AN1981" s="110"/>
      <c r="AP1981" s="6"/>
      <c r="AW1981" s="6"/>
      <c r="AX1981" s="6"/>
      <c r="AZ1981" s="110"/>
      <c r="BB1981" s="6"/>
      <c r="BD1981" s="6"/>
      <c r="BE1981" s="6"/>
      <c r="BV1981" s="17"/>
      <c r="BX1981" s="17"/>
      <c r="BZ1981" s="17"/>
    </row>
    <row r="1982" spans="4:78" x14ac:dyDescent="0.3">
      <c r="D1982" s="153"/>
      <c r="E1982" s="6"/>
      <c r="G1982" s="6"/>
      <c r="J1982" s="6"/>
      <c r="N1982" s="154"/>
      <c r="O1982" s="6"/>
      <c r="S1982" s="6"/>
      <c r="V1982" s="6"/>
      <c r="X1982" s="6"/>
      <c r="Z1982" s="110"/>
      <c r="AB1982" s="6"/>
      <c r="AD1982" s="6"/>
      <c r="AE1982" s="6"/>
      <c r="AF1982" s="126"/>
      <c r="AJ1982" s="6"/>
      <c r="AL1982" s="110"/>
      <c r="AM1982" s="110"/>
      <c r="AN1982" s="110"/>
      <c r="AP1982" s="6"/>
      <c r="AW1982" s="6"/>
      <c r="AX1982" s="6"/>
      <c r="AZ1982" s="110"/>
      <c r="BB1982" s="6"/>
      <c r="BD1982" s="6"/>
      <c r="BE1982" s="6"/>
      <c r="BV1982" s="17"/>
      <c r="BX1982" s="17"/>
      <c r="BZ1982" s="17"/>
    </row>
    <row r="1983" spans="4:78" x14ac:dyDescent="0.3">
      <c r="D1983" s="153"/>
      <c r="E1983" s="6"/>
      <c r="G1983" s="6"/>
      <c r="J1983" s="6"/>
      <c r="N1983" s="154"/>
      <c r="O1983" s="6"/>
      <c r="S1983" s="6"/>
      <c r="V1983" s="6"/>
      <c r="X1983" s="6"/>
      <c r="Z1983" s="110"/>
      <c r="AB1983" s="6"/>
      <c r="AD1983" s="6"/>
      <c r="AE1983" s="6"/>
      <c r="AF1983" s="126"/>
      <c r="AJ1983" s="6"/>
      <c r="AL1983" s="110"/>
      <c r="AM1983" s="110"/>
      <c r="AN1983" s="110"/>
      <c r="AP1983" s="6"/>
      <c r="AW1983" s="6"/>
      <c r="AX1983" s="6"/>
      <c r="AZ1983" s="110"/>
      <c r="BB1983" s="6"/>
      <c r="BD1983" s="6"/>
      <c r="BE1983" s="6"/>
      <c r="BV1983" s="17"/>
      <c r="BX1983" s="17"/>
      <c r="BZ1983" s="17"/>
    </row>
    <row r="1984" spans="4:78" x14ac:dyDescent="0.3">
      <c r="D1984" s="153"/>
      <c r="E1984" s="6"/>
      <c r="G1984" s="6"/>
      <c r="J1984" s="6"/>
      <c r="N1984" s="154"/>
      <c r="O1984" s="6"/>
      <c r="S1984" s="6"/>
      <c r="V1984" s="6"/>
      <c r="X1984" s="6"/>
      <c r="Z1984" s="110"/>
      <c r="AB1984" s="6"/>
      <c r="AD1984" s="6"/>
      <c r="AE1984" s="6"/>
      <c r="AF1984" s="126"/>
      <c r="AJ1984" s="6"/>
      <c r="AL1984" s="110"/>
      <c r="AM1984" s="110"/>
      <c r="AN1984" s="110"/>
      <c r="AP1984" s="6"/>
      <c r="AW1984" s="6"/>
      <c r="AX1984" s="6"/>
      <c r="AZ1984" s="110"/>
      <c r="BB1984" s="6"/>
      <c r="BD1984" s="6"/>
      <c r="BE1984" s="6"/>
      <c r="BV1984" s="17"/>
      <c r="BX1984" s="17"/>
      <c r="BZ1984" s="17"/>
    </row>
    <row r="1985" spans="4:78" x14ac:dyDescent="0.3">
      <c r="D1985" s="153"/>
      <c r="E1985" s="6"/>
      <c r="G1985" s="6"/>
      <c r="J1985" s="6"/>
      <c r="N1985" s="154"/>
      <c r="O1985" s="6"/>
      <c r="S1985" s="6"/>
      <c r="V1985" s="6"/>
      <c r="X1985" s="6"/>
      <c r="Z1985" s="110"/>
      <c r="AB1985" s="6"/>
      <c r="AD1985" s="6"/>
      <c r="AE1985" s="6"/>
      <c r="AF1985" s="126"/>
      <c r="AJ1985" s="6"/>
      <c r="AL1985" s="110"/>
      <c r="AM1985" s="110"/>
      <c r="AN1985" s="110"/>
      <c r="AP1985" s="6"/>
      <c r="AW1985" s="6"/>
      <c r="AX1985" s="6"/>
      <c r="AZ1985" s="110"/>
      <c r="BB1985" s="6"/>
      <c r="BD1985" s="6"/>
      <c r="BE1985" s="6"/>
      <c r="BV1985" s="17"/>
      <c r="BX1985" s="17"/>
      <c r="BZ1985" s="17"/>
    </row>
    <row r="1986" spans="4:78" x14ac:dyDescent="0.3">
      <c r="D1986" s="153"/>
      <c r="E1986" s="6"/>
      <c r="G1986" s="6"/>
      <c r="J1986" s="6"/>
      <c r="N1986" s="154"/>
      <c r="O1986" s="6"/>
      <c r="S1986" s="6"/>
      <c r="V1986" s="6"/>
      <c r="X1986" s="6"/>
      <c r="Z1986" s="110"/>
      <c r="AB1986" s="6"/>
      <c r="AD1986" s="6"/>
      <c r="AE1986" s="6"/>
      <c r="AF1986" s="126"/>
      <c r="AJ1986" s="6"/>
      <c r="AL1986" s="110"/>
      <c r="AM1986" s="110"/>
      <c r="AN1986" s="110"/>
      <c r="AP1986" s="6"/>
      <c r="AW1986" s="6"/>
      <c r="AX1986" s="6"/>
      <c r="AZ1986" s="110"/>
      <c r="BB1986" s="6"/>
      <c r="BD1986" s="6"/>
      <c r="BE1986" s="6"/>
      <c r="BV1986" s="17"/>
      <c r="BX1986" s="17"/>
      <c r="BZ1986" s="17"/>
    </row>
    <row r="1987" spans="4:78" x14ac:dyDescent="0.3">
      <c r="D1987" s="153"/>
      <c r="E1987" s="6"/>
      <c r="G1987" s="6"/>
      <c r="J1987" s="6"/>
      <c r="N1987" s="154"/>
      <c r="O1987" s="6"/>
      <c r="S1987" s="6"/>
      <c r="V1987" s="6"/>
      <c r="X1987" s="6"/>
      <c r="Z1987" s="110"/>
      <c r="AB1987" s="6"/>
      <c r="AD1987" s="6"/>
      <c r="AE1987" s="6"/>
      <c r="AF1987" s="126"/>
      <c r="AJ1987" s="6"/>
      <c r="AL1987" s="110"/>
      <c r="AM1987" s="110"/>
      <c r="AN1987" s="110"/>
      <c r="AP1987" s="6"/>
      <c r="AW1987" s="6"/>
      <c r="AX1987" s="6"/>
      <c r="AZ1987" s="110"/>
      <c r="BB1987" s="6"/>
      <c r="BD1987" s="6"/>
      <c r="BE1987" s="6"/>
      <c r="BV1987" s="17"/>
      <c r="BX1987" s="17"/>
      <c r="BZ1987" s="17"/>
    </row>
    <row r="1988" spans="4:78" x14ac:dyDescent="0.3">
      <c r="D1988" s="153"/>
      <c r="E1988" s="6"/>
      <c r="G1988" s="6"/>
      <c r="J1988" s="6"/>
      <c r="N1988" s="154"/>
      <c r="O1988" s="6"/>
      <c r="S1988" s="6"/>
      <c r="V1988" s="6"/>
      <c r="X1988" s="6"/>
      <c r="Z1988" s="110"/>
      <c r="AB1988" s="6"/>
      <c r="AD1988" s="6"/>
      <c r="AE1988" s="6"/>
      <c r="AF1988" s="126"/>
      <c r="AJ1988" s="6"/>
      <c r="AL1988" s="110"/>
      <c r="AM1988" s="110"/>
      <c r="AN1988" s="110"/>
      <c r="AP1988" s="6"/>
      <c r="AW1988" s="6"/>
      <c r="AX1988" s="6"/>
      <c r="AZ1988" s="110"/>
      <c r="BB1988" s="6"/>
      <c r="BD1988" s="6"/>
      <c r="BE1988" s="6"/>
      <c r="BV1988" s="17"/>
      <c r="BX1988" s="17"/>
      <c r="BZ1988" s="17"/>
    </row>
    <row r="1989" spans="4:78" x14ac:dyDescent="0.3">
      <c r="D1989" s="153"/>
      <c r="E1989" s="6"/>
      <c r="G1989" s="6"/>
      <c r="J1989" s="6"/>
      <c r="N1989" s="154"/>
      <c r="O1989" s="6"/>
      <c r="S1989" s="6"/>
      <c r="V1989" s="6"/>
      <c r="X1989" s="6"/>
      <c r="Z1989" s="110"/>
      <c r="AB1989" s="6"/>
      <c r="AD1989" s="6"/>
      <c r="AE1989" s="6"/>
      <c r="AF1989" s="126"/>
      <c r="AJ1989" s="6"/>
      <c r="AL1989" s="110"/>
      <c r="AM1989" s="110"/>
      <c r="AN1989" s="110"/>
      <c r="AP1989" s="6"/>
      <c r="AW1989" s="6"/>
      <c r="AX1989" s="6"/>
      <c r="AZ1989" s="110"/>
      <c r="BB1989" s="6"/>
      <c r="BD1989" s="6"/>
      <c r="BE1989" s="6"/>
      <c r="BV1989" s="17"/>
      <c r="BX1989" s="17"/>
      <c r="BZ1989" s="17"/>
    </row>
    <row r="1990" spans="4:78" x14ac:dyDescent="0.3">
      <c r="D1990" s="153"/>
      <c r="E1990" s="6"/>
      <c r="G1990" s="6"/>
      <c r="J1990" s="6"/>
      <c r="N1990" s="154"/>
      <c r="O1990" s="6"/>
      <c r="S1990" s="6"/>
      <c r="V1990" s="6"/>
      <c r="X1990" s="6"/>
      <c r="Z1990" s="110"/>
      <c r="AB1990" s="6"/>
      <c r="AD1990" s="6"/>
      <c r="AE1990" s="6"/>
      <c r="AF1990" s="126"/>
      <c r="AJ1990" s="6"/>
      <c r="AL1990" s="110"/>
      <c r="AM1990" s="110"/>
      <c r="AN1990" s="110"/>
      <c r="AP1990" s="6"/>
      <c r="AW1990" s="6"/>
      <c r="AX1990" s="6"/>
      <c r="AZ1990" s="110"/>
      <c r="BB1990" s="6"/>
      <c r="BD1990" s="6"/>
      <c r="BE1990" s="6"/>
      <c r="BV1990" s="17"/>
      <c r="BX1990" s="17"/>
      <c r="BZ1990" s="17"/>
    </row>
    <row r="1991" spans="4:78" x14ac:dyDescent="0.3">
      <c r="D1991" s="153"/>
      <c r="E1991" s="6"/>
      <c r="G1991" s="6"/>
      <c r="J1991" s="6"/>
      <c r="N1991" s="154"/>
      <c r="O1991" s="6"/>
      <c r="S1991" s="6"/>
      <c r="V1991" s="6"/>
      <c r="X1991" s="6"/>
      <c r="Z1991" s="110"/>
      <c r="AB1991" s="6"/>
      <c r="AD1991" s="6"/>
      <c r="AE1991" s="6"/>
      <c r="AF1991" s="126"/>
      <c r="AJ1991" s="6"/>
      <c r="AL1991" s="110"/>
      <c r="AM1991" s="110"/>
      <c r="AN1991" s="110"/>
      <c r="AP1991" s="6"/>
      <c r="AW1991" s="6"/>
      <c r="AX1991" s="6"/>
      <c r="AZ1991" s="110"/>
      <c r="BB1991" s="6"/>
      <c r="BD1991" s="6"/>
      <c r="BE1991" s="6"/>
      <c r="BV1991" s="17"/>
      <c r="BX1991" s="17"/>
      <c r="BZ1991" s="17"/>
    </row>
    <row r="1992" spans="4:78" x14ac:dyDescent="0.3">
      <c r="D1992" s="153"/>
      <c r="E1992" s="6"/>
      <c r="G1992" s="6"/>
      <c r="J1992" s="6"/>
      <c r="N1992" s="154"/>
      <c r="O1992" s="6"/>
      <c r="S1992" s="6"/>
      <c r="V1992" s="6"/>
      <c r="X1992" s="6"/>
      <c r="Z1992" s="110"/>
      <c r="AB1992" s="6"/>
      <c r="AD1992" s="6"/>
      <c r="AE1992" s="6"/>
      <c r="AF1992" s="126"/>
      <c r="AJ1992" s="6"/>
      <c r="AL1992" s="110"/>
      <c r="AM1992" s="110"/>
      <c r="AN1992" s="110"/>
      <c r="AP1992" s="6"/>
      <c r="AW1992" s="6"/>
      <c r="AX1992" s="6"/>
      <c r="AZ1992" s="110"/>
      <c r="BB1992" s="6"/>
      <c r="BD1992" s="6"/>
      <c r="BE1992" s="6"/>
      <c r="BV1992" s="17"/>
      <c r="BX1992" s="17"/>
      <c r="BZ1992" s="17"/>
    </row>
    <row r="1993" spans="4:78" x14ac:dyDescent="0.3">
      <c r="D1993" s="153"/>
      <c r="E1993" s="6"/>
      <c r="G1993" s="6"/>
      <c r="J1993" s="6"/>
      <c r="N1993" s="154"/>
      <c r="O1993" s="6"/>
      <c r="S1993" s="6"/>
      <c r="V1993" s="6"/>
      <c r="X1993" s="6"/>
      <c r="Z1993" s="110"/>
      <c r="AB1993" s="6"/>
      <c r="AD1993" s="6"/>
      <c r="AE1993" s="6"/>
      <c r="AF1993" s="126"/>
      <c r="AJ1993" s="6"/>
      <c r="AL1993" s="110"/>
      <c r="AM1993" s="110"/>
      <c r="AN1993" s="110"/>
      <c r="AP1993" s="6"/>
      <c r="AW1993" s="6"/>
      <c r="AX1993" s="6"/>
      <c r="AZ1993" s="110"/>
      <c r="BB1993" s="6"/>
      <c r="BD1993" s="6"/>
      <c r="BE1993" s="6"/>
      <c r="BV1993" s="17"/>
      <c r="BX1993" s="17"/>
      <c r="BZ1993" s="17"/>
    </row>
    <row r="1994" spans="4:78" x14ac:dyDescent="0.3">
      <c r="D1994" s="153"/>
      <c r="E1994" s="6"/>
      <c r="G1994" s="6"/>
      <c r="J1994" s="6"/>
      <c r="N1994" s="154"/>
      <c r="O1994" s="6"/>
      <c r="S1994" s="6"/>
      <c r="V1994" s="6"/>
      <c r="X1994" s="6"/>
      <c r="Z1994" s="110"/>
      <c r="AB1994" s="6"/>
      <c r="AD1994" s="6"/>
      <c r="AE1994" s="6"/>
      <c r="AF1994" s="126"/>
      <c r="AJ1994" s="6"/>
      <c r="AL1994" s="110"/>
      <c r="AM1994" s="110"/>
      <c r="AN1994" s="110"/>
      <c r="AP1994" s="6"/>
      <c r="AW1994" s="6"/>
      <c r="AX1994" s="6"/>
      <c r="AZ1994" s="110"/>
      <c r="BB1994" s="6"/>
      <c r="BD1994" s="6"/>
      <c r="BE1994" s="6"/>
      <c r="BV1994" s="17"/>
      <c r="BX1994" s="17"/>
      <c r="BZ1994" s="17"/>
    </row>
    <row r="1995" spans="4:78" x14ac:dyDescent="0.3">
      <c r="D1995" s="153"/>
      <c r="E1995" s="6"/>
      <c r="G1995" s="6"/>
      <c r="J1995" s="6"/>
      <c r="N1995" s="154"/>
      <c r="O1995" s="6"/>
      <c r="S1995" s="6"/>
      <c r="V1995" s="6"/>
      <c r="X1995" s="6"/>
      <c r="Z1995" s="110"/>
      <c r="AB1995" s="6"/>
      <c r="AD1995" s="6"/>
      <c r="AE1995" s="6"/>
      <c r="AF1995" s="126"/>
      <c r="AJ1995" s="6"/>
      <c r="AL1995" s="110"/>
      <c r="AM1995" s="110"/>
      <c r="AN1995" s="110"/>
      <c r="AP1995" s="6"/>
      <c r="AW1995" s="6"/>
      <c r="AX1995" s="6"/>
      <c r="AZ1995" s="110"/>
      <c r="BB1995" s="6"/>
      <c r="BD1995" s="6"/>
      <c r="BE1995" s="6"/>
      <c r="BV1995" s="17"/>
      <c r="BX1995" s="17"/>
      <c r="BZ1995" s="17"/>
    </row>
    <row r="1996" spans="4:78" x14ac:dyDescent="0.3">
      <c r="D1996" s="153"/>
      <c r="E1996" s="6"/>
      <c r="G1996" s="6"/>
      <c r="J1996" s="6"/>
      <c r="N1996" s="154"/>
      <c r="O1996" s="6"/>
      <c r="S1996" s="6"/>
      <c r="V1996" s="6"/>
      <c r="X1996" s="6"/>
      <c r="Z1996" s="110"/>
      <c r="AB1996" s="6"/>
      <c r="AD1996" s="6"/>
      <c r="AE1996" s="6"/>
      <c r="AF1996" s="126"/>
      <c r="AJ1996" s="6"/>
      <c r="AL1996" s="110"/>
      <c r="AM1996" s="110"/>
      <c r="AN1996" s="110"/>
      <c r="AP1996" s="6"/>
      <c r="AW1996" s="6"/>
      <c r="AX1996" s="6"/>
      <c r="AZ1996" s="110"/>
      <c r="BB1996" s="6"/>
      <c r="BD1996" s="6"/>
      <c r="BE1996" s="6"/>
      <c r="BV1996" s="17"/>
      <c r="BX1996" s="17"/>
      <c r="BZ1996" s="17"/>
    </row>
    <row r="1997" spans="4:78" x14ac:dyDescent="0.3">
      <c r="D1997" s="153"/>
      <c r="E1997" s="6"/>
      <c r="G1997" s="6"/>
      <c r="J1997" s="6"/>
      <c r="N1997" s="154"/>
      <c r="O1997" s="6"/>
      <c r="S1997" s="6"/>
      <c r="V1997" s="6"/>
      <c r="X1997" s="6"/>
      <c r="Z1997" s="110"/>
      <c r="AB1997" s="6"/>
      <c r="AD1997" s="6"/>
      <c r="AE1997" s="6"/>
      <c r="AF1997" s="126"/>
      <c r="AJ1997" s="6"/>
      <c r="AL1997" s="110"/>
      <c r="AM1997" s="110"/>
      <c r="AN1997" s="110"/>
      <c r="AP1997" s="6"/>
      <c r="AW1997" s="6"/>
      <c r="AX1997" s="6"/>
      <c r="AZ1997" s="110"/>
      <c r="BB1997" s="6"/>
      <c r="BD1997" s="6"/>
      <c r="BE1997" s="6"/>
      <c r="BV1997" s="17"/>
      <c r="BX1997" s="17"/>
      <c r="BZ1997" s="17"/>
    </row>
    <row r="1998" spans="4:78" x14ac:dyDescent="0.3">
      <c r="D1998" s="153"/>
      <c r="E1998" s="6"/>
      <c r="G1998" s="6"/>
      <c r="J1998" s="6"/>
      <c r="N1998" s="154"/>
      <c r="O1998" s="6"/>
      <c r="S1998" s="6"/>
      <c r="V1998" s="6"/>
      <c r="X1998" s="6"/>
      <c r="Z1998" s="110"/>
      <c r="AB1998" s="6"/>
      <c r="AD1998" s="6"/>
      <c r="AE1998" s="6"/>
      <c r="AF1998" s="126"/>
      <c r="AJ1998" s="6"/>
      <c r="AL1998" s="110"/>
      <c r="AM1998" s="110"/>
      <c r="AN1998" s="110"/>
      <c r="AP1998" s="6"/>
      <c r="AW1998" s="6"/>
      <c r="AX1998" s="6"/>
      <c r="AZ1998" s="110"/>
      <c r="BB1998" s="6"/>
      <c r="BD1998" s="6"/>
      <c r="BE1998" s="6"/>
      <c r="BV1998" s="17"/>
      <c r="BX1998" s="17"/>
      <c r="BZ1998" s="17"/>
    </row>
    <row r="1999" spans="4:78" x14ac:dyDescent="0.3">
      <c r="D1999" s="153"/>
      <c r="E1999" s="6"/>
      <c r="G1999" s="6"/>
      <c r="J1999" s="6"/>
      <c r="N1999" s="154"/>
      <c r="O1999" s="6"/>
      <c r="S1999" s="6"/>
      <c r="V1999" s="6"/>
      <c r="X1999" s="6"/>
      <c r="Z1999" s="110"/>
      <c r="AB1999" s="6"/>
      <c r="AD1999" s="6"/>
      <c r="AE1999" s="6"/>
      <c r="AF1999" s="126"/>
      <c r="AJ1999" s="6"/>
      <c r="AL1999" s="110"/>
      <c r="AM1999" s="110"/>
      <c r="AN1999" s="110"/>
      <c r="AP1999" s="6"/>
      <c r="AW1999" s="6"/>
      <c r="AX1999" s="6"/>
      <c r="AZ1999" s="110"/>
      <c r="BB1999" s="6"/>
      <c r="BD1999" s="6"/>
      <c r="BE1999" s="6"/>
      <c r="BV1999" s="17"/>
      <c r="BX1999" s="17"/>
      <c r="BZ1999" s="17"/>
    </row>
    <row r="2000" spans="4:78" x14ac:dyDescent="0.3">
      <c r="D2000" s="153"/>
      <c r="E2000" s="6"/>
      <c r="G2000" s="6"/>
      <c r="J2000" s="6"/>
      <c r="N2000" s="154"/>
      <c r="O2000" s="6"/>
      <c r="S2000" s="6"/>
      <c r="V2000" s="6"/>
      <c r="X2000" s="6"/>
      <c r="Z2000" s="110"/>
      <c r="AB2000" s="6"/>
      <c r="AD2000" s="6"/>
      <c r="AE2000" s="6"/>
      <c r="AF2000" s="126"/>
      <c r="AJ2000" s="6"/>
      <c r="AL2000" s="110"/>
      <c r="AM2000" s="110"/>
      <c r="AN2000" s="110"/>
      <c r="AP2000" s="6"/>
      <c r="AW2000" s="6"/>
      <c r="AX2000" s="6"/>
      <c r="AZ2000" s="110"/>
      <c r="BB2000" s="6"/>
      <c r="BD2000" s="6"/>
      <c r="BE2000" s="6"/>
      <c r="BV2000" s="17"/>
      <c r="BX2000" s="17"/>
      <c r="BZ2000" s="17"/>
    </row>
    <row r="2001" spans="4:78" x14ac:dyDescent="0.3">
      <c r="D2001" s="153"/>
      <c r="E2001" s="6"/>
      <c r="G2001" s="6"/>
      <c r="J2001" s="6"/>
      <c r="N2001" s="154"/>
      <c r="O2001" s="6"/>
      <c r="S2001" s="6"/>
      <c r="V2001" s="6"/>
      <c r="X2001" s="6"/>
      <c r="Z2001" s="110"/>
      <c r="AB2001" s="6"/>
      <c r="AD2001" s="6"/>
      <c r="AE2001" s="6"/>
      <c r="AF2001" s="126"/>
      <c r="AJ2001" s="6"/>
      <c r="AL2001" s="110"/>
      <c r="AM2001" s="110"/>
      <c r="AN2001" s="110"/>
      <c r="AP2001" s="6"/>
      <c r="AW2001" s="6"/>
      <c r="AX2001" s="6"/>
      <c r="AZ2001" s="110"/>
      <c r="BB2001" s="6"/>
      <c r="BD2001" s="6"/>
      <c r="BE2001" s="6"/>
      <c r="BV2001" s="17"/>
      <c r="BX2001" s="17"/>
      <c r="BZ2001" s="17"/>
    </row>
    <row r="2002" spans="4:78" x14ac:dyDescent="0.3">
      <c r="D2002" s="153"/>
      <c r="E2002" s="6"/>
      <c r="G2002" s="6"/>
      <c r="J2002" s="6"/>
      <c r="N2002" s="154"/>
      <c r="O2002" s="6"/>
      <c r="S2002" s="6"/>
      <c r="V2002" s="6"/>
      <c r="X2002" s="6"/>
      <c r="Z2002" s="110"/>
      <c r="AB2002" s="6"/>
      <c r="AD2002" s="6"/>
      <c r="AE2002" s="6"/>
      <c r="AF2002" s="126"/>
      <c r="AJ2002" s="6"/>
      <c r="AL2002" s="110"/>
      <c r="AM2002" s="110"/>
      <c r="AN2002" s="110"/>
      <c r="AP2002" s="6"/>
      <c r="AW2002" s="6"/>
      <c r="AX2002" s="6"/>
      <c r="AZ2002" s="110"/>
      <c r="BB2002" s="6"/>
      <c r="BD2002" s="6"/>
      <c r="BE2002" s="6"/>
      <c r="BV2002" s="17"/>
      <c r="BX2002" s="17"/>
      <c r="BZ2002" s="17"/>
    </row>
    <row r="2003" spans="4:78" x14ac:dyDescent="0.3">
      <c r="D2003" s="153"/>
      <c r="E2003" s="6"/>
      <c r="G2003" s="6"/>
      <c r="J2003" s="6"/>
      <c r="N2003" s="154"/>
      <c r="O2003" s="6"/>
      <c r="S2003" s="6"/>
      <c r="V2003" s="6"/>
      <c r="X2003" s="6"/>
      <c r="Z2003" s="110"/>
      <c r="AB2003" s="6"/>
      <c r="AD2003" s="6"/>
      <c r="AE2003" s="6"/>
      <c r="AF2003" s="126"/>
      <c r="AJ2003" s="6"/>
      <c r="AL2003" s="110"/>
      <c r="AM2003" s="110"/>
      <c r="AN2003" s="110"/>
      <c r="AP2003" s="6"/>
      <c r="AW2003" s="6"/>
      <c r="AX2003" s="6"/>
      <c r="AZ2003" s="110"/>
      <c r="BB2003" s="6"/>
      <c r="BD2003" s="6"/>
      <c r="BE2003" s="6"/>
      <c r="BV2003" s="17"/>
      <c r="BX2003" s="17"/>
      <c r="BZ2003" s="17"/>
    </row>
    <row r="2004" spans="4:78" x14ac:dyDescent="0.3">
      <c r="D2004" s="153"/>
      <c r="E2004" s="6"/>
      <c r="G2004" s="6"/>
      <c r="J2004" s="6"/>
      <c r="N2004" s="154"/>
      <c r="O2004" s="6"/>
      <c r="S2004" s="6"/>
      <c r="V2004" s="6"/>
      <c r="X2004" s="6"/>
      <c r="Z2004" s="110"/>
      <c r="AB2004" s="6"/>
      <c r="AD2004" s="6"/>
      <c r="AE2004" s="6"/>
      <c r="AF2004" s="126"/>
      <c r="AJ2004" s="6"/>
      <c r="AL2004" s="110"/>
      <c r="AM2004" s="110"/>
      <c r="AN2004" s="110"/>
      <c r="AP2004" s="6"/>
      <c r="AW2004" s="6"/>
      <c r="AX2004" s="6"/>
      <c r="AZ2004" s="110"/>
      <c r="BB2004" s="6"/>
      <c r="BD2004" s="6"/>
      <c r="BE2004" s="6"/>
      <c r="BV2004" s="17"/>
      <c r="BX2004" s="17"/>
      <c r="BZ2004" s="17"/>
    </row>
    <row r="2005" spans="4:78" x14ac:dyDescent="0.3">
      <c r="D2005" s="153"/>
      <c r="E2005" s="6"/>
      <c r="G2005" s="6"/>
      <c r="J2005" s="6"/>
      <c r="N2005" s="154"/>
      <c r="O2005" s="6"/>
      <c r="S2005" s="6"/>
      <c r="V2005" s="6"/>
      <c r="X2005" s="6"/>
      <c r="Z2005" s="110"/>
      <c r="AB2005" s="6"/>
      <c r="AD2005" s="6"/>
      <c r="AE2005" s="6"/>
      <c r="AF2005" s="126"/>
      <c r="AJ2005" s="6"/>
      <c r="AL2005" s="110"/>
      <c r="AM2005" s="110"/>
      <c r="AN2005" s="110"/>
      <c r="AP2005" s="6"/>
      <c r="AW2005" s="6"/>
      <c r="AX2005" s="6"/>
      <c r="AZ2005" s="110"/>
      <c r="BB2005" s="6"/>
      <c r="BD2005" s="6"/>
      <c r="BE2005" s="6"/>
      <c r="BV2005" s="17"/>
      <c r="BX2005" s="17"/>
      <c r="BZ2005" s="17"/>
    </row>
    <row r="2006" spans="4:78" x14ac:dyDescent="0.3">
      <c r="D2006" s="153"/>
      <c r="E2006" s="6"/>
      <c r="G2006" s="6"/>
      <c r="J2006" s="6"/>
      <c r="N2006" s="154"/>
      <c r="O2006" s="6"/>
      <c r="S2006" s="6"/>
      <c r="V2006" s="6"/>
      <c r="X2006" s="6"/>
      <c r="Z2006" s="110"/>
      <c r="AB2006" s="6"/>
      <c r="AD2006" s="6"/>
      <c r="AE2006" s="6"/>
      <c r="AF2006" s="126"/>
      <c r="AJ2006" s="6"/>
      <c r="AL2006" s="110"/>
      <c r="AM2006" s="110"/>
      <c r="AN2006" s="110"/>
      <c r="AP2006" s="6"/>
      <c r="AW2006" s="6"/>
      <c r="AX2006" s="6"/>
      <c r="AZ2006" s="110"/>
      <c r="BB2006" s="6"/>
      <c r="BD2006" s="6"/>
      <c r="BE2006" s="6"/>
      <c r="BV2006" s="17"/>
      <c r="BX2006" s="17"/>
      <c r="BZ2006" s="17"/>
    </row>
    <row r="2007" spans="4:78" x14ac:dyDescent="0.3">
      <c r="D2007" s="153"/>
      <c r="E2007" s="6"/>
      <c r="G2007" s="6"/>
      <c r="J2007" s="6"/>
      <c r="N2007" s="154"/>
      <c r="O2007" s="6"/>
      <c r="S2007" s="6"/>
      <c r="V2007" s="6"/>
      <c r="X2007" s="6"/>
      <c r="Z2007" s="110"/>
      <c r="AB2007" s="6"/>
      <c r="AD2007" s="6"/>
      <c r="AE2007" s="6"/>
      <c r="AF2007" s="126"/>
      <c r="AJ2007" s="6"/>
      <c r="AL2007" s="110"/>
      <c r="AM2007" s="110"/>
      <c r="AN2007" s="110"/>
      <c r="AP2007" s="6"/>
      <c r="AW2007" s="6"/>
      <c r="AX2007" s="6"/>
      <c r="AZ2007" s="110"/>
      <c r="BB2007" s="6"/>
      <c r="BD2007" s="6"/>
      <c r="BE2007" s="6"/>
      <c r="BV2007" s="17"/>
      <c r="BX2007" s="17"/>
      <c r="BZ2007" s="17"/>
    </row>
    <row r="2008" spans="4:78" x14ac:dyDescent="0.3">
      <c r="D2008" s="153"/>
      <c r="E2008" s="6"/>
      <c r="G2008" s="6"/>
      <c r="J2008" s="6"/>
      <c r="N2008" s="154"/>
      <c r="O2008" s="6"/>
      <c r="S2008" s="6"/>
      <c r="V2008" s="6"/>
      <c r="X2008" s="6"/>
      <c r="Z2008" s="110"/>
      <c r="AB2008" s="6"/>
      <c r="AD2008" s="6"/>
      <c r="AE2008" s="6"/>
      <c r="AF2008" s="126"/>
      <c r="AJ2008" s="6"/>
      <c r="AL2008" s="110"/>
      <c r="AM2008" s="110"/>
      <c r="AN2008" s="110"/>
      <c r="AP2008" s="6"/>
      <c r="AW2008" s="6"/>
      <c r="AX2008" s="6"/>
      <c r="AZ2008" s="110"/>
      <c r="BB2008" s="6"/>
      <c r="BD2008" s="6"/>
      <c r="BE2008" s="6"/>
      <c r="BV2008" s="17"/>
      <c r="BX2008" s="17"/>
      <c r="BZ2008" s="17"/>
    </row>
    <row r="2009" spans="4:78" x14ac:dyDescent="0.3">
      <c r="D2009" s="153"/>
      <c r="E2009" s="6"/>
      <c r="G2009" s="6"/>
      <c r="J2009" s="6"/>
      <c r="N2009" s="154"/>
      <c r="O2009" s="6"/>
      <c r="S2009" s="6"/>
      <c r="V2009" s="6"/>
      <c r="X2009" s="6"/>
      <c r="Z2009" s="110"/>
      <c r="AB2009" s="6"/>
      <c r="AD2009" s="6"/>
      <c r="AE2009" s="6"/>
      <c r="AF2009" s="126"/>
      <c r="AJ2009" s="6"/>
      <c r="AL2009" s="110"/>
      <c r="AM2009" s="110"/>
      <c r="AN2009" s="110"/>
      <c r="AP2009" s="6"/>
      <c r="AW2009" s="6"/>
      <c r="AX2009" s="6"/>
      <c r="AZ2009" s="110"/>
      <c r="BB2009" s="6"/>
      <c r="BD2009" s="6"/>
      <c r="BE2009" s="6"/>
      <c r="BV2009" s="17"/>
      <c r="BX2009" s="17"/>
      <c r="BZ2009" s="17"/>
    </row>
    <row r="2010" spans="4:78" x14ac:dyDescent="0.3">
      <c r="D2010" s="153"/>
      <c r="E2010" s="6"/>
      <c r="G2010" s="6"/>
      <c r="J2010" s="6"/>
      <c r="N2010" s="154"/>
      <c r="O2010" s="6"/>
      <c r="S2010" s="6"/>
      <c r="V2010" s="6"/>
      <c r="X2010" s="6"/>
      <c r="Z2010" s="110"/>
      <c r="AB2010" s="6"/>
      <c r="AD2010" s="6"/>
      <c r="AE2010" s="6"/>
      <c r="AF2010" s="126"/>
      <c r="AJ2010" s="6"/>
      <c r="AL2010" s="110"/>
      <c r="AM2010" s="110"/>
      <c r="AN2010" s="110"/>
      <c r="AP2010" s="6"/>
      <c r="AW2010" s="6"/>
      <c r="AX2010" s="6"/>
      <c r="AZ2010" s="110"/>
      <c r="BB2010" s="6"/>
      <c r="BD2010" s="6"/>
      <c r="BE2010" s="6"/>
      <c r="BV2010" s="17"/>
      <c r="BX2010" s="17"/>
      <c r="BZ2010" s="17"/>
    </row>
    <row r="2011" spans="4:78" x14ac:dyDescent="0.3">
      <c r="D2011" s="153"/>
      <c r="E2011" s="6"/>
      <c r="G2011" s="6"/>
      <c r="J2011" s="6"/>
      <c r="N2011" s="154"/>
      <c r="O2011" s="6"/>
      <c r="S2011" s="6"/>
      <c r="V2011" s="6"/>
      <c r="X2011" s="6"/>
      <c r="Z2011" s="110"/>
      <c r="AB2011" s="6"/>
      <c r="AD2011" s="6"/>
      <c r="AE2011" s="6"/>
      <c r="AF2011" s="126"/>
      <c r="AJ2011" s="6"/>
      <c r="AL2011" s="110"/>
      <c r="AM2011" s="110"/>
      <c r="AN2011" s="110"/>
      <c r="AP2011" s="6"/>
      <c r="AW2011" s="6"/>
      <c r="AX2011" s="6"/>
      <c r="AZ2011" s="110"/>
      <c r="BB2011" s="6"/>
      <c r="BD2011" s="6"/>
      <c r="BE2011" s="6"/>
      <c r="BV2011" s="17"/>
      <c r="BX2011" s="17"/>
      <c r="BZ2011" s="17"/>
    </row>
    <row r="2012" spans="4:78" x14ac:dyDescent="0.3">
      <c r="D2012" s="153"/>
      <c r="E2012" s="6"/>
      <c r="G2012" s="6"/>
      <c r="J2012" s="6"/>
      <c r="N2012" s="154"/>
      <c r="O2012" s="6"/>
      <c r="S2012" s="6"/>
      <c r="V2012" s="6"/>
      <c r="X2012" s="6"/>
      <c r="Z2012" s="110"/>
      <c r="AB2012" s="6"/>
      <c r="AD2012" s="6"/>
      <c r="AE2012" s="6"/>
      <c r="AF2012" s="126"/>
      <c r="AJ2012" s="6"/>
      <c r="AL2012" s="110"/>
      <c r="AM2012" s="110"/>
      <c r="AN2012" s="110"/>
      <c r="AP2012" s="6"/>
      <c r="AW2012" s="6"/>
      <c r="AX2012" s="6"/>
      <c r="AZ2012" s="110"/>
      <c r="BB2012" s="6"/>
      <c r="BD2012" s="6"/>
      <c r="BE2012" s="6"/>
      <c r="BV2012" s="17"/>
      <c r="BX2012" s="17"/>
      <c r="BZ2012" s="17"/>
    </row>
    <row r="2013" spans="4:78" x14ac:dyDescent="0.3">
      <c r="D2013" s="153"/>
      <c r="E2013" s="6"/>
      <c r="G2013" s="6"/>
      <c r="J2013" s="6"/>
      <c r="N2013" s="154"/>
      <c r="O2013" s="6"/>
      <c r="S2013" s="6"/>
      <c r="V2013" s="6"/>
      <c r="X2013" s="6"/>
      <c r="Z2013" s="110"/>
      <c r="AB2013" s="6"/>
      <c r="AD2013" s="6"/>
      <c r="AE2013" s="6"/>
      <c r="AF2013" s="126"/>
      <c r="AJ2013" s="6"/>
      <c r="AL2013" s="110"/>
      <c r="AM2013" s="110"/>
      <c r="AN2013" s="110"/>
      <c r="AP2013" s="6"/>
      <c r="AW2013" s="6"/>
      <c r="AX2013" s="6"/>
      <c r="AZ2013" s="110"/>
      <c r="BB2013" s="6"/>
      <c r="BD2013" s="6"/>
      <c r="BE2013" s="6"/>
      <c r="BV2013" s="17"/>
      <c r="BX2013" s="17"/>
      <c r="BZ2013" s="17"/>
    </row>
    <row r="2014" spans="4:78" x14ac:dyDescent="0.3">
      <c r="D2014" s="153"/>
      <c r="E2014" s="6"/>
      <c r="G2014" s="6"/>
      <c r="J2014" s="6"/>
      <c r="N2014" s="154"/>
      <c r="O2014" s="6"/>
      <c r="S2014" s="6"/>
      <c r="V2014" s="6"/>
      <c r="X2014" s="6"/>
      <c r="Z2014" s="110"/>
      <c r="AB2014" s="6"/>
      <c r="AD2014" s="6"/>
      <c r="AE2014" s="6"/>
      <c r="AF2014" s="126"/>
      <c r="AJ2014" s="6"/>
      <c r="AL2014" s="110"/>
      <c r="AM2014" s="110"/>
      <c r="AN2014" s="110"/>
      <c r="AP2014" s="6"/>
      <c r="AW2014" s="6"/>
      <c r="AX2014" s="6"/>
      <c r="AZ2014" s="110"/>
      <c r="BB2014" s="6"/>
      <c r="BD2014" s="6"/>
      <c r="BE2014" s="6"/>
      <c r="BV2014" s="17"/>
      <c r="BX2014" s="17"/>
      <c r="BZ2014" s="17"/>
    </row>
    <row r="2015" spans="4:78" x14ac:dyDescent="0.3">
      <c r="D2015" s="153"/>
      <c r="E2015" s="6"/>
      <c r="G2015" s="6"/>
      <c r="J2015" s="6"/>
      <c r="N2015" s="154"/>
      <c r="O2015" s="6"/>
      <c r="S2015" s="6"/>
      <c r="V2015" s="6"/>
      <c r="X2015" s="6"/>
      <c r="Z2015" s="110"/>
      <c r="AB2015" s="6"/>
      <c r="AD2015" s="6"/>
      <c r="AE2015" s="6"/>
      <c r="AF2015" s="126"/>
      <c r="AJ2015" s="6"/>
      <c r="AL2015" s="110"/>
      <c r="AM2015" s="110"/>
      <c r="AN2015" s="110"/>
      <c r="AP2015" s="6"/>
      <c r="AW2015" s="6"/>
      <c r="AX2015" s="6"/>
      <c r="AZ2015" s="110"/>
      <c r="BB2015" s="6"/>
      <c r="BD2015" s="6"/>
      <c r="BE2015" s="6"/>
      <c r="BV2015" s="17"/>
      <c r="BX2015" s="17"/>
      <c r="BZ2015" s="17"/>
    </row>
    <row r="2016" spans="4:78" x14ac:dyDescent="0.3">
      <c r="D2016" s="153"/>
      <c r="E2016" s="6"/>
      <c r="G2016" s="6"/>
      <c r="J2016" s="6"/>
      <c r="N2016" s="154"/>
      <c r="O2016" s="6"/>
      <c r="S2016" s="6"/>
      <c r="V2016" s="6"/>
      <c r="X2016" s="6"/>
      <c r="Z2016" s="110"/>
      <c r="AB2016" s="6"/>
      <c r="AD2016" s="6"/>
      <c r="AE2016" s="6"/>
      <c r="AF2016" s="126"/>
      <c r="AJ2016" s="6"/>
      <c r="AL2016" s="110"/>
      <c r="AM2016" s="110"/>
      <c r="AN2016" s="110"/>
      <c r="AP2016" s="6"/>
      <c r="AW2016" s="6"/>
      <c r="AX2016" s="6"/>
      <c r="AZ2016" s="110"/>
      <c r="BB2016" s="6"/>
      <c r="BD2016" s="6"/>
      <c r="BE2016" s="6"/>
      <c r="BV2016" s="17"/>
      <c r="BX2016" s="17"/>
      <c r="BZ2016" s="17"/>
    </row>
    <row r="2017" spans="4:78" x14ac:dyDescent="0.3">
      <c r="D2017" s="153"/>
      <c r="E2017" s="6"/>
      <c r="G2017" s="6"/>
      <c r="J2017" s="6"/>
      <c r="N2017" s="154"/>
      <c r="O2017" s="6"/>
      <c r="S2017" s="6"/>
      <c r="V2017" s="6"/>
      <c r="X2017" s="6"/>
      <c r="Z2017" s="110"/>
      <c r="AB2017" s="6"/>
      <c r="AD2017" s="6"/>
      <c r="AE2017" s="6"/>
      <c r="AF2017" s="126"/>
      <c r="AJ2017" s="6"/>
      <c r="AL2017" s="110"/>
      <c r="AM2017" s="110"/>
      <c r="AN2017" s="110"/>
      <c r="AP2017" s="6"/>
      <c r="AW2017" s="6"/>
      <c r="AX2017" s="6"/>
      <c r="AZ2017" s="110"/>
      <c r="BB2017" s="6"/>
      <c r="BD2017" s="6"/>
      <c r="BE2017" s="6"/>
      <c r="BV2017" s="17"/>
      <c r="BX2017" s="17"/>
      <c r="BZ2017" s="17"/>
    </row>
    <row r="2018" spans="4:78" x14ac:dyDescent="0.3">
      <c r="D2018" s="153"/>
      <c r="E2018" s="6"/>
      <c r="G2018" s="6"/>
      <c r="J2018" s="6"/>
      <c r="N2018" s="154"/>
      <c r="O2018" s="6"/>
      <c r="S2018" s="6"/>
      <c r="V2018" s="6"/>
      <c r="X2018" s="6"/>
      <c r="Z2018" s="110"/>
      <c r="AB2018" s="6"/>
      <c r="AD2018" s="6"/>
      <c r="AE2018" s="6"/>
      <c r="AF2018" s="126"/>
      <c r="AJ2018" s="6"/>
      <c r="AL2018" s="110"/>
      <c r="AM2018" s="110"/>
      <c r="AN2018" s="110"/>
      <c r="AP2018" s="6"/>
      <c r="AW2018" s="6"/>
      <c r="AX2018" s="6"/>
      <c r="AZ2018" s="110"/>
      <c r="BB2018" s="6"/>
      <c r="BD2018" s="6"/>
      <c r="BE2018" s="6"/>
      <c r="BV2018" s="17"/>
      <c r="BX2018" s="17"/>
      <c r="BZ2018" s="17"/>
    </row>
    <row r="2019" spans="4:78" x14ac:dyDescent="0.3">
      <c r="D2019" s="153"/>
      <c r="E2019" s="6"/>
      <c r="G2019" s="6"/>
      <c r="J2019" s="6"/>
      <c r="N2019" s="154"/>
      <c r="O2019" s="6"/>
      <c r="S2019" s="6"/>
      <c r="V2019" s="6"/>
      <c r="X2019" s="6"/>
      <c r="Z2019" s="110"/>
      <c r="AB2019" s="6"/>
      <c r="AD2019" s="6"/>
      <c r="AE2019" s="6"/>
      <c r="AF2019" s="126"/>
      <c r="AJ2019" s="6"/>
      <c r="AL2019" s="110"/>
      <c r="AM2019" s="110"/>
      <c r="AN2019" s="110"/>
      <c r="AP2019" s="6"/>
      <c r="AW2019" s="6"/>
      <c r="AX2019" s="6"/>
      <c r="AZ2019" s="110"/>
      <c r="BB2019" s="6"/>
      <c r="BD2019" s="6"/>
      <c r="BE2019" s="6"/>
      <c r="BV2019" s="17"/>
      <c r="BX2019" s="17"/>
      <c r="BZ2019" s="17"/>
    </row>
    <row r="2020" spans="4:78" x14ac:dyDescent="0.3">
      <c r="D2020" s="153"/>
      <c r="E2020" s="6"/>
      <c r="G2020" s="6"/>
      <c r="J2020" s="6"/>
      <c r="N2020" s="154"/>
      <c r="O2020" s="6"/>
      <c r="S2020" s="6"/>
      <c r="V2020" s="6"/>
      <c r="X2020" s="6"/>
      <c r="Z2020" s="110"/>
      <c r="AB2020" s="6"/>
      <c r="AD2020" s="6"/>
      <c r="AE2020" s="6"/>
      <c r="AF2020" s="126"/>
      <c r="AJ2020" s="6"/>
      <c r="AL2020" s="110"/>
      <c r="AM2020" s="110"/>
      <c r="AN2020" s="110"/>
      <c r="AP2020" s="6"/>
      <c r="AW2020" s="6"/>
      <c r="AX2020" s="6"/>
      <c r="AZ2020" s="110"/>
      <c r="BB2020" s="6"/>
      <c r="BD2020" s="6"/>
      <c r="BE2020" s="6"/>
      <c r="BV2020" s="17"/>
      <c r="BX2020" s="17"/>
      <c r="BZ2020" s="17"/>
    </row>
    <row r="2021" spans="4:78" x14ac:dyDescent="0.3">
      <c r="D2021" s="153"/>
      <c r="E2021" s="6"/>
      <c r="G2021" s="6"/>
      <c r="J2021" s="6"/>
      <c r="N2021" s="154"/>
      <c r="O2021" s="6"/>
      <c r="S2021" s="6"/>
      <c r="V2021" s="6"/>
      <c r="X2021" s="6"/>
      <c r="Z2021" s="110"/>
      <c r="AB2021" s="6"/>
      <c r="AD2021" s="6"/>
      <c r="AE2021" s="6"/>
      <c r="AF2021" s="126"/>
      <c r="AJ2021" s="6"/>
      <c r="AL2021" s="110"/>
      <c r="AM2021" s="110"/>
      <c r="AN2021" s="110"/>
      <c r="AP2021" s="6"/>
      <c r="AW2021" s="6"/>
      <c r="AX2021" s="6"/>
      <c r="AZ2021" s="110"/>
      <c r="BB2021" s="6"/>
      <c r="BD2021" s="6"/>
      <c r="BE2021" s="6"/>
      <c r="BV2021" s="17"/>
      <c r="BX2021" s="17"/>
      <c r="BZ2021" s="17"/>
    </row>
    <row r="2022" spans="4:78" x14ac:dyDescent="0.3">
      <c r="D2022" s="153"/>
      <c r="E2022" s="6"/>
      <c r="G2022" s="6"/>
      <c r="J2022" s="6"/>
      <c r="N2022" s="154"/>
      <c r="O2022" s="6"/>
      <c r="S2022" s="6"/>
      <c r="V2022" s="6"/>
      <c r="X2022" s="6"/>
      <c r="Z2022" s="110"/>
      <c r="AB2022" s="6"/>
      <c r="AD2022" s="6"/>
      <c r="AE2022" s="6"/>
      <c r="AF2022" s="126"/>
      <c r="AJ2022" s="6"/>
      <c r="AL2022" s="110"/>
      <c r="AM2022" s="110"/>
      <c r="AN2022" s="110"/>
      <c r="AP2022" s="6"/>
      <c r="AW2022" s="6"/>
      <c r="AX2022" s="6"/>
      <c r="AZ2022" s="110"/>
      <c r="BB2022" s="6"/>
      <c r="BD2022" s="6"/>
      <c r="BE2022" s="6"/>
      <c r="BV2022" s="17"/>
      <c r="BX2022" s="17"/>
      <c r="BZ2022" s="17"/>
    </row>
    <row r="2023" spans="4:78" x14ac:dyDescent="0.3">
      <c r="D2023" s="153"/>
      <c r="E2023" s="6"/>
      <c r="G2023" s="6"/>
      <c r="J2023" s="6"/>
      <c r="N2023" s="154"/>
      <c r="O2023" s="6"/>
      <c r="S2023" s="6"/>
      <c r="V2023" s="6"/>
      <c r="X2023" s="6"/>
      <c r="Z2023" s="110"/>
      <c r="AB2023" s="6"/>
      <c r="AD2023" s="6"/>
      <c r="AE2023" s="6"/>
      <c r="AF2023" s="126"/>
      <c r="AJ2023" s="6"/>
      <c r="AL2023" s="110"/>
      <c r="AM2023" s="110"/>
      <c r="AN2023" s="110"/>
      <c r="AP2023" s="6"/>
      <c r="AW2023" s="6"/>
      <c r="AX2023" s="6"/>
      <c r="AZ2023" s="110"/>
      <c r="BB2023" s="6"/>
      <c r="BD2023" s="6"/>
      <c r="BE2023" s="6"/>
      <c r="BV2023" s="17"/>
      <c r="BX2023" s="17"/>
      <c r="BZ2023" s="17"/>
    </row>
    <row r="2024" spans="4:78" x14ac:dyDescent="0.3">
      <c r="D2024" s="153"/>
      <c r="E2024" s="6"/>
      <c r="G2024" s="6"/>
      <c r="J2024" s="6"/>
      <c r="N2024" s="154"/>
      <c r="O2024" s="6"/>
      <c r="S2024" s="6"/>
      <c r="V2024" s="6"/>
      <c r="X2024" s="6"/>
      <c r="Z2024" s="110"/>
      <c r="AB2024" s="6"/>
      <c r="AD2024" s="6"/>
      <c r="AE2024" s="6"/>
      <c r="AF2024" s="126"/>
      <c r="AJ2024" s="6"/>
      <c r="AL2024" s="110"/>
      <c r="AM2024" s="110"/>
      <c r="AN2024" s="110"/>
      <c r="AP2024" s="6"/>
      <c r="AW2024" s="6"/>
      <c r="AX2024" s="6"/>
      <c r="AZ2024" s="110"/>
      <c r="BB2024" s="6"/>
      <c r="BD2024" s="6"/>
      <c r="BE2024" s="6"/>
      <c r="BV2024" s="17"/>
      <c r="BX2024" s="17"/>
      <c r="BZ2024" s="17"/>
    </row>
    <row r="2025" spans="4:78" x14ac:dyDescent="0.3">
      <c r="D2025" s="153"/>
      <c r="E2025" s="6"/>
      <c r="G2025" s="6"/>
      <c r="J2025" s="6"/>
      <c r="N2025" s="154"/>
      <c r="O2025" s="6"/>
      <c r="S2025" s="6"/>
      <c r="V2025" s="6"/>
      <c r="X2025" s="6"/>
      <c r="Z2025" s="110"/>
      <c r="AB2025" s="6"/>
      <c r="AD2025" s="6"/>
      <c r="AE2025" s="6"/>
      <c r="AF2025" s="126"/>
      <c r="AJ2025" s="6"/>
      <c r="AL2025" s="110"/>
      <c r="AM2025" s="110"/>
      <c r="AN2025" s="110"/>
      <c r="AP2025" s="6"/>
      <c r="AW2025" s="6"/>
      <c r="AX2025" s="6"/>
      <c r="AZ2025" s="110"/>
      <c r="BB2025" s="6"/>
      <c r="BD2025" s="6"/>
      <c r="BE2025" s="6"/>
      <c r="BV2025" s="17"/>
      <c r="BX2025" s="17"/>
      <c r="BZ2025" s="17"/>
    </row>
    <row r="2026" spans="4:78" x14ac:dyDescent="0.3">
      <c r="D2026" s="153"/>
      <c r="E2026" s="6"/>
      <c r="G2026" s="6"/>
      <c r="J2026" s="6"/>
      <c r="N2026" s="154"/>
      <c r="O2026" s="6"/>
      <c r="S2026" s="6"/>
      <c r="V2026" s="6"/>
      <c r="X2026" s="6"/>
      <c r="Z2026" s="110"/>
      <c r="AB2026" s="6"/>
      <c r="AD2026" s="6"/>
      <c r="AE2026" s="6"/>
      <c r="AF2026" s="126"/>
      <c r="AJ2026" s="6"/>
      <c r="AL2026" s="110"/>
      <c r="AM2026" s="110"/>
      <c r="AN2026" s="110"/>
      <c r="AP2026" s="6"/>
      <c r="AW2026" s="6"/>
      <c r="AX2026" s="6"/>
      <c r="AZ2026" s="110"/>
      <c r="BB2026" s="6"/>
      <c r="BD2026" s="6"/>
      <c r="BE2026" s="6"/>
      <c r="BV2026" s="17"/>
      <c r="BX2026" s="17"/>
      <c r="BZ2026" s="17"/>
    </row>
    <row r="2027" spans="4:78" x14ac:dyDescent="0.3">
      <c r="D2027" s="153"/>
      <c r="E2027" s="6"/>
      <c r="G2027" s="6"/>
      <c r="J2027" s="6"/>
      <c r="N2027" s="154"/>
      <c r="O2027" s="6"/>
      <c r="S2027" s="6"/>
      <c r="V2027" s="6"/>
      <c r="X2027" s="6"/>
      <c r="Z2027" s="110"/>
      <c r="AB2027" s="6"/>
      <c r="AD2027" s="6"/>
      <c r="AE2027" s="6"/>
      <c r="AF2027" s="126"/>
      <c r="AJ2027" s="6"/>
      <c r="AL2027" s="110"/>
      <c r="AM2027" s="110"/>
      <c r="AN2027" s="110"/>
      <c r="AP2027" s="6"/>
      <c r="AW2027" s="6"/>
      <c r="AX2027" s="6"/>
      <c r="AZ2027" s="110"/>
      <c r="BB2027" s="6"/>
      <c r="BD2027" s="6"/>
      <c r="BE2027" s="6"/>
      <c r="BV2027" s="17"/>
      <c r="BX2027" s="17"/>
      <c r="BZ2027" s="17"/>
    </row>
    <row r="2028" spans="4:78" x14ac:dyDescent="0.3">
      <c r="D2028" s="153"/>
      <c r="E2028" s="6"/>
      <c r="G2028" s="6"/>
      <c r="J2028" s="6"/>
      <c r="N2028" s="154"/>
      <c r="O2028" s="6"/>
      <c r="S2028" s="6"/>
      <c r="V2028" s="6"/>
      <c r="X2028" s="6"/>
      <c r="Z2028" s="110"/>
      <c r="AB2028" s="6"/>
      <c r="AD2028" s="6"/>
      <c r="AE2028" s="6"/>
      <c r="AF2028" s="126"/>
      <c r="AJ2028" s="6"/>
      <c r="AL2028" s="110"/>
      <c r="AM2028" s="110"/>
      <c r="AN2028" s="110"/>
      <c r="AP2028" s="6"/>
      <c r="AW2028" s="6"/>
      <c r="AX2028" s="6"/>
      <c r="AZ2028" s="110"/>
      <c r="BB2028" s="6"/>
      <c r="BD2028" s="6"/>
      <c r="BE2028" s="6"/>
      <c r="BV2028" s="17"/>
      <c r="BX2028" s="17"/>
      <c r="BZ2028" s="17"/>
    </row>
    <row r="2029" spans="4:78" x14ac:dyDescent="0.3">
      <c r="D2029" s="153"/>
      <c r="E2029" s="6"/>
      <c r="G2029" s="6"/>
      <c r="J2029" s="6"/>
      <c r="N2029" s="154"/>
      <c r="O2029" s="6"/>
      <c r="S2029" s="6"/>
      <c r="V2029" s="6"/>
      <c r="X2029" s="6"/>
      <c r="Z2029" s="110"/>
      <c r="AB2029" s="6"/>
      <c r="AD2029" s="6"/>
      <c r="AE2029" s="6"/>
      <c r="AF2029" s="126"/>
      <c r="AJ2029" s="6"/>
      <c r="AL2029" s="110"/>
      <c r="AM2029" s="110"/>
      <c r="AN2029" s="110"/>
      <c r="AP2029" s="6"/>
      <c r="AW2029" s="6"/>
      <c r="AX2029" s="6"/>
      <c r="AZ2029" s="110"/>
      <c r="BB2029" s="6"/>
      <c r="BD2029" s="6"/>
      <c r="BE2029" s="6"/>
      <c r="BV2029" s="17"/>
      <c r="BX2029" s="17"/>
      <c r="BZ2029" s="17"/>
    </row>
    <row r="2030" spans="4:78" x14ac:dyDescent="0.3">
      <c r="D2030" s="153"/>
      <c r="E2030" s="6"/>
      <c r="G2030" s="6"/>
      <c r="J2030" s="6"/>
      <c r="N2030" s="154"/>
      <c r="O2030" s="6"/>
      <c r="S2030" s="6"/>
      <c r="V2030" s="6"/>
      <c r="X2030" s="6"/>
      <c r="Z2030" s="110"/>
      <c r="AB2030" s="6"/>
      <c r="AD2030" s="6"/>
      <c r="AE2030" s="6"/>
      <c r="AF2030" s="126"/>
      <c r="AJ2030" s="6"/>
      <c r="AL2030" s="110"/>
      <c r="AM2030" s="110"/>
      <c r="AN2030" s="110"/>
      <c r="AP2030" s="6"/>
      <c r="AW2030" s="6"/>
      <c r="AX2030" s="6"/>
      <c r="AZ2030" s="110"/>
      <c r="BB2030" s="6"/>
      <c r="BD2030" s="6"/>
      <c r="BE2030" s="6"/>
      <c r="BV2030" s="17"/>
      <c r="BX2030" s="17"/>
      <c r="BZ2030" s="17"/>
    </row>
    <row r="2031" spans="4:78" x14ac:dyDescent="0.3">
      <c r="D2031" s="153"/>
      <c r="E2031" s="6"/>
      <c r="G2031" s="6"/>
      <c r="J2031" s="6"/>
      <c r="N2031" s="154"/>
      <c r="O2031" s="6"/>
      <c r="S2031" s="6"/>
      <c r="V2031" s="6"/>
      <c r="X2031" s="6"/>
      <c r="Z2031" s="110"/>
      <c r="AB2031" s="6"/>
      <c r="AD2031" s="6"/>
      <c r="AE2031" s="6"/>
      <c r="AF2031" s="126"/>
      <c r="AJ2031" s="6"/>
      <c r="AL2031" s="110"/>
      <c r="AM2031" s="110"/>
      <c r="AN2031" s="110"/>
      <c r="AP2031" s="6"/>
      <c r="AW2031" s="6"/>
      <c r="AX2031" s="6"/>
      <c r="AZ2031" s="110"/>
      <c r="BB2031" s="6"/>
      <c r="BD2031" s="6"/>
      <c r="BE2031" s="6"/>
      <c r="BV2031" s="17"/>
      <c r="BX2031" s="17"/>
      <c r="BZ2031" s="17"/>
    </row>
    <row r="2032" spans="4:78" x14ac:dyDescent="0.3">
      <c r="D2032" s="153"/>
      <c r="E2032" s="6"/>
      <c r="G2032" s="6"/>
      <c r="J2032" s="6"/>
      <c r="N2032" s="154"/>
      <c r="O2032" s="6"/>
      <c r="S2032" s="6"/>
      <c r="V2032" s="6"/>
      <c r="X2032" s="6"/>
      <c r="Z2032" s="110"/>
      <c r="AB2032" s="6"/>
      <c r="AD2032" s="6"/>
      <c r="AE2032" s="6"/>
      <c r="AF2032" s="126"/>
      <c r="AJ2032" s="6"/>
      <c r="AL2032" s="110"/>
      <c r="AM2032" s="110"/>
      <c r="AN2032" s="110"/>
      <c r="AP2032" s="6"/>
      <c r="AW2032" s="6"/>
      <c r="AX2032" s="6"/>
      <c r="AZ2032" s="110"/>
      <c r="BB2032" s="6"/>
      <c r="BD2032" s="6"/>
      <c r="BE2032" s="6"/>
      <c r="BV2032" s="17"/>
      <c r="BX2032" s="17"/>
      <c r="BZ2032" s="17"/>
    </row>
    <row r="2033" spans="4:78" x14ac:dyDescent="0.3">
      <c r="D2033" s="153"/>
      <c r="E2033" s="6"/>
      <c r="G2033" s="6"/>
      <c r="J2033" s="6"/>
      <c r="N2033" s="154"/>
      <c r="O2033" s="6"/>
      <c r="S2033" s="6"/>
      <c r="V2033" s="6"/>
      <c r="X2033" s="6"/>
      <c r="Z2033" s="110"/>
      <c r="AB2033" s="6"/>
      <c r="AD2033" s="6"/>
      <c r="AE2033" s="6"/>
      <c r="AF2033" s="126"/>
      <c r="AJ2033" s="6"/>
      <c r="AL2033" s="110"/>
      <c r="AM2033" s="110"/>
      <c r="AN2033" s="110"/>
      <c r="AP2033" s="6"/>
      <c r="AW2033" s="6"/>
      <c r="AX2033" s="6"/>
      <c r="AZ2033" s="110"/>
      <c r="BB2033" s="6"/>
      <c r="BD2033" s="6"/>
      <c r="BE2033" s="6"/>
      <c r="BV2033" s="17"/>
      <c r="BX2033" s="17"/>
      <c r="BZ2033" s="17"/>
    </row>
    <row r="2034" spans="4:78" x14ac:dyDescent="0.3">
      <c r="D2034" s="153"/>
      <c r="E2034" s="6"/>
      <c r="G2034" s="6"/>
      <c r="J2034" s="6"/>
      <c r="N2034" s="154"/>
      <c r="O2034" s="6"/>
      <c r="S2034" s="6"/>
      <c r="V2034" s="6"/>
      <c r="X2034" s="6"/>
      <c r="Z2034" s="110"/>
      <c r="AB2034" s="6"/>
      <c r="AD2034" s="6"/>
      <c r="AE2034" s="6"/>
      <c r="AF2034" s="126"/>
      <c r="AJ2034" s="6"/>
      <c r="AL2034" s="110"/>
      <c r="AM2034" s="110"/>
      <c r="AN2034" s="110"/>
      <c r="AP2034" s="6"/>
      <c r="AW2034" s="6"/>
      <c r="AX2034" s="6"/>
      <c r="AZ2034" s="110"/>
      <c r="BB2034" s="6"/>
      <c r="BD2034" s="6"/>
      <c r="BE2034" s="6"/>
      <c r="BV2034" s="17"/>
      <c r="BX2034" s="17"/>
      <c r="BZ2034" s="17"/>
    </row>
    <row r="2035" spans="4:78" x14ac:dyDescent="0.3">
      <c r="D2035" s="153"/>
      <c r="E2035" s="6"/>
      <c r="G2035" s="6"/>
      <c r="J2035" s="6"/>
      <c r="N2035" s="154"/>
      <c r="O2035" s="6"/>
      <c r="S2035" s="6"/>
      <c r="V2035" s="6"/>
      <c r="X2035" s="6"/>
      <c r="Z2035" s="110"/>
      <c r="AB2035" s="6"/>
      <c r="AD2035" s="6"/>
      <c r="AE2035" s="6"/>
      <c r="AF2035" s="126"/>
      <c r="AJ2035" s="6"/>
      <c r="AL2035" s="110"/>
      <c r="AM2035" s="110"/>
      <c r="AN2035" s="110"/>
      <c r="AP2035" s="6"/>
      <c r="AW2035" s="6"/>
      <c r="AX2035" s="6"/>
      <c r="AZ2035" s="110"/>
      <c r="BB2035" s="6"/>
      <c r="BD2035" s="6"/>
      <c r="BE2035" s="6"/>
      <c r="BV2035" s="17"/>
      <c r="BX2035" s="17"/>
      <c r="BZ2035" s="17"/>
    </row>
    <row r="2036" spans="4:78" x14ac:dyDescent="0.3">
      <c r="D2036" s="153"/>
      <c r="E2036" s="6"/>
      <c r="G2036" s="6"/>
      <c r="J2036" s="6"/>
      <c r="N2036" s="154"/>
      <c r="O2036" s="6"/>
      <c r="S2036" s="6"/>
      <c r="V2036" s="6"/>
      <c r="X2036" s="6"/>
      <c r="Z2036" s="110"/>
      <c r="AB2036" s="6"/>
      <c r="AD2036" s="6"/>
      <c r="AE2036" s="6"/>
      <c r="AF2036" s="126"/>
      <c r="AJ2036" s="6"/>
      <c r="AL2036" s="110"/>
      <c r="AM2036" s="110"/>
      <c r="AN2036" s="110"/>
      <c r="AP2036" s="6"/>
      <c r="AW2036" s="6"/>
      <c r="AX2036" s="6"/>
      <c r="AZ2036" s="110"/>
      <c r="BB2036" s="6"/>
      <c r="BD2036" s="6"/>
      <c r="BE2036" s="6"/>
      <c r="BV2036" s="17"/>
      <c r="BX2036" s="17"/>
      <c r="BZ2036" s="17"/>
    </row>
    <row r="2037" spans="4:78" x14ac:dyDescent="0.3">
      <c r="D2037" s="153"/>
      <c r="E2037" s="6"/>
      <c r="G2037" s="6"/>
      <c r="J2037" s="6"/>
      <c r="N2037" s="154"/>
      <c r="O2037" s="6"/>
      <c r="S2037" s="6"/>
      <c r="V2037" s="6"/>
      <c r="X2037" s="6"/>
      <c r="Z2037" s="110"/>
      <c r="AB2037" s="6"/>
      <c r="AD2037" s="6"/>
      <c r="AE2037" s="6"/>
      <c r="AF2037" s="126"/>
      <c r="AJ2037" s="6"/>
      <c r="AL2037" s="110"/>
      <c r="AM2037" s="110"/>
      <c r="AN2037" s="110"/>
      <c r="AP2037" s="6"/>
      <c r="AW2037" s="6"/>
      <c r="AX2037" s="6"/>
      <c r="AZ2037" s="110"/>
      <c r="BB2037" s="6"/>
      <c r="BD2037" s="6"/>
      <c r="BE2037" s="6"/>
      <c r="BV2037" s="17"/>
      <c r="BX2037" s="17"/>
      <c r="BZ2037" s="17"/>
    </row>
    <row r="2038" spans="4:78" x14ac:dyDescent="0.3">
      <c r="D2038" s="153"/>
      <c r="E2038" s="6"/>
      <c r="G2038" s="6"/>
      <c r="J2038" s="6"/>
      <c r="N2038" s="154"/>
      <c r="O2038" s="6"/>
      <c r="S2038" s="6"/>
      <c r="V2038" s="6"/>
      <c r="X2038" s="6"/>
      <c r="Z2038" s="110"/>
      <c r="AB2038" s="6"/>
      <c r="AD2038" s="6"/>
      <c r="AE2038" s="6"/>
      <c r="AF2038" s="126"/>
      <c r="AJ2038" s="6"/>
      <c r="AL2038" s="110"/>
      <c r="AM2038" s="110"/>
      <c r="AN2038" s="110"/>
      <c r="AP2038" s="6"/>
      <c r="AW2038" s="6"/>
      <c r="AX2038" s="6"/>
      <c r="AZ2038" s="110"/>
      <c r="BB2038" s="6"/>
      <c r="BD2038" s="6"/>
      <c r="BE2038" s="6"/>
      <c r="BV2038" s="17"/>
      <c r="BX2038" s="17"/>
      <c r="BZ2038" s="17"/>
    </row>
    <row r="2039" spans="4:78" x14ac:dyDescent="0.3">
      <c r="D2039" s="153"/>
      <c r="E2039" s="6"/>
      <c r="G2039" s="6"/>
      <c r="J2039" s="6"/>
      <c r="N2039" s="154"/>
      <c r="O2039" s="6"/>
      <c r="S2039" s="6"/>
      <c r="V2039" s="6"/>
      <c r="X2039" s="6"/>
      <c r="Z2039" s="110"/>
      <c r="AB2039" s="6"/>
      <c r="AD2039" s="6"/>
      <c r="AE2039" s="6"/>
      <c r="AF2039" s="126"/>
      <c r="AJ2039" s="6"/>
      <c r="AL2039" s="110"/>
      <c r="AM2039" s="110"/>
      <c r="AN2039" s="110"/>
      <c r="AP2039" s="6"/>
      <c r="AW2039" s="6"/>
      <c r="AX2039" s="6"/>
      <c r="AZ2039" s="110"/>
      <c r="BB2039" s="6"/>
      <c r="BD2039" s="6"/>
      <c r="BE2039" s="6"/>
      <c r="BV2039" s="17"/>
      <c r="BX2039" s="17"/>
      <c r="BZ2039" s="17"/>
    </row>
    <row r="2040" spans="4:78" x14ac:dyDescent="0.3">
      <c r="D2040" s="153"/>
      <c r="E2040" s="6"/>
      <c r="G2040" s="6"/>
      <c r="J2040" s="6"/>
      <c r="N2040" s="154"/>
      <c r="O2040" s="6"/>
      <c r="S2040" s="6"/>
      <c r="V2040" s="6"/>
      <c r="X2040" s="6"/>
      <c r="Z2040" s="110"/>
      <c r="AB2040" s="6"/>
      <c r="AD2040" s="6"/>
      <c r="AE2040" s="6"/>
      <c r="AF2040" s="126"/>
      <c r="AJ2040" s="6"/>
      <c r="AL2040" s="110"/>
      <c r="AM2040" s="110"/>
      <c r="AN2040" s="110"/>
      <c r="AP2040" s="6"/>
      <c r="AW2040" s="6"/>
      <c r="AX2040" s="6"/>
      <c r="AZ2040" s="110"/>
      <c r="BB2040" s="6"/>
      <c r="BD2040" s="6"/>
      <c r="BE2040" s="6"/>
      <c r="BV2040" s="17"/>
      <c r="BX2040" s="17"/>
      <c r="BZ2040" s="17"/>
    </row>
    <row r="2041" spans="4:78" x14ac:dyDescent="0.3">
      <c r="D2041" s="153"/>
      <c r="E2041" s="6"/>
      <c r="G2041" s="6"/>
      <c r="J2041" s="6"/>
      <c r="N2041" s="154"/>
      <c r="O2041" s="6"/>
      <c r="S2041" s="6"/>
      <c r="V2041" s="6"/>
      <c r="X2041" s="6"/>
      <c r="Z2041" s="110"/>
      <c r="AB2041" s="6"/>
      <c r="AD2041" s="6"/>
      <c r="AE2041" s="6"/>
      <c r="AF2041" s="126"/>
      <c r="AJ2041" s="6"/>
      <c r="AL2041" s="110"/>
      <c r="AM2041" s="110"/>
      <c r="AN2041" s="110"/>
      <c r="AP2041" s="6"/>
      <c r="AW2041" s="6"/>
      <c r="AX2041" s="6"/>
      <c r="AZ2041" s="110"/>
      <c r="BB2041" s="6"/>
      <c r="BD2041" s="6"/>
      <c r="BE2041" s="6"/>
      <c r="BV2041" s="17"/>
      <c r="BX2041" s="17"/>
      <c r="BZ2041" s="17"/>
    </row>
    <row r="2042" spans="4:78" x14ac:dyDescent="0.3">
      <c r="D2042" s="153"/>
      <c r="E2042" s="6"/>
      <c r="G2042" s="6"/>
      <c r="J2042" s="6"/>
      <c r="N2042" s="154"/>
      <c r="O2042" s="6"/>
      <c r="S2042" s="6"/>
      <c r="V2042" s="6"/>
      <c r="X2042" s="6"/>
      <c r="Z2042" s="110"/>
      <c r="AB2042" s="6"/>
      <c r="AD2042" s="6"/>
      <c r="AE2042" s="6"/>
      <c r="AF2042" s="126"/>
      <c r="AJ2042" s="6"/>
      <c r="AL2042" s="110"/>
      <c r="AM2042" s="110"/>
      <c r="AN2042" s="110"/>
      <c r="AP2042" s="6"/>
      <c r="AW2042" s="6"/>
      <c r="AX2042" s="6"/>
      <c r="AZ2042" s="110"/>
      <c r="BB2042" s="6"/>
      <c r="BD2042" s="6"/>
      <c r="BE2042" s="6"/>
      <c r="BV2042" s="17"/>
      <c r="BX2042" s="17"/>
      <c r="BZ2042" s="17"/>
    </row>
    <row r="2043" spans="4:78" x14ac:dyDescent="0.3">
      <c r="D2043" s="153"/>
      <c r="E2043" s="6"/>
      <c r="G2043" s="6"/>
      <c r="J2043" s="6"/>
      <c r="N2043" s="154"/>
      <c r="O2043" s="6"/>
      <c r="S2043" s="6"/>
      <c r="V2043" s="6"/>
      <c r="X2043" s="6"/>
      <c r="Z2043" s="110"/>
      <c r="AB2043" s="6"/>
      <c r="AD2043" s="6"/>
      <c r="AE2043" s="6"/>
      <c r="AF2043" s="126"/>
      <c r="AJ2043" s="6"/>
      <c r="AL2043" s="110"/>
      <c r="AM2043" s="110"/>
      <c r="AN2043" s="110"/>
      <c r="AP2043" s="6"/>
      <c r="AW2043" s="6"/>
      <c r="AX2043" s="6"/>
      <c r="AZ2043" s="110"/>
      <c r="BB2043" s="6"/>
      <c r="BD2043" s="6"/>
      <c r="BE2043" s="6"/>
      <c r="BV2043" s="17"/>
      <c r="BX2043" s="17"/>
      <c r="BZ2043" s="17"/>
    </row>
    <row r="2044" spans="4:78" x14ac:dyDescent="0.3">
      <c r="D2044" s="153"/>
      <c r="E2044" s="6"/>
      <c r="G2044" s="6"/>
      <c r="J2044" s="6"/>
      <c r="N2044" s="154"/>
      <c r="O2044" s="6"/>
      <c r="S2044" s="6"/>
      <c r="V2044" s="6"/>
      <c r="X2044" s="6"/>
      <c r="Z2044" s="110"/>
      <c r="AB2044" s="6"/>
      <c r="AD2044" s="6"/>
      <c r="AE2044" s="6"/>
      <c r="AF2044" s="126"/>
      <c r="AJ2044" s="6"/>
      <c r="AL2044" s="110"/>
      <c r="AM2044" s="110"/>
      <c r="AN2044" s="110"/>
      <c r="AP2044" s="6"/>
      <c r="AW2044" s="6"/>
      <c r="AX2044" s="6"/>
      <c r="AZ2044" s="110"/>
      <c r="BB2044" s="6"/>
      <c r="BD2044" s="6"/>
      <c r="BE2044" s="6"/>
      <c r="BV2044" s="17"/>
      <c r="BX2044" s="17"/>
      <c r="BZ2044" s="17"/>
    </row>
    <row r="2045" spans="4:78" x14ac:dyDescent="0.3">
      <c r="D2045" s="153"/>
      <c r="E2045" s="6"/>
      <c r="G2045" s="6"/>
      <c r="J2045" s="6"/>
      <c r="N2045" s="154"/>
      <c r="O2045" s="6"/>
      <c r="S2045" s="6"/>
      <c r="V2045" s="6"/>
      <c r="X2045" s="6"/>
      <c r="Z2045" s="110"/>
      <c r="AB2045" s="6"/>
      <c r="AD2045" s="6"/>
      <c r="AE2045" s="6"/>
      <c r="AF2045" s="126"/>
      <c r="AJ2045" s="6"/>
      <c r="AL2045" s="110"/>
      <c r="AM2045" s="110"/>
      <c r="AN2045" s="110"/>
      <c r="AP2045" s="6"/>
      <c r="AW2045" s="6"/>
      <c r="AX2045" s="6"/>
      <c r="AZ2045" s="110"/>
      <c r="BB2045" s="6"/>
      <c r="BD2045" s="6"/>
      <c r="BE2045" s="6"/>
      <c r="BV2045" s="17"/>
      <c r="BX2045" s="17"/>
      <c r="BZ2045" s="17"/>
    </row>
    <row r="2046" spans="4:78" x14ac:dyDescent="0.3">
      <c r="D2046" s="153"/>
      <c r="E2046" s="6"/>
      <c r="G2046" s="6"/>
      <c r="J2046" s="6"/>
      <c r="N2046" s="154"/>
      <c r="O2046" s="6"/>
      <c r="S2046" s="6"/>
      <c r="V2046" s="6"/>
      <c r="X2046" s="6"/>
      <c r="Z2046" s="110"/>
      <c r="AB2046" s="6"/>
      <c r="AD2046" s="6"/>
      <c r="AE2046" s="6"/>
      <c r="AF2046" s="126"/>
      <c r="AJ2046" s="6"/>
      <c r="AL2046" s="110"/>
      <c r="AM2046" s="110"/>
      <c r="AN2046" s="110"/>
      <c r="AP2046" s="6"/>
      <c r="AW2046" s="6"/>
      <c r="AX2046" s="6"/>
      <c r="AZ2046" s="110"/>
      <c r="BB2046" s="6"/>
      <c r="BD2046" s="6"/>
      <c r="BE2046" s="6"/>
      <c r="BV2046" s="17"/>
      <c r="BX2046" s="17"/>
      <c r="BZ2046" s="17"/>
    </row>
    <row r="2047" spans="4:78" x14ac:dyDescent="0.3">
      <c r="D2047" s="153"/>
      <c r="E2047" s="6"/>
      <c r="G2047" s="6"/>
      <c r="J2047" s="6"/>
      <c r="N2047" s="154"/>
      <c r="O2047" s="6"/>
      <c r="S2047" s="6"/>
      <c r="V2047" s="6"/>
      <c r="X2047" s="6"/>
      <c r="Z2047" s="110"/>
      <c r="AB2047" s="6"/>
      <c r="AD2047" s="6"/>
      <c r="AE2047" s="6"/>
      <c r="AF2047" s="126"/>
      <c r="AJ2047" s="6"/>
      <c r="AL2047" s="110"/>
      <c r="AM2047" s="110"/>
      <c r="AN2047" s="110"/>
      <c r="AP2047" s="6"/>
      <c r="AW2047" s="6"/>
      <c r="AX2047" s="6"/>
      <c r="AZ2047" s="110"/>
      <c r="BB2047" s="6"/>
      <c r="BD2047" s="6"/>
      <c r="BE2047" s="6"/>
      <c r="BV2047" s="17"/>
      <c r="BX2047" s="17"/>
      <c r="BZ2047" s="17"/>
    </row>
    <row r="2048" spans="4:78" x14ac:dyDescent="0.3">
      <c r="D2048" s="153"/>
      <c r="E2048" s="6"/>
      <c r="G2048" s="6"/>
      <c r="J2048" s="6"/>
      <c r="N2048" s="154"/>
      <c r="O2048" s="6"/>
      <c r="S2048" s="6"/>
      <c r="V2048" s="6"/>
      <c r="X2048" s="6"/>
      <c r="Z2048" s="110"/>
      <c r="AB2048" s="6"/>
      <c r="AD2048" s="6"/>
      <c r="AE2048" s="6"/>
      <c r="AF2048" s="126"/>
      <c r="AJ2048" s="6"/>
      <c r="AL2048" s="110"/>
      <c r="AM2048" s="110"/>
      <c r="AN2048" s="110"/>
      <c r="AP2048" s="6"/>
      <c r="AW2048" s="6"/>
      <c r="AX2048" s="6"/>
      <c r="AZ2048" s="110"/>
      <c r="BB2048" s="6"/>
      <c r="BD2048" s="6"/>
      <c r="BE2048" s="6"/>
      <c r="BV2048" s="17"/>
      <c r="BX2048" s="17"/>
      <c r="BZ2048" s="17"/>
    </row>
    <row r="2049" spans="4:78" x14ac:dyDescent="0.3">
      <c r="D2049" s="153"/>
      <c r="E2049" s="6"/>
      <c r="G2049" s="6"/>
      <c r="J2049" s="6"/>
      <c r="N2049" s="154"/>
      <c r="O2049" s="6"/>
      <c r="S2049" s="6"/>
      <c r="V2049" s="6"/>
      <c r="X2049" s="6"/>
      <c r="Z2049" s="110"/>
      <c r="AB2049" s="6"/>
      <c r="AD2049" s="6"/>
      <c r="AE2049" s="6"/>
      <c r="AF2049" s="126"/>
      <c r="AJ2049" s="6"/>
      <c r="AL2049" s="110"/>
      <c r="AM2049" s="110"/>
      <c r="AN2049" s="110"/>
      <c r="AP2049" s="6"/>
      <c r="AW2049" s="6"/>
      <c r="AX2049" s="6"/>
      <c r="AZ2049" s="110"/>
      <c r="BB2049" s="6"/>
      <c r="BD2049" s="6"/>
      <c r="BE2049" s="6"/>
      <c r="BV2049" s="17"/>
      <c r="BX2049" s="17"/>
      <c r="BZ2049" s="17"/>
    </row>
    <row r="2050" spans="4:78" x14ac:dyDescent="0.3">
      <c r="D2050" s="153"/>
      <c r="E2050" s="6"/>
      <c r="G2050" s="6"/>
      <c r="J2050" s="6"/>
      <c r="N2050" s="154"/>
      <c r="O2050" s="6"/>
      <c r="S2050" s="6"/>
      <c r="V2050" s="6"/>
      <c r="X2050" s="6"/>
      <c r="Z2050" s="110"/>
      <c r="AB2050" s="6"/>
      <c r="AD2050" s="6"/>
      <c r="AE2050" s="6"/>
      <c r="AF2050" s="126"/>
      <c r="AJ2050" s="6"/>
      <c r="AL2050" s="110"/>
      <c r="AM2050" s="110"/>
      <c r="AN2050" s="110"/>
      <c r="AP2050" s="6"/>
      <c r="AW2050" s="6"/>
      <c r="AX2050" s="6"/>
      <c r="AZ2050" s="110"/>
      <c r="BB2050" s="6"/>
      <c r="BD2050" s="6"/>
      <c r="BE2050" s="6"/>
      <c r="BV2050" s="17"/>
      <c r="BX2050" s="17"/>
      <c r="BZ2050" s="17"/>
    </row>
    <row r="2051" spans="4:78" x14ac:dyDescent="0.3">
      <c r="D2051" s="153"/>
      <c r="E2051" s="6"/>
      <c r="G2051" s="6"/>
      <c r="J2051" s="6"/>
      <c r="N2051" s="154"/>
      <c r="O2051" s="6"/>
      <c r="S2051" s="6"/>
      <c r="V2051" s="6"/>
      <c r="X2051" s="6"/>
      <c r="Z2051" s="110"/>
      <c r="AB2051" s="6"/>
      <c r="AD2051" s="6"/>
      <c r="AE2051" s="6"/>
      <c r="AF2051" s="126"/>
      <c r="AJ2051" s="6"/>
      <c r="AL2051" s="110"/>
      <c r="AM2051" s="110"/>
      <c r="AN2051" s="110"/>
      <c r="AP2051" s="6"/>
      <c r="AW2051" s="6"/>
      <c r="AX2051" s="6"/>
      <c r="AZ2051" s="110"/>
      <c r="BB2051" s="6"/>
      <c r="BD2051" s="6"/>
      <c r="BE2051" s="6"/>
      <c r="BV2051" s="17"/>
      <c r="BX2051" s="17"/>
      <c r="BZ2051" s="17"/>
    </row>
    <row r="2052" spans="4:78" x14ac:dyDescent="0.3">
      <c r="D2052" s="153"/>
      <c r="E2052" s="6"/>
      <c r="G2052" s="6"/>
      <c r="J2052" s="6"/>
      <c r="N2052" s="154"/>
      <c r="O2052" s="6"/>
      <c r="S2052" s="6"/>
      <c r="V2052" s="6"/>
      <c r="X2052" s="6"/>
      <c r="Z2052" s="110"/>
      <c r="AB2052" s="6"/>
      <c r="AD2052" s="6"/>
      <c r="AE2052" s="6"/>
      <c r="AF2052" s="126"/>
      <c r="AJ2052" s="6"/>
      <c r="AL2052" s="110"/>
      <c r="AM2052" s="110"/>
      <c r="AN2052" s="110"/>
      <c r="AP2052" s="6"/>
      <c r="AW2052" s="6"/>
      <c r="AX2052" s="6"/>
      <c r="AZ2052" s="110"/>
      <c r="BB2052" s="6"/>
      <c r="BD2052" s="6"/>
      <c r="BE2052" s="6"/>
      <c r="BV2052" s="17"/>
      <c r="BX2052" s="17"/>
      <c r="BZ2052" s="17"/>
    </row>
    <row r="2053" spans="4:78" x14ac:dyDescent="0.3">
      <c r="D2053" s="153"/>
      <c r="E2053" s="6"/>
      <c r="G2053" s="6"/>
      <c r="J2053" s="6"/>
      <c r="N2053" s="154"/>
      <c r="O2053" s="6"/>
      <c r="S2053" s="6"/>
      <c r="V2053" s="6"/>
      <c r="X2053" s="6"/>
      <c r="Z2053" s="110"/>
      <c r="AB2053" s="6"/>
      <c r="AD2053" s="6"/>
      <c r="AE2053" s="6"/>
      <c r="AF2053" s="126"/>
      <c r="AJ2053" s="6"/>
      <c r="AL2053" s="110"/>
      <c r="AM2053" s="110"/>
      <c r="AN2053" s="110"/>
      <c r="AP2053" s="6"/>
      <c r="AW2053" s="6"/>
      <c r="AX2053" s="6"/>
      <c r="AZ2053" s="110"/>
      <c r="BB2053" s="6"/>
      <c r="BD2053" s="6"/>
      <c r="BE2053" s="6"/>
      <c r="BV2053" s="17"/>
      <c r="BX2053" s="17"/>
      <c r="BZ2053" s="17"/>
    </row>
    <row r="2054" spans="4:78" x14ac:dyDescent="0.3">
      <c r="D2054" s="153"/>
      <c r="E2054" s="6"/>
      <c r="G2054" s="6"/>
      <c r="J2054" s="6"/>
      <c r="N2054" s="154"/>
      <c r="O2054" s="6"/>
      <c r="S2054" s="6"/>
      <c r="V2054" s="6"/>
      <c r="X2054" s="6"/>
      <c r="Z2054" s="110"/>
      <c r="AB2054" s="6"/>
      <c r="AD2054" s="6"/>
      <c r="AE2054" s="6"/>
      <c r="AF2054" s="126"/>
      <c r="AJ2054" s="6"/>
      <c r="AL2054" s="110"/>
      <c r="AM2054" s="110"/>
      <c r="AN2054" s="110"/>
      <c r="AP2054" s="6"/>
      <c r="AW2054" s="6"/>
      <c r="AX2054" s="6"/>
      <c r="AZ2054" s="110"/>
      <c r="BB2054" s="6"/>
      <c r="BD2054" s="6"/>
      <c r="BE2054" s="6"/>
      <c r="BV2054" s="17"/>
      <c r="BX2054" s="17"/>
      <c r="BZ2054" s="17"/>
    </row>
    <row r="2055" spans="4:78" x14ac:dyDescent="0.3">
      <c r="D2055" s="153"/>
      <c r="E2055" s="6"/>
      <c r="G2055" s="6"/>
      <c r="J2055" s="6"/>
      <c r="N2055" s="154"/>
      <c r="O2055" s="6"/>
      <c r="S2055" s="6"/>
      <c r="V2055" s="6"/>
      <c r="X2055" s="6"/>
      <c r="Z2055" s="110"/>
      <c r="AB2055" s="6"/>
      <c r="AD2055" s="6"/>
      <c r="AE2055" s="6"/>
      <c r="AF2055" s="126"/>
      <c r="AJ2055" s="6"/>
      <c r="AL2055" s="110"/>
      <c r="AM2055" s="110"/>
      <c r="AN2055" s="110"/>
      <c r="AP2055" s="6"/>
      <c r="AW2055" s="6"/>
      <c r="AX2055" s="6"/>
      <c r="AZ2055" s="110"/>
      <c r="BB2055" s="6"/>
      <c r="BD2055" s="6"/>
      <c r="BE2055" s="6"/>
      <c r="BV2055" s="17"/>
      <c r="BX2055" s="17"/>
      <c r="BZ2055" s="17"/>
    </row>
    <row r="2056" spans="4:78" x14ac:dyDescent="0.3">
      <c r="D2056" s="153"/>
      <c r="E2056" s="6"/>
      <c r="G2056" s="6"/>
      <c r="J2056" s="6"/>
      <c r="N2056" s="154"/>
      <c r="O2056" s="6"/>
      <c r="S2056" s="6"/>
      <c r="V2056" s="6"/>
      <c r="X2056" s="6"/>
      <c r="Z2056" s="110"/>
      <c r="AB2056" s="6"/>
      <c r="AD2056" s="6"/>
      <c r="AE2056" s="6"/>
      <c r="AF2056" s="126"/>
      <c r="AJ2056" s="6"/>
      <c r="AL2056" s="110"/>
      <c r="AM2056" s="110"/>
      <c r="AN2056" s="110"/>
      <c r="AP2056" s="6"/>
      <c r="AW2056" s="6"/>
      <c r="AX2056" s="6"/>
      <c r="AZ2056" s="110"/>
      <c r="BB2056" s="6"/>
      <c r="BD2056" s="6"/>
      <c r="BE2056" s="6"/>
      <c r="BV2056" s="17"/>
      <c r="BX2056" s="17"/>
      <c r="BZ2056" s="17"/>
    </row>
    <row r="2057" spans="4:78" x14ac:dyDescent="0.3">
      <c r="D2057" s="153"/>
      <c r="E2057" s="6"/>
      <c r="G2057" s="6"/>
      <c r="J2057" s="6"/>
      <c r="N2057" s="154"/>
      <c r="O2057" s="6"/>
      <c r="S2057" s="6"/>
      <c r="V2057" s="6"/>
      <c r="X2057" s="6"/>
      <c r="Z2057" s="110"/>
      <c r="AB2057" s="6"/>
      <c r="AD2057" s="6"/>
      <c r="AE2057" s="6"/>
      <c r="AF2057" s="126"/>
      <c r="AJ2057" s="6"/>
      <c r="AL2057" s="110"/>
      <c r="AM2057" s="110"/>
      <c r="AN2057" s="110"/>
      <c r="AP2057" s="6"/>
      <c r="AW2057" s="6"/>
      <c r="AX2057" s="6"/>
      <c r="AZ2057" s="110"/>
      <c r="BB2057" s="6"/>
      <c r="BD2057" s="6"/>
      <c r="BE2057" s="6"/>
      <c r="BV2057" s="17"/>
      <c r="BX2057" s="17"/>
      <c r="BZ2057" s="17"/>
    </row>
    <row r="2058" spans="4:78" x14ac:dyDescent="0.3">
      <c r="D2058" s="153"/>
      <c r="E2058" s="6"/>
      <c r="G2058" s="6"/>
      <c r="J2058" s="6"/>
      <c r="N2058" s="154"/>
      <c r="O2058" s="6"/>
      <c r="S2058" s="6"/>
      <c r="V2058" s="6"/>
      <c r="X2058" s="6"/>
      <c r="Z2058" s="110"/>
      <c r="AB2058" s="6"/>
      <c r="AD2058" s="6"/>
      <c r="AE2058" s="6"/>
      <c r="AF2058" s="126"/>
      <c r="AJ2058" s="6"/>
      <c r="AL2058" s="110"/>
      <c r="AM2058" s="110"/>
      <c r="AN2058" s="110"/>
      <c r="AP2058" s="6"/>
      <c r="AW2058" s="6"/>
      <c r="AX2058" s="6"/>
      <c r="AZ2058" s="110"/>
      <c r="BB2058" s="6"/>
      <c r="BD2058" s="6"/>
      <c r="BE2058" s="6"/>
      <c r="BV2058" s="17"/>
      <c r="BX2058" s="17"/>
      <c r="BZ2058" s="17"/>
    </row>
    <row r="2059" spans="4:78" x14ac:dyDescent="0.3">
      <c r="D2059" s="153"/>
      <c r="E2059" s="6"/>
      <c r="G2059" s="6"/>
      <c r="J2059" s="6"/>
      <c r="N2059" s="154"/>
      <c r="O2059" s="6"/>
      <c r="S2059" s="6"/>
      <c r="V2059" s="6"/>
      <c r="X2059" s="6"/>
      <c r="Z2059" s="110"/>
      <c r="AB2059" s="6"/>
      <c r="AD2059" s="6"/>
      <c r="AE2059" s="6"/>
      <c r="AF2059" s="126"/>
      <c r="AJ2059" s="6"/>
      <c r="AL2059" s="110"/>
      <c r="AM2059" s="110"/>
      <c r="AN2059" s="110"/>
      <c r="AP2059" s="6"/>
      <c r="AW2059" s="6"/>
      <c r="AX2059" s="6"/>
      <c r="AZ2059" s="110"/>
      <c r="BB2059" s="6"/>
      <c r="BD2059" s="6"/>
      <c r="BE2059" s="6"/>
      <c r="BV2059" s="17"/>
      <c r="BX2059" s="17"/>
      <c r="BZ2059" s="17"/>
    </row>
    <row r="2060" spans="4:78" x14ac:dyDescent="0.3">
      <c r="D2060" s="153"/>
      <c r="E2060" s="6"/>
      <c r="G2060" s="6"/>
      <c r="J2060" s="6"/>
      <c r="N2060" s="154"/>
      <c r="O2060" s="6"/>
      <c r="S2060" s="6"/>
      <c r="V2060" s="6"/>
      <c r="X2060" s="6"/>
      <c r="Z2060" s="110"/>
      <c r="AB2060" s="6"/>
      <c r="AD2060" s="6"/>
      <c r="AE2060" s="6"/>
      <c r="AF2060" s="126"/>
      <c r="AJ2060" s="6"/>
      <c r="AL2060" s="110"/>
      <c r="AM2060" s="110"/>
      <c r="AN2060" s="110"/>
      <c r="AP2060" s="6"/>
      <c r="AW2060" s="6"/>
      <c r="AX2060" s="6"/>
      <c r="AZ2060" s="110"/>
      <c r="BB2060" s="6"/>
      <c r="BD2060" s="6"/>
      <c r="BE2060" s="6"/>
      <c r="BV2060" s="17"/>
      <c r="BX2060" s="17"/>
      <c r="BZ2060" s="17"/>
    </row>
    <row r="2061" spans="4:78" x14ac:dyDescent="0.3">
      <c r="D2061" s="153"/>
      <c r="E2061" s="6"/>
      <c r="G2061" s="6"/>
      <c r="J2061" s="6"/>
      <c r="N2061" s="154"/>
      <c r="O2061" s="6"/>
      <c r="S2061" s="6"/>
      <c r="V2061" s="6"/>
      <c r="X2061" s="6"/>
      <c r="Z2061" s="110"/>
      <c r="AB2061" s="6"/>
      <c r="AD2061" s="6"/>
      <c r="AE2061" s="6"/>
      <c r="AF2061" s="126"/>
      <c r="AJ2061" s="6"/>
      <c r="AL2061" s="110"/>
      <c r="AM2061" s="110"/>
      <c r="AN2061" s="110"/>
      <c r="AP2061" s="6"/>
      <c r="AW2061" s="6"/>
      <c r="AX2061" s="6"/>
      <c r="AZ2061" s="110"/>
      <c r="BB2061" s="6"/>
      <c r="BD2061" s="6"/>
      <c r="BE2061" s="6"/>
      <c r="BV2061" s="17"/>
      <c r="BX2061" s="17"/>
      <c r="BZ2061" s="17"/>
    </row>
    <row r="2062" spans="4:78" x14ac:dyDescent="0.3">
      <c r="D2062" s="153"/>
      <c r="E2062" s="6"/>
      <c r="G2062" s="6"/>
      <c r="J2062" s="6"/>
      <c r="N2062" s="154"/>
      <c r="O2062" s="6"/>
      <c r="S2062" s="6"/>
      <c r="V2062" s="6"/>
      <c r="X2062" s="6"/>
      <c r="Z2062" s="110"/>
      <c r="AB2062" s="6"/>
      <c r="AD2062" s="6"/>
      <c r="AE2062" s="6"/>
      <c r="AF2062" s="126"/>
      <c r="AJ2062" s="6"/>
      <c r="AL2062" s="110"/>
      <c r="AM2062" s="110"/>
      <c r="AN2062" s="110"/>
      <c r="AP2062" s="6"/>
      <c r="AW2062" s="6"/>
      <c r="AX2062" s="6"/>
      <c r="AZ2062" s="110"/>
      <c r="BB2062" s="6"/>
      <c r="BD2062" s="6"/>
      <c r="BE2062" s="6"/>
      <c r="BV2062" s="17"/>
      <c r="BX2062" s="17"/>
      <c r="BZ2062" s="17"/>
    </row>
    <row r="2063" spans="4:78" x14ac:dyDescent="0.3">
      <c r="D2063" s="153"/>
      <c r="E2063" s="6"/>
      <c r="G2063" s="6"/>
      <c r="J2063" s="6"/>
      <c r="N2063" s="154"/>
      <c r="O2063" s="6"/>
      <c r="S2063" s="6"/>
      <c r="V2063" s="6"/>
      <c r="X2063" s="6"/>
      <c r="Z2063" s="110"/>
      <c r="AB2063" s="6"/>
      <c r="AD2063" s="6"/>
      <c r="AE2063" s="6"/>
      <c r="AF2063" s="126"/>
      <c r="AJ2063" s="6"/>
      <c r="AL2063" s="110"/>
      <c r="AM2063" s="110"/>
      <c r="AN2063" s="110"/>
      <c r="AP2063" s="6"/>
      <c r="AW2063" s="6"/>
      <c r="AX2063" s="6"/>
      <c r="AZ2063" s="110"/>
      <c r="BB2063" s="6"/>
      <c r="BD2063" s="6"/>
      <c r="BE2063" s="6"/>
      <c r="BV2063" s="17"/>
      <c r="BX2063" s="17"/>
      <c r="BZ2063" s="17"/>
    </row>
    <row r="2064" spans="4:78" x14ac:dyDescent="0.3">
      <c r="D2064" s="153"/>
      <c r="E2064" s="6"/>
      <c r="G2064" s="6"/>
      <c r="J2064" s="6"/>
      <c r="N2064" s="154"/>
      <c r="O2064" s="6"/>
      <c r="S2064" s="6"/>
      <c r="V2064" s="6"/>
      <c r="X2064" s="6"/>
      <c r="Z2064" s="110"/>
      <c r="AB2064" s="6"/>
      <c r="AD2064" s="6"/>
      <c r="AE2064" s="6"/>
      <c r="AF2064" s="126"/>
      <c r="AJ2064" s="6"/>
      <c r="AL2064" s="110"/>
      <c r="AM2064" s="110"/>
      <c r="AN2064" s="110"/>
      <c r="AP2064" s="6"/>
      <c r="AW2064" s="6"/>
      <c r="AX2064" s="6"/>
      <c r="AZ2064" s="110"/>
      <c r="BB2064" s="6"/>
      <c r="BD2064" s="6"/>
      <c r="BE2064" s="6"/>
      <c r="BV2064" s="17"/>
      <c r="BX2064" s="17"/>
      <c r="BZ2064" s="17"/>
    </row>
    <row r="2065" spans="4:78" x14ac:dyDescent="0.3">
      <c r="D2065" s="153"/>
      <c r="E2065" s="6"/>
      <c r="G2065" s="6"/>
      <c r="J2065" s="6"/>
      <c r="N2065" s="154"/>
      <c r="O2065" s="6"/>
      <c r="S2065" s="6"/>
      <c r="V2065" s="6"/>
      <c r="X2065" s="6"/>
      <c r="Z2065" s="110"/>
      <c r="AB2065" s="6"/>
      <c r="AD2065" s="6"/>
      <c r="AE2065" s="6"/>
      <c r="AF2065" s="126"/>
      <c r="AJ2065" s="6"/>
      <c r="AL2065" s="110"/>
      <c r="AM2065" s="110"/>
      <c r="AN2065" s="110"/>
      <c r="AP2065" s="6"/>
      <c r="AW2065" s="6"/>
      <c r="AX2065" s="6"/>
      <c r="AZ2065" s="110"/>
      <c r="BB2065" s="6"/>
      <c r="BD2065" s="6"/>
      <c r="BE2065" s="6"/>
      <c r="BV2065" s="17"/>
      <c r="BX2065" s="17"/>
      <c r="BZ2065" s="17"/>
    </row>
    <row r="2066" spans="4:78" x14ac:dyDescent="0.3">
      <c r="D2066" s="153"/>
      <c r="E2066" s="6"/>
      <c r="G2066" s="6"/>
      <c r="J2066" s="6"/>
      <c r="N2066" s="154"/>
      <c r="O2066" s="6"/>
      <c r="S2066" s="6"/>
      <c r="V2066" s="6"/>
      <c r="X2066" s="6"/>
      <c r="Z2066" s="110"/>
      <c r="AB2066" s="6"/>
      <c r="AD2066" s="6"/>
      <c r="AE2066" s="6"/>
      <c r="AF2066" s="126"/>
      <c r="AJ2066" s="6"/>
      <c r="AL2066" s="110"/>
      <c r="AM2066" s="110"/>
      <c r="AN2066" s="110"/>
      <c r="AP2066" s="6"/>
      <c r="AW2066" s="6"/>
      <c r="AX2066" s="6"/>
      <c r="AZ2066" s="110"/>
      <c r="BB2066" s="6"/>
      <c r="BD2066" s="6"/>
      <c r="BE2066" s="6"/>
      <c r="BV2066" s="17"/>
      <c r="BX2066" s="17"/>
      <c r="BZ2066" s="17"/>
    </row>
    <row r="2067" spans="4:78" x14ac:dyDescent="0.3">
      <c r="D2067" s="153"/>
      <c r="E2067" s="6"/>
      <c r="G2067" s="6"/>
      <c r="J2067" s="6"/>
      <c r="N2067" s="154"/>
      <c r="O2067" s="6"/>
      <c r="S2067" s="6"/>
      <c r="V2067" s="6"/>
      <c r="X2067" s="6"/>
      <c r="Z2067" s="110"/>
      <c r="AB2067" s="6"/>
      <c r="AD2067" s="6"/>
      <c r="AE2067" s="6"/>
      <c r="AF2067" s="126"/>
      <c r="AJ2067" s="6"/>
      <c r="AL2067" s="110"/>
      <c r="AM2067" s="110"/>
      <c r="AN2067" s="110"/>
      <c r="AP2067" s="6"/>
      <c r="AW2067" s="6"/>
      <c r="AX2067" s="6"/>
      <c r="AZ2067" s="110"/>
      <c r="BB2067" s="6"/>
      <c r="BD2067" s="6"/>
      <c r="BE2067" s="6"/>
      <c r="BV2067" s="17"/>
      <c r="BX2067" s="17"/>
      <c r="BZ2067" s="17"/>
    </row>
    <row r="2068" spans="4:78" x14ac:dyDescent="0.3">
      <c r="D2068" s="153"/>
      <c r="E2068" s="6"/>
      <c r="G2068" s="6"/>
      <c r="J2068" s="6"/>
      <c r="N2068" s="154"/>
      <c r="O2068" s="6"/>
      <c r="S2068" s="6"/>
      <c r="V2068" s="6"/>
      <c r="X2068" s="6"/>
      <c r="Z2068" s="110"/>
      <c r="AB2068" s="6"/>
      <c r="AD2068" s="6"/>
      <c r="AE2068" s="6"/>
      <c r="AF2068" s="126"/>
      <c r="AJ2068" s="6"/>
      <c r="AL2068" s="110"/>
      <c r="AM2068" s="110"/>
      <c r="AN2068" s="110"/>
      <c r="AP2068" s="6"/>
      <c r="AW2068" s="6"/>
      <c r="AX2068" s="6"/>
      <c r="AZ2068" s="110"/>
      <c r="BB2068" s="6"/>
      <c r="BD2068" s="6"/>
      <c r="BE2068" s="6"/>
      <c r="BV2068" s="17"/>
      <c r="BX2068" s="17"/>
      <c r="BZ2068" s="17"/>
    </row>
    <row r="2069" spans="4:78" x14ac:dyDescent="0.3">
      <c r="D2069" s="153"/>
      <c r="E2069" s="6"/>
      <c r="G2069" s="6"/>
      <c r="J2069" s="6"/>
      <c r="N2069" s="154"/>
      <c r="O2069" s="6"/>
      <c r="S2069" s="6"/>
      <c r="V2069" s="6"/>
      <c r="X2069" s="6"/>
      <c r="Z2069" s="110"/>
      <c r="AB2069" s="6"/>
      <c r="AD2069" s="6"/>
      <c r="AE2069" s="6"/>
      <c r="AF2069" s="126"/>
      <c r="AJ2069" s="6"/>
      <c r="AL2069" s="110"/>
      <c r="AM2069" s="110"/>
      <c r="AN2069" s="110"/>
      <c r="AP2069" s="6"/>
      <c r="AW2069" s="6"/>
      <c r="AX2069" s="6"/>
      <c r="AZ2069" s="110"/>
      <c r="BB2069" s="6"/>
      <c r="BD2069" s="6"/>
      <c r="BE2069" s="6"/>
      <c r="BV2069" s="17"/>
      <c r="BX2069" s="17"/>
      <c r="BZ2069" s="17"/>
    </row>
    <row r="2070" spans="4:78" x14ac:dyDescent="0.3">
      <c r="D2070" s="153"/>
      <c r="E2070" s="6"/>
      <c r="G2070" s="6"/>
      <c r="J2070" s="6"/>
      <c r="N2070" s="154"/>
      <c r="O2070" s="6"/>
      <c r="S2070" s="6"/>
      <c r="V2070" s="6"/>
      <c r="X2070" s="6"/>
      <c r="Z2070" s="110"/>
      <c r="AB2070" s="6"/>
      <c r="AD2070" s="6"/>
      <c r="AE2070" s="6"/>
      <c r="AF2070" s="126"/>
      <c r="AJ2070" s="6"/>
      <c r="AL2070" s="110"/>
      <c r="AM2070" s="110"/>
      <c r="AN2070" s="110"/>
      <c r="AP2070" s="6"/>
      <c r="AW2070" s="6"/>
      <c r="AX2070" s="6"/>
      <c r="AZ2070" s="110"/>
      <c r="BB2070" s="6"/>
      <c r="BD2070" s="6"/>
      <c r="BE2070" s="6"/>
      <c r="BV2070" s="17"/>
      <c r="BX2070" s="17"/>
      <c r="BZ2070" s="17"/>
    </row>
    <row r="2071" spans="4:78" x14ac:dyDescent="0.3">
      <c r="D2071" s="153"/>
      <c r="E2071" s="6"/>
      <c r="G2071" s="6"/>
      <c r="J2071" s="6"/>
      <c r="N2071" s="154"/>
      <c r="O2071" s="6"/>
      <c r="S2071" s="6"/>
      <c r="V2071" s="6"/>
      <c r="X2071" s="6"/>
      <c r="Z2071" s="110"/>
      <c r="AB2071" s="6"/>
      <c r="AD2071" s="6"/>
      <c r="AE2071" s="6"/>
      <c r="AF2071" s="126"/>
      <c r="AJ2071" s="6"/>
      <c r="AL2071" s="110"/>
      <c r="AM2071" s="110"/>
      <c r="AN2071" s="110"/>
      <c r="AP2071" s="6"/>
      <c r="AW2071" s="6"/>
      <c r="AX2071" s="6"/>
      <c r="AZ2071" s="110"/>
      <c r="BB2071" s="6"/>
      <c r="BD2071" s="6"/>
      <c r="BE2071" s="6"/>
      <c r="BV2071" s="17"/>
      <c r="BX2071" s="17"/>
      <c r="BZ2071" s="17"/>
    </row>
    <row r="2072" spans="4:78" x14ac:dyDescent="0.3">
      <c r="D2072" s="153"/>
      <c r="E2072" s="6"/>
      <c r="G2072" s="6"/>
      <c r="J2072" s="6"/>
      <c r="N2072" s="154"/>
      <c r="O2072" s="6"/>
      <c r="S2072" s="6"/>
      <c r="V2072" s="6"/>
      <c r="X2072" s="6"/>
      <c r="Z2072" s="110"/>
      <c r="AB2072" s="6"/>
      <c r="AD2072" s="6"/>
      <c r="AE2072" s="6"/>
      <c r="AF2072" s="126"/>
      <c r="AJ2072" s="6"/>
      <c r="AL2072" s="110"/>
      <c r="AM2072" s="110"/>
      <c r="AN2072" s="110"/>
      <c r="AP2072" s="6"/>
      <c r="AW2072" s="6"/>
      <c r="AX2072" s="6"/>
      <c r="AZ2072" s="110"/>
      <c r="BB2072" s="6"/>
      <c r="BD2072" s="6"/>
      <c r="BE2072" s="6"/>
      <c r="BV2072" s="17"/>
      <c r="BX2072" s="17"/>
      <c r="BZ2072" s="17"/>
    </row>
    <row r="2073" spans="4:78" x14ac:dyDescent="0.3">
      <c r="D2073" s="153"/>
      <c r="E2073" s="6"/>
      <c r="G2073" s="6"/>
      <c r="J2073" s="6"/>
      <c r="N2073" s="154"/>
      <c r="O2073" s="6"/>
      <c r="S2073" s="6"/>
      <c r="V2073" s="6"/>
      <c r="X2073" s="6"/>
      <c r="Z2073" s="110"/>
      <c r="AB2073" s="6"/>
      <c r="AD2073" s="6"/>
      <c r="AE2073" s="6"/>
      <c r="AF2073" s="126"/>
      <c r="AJ2073" s="6"/>
      <c r="AL2073" s="110"/>
      <c r="AM2073" s="110"/>
      <c r="AN2073" s="110"/>
      <c r="AP2073" s="6"/>
      <c r="AW2073" s="6"/>
      <c r="AX2073" s="6"/>
      <c r="AZ2073" s="110"/>
      <c r="BB2073" s="6"/>
      <c r="BD2073" s="6"/>
      <c r="BE2073" s="6"/>
      <c r="BV2073" s="17"/>
      <c r="BX2073" s="17"/>
      <c r="BZ2073" s="17"/>
    </row>
    <row r="2074" spans="4:78" x14ac:dyDescent="0.3">
      <c r="D2074" s="153"/>
      <c r="E2074" s="6"/>
      <c r="G2074" s="6"/>
      <c r="J2074" s="6"/>
      <c r="N2074" s="154"/>
      <c r="O2074" s="6"/>
      <c r="S2074" s="6"/>
      <c r="V2074" s="6"/>
      <c r="X2074" s="6"/>
      <c r="Z2074" s="110"/>
      <c r="AB2074" s="6"/>
      <c r="AD2074" s="6"/>
      <c r="AE2074" s="6"/>
      <c r="AF2074" s="126"/>
      <c r="AJ2074" s="6"/>
      <c r="AL2074" s="110"/>
      <c r="AM2074" s="110"/>
      <c r="AN2074" s="110"/>
      <c r="AP2074" s="6"/>
      <c r="AW2074" s="6"/>
      <c r="AX2074" s="6"/>
      <c r="AZ2074" s="110"/>
      <c r="BB2074" s="6"/>
      <c r="BD2074" s="6"/>
      <c r="BE2074" s="6"/>
      <c r="BV2074" s="17"/>
      <c r="BX2074" s="17"/>
      <c r="BZ2074" s="17"/>
    </row>
    <row r="2075" spans="4:78" x14ac:dyDescent="0.3">
      <c r="D2075" s="153"/>
      <c r="E2075" s="6"/>
      <c r="G2075" s="6"/>
      <c r="J2075" s="6"/>
      <c r="N2075" s="154"/>
      <c r="O2075" s="6"/>
      <c r="S2075" s="6"/>
      <c r="V2075" s="6"/>
      <c r="X2075" s="6"/>
      <c r="Z2075" s="110"/>
      <c r="AB2075" s="6"/>
      <c r="AD2075" s="6"/>
      <c r="AE2075" s="6"/>
      <c r="AF2075" s="126"/>
      <c r="AJ2075" s="6"/>
      <c r="AL2075" s="110"/>
      <c r="AM2075" s="110"/>
      <c r="AN2075" s="110"/>
      <c r="AP2075" s="6"/>
      <c r="AW2075" s="6"/>
      <c r="AX2075" s="6"/>
      <c r="AZ2075" s="110"/>
      <c r="BB2075" s="6"/>
      <c r="BD2075" s="6"/>
      <c r="BE2075" s="6"/>
      <c r="BV2075" s="17"/>
      <c r="BX2075" s="17"/>
      <c r="BZ2075" s="17"/>
    </row>
    <row r="2076" spans="4:78" x14ac:dyDescent="0.3">
      <c r="D2076" s="153"/>
      <c r="E2076" s="6"/>
      <c r="G2076" s="6"/>
      <c r="J2076" s="6"/>
      <c r="N2076" s="154"/>
      <c r="O2076" s="6"/>
      <c r="S2076" s="6"/>
      <c r="V2076" s="6"/>
      <c r="X2076" s="6"/>
      <c r="Z2076" s="110"/>
      <c r="AB2076" s="6"/>
      <c r="AD2076" s="6"/>
      <c r="AE2076" s="6"/>
      <c r="AF2076" s="126"/>
      <c r="AJ2076" s="6"/>
      <c r="AL2076" s="110"/>
      <c r="AM2076" s="110"/>
      <c r="AN2076" s="110"/>
      <c r="AP2076" s="6"/>
      <c r="AW2076" s="6"/>
      <c r="AX2076" s="6"/>
      <c r="AZ2076" s="110"/>
      <c r="BB2076" s="6"/>
      <c r="BD2076" s="6"/>
      <c r="BE2076" s="6"/>
      <c r="BV2076" s="17"/>
      <c r="BX2076" s="17"/>
      <c r="BZ2076" s="17"/>
    </row>
    <row r="2077" spans="4:78" x14ac:dyDescent="0.3">
      <c r="D2077" s="153"/>
      <c r="E2077" s="6"/>
      <c r="G2077" s="6"/>
      <c r="J2077" s="6"/>
      <c r="N2077" s="154"/>
      <c r="O2077" s="6"/>
      <c r="S2077" s="6"/>
      <c r="V2077" s="6"/>
      <c r="X2077" s="6"/>
      <c r="Z2077" s="110"/>
      <c r="AB2077" s="6"/>
      <c r="AD2077" s="6"/>
      <c r="AE2077" s="6"/>
      <c r="AF2077" s="126"/>
      <c r="AJ2077" s="6"/>
      <c r="AL2077" s="110"/>
      <c r="AM2077" s="110"/>
      <c r="AN2077" s="110"/>
      <c r="AP2077" s="6"/>
      <c r="AW2077" s="6"/>
      <c r="AX2077" s="6"/>
      <c r="AZ2077" s="110"/>
      <c r="BB2077" s="6"/>
      <c r="BD2077" s="6"/>
      <c r="BE2077" s="6"/>
      <c r="BV2077" s="17"/>
      <c r="BX2077" s="17"/>
      <c r="BZ2077" s="17"/>
    </row>
    <row r="2078" spans="4:78" x14ac:dyDescent="0.3">
      <c r="D2078" s="153"/>
      <c r="E2078" s="6"/>
      <c r="G2078" s="6"/>
      <c r="J2078" s="6"/>
      <c r="N2078" s="154"/>
      <c r="O2078" s="6"/>
      <c r="S2078" s="6"/>
      <c r="V2078" s="6"/>
      <c r="X2078" s="6"/>
      <c r="Z2078" s="110"/>
      <c r="AB2078" s="6"/>
      <c r="AD2078" s="6"/>
      <c r="AE2078" s="6"/>
      <c r="AF2078" s="126"/>
      <c r="AJ2078" s="6"/>
      <c r="AL2078" s="110"/>
      <c r="AM2078" s="110"/>
      <c r="AN2078" s="110"/>
      <c r="AP2078" s="6"/>
      <c r="AW2078" s="6"/>
      <c r="AX2078" s="6"/>
      <c r="AZ2078" s="110"/>
      <c r="BB2078" s="6"/>
      <c r="BD2078" s="6"/>
      <c r="BE2078" s="6"/>
      <c r="BV2078" s="17"/>
      <c r="BX2078" s="17"/>
      <c r="BZ2078" s="17"/>
    </row>
    <row r="2079" spans="4:78" x14ac:dyDescent="0.3">
      <c r="D2079" s="153"/>
      <c r="E2079" s="6"/>
      <c r="G2079" s="6"/>
      <c r="J2079" s="6"/>
      <c r="N2079" s="154"/>
      <c r="O2079" s="6"/>
      <c r="S2079" s="6"/>
      <c r="V2079" s="6"/>
      <c r="X2079" s="6"/>
      <c r="Z2079" s="110"/>
      <c r="AB2079" s="6"/>
      <c r="AD2079" s="6"/>
      <c r="AE2079" s="6"/>
      <c r="AF2079" s="126"/>
      <c r="AJ2079" s="6"/>
      <c r="AL2079" s="110"/>
      <c r="AM2079" s="110"/>
      <c r="AN2079" s="110"/>
      <c r="AP2079" s="6"/>
      <c r="AW2079" s="6"/>
      <c r="AX2079" s="6"/>
      <c r="AZ2079" s="110"/>
      <c r="BB2079" s="6"/>
      <c r="BD2079" s="6"/>
      <c r="BE2079" s="6"/>
      <c r="BV2079" s="17"/>
      <c r="BX2079" s="17"/>
      <c r="BZ2079" s="17"/>
    </row>
    <row r="2080" spans="4:78" x14ac:dyDescent="0.3">
      <c r="D2080" s="153"/>
      <c r="E2080" s="6"/>
      <c r="G2080" s="6"/>
      <c r="J2080" s="6"/>
      <c r="N2080" s="154"/>
      <c r="O2080" s="6"/>
      <c r="S2080" s="6"/>
      <c r="V2080" s="6"/>
      <c r="X2080" s="6"/>
      <c r="Z2080" s="110"/>
      <c r="AB2080" s="6"/>
      <c r="AD2080" s="6"/>
      <c r="AE2080" s="6"/>
      <c r="AF2080" s="126"/>
      <c r="AJ2080" s="6"/>
      <c r="AL2080" s="110"/>
      <c r="AM2080" s="110"/>
      <c r="AN2080" s="110"/>
      <c r="AP2080" s="6"/>
      <c r="AW2080" s="6"/>
      <c r="AX2080" s="6"/>
      <c r="AZ2080" s="110"/>
      <c r="BB2080" s="6"/>
      <c r="BD2080" s="6"/>
      <c r="BE2080" s="6"/>
      <c r="BV2080" s="17"/>
      <c r="BX2080" s="17"/>
      <c r="BZ2080" s="17"/>
    </row>
    <row r="2081" spans="4:78" x14ac:dyDescent="0.3">
      <c r="D2081" s="153"/>
      <c r="E2081" s="6"/>
      <c r="G2081" s="6"/>
      <c r="J2081" s="6"/>
      <c r="N2081" s="154"/>
      <c r="O2081" s="6"/>
      <c r="S2081" s="6"/>
      <c r="V2081" s="6"/>
      <c r="X2081" s="6"/>
      <c r="Z2081" s="110"/>
      <c r="AB2081" s="6"/>
      <c r="AD2081" s="6"/>
      <c r="AE2081" s="6"/>
      <c r="AF2081" s="126"/>
      <c r="AJ2081" s="6"/>
      <c r="AL2081" s="110"/>
      <c r="AM2081" s="110"/>
      <c r="AN2081" s="110"/>
      <c r="AP2081" s="6"/>
      <c r="AW2081" s="6"/>
      <c r="AX2081" s="6"/>
      <c r="AZ2081" s="110"/>
      <c r="BB2081" s="6"/>
      <c r="BD2081" s="6"/>
      <c r="BE2081" s="6"/>
      <c r="BV2081" s="17"/>
      <c r="BX2081" s="17"/>
      <c r="BZ2081" s="17"/>
    </row>
    <row r="2082" spans="4:78" x14ac:dyDescent="0.3">
      <c r="D2082" s="153"/>
      <c r="E2082" s="6"/>
      <c r="G2082" s="6"/>
      <c r="J2082" s="6"/>
      <c r="N2082" s="154"/>
      <c r="O2082" s="6"/>
      <c r="S2082" s="6"/>
      <c r="V2082" s="6"/>
      <c r="X2082" s="6"/>
      <c r="Z2082" s="110"/>
      <c r="AB2082" s="6"/>
      <c r="AD2082" s="6"/>
      <c r="AE2082" s="6"/>
      <c r="AF2082" s="126"/>
      <c r="AJ2082" s="6"/>
      <c r="AL2082" s="110"/>
      <c r="AM2082" s="110"/>
      <c r="AN2082" s="110"/>
      <c r="AP2082" s="6"/>
      <c r="AW2082" s="6"/>
      <c r="AX2082" s="6"/>
      <c r="AZ2082" s="110"/>
      <c r="BB2082" s="6"/>
      <c r="BD2082" s="6"/>
      <c r="BE2082" s="6"/>
      <c r="BV2082" s="17"/>
      <c r="BX2082" s="17"/>
      <c r="BZ2082" s="17"/>
    </row>
    <row r="2083" spans="4:78" x14ac:dyDescent="0.3">
      <c r="D2083" s="153"/>
      <c r="E2083" s="6"/>
      <c r="G2083" s="6"/>
      <c r="J2083" s="6"/>
      <c r="N2083" s="154"/>
      <c r="O2083" s="6"/>
      <c r="S2083" s="6"/>
      <c r="V2083" s="6"/>
      <c r="X2083" s="6"/>
      <c r="Z2083" s="110"/>
      <c r="AB2083" s="6"/>
      <c r="AD2083" s="6"/>
      <c r="AE2083" s="6"/>
      <c r="AF2083" s="126"/>
      <c r="AJ2083" s="6"/>
      <c r="AL2083" s="110"/>
      <c r="AM2083" s="110"/>
      <c r="AN2083" s="110"/>
      <c r="AP2083" s="6"/>
      <c r="AW2083" s="6"/>
      <c r="AX2083" s="6"/>
      <c r="AZ2083" s="110"/>
      <c r="BB2083" s="6"/>
      <c r="BD2083" s="6"/>
      <c r="BE2083" s="6"/>
      <c r="BV2083" s="17"/>
      <c r="BX2083" s="17"/>
      <c r="BZ2083" s="17"/>
    </row>
    <row r="2084" spans="4:78" x14ac:dyDescent="0.3">
      <c r="D2084" s="153"/>
      <c r="E2084" s="6"/>
      <c r="G2084" s="6"/>
      <c r="J2084" s="6"/>
      <c r="N2084" s="154"/>
      <c r="O2084" s="6"/>
      <c r="S2084" s="6"/>
      <c r="V2084" s="6"/>
      <c r="X2084" s="6"/>
      <c r="Z2084" s="110"/>
      <c r="AB2084" s="6"/>
      <c r="AD2084" s="6"/>
      <c r="AE2084" s="6"/>
      <c r="AF2084" s="126"/>
      <c r="AJ2084" s="6"/>
      <c r="AL2084" s="110"/>
      <c r="AM2084" s="110"/>
      <c r="AN2084" s="110"/>
      <c r="AP2084" s="6"/>
      <c r="AW2084" s="6"/>
      <c r="AX2084" s="6"/>
      <c r="AZ2084" s="110"/>
      <c r="BB2084" s="6"/>
      <c r="BD2084" s="6"/>
      <c r="BE2084" s="6"/>
      <c r="BV2084" s="17"/>
      <c r="BX2084" s="17"/>
      <c r="BZ2084" s="17"/>
    </row>
    <row r="2085" spans="4:78" x14ac:dyDescent="0.3">
      <c r="D2085" s="153"/>
      <c r="E2085" s="6"/>
      <c r="G2085" s="6"/>
      <c r="J2085" s="6"/>
      <c r="N2085" s="154"/>
      <c r="O2085" s="6"/>
      <c r="S2085" s="6"/>
      <c r="V2085" s="6"/>
      <c r="X2085" s="6"/>
      <c r="Z2085" s="110"/>
      <c r="AB2085" s="6"/>
      <c r="AD2085" s="6"/>
      <c r="AE2085" s="6"/>
      <c r="AF2085" s="126"/>
      <c r="AJ2085" s="6"/>
      <c r="AL2085" s="110"/>
      <c r="AM2085" s="110"/>
      <c r="AN2085" s="110"/>
      <c r="AP2085" s="6"/>
      <c r="AW2085" s="6"/>
      <c r="AX2085" s="6"/>
      <c r="AZ2085" s="110"/>
      <c r="BB2085" s="6"/>
      <c r="BD2085" s="6"/>
      <c r="BE2085" s="6"/>
      <c r="BV2085" s="17"/>
      <c r="BX2085" s="17"/>
      <c r="BZ2085" s="17"/>
    </row>
    <row r="2086" spans="4:78" x14ac:dyDescent="0.3">
      <c r="D2086" s="153"/>
      <c r="E2086" s="6"/>
      <c r="G2086" s="6"/>
      <c r="J2086" s="6"/>
      <c r="N2086" s="154"/>
      <c r="O2086" s="6"/>
      <c r="S2086" s="6"/>
      <c r="V2086" s="6"/>
      <c r="X2086" s="6"/>
      <c r="Z2086" s="110"/>
      <c r="AB2086" s="6"/>
      <c r="AD2086" s="6"/>
      <c r="AE2086" s="6"/>
      <c r="AF2086" s="126"/>
      <c r="AJ2086" s="6"/>
      <c r="AL2086" s="110"/>
      <c r="AM2086" s="110"/>
      <c r="AN2086" s="110"/>
      <c r="AP2086" s="6"/>
      <c r="AW2086" s="6"/>
      <c r="AX2086" s="6"/>
      <c r="AZ2086" s="110"/>
      <c r="BB2086" s="6"/>
      <c r="BD2086" s="6"/>
      <c r="BE2086" s="6"/>
      <c r="BV2086" s="17"/>
      <c r="BX2086" s="17"/>
      <c r="BZ2086" s="17"/>
    </row>
    <row r="2087" spans="4:78" x14ac:dyDescent="0.3">
      <c r="D2087" s="153"/>
      <c r="E2087" s="6"/>
      <c r="G2087" s="6"/>
      <c r="J2087" s="6"/>
      <c r="N2087" s="154"/>
      <c r="O2087" s="6"/>
      <c r="S2087" s="6"/>
      <c r="V2087" s="6"/>
      <c r="X2087" s="6"/>
      <c r="Z2087" s="110"/>
      <c r="AB2087" s="6"/>
      <c r="AD2087" s="6"/>
      <c r="AE2087" s="6"/>
      <c r="AF2087" s="126"/>
      <c r="AJ2087" s="6"/>
      <c r="AL2087" s="110"/>
      <c r="AM2087" s="110"/>
      <c r="AN2087" s="110"/>
      <c r="AP2087" s="6"/>
      <c r="AW2087" s="6"/>
      <c r="AX2087" s="6"/>
      <c r="AZ2087" s="110"/>
      <c r="BB2087" s="6"/>
      <c r="BD2087" s="6"/>
      <c r="BE2087" s="6"/>
      <c r="BV2087" s="17"/>
      <c r="BX2087" s="17"/>
      <c r="BZ2087" s="17"/>
    </row>
    <row r="2088" spans="4:78" x14ac:dyDescent="0.3">
      <c r="D2088" s="153"/>
      <c r="E2088" s="6"/>
      <c r="G2088" s="6"/>
      <c r="J2088" s="6"/>
      <c r="N2088" s="154"/>
      <c r="O2088" s="6"/>
      <c r="S2088" s="6"/>
      <c r="V2088" s="6"/>
      <c r="X2088" s="6"/>
      <c r="Z2088" s="110"/>
      <c r="AB2088" s="6"/>
      <c r="AD2088" s="6"/>
      <c r="AE2088" s="6"/>
      <c r="AF2088" s="126"/>
      <c r="AJ2088" s="6"/>
      <c r="AL2088" s="110"/>
      <c r="AM2088" s="110"/>
      <c r="AN2088" s="110"/>
      <c r="AP2088" s="6"/>
      <c r="AW2088" s="6"/>
      <c r="AX2088" s="6"/>
      <c r="AZ2088" s="110"/>
      <c r="BB2088" s="6"/>
      <c r="BD2088" s="6"/>
      <c r="BE2088" s="6"/>
      <c r="BV2088" s="17"/>
      <c r="BX2088" s="17"/>
      <c r="BZ2088" s="17"/>
    </row>
    <row r="2089" spans="4:78" x14ac:dyDescent="0.3">
      <c r="D2089" s="153"/>
      <c r="E2089" s="6"/>
      <c r="G2089" s="6"/>
      <c r="J2089" s="6"/>
      <c r="N2089" s="154"/>
      <c r="O2089" s="6"/>
      <c r="S2089" s="6"/>
      <c r="V2089" s="6"/>
      <c r="X2089" s="6"/>
      <c r="Z2089" s="110"/>
      <c r="AB2089" s="6"/>
      <c r="AD2089" s="6"/>
      <c r="AE2089" s="6"/>
      <c r="AF2089" s="126"/>
      <c r="AJ2089" s="6"/>
      <c r="AL2089" s="110"/>
      <c r="AM2089" s="110"/>
      <c r="AN2089" s="110"/>
      <c r="AP2089" s="6"/>
      <c r="AW2089" s="6"/>
      <c r="AX2089" s="6"/>
      <c r="AZ2089" s="110"/>
      <c r="BB2089" s="6"/>
      <c r="BD2089" s="6"/>
      <c r="BE2089" s="6"/>
      <c r="BV2089" s="17"/>
      <c r="BX2089" s="17"/>
      <c r="BZ2089" s="17"/>
    </row>
    <row r="2090" spans="4:78" x14ac:dyDescent="0.3">
      <c r="D2090" s="153"/>
      <c r="E2090" s="6"/>
      <c r="G2090" s="6"/>
      <c r="J2090" s="6"/>
      <c r="N2090" s="154"/>
      <c r="O2090" s="6"/>
      <c r="S2090" s="6"/>
      <c r="V2090" s="6"/>
      <c r="X2090" s="6"/>
      <c r="Z2090" s="110"/>
      <c r="AB2090" s="6"/>
      <c r="AD2090" s="6"/>
      <c r="AE2090" s="6"/>
      <c r="AF2090" s="126"/>
      <c r="AJ2090" s="6"/>
      <c r="AL2090" s="110"/>
      <c r="AM2090" s="110"/>
      <c r="AN2090" s="110"/>
      <c r="AP2090" s="6"/>
      <c r="AW2090" s="6"/>
      <c r="AX2090" s="6"/>
      <c r="AZ2090" s="110"/>
      <c r="BB2090" s="6"/>
      <c r="BD2090" s="6"/>
      <c r="BE2090" s="6"/>
      <c r="BV2090" s="17"/>
      <c r="BX2090" s="17"/>
      <c r="BZ2090" s="17"/>
    </row>
    <row r="2091" spans="4:78" x14ac:dyDescent="0.3">
      <c r="D2091" s="153"/>
      <c r="E2091" s="6"/>
      <c r="G2091" s="6"/>
      <c r="J2091" s="6"/>
      <c r="N2091" s="154"/>
      <c r="O2091" s="6"/>
      <c r="S2091" s="6"/>
      <c r="V2091" s="6"/>
      <c r="X2091" s="6"/>
      <c r="Z2091" s="110"/>
      <c r="AB2091" s="6"/>
      <c r="AD2091" s="6"/>
      <c r="AE2091" s="6"/>
      <c r="AF2091" s="126"/>
      <c r="AJ2091" s="6"/>
      <c r="AL2091" s="110"/>
      <c r="AM2091" s="110"/>
      <c r="AN2091" s="110"/>
      <c r="AP2091" s="6"/>
      <c r="AW2091" s="6"/>
      <c r="AX2091" s="6"/>
      <c r="AZ2091" s="110"/>
      <c r="BB2091" s="6"/>
      <c r="BD2091" s="6"/>
      <c r="BE2091" s="6"/>
      <c r="BV2091" s="17"/>
      <c r="BX2091" s="17"/>
      <c r="BZ2091" s="17"/>
    </row>
    <row r="2092" spans="4:78" x14ac:dyDescent="0.3">
      <c r="D2092" s="153"/>
      <c r="E2092" s="6"/>
      <c r="G2092" s="6"/>
      <c r="J2092" s="6"/>
      <c r="N2092" s="154"/>
      <c r="O2092" s="6"/>
      <c r="S2092" s="6"/>
      <c r="V2092" s="6"/>
      <c r="X2092" s="6"/>
      <c r="Z2092" s="110"/>
      <c r="AB2092" s="6"/>
      <c r="AD2092" s="6"/>
      <c r="AE2092" s="6"/>
      <c r="AF2092" s="126"/>
      <c r="AJ2092" s="6"/>
      <c r="AL2092" s="110"/>
      <c r="AM2092" s="110"/>
      <c r="AN2092" s="110"/>
      <c r="AP2092" s="6"/>
      <c r="AW2092" s="6"/>
      <c r="AX2092" s="6"/>
      <c r="AZ2092" s="110"/>
      <c r="BB2092" s="6"/>
      <c r="BD2092" s="6"/>
      <c r="BE2092" s="6"/>
      <c r="BV2092" s="17"/>
      <c r="BX2092" s="17"/>
      <c r="BZ2092" s="17"/>
    </row>
    <row r="2093" spans="4:78" x14ac:dyDescent="0.3">
      <c r="D2093" s="153"/>
      <c r="E2093" s="6"/>
      <c r="G2093" s="6"/>
      <c r="J2093" s="6"/>
      <c r="N2093" s="154"/>
      <c r="O2093" s="6"/>
      <c r="S2093" s="6"/>
      <c r="V2093" s="6"/>
      <c r="X2093" s="6"/>
      <c r="Z2093" s="110"/>
      <c r="AB2093" s="6"/>
      <c r="AD2093" s="6"/>
      <c r="AE2093" s="6"/>
      <c r="AF2093" s="126"/>
      <c r="AJ2093" s="6"/>
      <c r="AL2093" s="110"/>
      <c r="AM2093" s="110"/>
      <c r="AN2093" s="110"/>
      <c r="AP2093" s="6"/>
      <c r="AW2093" s="6"/>
      <c r="AX2093" s="6"/>
      <c r="AZ2093" s="110"/>
      <c r="BB2093" s="6"/>
      <c r="BD2093" s="6"/>
      <c r="BE2093" s="6"/>
      <c r="BV2093" s="17"/>
      <c r="BX2093" s="17"/>
      <c r="BZ2093" s="17"/>
    </row>
    <row r="2094" spans="4:78" x14ac:dyDescent="0.3">
      <c r="D2094" s="153"/>
      <c r="E2094" s="6"/>
      <c r="G2094" s="6"/>
      <c r="J2094" s="6"/>
      <c r="N2094" s="154"/>
      <c r="O2094" s="6"/>
      <c r="S2094" s="6"/>
      <c r="V2094" s="6"/>
      <c r="X2094" s="6"/>
      <c r="Z2094" s="110"/>
      <c r="AB2094" s="6"/>
      <c r="AD2094" s="6"/>
      <c r="AE2094" s="6"/>
      <c r="AF2094" s="126"/>
      <c r="AJ2094" s="6"/>
      <c r="AL2094" s="110"/>
      <c r="AM2094" s="110"/>
      <c r="AN2094" s="110"/>
      <c r="AP2094" s="6"/>
      <c r="AW2094" s="6"/>
      <c r="AX2094" s="6"/>
      <c r="AZ2094" s="110"/>
      <c r="BB2094" s="6"/>
      <c r="BD2094" s="6"/>
      <c r="BE2094" s="6"/>
      <c r="BV2094" s="17"/>
      <c r="BX2094" s="17"/>
      <c r="BZ2094" s="17"/>
    </row>
    <row r="2095" spans="4:78" x14ac:dyDescent="0.3">
      <c r="D2095" s="153"/>
      <c r="E2095" s="6"/>
      <c r="G2095" s="6"/>
      <c r="J2095" s="6"/>
      <c r="N2095" s="154"/>
      <c r="O2095" s="6"/>
      <c r="S2095" s="6"/>
      <c r="V2095" s="6"/>
      <c r="X2095" s="6"/>
      <c r="Z2095" s="110"/>
      <c r="AB2095" s="6"/>
      <c r="AD2095" s="6"/>
      <c r="AE2095" s="6"/>
      <c r="AF2095" s="126"/>
      <c r="AJ2095" s="6"/>
      <c r="AL2095" s="110"/>
      <c r="AM2095" s="110"/>
      <c r="AN2095" s="110"/>
      <c r="AP2095" s="6"/>
      <c r="AW2095" s="6"/>
      <c r="AX2095" s="6"/>
      <c r="AZ2095" s="110"/>
      <c r="BB2095" s="6"/>
      <c r="BD2095" s="6"/>
      <c r="BE2095" s="6"/>
      <c r="BV2095" s="17"/>
      <c r="BX2095" s="17"/>
      <c r="BZ2095" s="17"/>
    </row>
    <row r="2096" spans="4:78" x14ac:dyDescent="0.3">
      <c r="D2096" s="153"/>
      <c r="E2096" s="6"/>
      <c r="G2096" s="6"/>
      <c r="J2096" s="6"/>
      <c r="N2096" s="154"/>
      <c r="O2096" s="6"/>
      <c r="S2096" s="6"/>
      <c r="V2096" s="6"/>
      <c r="X2096" s="6"/>
      <c r="Z2096" s="110"/>
      <c r="AB2096" s="6"/>
      <c r="AD2096" s="6"/>
      <c r="AE2096" s="6"/>
      <c r="AF2096" s="126"/>
      <c r="AJ2096" s="6"/>
      <c r="AL2096" s="110"/>
      <c r="AM2096" s="110"/>
      <c r="AN2096" s="110"/>
      <c r="AP2096" s="6"/>
      <c r="AW2096" s="6"/>
      <c r="AX2096" s="6"/>
      <c r="AZ2096" s="110"/>
      <c r="BB2096" s="6"/>
      <c r="BD2096" s="6"/>
      <c r="BE2096" s="6"/>
      <c r="BV2096" s="17"/>
      <c r="BX2096" s="17"/>
      <c r="BZ2096" s="17"/>
    </row>
    <row r="2097" spans="4:78" x14ac:dyDescent="0.3">
      <c r="D2097" s="153"/>
      <c r="E2097" s="6"/>
      <c r="G2097" s="6"/>
      <c r="J2097" s="6"/>
      <c r="N2097" s="154"/>
      <c r="O2097" s="6"/>
      <c r="S2097" s="6"/>
      <c r="V2097" s="6"/>
      <c r="X2097" s="6"/>
      <c r="Z2097" s="110"/>
      <c r="AB2097" s="6"/>
      <c r="AD2097" s="6"/>
      <c r="AE2097" s="6"/>
      <c r="AF2097" s="126"/>
      <c r="AJ2097" s="6"/>
      <c r="AL2097" s="110"/>
      <c r="AM2097" s="110"/>
      <c r="AN2097" s="110"/>
      <c r="AP2097" s="6"/>
      <c r="AW2097" s="6"/>
      <c r="AX2097" s="6"/>
      <c r="AZ2097" s="110"/>
      <c r="BB2097" s="6"/>
      <c r="BD2097" s="6"/>
      <c r="BE2097" s="6"/>
      <c r="BV2097" s="17"/>
      <c r="BX2097" s="17"/>
      <c r="BZ2097" s="17"/>
    </row>
    <row r="2098" spans="4:78" x14ac:dyDescent="0.3">
      <c r="D2098" s="153"/>
      <c r="E2098" s="6"/>
      <c r="G2098" s="6"/>
      <c r="J2098" s="6"/>
      <c r="N2098" s="154"/>
      <c r="O2098" s="6"/>
      <c r="S2098" s="6"/>
      <c r="V2098" s="6"/>
      <c r="X2098" s="6"/>
      <c r="Z2098" s="110"/>
      <c r="AB2098" s="6"/>
      <c r="AD2098" s="6"/>
      <c r="AE2098" s="6"/>
      <c r="AF2098" s="126"/>
      <c r="AJ2098" s="6"/>
      <c r="AL2098" s="110"/>
      <c r="AM2098" s="110"/>
      <c r="AN2098" s="110"/>
      <c r="AP2098" s="6"/>
      <c r="AW2098" s="6"/>
      <c r="AX2098" s="6"/>
      <c r="AZ2098" s="110"/>
      <c r="BB2098" s="6"/>
      <c r="BD2098" s="6"/>
      <c r="BE2098" s="6"/>
      <c r="BV2098" s="17"/>
      <c r="BX2098" s="17"/>
      <c r="BZ2098" s="17"/>
    </row>
    <row r="2099" spans="4:78" x14ac:dyDescent="0.3">
      <c r="D2099" s="153"/>
      <c r="E2099" s="6"/>
      <c r="G2099" s="6"/>
      <c r="J2099" s="6"/>
      <c r="N2099" s="154"/>
      <c r="O2099" s="6"/>
      <c r="S2099" s="6"/>
      <c r="V2099" s="6"/>
      <c r="X2099" s="6"/>
      <c r="Z2099" s="110"/>
      <c r="AB2099" s="6"/>
      <c r="AD2099" s="6"/>
      <c r="AE2099" s="6"/>
      <c r="AF2099" s="126"/>
      <c r="AJ2099" s="6"/>
      <c r="AL2099" s="110"/>
      <c r="AM2099" s="110"/>
      <c r="AN2099" s="110"/>
      <c r="AP2099" s="6"/>
      <c r="AW2099" s="6"/>
      <c r="AX2099" s="6"/>
      <c r="AZ2099" s="110"/>
      <c r="BB2099" s="6"/>
      <c r="BD2099" s="6"/>
      <c r="BE2099" s="6"/>
      <c r="BV2099" s="17"/>
      <c r="BX2099" s="17"/>
      <c r="BZ2099" s="17"/>
    </row>
    <row r="2100" spans="4:78" x14ac:dyDescent="0.3">
      <c r="D2100" s="153"/>
      <c r="E2100" s="6"/>
      <c r="G2100" s="6"/>
      <c r="J2100" s="6"/>
      <c r="N2100" s="154"/>
      <c r="O2100" s="6"/>
      <c r="S2100" s="6"/>
      <c r="V2100" s="6"/>
      <c r="X2100" s="6"/>
      <c r="Z2100" s="110"/>
      <c r="AB2100" s="6"/>
      <c r="AD2100" s="6"/>
      <c r="AE2100" s="6"/>
      <c r="AF2100" s="126"/>
      <c r="AJ2100" s="6"/>
      <c r="AL2100" s="110"/>
      <c r="AM2100" s="110"/>
      <c r="AN2100" s="110"/>
      <c r="AP2100" s="6"/>
      <c r="AW2100" s="6"/>
      <c r="AX2100" s="6"/>
      <c r="AZ2100" s="110"/>
      <c r="BB2100" s="6"/>
      <c r="BD2100" s="6"/>
      <c r="BE2100" s="6"/>
      <c r="BV2100" s="17"/>
      <c r="BX2100" s="17"/>
      <c r="BZ2100" s="17"/>
    </row>
    <row r="2101" spans="4:78" x14ac:dyDescent="0.3">
      <c r="D2101" s="153"/>
      <c r="E2101" s="6"/>
      <c r="G2101" s="6"/>
      <c r="J2101" s="6"/>
      <c r="N2101" s="154"/>
      <c r="O2101" s="6"/>
      <c r="S2101" s="6"/>
      <c r="V2101" s="6"/>
      <c r="X2101" s="6"/>
      <c r="Z2101" s="110"/>
      <c r="AB2101" s="6"/>
      <c r="AD2101" s="6"/>
      <c r="AE2101" s="6"/>
      <c r="AF2101" s="126"/>
      <c r="AJ2101" s="6"/>
      <c r="AL2101" s="110"/>
      <c r="AM2101" s="110"/>
      <c r="AN2101" s="110"/>
      <c r="AP2101" s="6"/>
      <c r="AW2101" s="6"/>
      <c r="AX2101" s="6"/>
      <c r="AZ2101" s="110"/>
      <c r="BB2101" s="6"/>
      <c r="BD2101" s="6"/>
      <c r="BE2101" s="6"/>
      <c r="BV2101" s="17"/>
      <c r="BX2101" s="17"/>
      <c r="BZ2101" s="17"/>
    </row>
    <row r="2102" spans="4:78" x14ac:dyDescent="0.3">
      <c r="D2102" s="153"/>
      <c r="E2102" s="6"/>
      <c r="G2102" s="6"/>
      <c r="J2102" s="6"/>
      <c r="N2102" s="154"/>
      <c r="O2102" s="6"/>
      <c r="S2102" s="6"/>
      <c r="V2102" s="6"/>
      <c r="X2102" s="6"/>
      <c r="Z2102" s="110"/>
      <c r="AB2102" s="6"/>
      <c r="AD2102" s="6"/>
      <c r="AE2102" s="6"/>
      <c r="AF2102" s="126"/>
      <c r="AJ2102" s="6"/>
      <c r="AL2102" s="110"/>
      <c r="AM2102" s="110"/>
      <c r="AN2102" s="110"/>
      <c r="AP2102" s="6"/>
      <c r="AW2102" s="6"/>
      <c r="AX2102" s="6"/>
      <c r="AZ2102" s="110"/>
      <c r="BB2102" s="6"/>
      <c r="BD2102" s="6"/>
      <c r="BE2102" s="6"/>
      <c r="BV2102" s="17"/>
      <c r="BX2102" s="17"/>
      <c r="BZ2102" s="17"/>
    </row>
    <row r="2103" spans="4:78" x14ac:dyDescent="0.3">
      <c r="D2103" s="153"/>
      <c r="E2103" s="6"/>
      <c r="G2103" s="6"/>
      <c r="J2103" s="6"/>
      <c r="N2103" s="154"/>
      <c r="O2103" s="6"/>
      <c r="S2103" s="6"/>
      <c r="V2103" s="6"/>
      <c r="X2103" s="6"/>
      <c r="Z2103" s="110"/>
      <c r="AB2103" s="6"/>
      <c r="AD2103" s="6"/>
      <c r="AE2103" s="6"/>
      <c r="AF2103" s="126"/>
      <c r="AJ2103" s="6"/>
      <c r="AL2103" s="110"/>
      <c r="AM2103" s="110"/>
      <c r="AN2103" s="110"/>
      <c r="AP2103" s="6"/>
      <c r="AW2103" s="6"/>
      <c r="AX2103" s="6"/>
      <c r="AZ2103" s="110"/>
      <c r="BB2103" s="6"/>
      <c r="BD2103" s="6"/>
      <c r="BE2103" s="6"/>
      <c r="BV2103" s="17"/>
      <c r="BX2103" s="17"/>
      <c r="BZ2103" s="17"/>
    </row>
    <row r="2104" spans="4:78" x14ac:dyDescent="0.3">
      <c r="D2104" s="153"/>
      <c r="E2104" s="6"/>
      <c r="G2104" s="6"/>
      <c r="J2104" s="6"/>
      <c r="N2104" s="154"/>
      <c r="O2104" s="6"/>
      <c r="S2104" s="6"/>
      <c r="V2104" s="6"/>
      <c r="X2104" s="6"/>
      <c r="Z2104" s="110"/>
      <c r="AB2104" s="6"/>
      <c r="AD2104" s="6"/>
      <c r="AE2104" s="6"/>
      <c r="AF2104" s="126"/>
      <c r="AJ2104" s="6"/>
      <c r="AL2104" s="110"/>
      <c r="AM2104" s="110"/>
      <c r="AN2104" s="110"/>
      <c r="AP2104" s="6"/>
      <c r="AW2104" s="6"/>
      <c r="AX2104" s="6"/>
      <c r="AZ2104" s="110"/>
      <c r="BB2104" s="6"/>
      <c r="BD2104" s="6"/>
      <c r="BE2104" s="6"/>
      <c r="BV2104" s="17"/>
      <c r="BX2104" s="17"/>
      <c r="BZ2104" s="17"/>
    </row>
    <row r="2105" spans="4:78" x14ac:dyDescent="0.3">
      <c r="D2105" s="153"/>
      <c r="E2105" s="6"/>
      <c r="G2105" s="6"/>
      <c r="J2105" s="6"/>
      <c r="N2105" s="154"/>
      <c r="O2105" s="6"/>
      <c r="S2105" s="6"/>
      <c r="V2105" s="6"/>
      <c r="X2105" s="6"/>
      <c r="Z2105" s="110"/>
      <c r="AB2105" s="6"/>
      <c r="AD2105" s="6"/>
      <c r="AE2105" s="6"/>
      <c r="AF2105" s="126"/>
      <c r="AJ2105" s="6"/>
      <c r="AL2105" s="110"/>
      <c r="AM2105" s="110"/>
      <c r="AN2105" s="110"/>
      <c r="AP2105" s="6"/>
      <c r="AW2105" s="6"/>
      <c r="AX2105" s="6"/>
      <c r="AZ2105" s="110"/>
      <c r="BB2105" s="6"/>
      <c r="BD2105" s="6"/>
      <c r="BE2105" s="6"/>
      <c r="BV2105" s="17"/>
      <c r="BX2105" s="17"/>
      <c r="BZ2105" s="17"/>
    </row>
    <row r="2106" spans="4:78" x14ac:dyDescent="0.3">
      <c r="D2106" s="153"/>
      <c r="E2106" s="6"/>
      <c r="G2106" s="6"/>
      <c r="J2106" s="6"/>
      <c r="N2106" s="154"/>
      <c r="O2106" s="6"/>
      <c r="S2106" s="6"/>
      <c r="V2106" s="6"/>
      <c r="X2106" s="6"/>
      <c r="Z2106" s="110"/>
      <c r="AB2106" s="6"/>
      <c r="AD2106" s="6"/>
      <c r="AE2106" s="6"/>
      <c r="AF2106" s="126"/>
      <c r="AJ2106" s="6"/>
      <c r="AL2106" s="110"/>
      <c r="AM2106" s="110"/>
      <c r="AN2106" s="110"/>
      <c r="AP2106" s="6"/>
      <c r="AW2106" s="6"/>
      <c r="AX2106" s="6"/>
      <c r="AZ2106" s="110"/>
      <c r="BB2106" s="6"/>
      <c r="BD2106" s="6"/>
      <c r="BE2106" s="6"/>
      <c r="BV2106" s="17"/>
      <c r="BX2106" s="17"/>
      <c r="BZ2106" s="17"/>
    </row>
    <row r="2107" spans="4:78" x14ac:dyDescent="0.3">
      <c r="D2107" s="153"/>
      <c r="E2107" s="6"/>
      <c r="G2107" s="6"/>
      <c r="J2107" s="6"/>
      <c r="N2107" s="154"/>
      <c r="O2107" s="6"/>
      <c r="S2107" s="6"/>
      <c r="V2107" s="6"/>
      <c r="X2107" s="6"/>
      <c r="Z2107" s="110"/>
      <c r="AB2107" s="6"/>
      <c r="AD2107" s="6"/>
      <c r="AE2107" s="6"/>
      <c r="AF2107" s="126"/>
      <c r="AJ2107" s="6"/>
      <c r="AL2107" s="110"/>
      <c r="AM2107" s="110"/>
      <c r="AN2107" s="110"/>
      <c r="AP2107" s="6"/>
      <c r="AW2107" s="6"/>
      <c r="AX2107" s="6"/>
      <c r="AZ2107" s="110"/>
      <c r="BB2107" s="6"/>
      <c r="BD2107" s="6"/>
      <c r="BE2107" s="6"/>
      <c r="BV2107" s="17"/>
      <c r="BX2107" s="17"/>
      <c r="BZ2107" s="17"/>
    </row>
    <row r="2108" spans="4:78" x14ac:dyDescent="0.3">
      <c r="D2108" s="153"/>
      <c r="E2108" s="6"/>
      <c r="G2108" s="6"/>
      <c r="J2108" s="6"/>
      <c r="N2108" s="154"/>
      <c r="O2108" s="6"/>
      <c r="S2108" s="6"/>
      <c r="V2108" s="6"/>
      <c r="X2108" s="6"/>
      <c r="Z2108" s="110"/>
      <c r="AB2108" s="6"/>
      <c r="AD2108" s="6"/>
      <c r="AE2108" s="6"/>
      <c r="AF2108" s="126"/>
      <c r="AJ2108" s="6"/>
      <c r="AL2108" s="110"/>
      <c r="AM2108" s="110"/>
      <c r="AN2108" s="110"/>
      <c r="AP2108" s="6"/>
      <c r="AW2108" s="6"/>
      <c r="AX2108" s="6"/>
      <c r="AZ2108" s="110"/>
      <c r="BB2108" s="6"/>
      <c r="BD2108" s="6"/>
      <c r="BE2108" s="6"/>
      <c r="BV2108" s="17"/>
      <c r="BX2108" s="17"/>
      <c r="BZ2108" s="17"/>
    </row>
    <row r="2109" spans="4:78" x14ac:dyDescent="0.3">
      <c r="D2109" s="153"/>
      <c r="E2109" s="6"/>
      <c r="G2109" s="6"/>
      <c r="J2109" s="6"/>
      <c r="N2109" s="154"/>
      <c r="O2109" s="6"/>
      <c r="S2109" s="6"/>
      <c r="V2109" s="6"/>
      <c r="X2109" s="6"/>
      <c r="Z2109" s="110"/>
      <c r="AB2109" s="6"/>
      <c r="AD2109" s="6"/>
      <c r="AE2109" s="6"/>
      <c r="AF2109" s="126"/>
      <c r="AJ2109" s="6"/>
      <c r="AL2109" s="110"/>
      <c r="AM2109" s="110"/>
      <c r="AN2109" s="110"/>
      <c r="AP2109" s="6"/>
      <c r="AW2109" s="6"/>
      <c r="AX2109" s="6"/>
      <c r="AZ2109" s="110"/>
      <c r="BB2109" s="6"/>
      <c r="BD2109" s="6"/>
      <c r="BE2109" s="6"/>
      <c r="BV2109" s="17"/>
      <c r="BX2109" s="17"/>
      <c r="BZ2109" s="17"/>
    </row>
    <row r="2110" spans="4:78" x14ac:dyDescent="0.3">
      <c r="D2110" s="153"/>
      <c r="E2110" s="6"/>
      <c r="G2110" s="6"/>
      <c r="J2110" s="6"/>
      <c r="N2110" s="154"/>
      <c r="O2110" s="6"/>
      <c r="S2110" s="6"/>
      <c r="V2110" s="6"/>
      <c r="X2110" s="6"/>
      <c r="Z2110" s="110"/>
      <c r="AB2110" s="6"/>
      <c r="AD2110" s="6"/>
      <c r="AE2110" s="6"/>
      <c r="AF2110" s="126"/>
      <c r="AJ2110" s="6"/>
      <c r="AL2110" s="110"/>
      <c r="AM2110" s="110"/>
      <c r="AN2110" s="110"/>
      <c r="AP2110" s="6"/>
      <c r="AW2110" s="6"/>
      <c r="AX2110" s="6"/>
      <c r="AZ2110" s="110"/>
      <c r="BB2110" s="6"/>
      <c r="BD2110" s="6"/>
      <c r="BE2110" s="6"/>
      <c r="BV2110" s="17"/>
      <c r="BX2110" s="17"/>
      <c r="BZ2110" s="17"/>
    </row>
    <row r="2111" spans="4:78" x14ac:dyDescent="0.3">
      <c r="D2111" s="153"/>
      <c r="E2111" s="6"/>
      <c r="G2111" s="6"/>
      <c r="J2111" s="6"/>
      <c r="N2111" s="154"/>
      <c r="O2111" s="6"/>
      <c r="S2111" s="6"/>
      <c r="V2111" s="6"/>
      <c r="X2111" s="6"/>
      <c r="Z2111" s="110"/>
      <c r="AB2111" s="6"/>
      <c r="AD2111" s="6"/>
      <c r="AE2111" s="6"/>
      <c r="AF2111" s="126"/>
      <c r="AJ2111" s="6"/>
      <c r="AL2111" s="110"/>
      <c r="AM2111" s="110"/>
      <c r="AN2111" s="110"/>
      <c r="AP2111" s="6"/>
      <c r="AW2111" s="6"/>
      <c r="AX2111" s="6"/>
      <c r="AZ2111" s="110"/>
      <c r="BB2111" s="6"/>
      <c r="BD2111" s="6"/>
      <c r="BE2111" s="6"/>
      <c r="BV2111" s="17"/>
      <c r="BX2111" s="17"/>
      <c r="BZ2111" s="17"/>
    </row>
    <row r="2112" spans="4:78" x14ac:dyDescent="0.3">
      <c r="D2112" s="153"/>
      <c r="E2112" s="6"/>
      <c r="G2112" s="6"/>
      <c r="J2112" s="6"/>
      <c r="N2112" s="154"/>
      <c r="O2112" s="6"/>
      <c r="S2112" s="6"/>
      <c r="V2112" s="6"/>
      <c r="X2112" s="6"/>
      <c r="Z2112" s="110"/>
      <c r="AB2112" s="6"/>
      <c r="AD2112" s="6"/>
      <c r="AE2112" s="6"/>
      <c r="AF2112" s="126"/>
      <c r="AJ2112" s="6"/>
      <c r="AL2112" s="110"/>
      <c r="AM2112" s="110"/>
      <c r="AN2112" s="110"/>
      <c r="AP2112" s="6"/>
      <c r="AW2112" s="6"/>
      <c r="AX2112" s="6"/>
      <c r="AZ2112" s="110"/>
      <c r="BB2112" s="6"/>
      <c r="BD2112" s="6"/>
      <c r="BE2112" s="6"/>
      <c r="BV2112" s="17"/>
      <c r="BX2112" s="17"/>
      <c r="BZ2112" s="17"/>
    </row>
    <row r="2113" spans="4:78" x14ac:dyDescent="0.3">
      <c r="D2113" s="153"/>
      <c r="E2113" s="6"/>
      <c r="G2113" s="6"/>
      <c r="J2113" s="6"/>
      <c r="N2113" s="154"/>
      <c r="O2113" s="6"/>
      <c r="S2113" s="6"/>
      <c r="V2113" s="6"/>
      <c r="X2113" s="6"/>
      <c r="Z2113" s="110"/>
      <c r="AB2113" s="6"/>
      <c r="AD2113" s="6"/>
      <c r="AE2113" s="6"/>
      <c r="AF2113" s="126"/>
      <c r="AJ2113" s="6"/>
      <c r="AL2113" s="110"/>
      <c r="AM2113" s="110"/>
      <c r="AN2113" s="110"/>
      <c r="AP2113" s="6"/>
      <c r="AW2113" s="6"/>
      <c r="AX2113" s="6"/>
      <c r="AZ2113" s="110"/>
      <c r="BB2113" s="6"/>
      <c r="BD2113" s="6"/>
      <c r="BE2113" s="6"/>
      <c r="BV2113" s="17"/>
      <c r="BX2113" s="17"/>
      <c r="BZ2113" s="17"/>
    </row>
    <row r="2114" spans="4:78" x14ac:dyDescent="0.3">
      <c r="D2114" s="153"/>
      <c r="E2114" s="6"/>
      <c r="G2114" s="6"/>
      <c r="J2114" s="6"/>
      <c r="N2114" s="154"/>
      <c r="O2114" s="6"/>
      <c r="S2114" s="6"/>
      <c r="V2114" s="6"/>
      <c r="X2114" s="6"/>
      <c r="Z2114" s="110"/>
      <c r="AB2114" s="6"/>
      <c r="AD2114" s="6"/>
      <c r="AE2114" s="6"/>
      <c r="AF2114" s="126"/>
      <c r="AJ2114" s="6"/>
      <c r="AL2114" s="110"/>
      <c r="AM2114" s="110"/>
      <c r="AN2114" s="110"/>
      <c r="AP2114" s="6"/>
      <c r="AW2114" s="6"/>
      <c r="AX2114" s="6"/>
      <c r="AZ2114" s="110"/>
      <c r="BB2114" s="6"/>
      <c r="BD2114" s="6"/>
      <c r="BE2114" s="6"/>
      <c r="BV2114" s="17"/>
      <c r="BX2114" s="17"/>
      <c r="BZ2114" s="17"/>
    </row>
    <row r="2115" spans="4:78" x14ac:dyDescent="0.3">
      <c r="D2115" s="153"/>
      <c r="E2115" s="6"/>
      <c r="G2115" s="6"/>
      <c r="J2115" s="6"/>
      <c r="N2115" s="154"/>
      <c r="O2115" s="6"/>
      <c r="S2115" s="6"/>
      <c r="V2115" s="6"/>
      <c r="X2115" s="6"/>
      <c r="Z2115" s="110"/>
      <c r="AB2115" s="6"/>
      <c r="AD2115" s="6"/>
      <c r="AE2115" s="6"/>
      <c r="AF2115" s="126"/>
      <c r="AJ2115" s="6"/>
      <c r="AL2115" s="110"/>
      <c r="AM2115" s="110"/>
      <c r="AN2115" s="110"/>
      <c r="AP2115" s="6"/>
      <c r="AW2115" s="6"/>
      <c r="AX2115" s="6"/>
      <c r="AZ2115" s="110"/>
      <c r="BB2115" s="6"/>
      <c r="BD2115" s="6"/>
      <c r="BE2115" s="6"/>
      <c r="BV2115" s="17"/>
      <c r="BX2115" s="17"/>
      <c r="BZ2115" s="17"/>
    </row>
    <row r="2116" spans="4:78" x14ac:dyDescent="0.3">
      <c r="D2116" s="153"/>
      <c r="E2116" s="6"/>
      <c r="G2116" s="6"/>
      <c r="J2116" s="6"/>
      <c r="N2116" s="154"/>
      <c r="O2116" s="6"/>
      <c r="S2116" s="6"/>
      <c r="V2116" s="6"/>
      <c r="X2116" s="6"/>
      <c r="Z2116" s="110"/>
      <c r="AB2116" s="6"/>
      <c r="AD2116" s="6"/>
      <c r="AE2116" s="6"/>
      <c r="AF2116" s="126"/>
      <c r="AJ2116" s="6"/>
      <c r="AL2116" s="110"/>
      <c r="AM2116" s="110"/>
      <c r="AN2116" s="110"/>
      <c r="AP2116" s="6"/>
      <c r="AW2116" s="6"/>
      <c r="AX2116" s="6"/>
      <c r="AZ2116" s="110"/>
      <c r="BB2116" s="6"/>
      <c r="BD2116" s="6"/>
      <c r="BE2116" s="6"/>
      <c r="BV2116" s="17"/>
      <c r="BX2116" s="17"/>
      <c r="BZ2116" s="17"/>
    </row>
    <row r="2117" spans="4:78" x14ac:dyDescent="0.3">
      <c r="D2117" s="153"/>
      <c r="E2117" s="6"/>
      <c r="G2117" s="6"/>
      <c r="J2117" s="6"/>
      <c r="N2117" s="154"/>
      <c r="O2117" s="6"/>
      <c r="S2117" s="6"/>
      <c r="V2117" s="6"/>
      <c r="X2117" s="6"/>
      <c r="Z2117" s="110"/>
      <c r="AB2117" s="6"/>
      <c r="AD2117" s="6"/>
      <c r="AE2117" s="6"/>
      <c r="AF2117" s="126"/>
      <c r="AJ2117" s="6"/>
      <c r="AL2117" s="110"/>
      <c r="AM2117" s="110"/>
      <c r="AN2117" s="110"/>
      <c r="AP2117" s="6"/>
      <c r="AW2117" s="6"/>
      <c r="AX2117" s="6"/>
      <c r="AZ2117" s="110"/>
      <c r="BB2117" s="6"/>
      <c r="BD2117" s="6"/>
      <c r="BE2117" s="6"/>
      <c r="BV2117" s="17"/>
      <c r="BX2117" s="17"/>
      <c r="BZ2117" s="17"/>
    </row>
    <row r="2118" spans="4:78" x14ac:dyDescent="0.3">
      <c r="D2118" s="153"/>
      <c r="E2118" s="6"/>
      <c r="G2118" s="6"/>
      <c r="J2118" s="6"/>
      <c r="N2118" s="154"/>
      <c r="O2118" s="6"/>
      <c r="S2118" s="6"/>
      <c r="V2118" s="6"/>
      <c r="X2118" s="6"/>
      <c r="Z2118" s="110"/>
      <c r="AB2118" s="6"/>
      <c r="AD2118" s="6"/>
      <c r="AE2118" s="6"/>
      <c r="AF2118" s="126"/>
      <c r="AJ2118" s="6"/>
      <c r="AL2118" s="110"/>
      <c r="AM2118" s="110"/>
      <c r="AN2118" s="110"/>
      <c r="AP2118" s="6"/>
      <c r="AW2118" s="6"/>
      <c r="AX2118" s="6"/>
      <c r="AZ2118" s="110"/>
      <c r="BB2118" s="6"/>
      <c r="BD2118" s="6"/>
      <c r="BE2118" s="6"/>
      <c r="BV2118" s="17"/>
      <c r="BX2118" s="17"/>
      <c r="BZ2118" s="17"/>
    </row>
    <row r="2119" spans="4:78" x14ac:dyDescent="0.3">
      <c r="D2119" s="153"/>
      <c r="E2119" s="6"/>
      <c r="G2119" s="6"/>
      <c r="J2119" s="6"/>
      <c r="N2119" s="154"/>
      <c r="O2119" s="6"/>
      <c r="S2119" s="6"/>
      <c r="V2119" s="6"/>
      <c r="X2119" s="6"/>
      <c r="Z2119" s="110"/>
      <c r="AB2119" s="6"/>
      <c r="AD2119" s="6"/>
      <c r="AE2119" s="6"/>
      <c r="AF2119" s="126"/>
      <c r="AJ2119" s="6"/>
      <c r="AL2119" s="110"/>
      <c r="AM2119" s="110"/>
      <c r="AN2119" s="110"/>
      <c r="AP2119" s="6"/>
      <c r="AW2119" s="6"/>
      <c r="AX2119" s="6"/>
      <c r="AZ2119" s="110"/>
      <c r="BB2119" s="6"/>
      <c r="BD2119" s="6"/>
      <c r="BE2119" s="6"/>
      <c r="BV2119" s="17"/>
      <c r="BX2119" s="17"/>
      <c r="BZ2119" s="17"/>
    </row>
    <row r="2120" spans="4:78" x14ac:dyDescent="0.3">
      <c r="D2120" s="153"/>
      <c r="E2120" s="6"/>
      <c r="G2120" s="6"/>
      <c r="J2120" s="6"/>
      <c r="N2120" s="154"/>
      <c r="O2120" s="6"/>
      <c r="S2120" s="6"/>
      <c r="V2120" s="6"/>
      <c r="X2120" s="6"/>
      <c r="Z2120" s="110"/>
      <c r="AB2120" s="6"/>
      <c r="AD2120" s="6"/>
      <c r="AE2120" s="6"/>
      <c r="AF2120" s="126"/>
      <c r="AJ2120" s="6"/>
      <c r="AL2120" s="110"/>
      <c r="AM2120" s="110"/>
      <c r="AN2120" s="110"/>
      <c r="AP2120" s="6"/>
      <c r="AW2120" s="6"/>
      <c r="AX2120" s="6"/>
      <c r="AZ2120" s="110"/>
      <c r="BB2120" s="6"/>
      <c r="BD2120" s="6"/>
      <c r="BE2120" s="6"/>
      <c r="BV2120" s="17"/>
      <c r="BX2120" s="17"/>
      <c r="BZ2120" s="17"/>
    </row>
    <row r="2121" spans="4:78" x14ac:dyDescent="0.3">
      <c r="D2121" s="153"/>
      <c r="E2121" s="6"/>
      <c r="G2121" s="6"/>
      <c r="J2121" s="6"/>
      <c r="N2121" s="154"/>
      <c r="O2121" s="6"/>
      <c r="S2121" s="6"/>
      <c r="V2121" s="6"/>
      <c r="X2121" s="6"/>
      <c r="Z2121" s="110"/>
      <c r="AB2121" s="6"/>
      <c r="AD2121" s="6"/>
      <c r="AE2121" s="6"/>
      <c r="AF2121" s="126"/>
      <c r="AJ2121" s="6"/>
      <c r="AL2121" s="110"/>
      <c r="AM2121" s="110"/>
      <c r="AN2121" s="110"/>
      <c r="AP2121" s="6"/>
      <c r="AW2121" s="6"/>
      <c r="AX2121" s="6"/>
      <c r="AZ2121" s="110"/>
      <c r="BB2121" s="6"/>
      <c r="BD2121" s="6"/>
      <c r="BE2121" s="6"/>
      <c r="BV2121" s="17"/>
      <c r="BX2121" s="17"/>
      <c r="BZ2121" s="17"/>
    </row>
    <row r="2122" spans="4:78" x14ac:dyDescent="0.3">
      <c r="D2122" s="153"/>
      <c r="E2122" s="6"/>
      <c r="G2122" s="6"/>
      <c r="J2122" s="6"/>
      <c r="N2122" s="154"/>
      <c r="O2122" s="6"/>
      <c r="S2122" s="6"/>
      <c r="V2122" s="6"/>
      <c r="X2122" s="6"/>
      <c r="Z2122" s="110"/>
      <c r="AB2122" s="6"/>
      <c r="AD2122" s="6"/>
      <c r="AE2122" s="6"/>
      <c r="AF2122" s="126"/>
      <c r="AJ2122" s="6"/>
      <c r="AL2122" s="110"/>
      <c r="AM2122" s="110"/>
      <c r="AN2122" s="110"/>
      <c r="AP2122" s="6"/>
      <c r="AW2122" s="6"/>
      <c r="AX2122" s="6"/>
      <c r="AZ2122" s="110"/>
      <c r="BB2122" s="6"/>
      <c r="BD2122" s="6"/>
      <c r="BE2122" s="6"/>
      <c r="BV2122" s="17"/>
      <c r="BX2122" s="17"/>
      <c r="BZ2122" s="17"/>
    </row>
    <row r="2123" spans="4:78" x14ac:dyDescent="0.3">
      <c r="D2123" s="153"/>
      <c r="E2123" s="6"/>
      <c r="G2123" s="6"/>
      <c r="J2123" s="6"/>
      <c r="N2123" s="154"/>
      <c r="O2123" s="6"/>
      <c r="S2123" s="6"/>
      <c r="V2123" s="6"/>
      <c r="X2123" s="6"/>
      <c r="Z2123" s="110"/>
      <c r="AB2123" s="6"/>
      <c r="AD2123" s="6"/>
      <c r="AE2123" s="6"/>
      <c r="AF2123" s="126"/>
      <c r="AJ2123" s="6"/>
      <c r="AL2123" s="110"/>
      <c r="AM2123" s="110"/>
      <c r="AN2123" s="110"/>
      <c r="AP2123" s="6"/>
      <c r="AW2123" s="6"/>
      <c r="AX2123" s="6"/>
      <c r="AZ2123" s="110"/>
      <c r="BB2123" s="6"/>
      <c r="BD2123" s="6"/>
      <c r="BE2123" s="6"/>
      <c r="BV2123" s="17"/>
      <c r="BX2123" s="17"/>
      <c r="BZ2123" s="17"/>
    </row>
    <row r="2124" spans="4:78" x14ac:dyDescent="0.3">
      <c r="D2124" s="153"/>
      <c r="E2124" s="6"/>
      <c r="G2124" s="6"/>
      <c r="J2124" s="6"/>
      <c r="N2124" s="154"/>
      <c r="O2124" s="6"/>
      <c r="S2124" s="6"/>
      <c r="V2124" s="6"/>
      <c r="X2124" s="6"/>
      <c r="Z2124" s="110"/>
      <c r="AB2124" s="6"/>
      <c r="AD2124" s="6"/>
      <c r="AE2124" s="6"/>
      <c r="AF2124" s="126"/>
      <c r="AJ2124" s="6"/>
      <c r="AL2124" s="110"/>
      <c r="AM2124" s="110"/>
      <c r="AN2124" s="110"/>
      <c r="AP2124" s="6"/>
      <c r="AW2124" s="6"/>
      <c r="AX2124" s="6"/>
      <c r="AZ2124" s="110"/>
      <c r="BB2124" s="6"/>
      <c r="BD2124" s="6"/>
      <c r="BE2124" s="6"/>
      <c r="BV2124" s="17"/>
      <c r="BX2124" s="17"/>
      <c r="BZ2124" s="17"/>
    </row>
    <row r="2125" spans="4:78" x14ac:dyDescent="0.3">
      <c r="D2125" s="153"/>
      <c r="E2125" s="6"/>
      <c r="G2125" s="6"/>
      <c r="J2125" s="6"/>
      <c r="N2125" s="154"/>
      <c r="O2125" s="6"/>
      <c r="S2125" s="6"/>
      <c r="V2125" s="6"/>
      <c r="X2125" s="6"/>
      <c r="Z2125" s="110"/>
      <c r="AB2125" s="6"/>
      <c r="AD2125" s="6"/>
      <c r="AE2125" s="6"/>
      <c r="AF2125" s="126"/>
      <c r="AJ2125" s="6"/>
      <c r="AL2125" s="110"/>
      <c r="AM2125" s="110"/>
      <c r="AN2125" s="110"/>
      <c r="AP2125" s="6"/>
      <c r="AW2125" s="6"/>
      <c r="AX2125" s="6"/>
      <c r="AZ2125" s="110"/>
      <c r="BB2125" s="6"/>
      <c r="BD2125" s="6"/>
      <c r="BE2125" s="6"/>
      <c r="BV2125" s="17"/>
      <c r="BX2125" s="17"/>
      <c r="BZ2125" s="17"/>
    </row>
    <row r="2126" spans="4:78" x14ac:dyDescent="0.3">
      <c r="D2126" s="153"/>
      <c r="E2126" s="6"/>
      <c r="G2126" s="6"/>
      <c r="J2126" s="6"/>
      <c r="N2126" s="154"/>
      <c r="O2126" s="6"/>
      <c r="S2126" s="6"/>
      <c r="V2126" s="6"/>
      <c r="X2126" s="6"/>
      <c r="Z2126" s="110"/>
      <c r="AB2126" s="6"/>
      <c r="AD2126" s="6"/>
      <c r="AE2126" s="6"/>
      <c r="AF2126" s="126"/>
      <c r="AJ2126" s="6"/>
      <c r="AL2126" s="110"/>
      <c r="AM2126" s="110"/>
      <c r="AN2126" s="110"/>
      <c r="AP2126" s="6"/>
      <c r="AW2126" s="6"/>
      <c r="AX2126" s="6"/>
      <c r="AZ2126" s="110"/>
      <c r="BB2126" s="6"/>
      <c r="BD2126" s="6"/>
      <c r="BE2126" s="6"/>
      <c r="BV2126" s="17"/>
      <c r="BX2126" s="17"/>
      <c r="BZ2126" s="17"/>
    </row>
    <row r="2127" spans="4:78" x14ac:dyDescent="0.3">
      <c r="D2127" s="153"/>
      <c r="E2127" s="6"/>
      <c r="G2127" s="6"/>
      <c r="J2127" s="6"/>
      <c r="N2127" s="154"/>
      <c r="O2127" s="6"/>
      <c r="S2127" s="6"/>
      <c r="V2127" s="6"/>
      <c r="X2127" s="6"/>
      <c r="Z2127" s="110"/>
      <c r="AB2127" s="6"/>
      <c r="AD2127" s="6"/>
      <c r="AE2127" s="6"/>
      <c r="AF2127" s="126"/>
      <c r="AJ2127" s="6"/>
      <c r="AL2127" s="110"/>
      <c r="AM2127" s="110"/>
      <c r="AN2127" s="110"/>
      <c r="AP2127" s="6"/>
      <c r="AW2127" s="6"/>
      <c r="AX2127" s="6"/>
      <c r="AZ2127" s="110"/>
      <c r="BB2127" s="6"/>
      <c r="BD2127" s="6"/>
      <c r="BE2127" s="6"/>
      <c r="BV2127" s="17"/>
      <c r="BX2127" s="17"/>
      <c r="BZ2127" s="17"/>
    </row>
    <row r="2128" spans="4:78" x14ac:dyDescent="0.3">
      <c r="D2128" s="153"/>
      <c r="E2128" s="6"/>
      <c r="G2128" s="6"/>
      <c r="J2128" s="6"/>
      <c r="N2128" s="154"/>
      <c r="O2128" s="6"/>
      <c r="S2128" s="6"/>
      <c r="V2128" s="6"/>
      <c r="X2128" s="6"/>
      <c r="Z2128" s="110"/>
      <c r="AB2128" s="6"/>
      <c r="AD2128" s="6"/>
      <c r="AE2128" s="6"/>
      <c r="AF2128" s="126"/>
      <c r="AJ2128" s="6"/>
      <c r="AL2128" s="110"/>
      <c r="AM2128" s="110"/>
      <c r="AN2128" s="110"/>
      <c r="AP2128" s="6"/>
      <c r="AW2128" s="6"/>
      <c r="AX2128" s="6"/>
      <c r="AZ2128" s="110"/>
      <c r="BB2128" s="6"/>
      <c r="BD2128" s="6"/>
      <c r="BE2128" s="6"/>
      <c r="BV2128" s="17"/>
      <c r="BX2128" s="17"/>
      <c r="BZ2128" s="17"/>
    </row>
    <row r="2129" spans="4:78" x14ac:dyDescent="0.3">
      <c r="D2129" s="153"/>
      <c r="E2129" s="6"/>
      <c r="G2129" s="6"/>
      <c r="J2129" s="6"/>
      <c r="N2129" s="154"/>
      <c r="O2129" s="6"/>
      <c r="S2129" s="6"/>
      <c r="V2129" s="6"/>
      <c r="X2129" s="6"/>
      <c r="Z2129" s="110"/>
      <c r="AB2129" s="6"/>
      <c r="AD2129" s="6"/>
      <c r="AE2129" s="6"/>
      <c r="AF2129" s="126"/>
      <c r="AJ2129" s="6"/>
      <c r="AL2129" s="110"/>
      <c r="AM2129" s="110"/>
      <c r="AN2129" s="110"/>
      <c r="AP2129" s="6"/>
      <c r="AW2129" s="6"/>
      <c r="AX2129" s="6"/>
      <c r="AZ2129" s="110"/>
      <c r="BB2129" s="6"/>
      <c r="BD2129" s="6"/>
      <c r="BE2129" s="6"/>
      <c r="BV2129" s="17"/>
      <c r="BX2129" s="17"/>
      <c r="BZ2129" s="17"/>
    </row>
    <row r="2130" spans="4:78" x14ac:dyDescent="0.3">
      <c r="D2130" s="153"/>
      <c r="E2130" s="6"/>
      <c r="G2130" s="6"/>
      <c r="J2130" s="6"/>
      <c r="N2130" s="154"/>
      <c r="O2130" s="6"/>
      <c r="S2130" s="6"/>
      <c r="V2130" s="6"/>
      <c r="X2130" s="6"/>
      <c r="Z2130" s="110"/>
      <c r="AB2130" s="6"/>
      <c r="AD2130" s="6"/>
      <c r="AE2130" s="6"/>
      <c r="AF2130" s="126"/>
      <c r="AJ2130" s="6"/>
      <c r="AL2130" s="110"/>
      <c r="AM2130" s="110"/>
      <c r="AN2130" s="110"/>
      <c r="AP2130" s="6"/>
      <c r="AW2130" s="6"/>
      <c r="AX2130" s="6"/>
      <c r="AZ2130" s="110"/>
      <c r="BB2130" s="6"/>
      <c r="BD2130" s="6"/>
      <c r="BE2130" s="6"/>
      <c r="BV2130" s="17"/>
      <c r="BX2130" s="17"/>
      <c r="BZ2130" s="17"/>
    </row>
    <row r="2131" spans="4:78" x14ac:dyDescent="0.3">
      <c r="D2131" s="153"/>
      <c r="E2131" s="6"/>
      <c r="G2131" s="6"/>
      <c r="J2131" s="6"/>
      <c r="N2131" s="154"/>
      <c r="O2131" s="6"/>
      <c r="S2131" s="6"/>
      <c r="V2131" s="6"/>
      <c r="X2131" s="6"/>
      <c r="Z2131" s="110"/>
      <c r="AB2131" s="6"/>
      <c r="AD2131" s="6"/>
      <c r="AE2131" s="6"/>
      <c r="AF2131" s="126"/>
      <c r="AJ2131" s="6"/>
      <c r="AL2131" s="110"/>
      <c r="AM2131" s="110"/>
      <c r="AN2131" s="110"/>
      <c r="AP2131" s="6"/>
      <c r="AW2131" s="6"/>
      <c r="AX2131" s="6"/>
      <c r="AZ2131" s="110"/>
      <c r="BB2131" s="6"/>
      <c r="BD2131" s="6"/>
      <c r="BE2131" s="6"/>
      <c r="BV2131" s="17"/>
      <c r="BX2131" s="17"/>
      <c r="BZ2131" s="17"/>
    </row>
    <row r="2132" spans="4:78" x14ac:dyDescent="0.3">
      <c r="D2132" s="153"/>
      <c r="E2132" s="6"/>
      <c r="G2132" s="6"/>
      <c r="J2132" s="6"/>
      <c r="N2132" s="154"/>
      <c r="O2132" s="6"/>
      <c r="S2132" s="6"/>
      <c r="V2132" s="6"/>
      <c r="X2132" s="6"/>
      <c r="Z2132" s="110"/>
      <c r="AB2132" s="6"/>
      <c r="AD2132" s="6"/>
      <c r="AE2132" s="6"/>
      <c r="AF2132" s="126"/>
      <c r="AJ2132" s="6"/>
      <c r="AL2132" s="110"/>
      <c r="AM2132" s="110"/>
      <c r="AN2132" s="110"/>
      <c r="AP2132" s="6"/>
      <c r="AW2132" s="6"/>
      <c r="AX2132" s="6"/>
      <c r="AZ2132" s="110"/>
      <c r="BB2132" s="6"/>
      <c r="BD2132" s="6"/>
      <c r="BE2132" s="6"/>
      <c r="BV2132" s="17"/>
      <c r="BX2132" s="17"/>
      <c r="BZ2132" s="17"/>
    </row>
    <row r="2133" spans="4:78" x14ac:dyDescent="0.3">
      <c r="D2133" s="153"/>
      <c r="E2133" s="6"/>
      <c r="G2133" s="6"/>
      <c r="J2133" s="6"/>
      <c r="N2133" s="154"/>
      <c r="O2133" s="6"/>
      <c r="S2133" s="6"/>
      <c r="V2133" s="6"/>
      <c r="X2133" s="6"/>
      <c r="Z2133" s="110"/>
      <c r="AB2133" s="6"/>
      <c r="AD2133" s="6"/>
      <c r="AE2133" s="6"/>
      <c r="AF2133" s="126"/>
      <c r="AJ2133" s="6"/>
      <c r="AL2133" s="110"/>
      <c r="AM2133" s="110"/>
      <c r="AN2133" s="110"/>
      <c r="AP2133" s="6"/>
      <c r="AW2133" s="6"/>
      <c r="AX2133" s="6"/>
      <c r="AZ2133" s="110"/>
      <c r="BB2133" s="6"/>
      <c r="BD2133" s="6"/>
      <c r="BE2133" s="6"/>
      <c r="BV2133" s="17"/>
      <c r="BX2133" s="17"/>
      <c r="BZ2133" s="17"/>
    </row>
    <row r="2134" spans="4:78" x14ac:dyDescent="0.3">
      <c r="D2134" s="153"/>
      <c r="E2134" s="6"/>
      <c r="G2134" s="6"/>
      <c r="J2134" s="6"/>
      <c r="N2134" s="154"/>
      <c r="O2134" s="6"/>
      <c r="S2134" s="6"/>
      <c r="V2134" s="6"/>
      <c r="X2134" s="6"/>
      <c r="Z2134" s="110"/>
      <c r="AB2134" s="6"/>
      <c r="AD2134" s="6"/>
      <c r="AE2134" s="6"/>
      <c r="AF2134" s="126"/>
      <c r="AJ2134" s="6"/>
      <c r="AL2134" s="110"/>
      <c r="AM2134" s="110"/>
      <c r="AN2134" s="110"/>
      <c r="AP2134" s="6"/>
      <c r="AW2134" s="6"/>
      <c r="AX2134" s="6"/>
      <c r="AZ2134" s="110"/>
      <c r="BB2134" s="6"/>
      <c r="BD2134" s="6"/>
      <c r="BE2134" s="6"/>
      <c r="BV2134" s="17"/>
      <c r="BX2134" s="17"/>
      <c r="BZ2134" s="17"/>
    </row>
    <row r="2135" spans="4:78" x14ac:dyDescent="0.3">
      <c r="D2135" s="153"/>
      <c r="E2135" s="6"/>
      <c r="G2135" s="6"/>
      <c r="J2135" s="6"/>
      <c r="N2135" s="154"/>
      <c r="O2135" s="6"/>
      <c r="S2135" s="6"/>
      <c r="V2135" s="6"/>
      <c r="X2135" s="6"/>
      <c r="Z2135" s="110"/>
      <c r="AB2135" s="6"/>
      <c r="AD2135" s="6"/>
      <c r="AE2135" s="6"/>
      <c r="AF2135" s="126"/>
      <c r="AJ2135" s="6"/>
      <c r="AL2135" s="110"/>
      <c r="AM2135" s="110"/>
      <c r="AN2135" s="110"/>
      <c r="AP2135" s="6"/>
      <c r="AW2135" s="6"/>
      <c r="AX2135" s="6"/>
      <c r="AZ2135" s="110"/>
      <c r="BB2135" s="6"/>
      <c r="BD2135" s="6"/>
      <c r="BE2135" s="6"/>
      <c r="BV2135" s="17"/>
      <c r="BX2135" s="17"/>
      <c r="BZ2135" s="17"/>
    </row>
    <row r="2136" spans="4:78" x14ac:dyDescent="0.3">
      <c r="D2136" s="153"/>
      <c r="E2136" s="6"/>
      <c r="G2136" s="6"/>
      <c r="J2136" s="6"/>
      <c r="N2136" s="154"/>
      <c r="O2136" s="6"/>
      <c r="S2136" s="6"/>
      <c r="V2136" s="6"/>
      <c r="X2136" s="6"/>
      <c r="Z2136" s="110"/>
      <c r="AB2136" s="6"/>
      <c r="AD2136" s="6"/>
      <c r="AE2136" s="6"/>
      <c r="AF2136" s="126"/>
      <c r="AJ2136" s="6"/>
      <c r="AL2136" s="110"/>
      <c r="AM2136" s="110"/>
      <c r="AN2136" s="110"/>
      <c r="AP2136" s="6"/>
      <c r="AW2136" s="6"/>
      <c r="AX2136" s="6"/>
      <c r="AZ2136" s="110"/>
      <c r="BB2136" s="6"/>
      <c r="BD2136" s="6"/>
      <c r="BE2136" s="6"/>
      <c r="BV2136" s="17"/>
      <c r="BX2136" s="17"/>
      <c r="BZ2136" s="17"/>
    </row>
    <row r="2137" spans="4:78" x14ac:dyDescent="0.3">
      <c r="D2137" s="153"/>
      <c r="E2137" s="6"/>
      <c r="G2137" s="6"/>
      <c r="J2137" s="6"/>
      <c r="N2137" s="154"/>
      <c r="O2137" s="6"/>
      <c r="S2137" s="6"/>
      <c r="V2137" s="6"/>
      <c r="X2137" s="6"/>
      <c r="Z2137" s="110"/>
      <c r="AB2137" s="6"/>
      <c r="AD2137" s="6"/>
      <c r="AE2137" s="6"/>
      <c r="AF2137" s="126"/>
      <c r="AJ2137" s="6"/>
      <c r="AL2137" s="110"/>
      <c r="AM2137" s="110"/>
      <c r="AN2137" s="110"/>
      <c r="AP2137" s="6"/>
      <c r="AW2137" s="6"/>
      <c r="AX2137" s="6"/>
      <c r="AZ2137" s="110"/>
      <c r="BB2137" s="6"/>
      <c r="BD2137" s="6"/>
      <c r="BE2137" s="6"/>
      <c r="BV2137" s="17"/>
      <c r="BX2137" s="17"/>
      <c r="BZ2137" s="17"/>
    </row>
    <row r="2138" spans="4:78" x14ac:dyDescent="0.3">
      <c r="D2138" s="153"/>
      <c r="E2138" s="6"/>
      <c r="G2138" s="6"/>
      <c r="J2138" s="6"/>
      <c r="N2138" s="154"/>
      <c r="O2138" s="6"/>
      <c r="S2138" s="6"/>
      <c r="V2138" s="6"/>
      <c r="X2138" s="6"/>
      <c r="Z2138" s="110"/>
      <c r="AB2138" s="6"/>
      <c r="AD2138" s="6"/>
      <c r="AE2138" s="6"/>
      <c r="AF2138" s="126"/>
      <c r="AJ2138" s="6"/>
      <c r="AL2138" s="110"/>
      <c r="AM2138" s="110"/>
      <c r="AN2138" s="110"/>
      <c r="AP2138" s="6"/>
      <c r="AW2138" s="6"/>
      <c r="AX2138" s="6"/>
      <c r="AZ2138" s="110"/>
      <c r="BB2138" s="6"/>
      <c r="BD2138" s="6"/>
      <c r="BE2138" s="6"/>
      <c r="BV2138" s="17"/>
      <c r="BX2138" s="17"/>
      <c r="BZ2138" s="17"/>
    </row>
    <row r="2139" spans="4:78" x14ac:dyDescent="0.3">
      <c r="D2139" s="153"/>
      <c r="E2139" s="6"/>
      <c r="G2139" s="6"/>
      <c r="J2139" s="6"/>
      <c r="N2139" s="154"/>
      <c r="O2139" s="6"/>
      <c r="S2139" s="6"/>
      <c r="V2139" s="6"/>
      <c r="X2139" s="6"/>
      <c r="Z2139" s="110"/>
      <c r="AB2139" s="6"/>
      <c r="AD2139" s="6"/>
      <c r="AE2139" s="6"/>
      <c r="AF2139" s="126"/>
      <c r="AJ2139" s="6"/>
      <c r="AL2139" s="110"/>
      <c r="AM2139" s="110"/>
      <c r="AN2139" s="110"/>
      <c r="AP2139" s="6"/>
      <c r="AW2139" s="6"/>
      <c r="AX2139" s="6"/>
      <c r="AZ2139" s="110"/>
      <c r="BB2139" s="6"/>
      <c r="BD2139" s="6"/>
      <c r="BE2139" s="6"/>
      <c r="BV2139" s="17"/>
      <c r="BX2139" s="17"/>
      <c r="BZ2139" s="17"/>
    </row>
    <row r="2140" spans="4:78" x14ac:dyDescent="0.3">
      <c r="D2140" s="153"/>
      <c r="E2140" s="6"/>
      <c r="G2140" s="6"/>
      <c r="J2140" s="6"/>
      <c r="N2140" s="154"/>
      <c r="O2140" s="6"/>
      <c r="S2140" s="6"/>
      <c r="V2140" s="6"/>
      <c r="X2140" s="6"/>
      <c r="Z2140" s="110"/>
      <c r="AB2140" s="6"/>
      <c r="AD2140" s="6"/>
      <c r="AE2140" s="6"/>
      <c r="AF2140" s="126"/>
      <c r="AJ2140" s="6"/>
      <c r="AL2140" s="110"/>
      <c r="AM2140" s="110"/>
      <c r="AN2140" s="110"/>
      <c r="AP2140" s="6"/>
      <c r="AW2140" s="6"/>
      <c r="AX2140" s="6"/>
      <c r="AZ2140" s="110"/>
      <c r="BB2140" s="6"/>
      <c r="BD2140" s="6"/>
      <c r="BE2140" s="6"/>
      <c r="BV2140" s="17"/>
      <c r="BX2140" s="17"/>
      <c r="BZ2140" s="17"/>
    </row>
    <row r="2141" spans="4:78" x14ac:dyDescent="0.3">
      <c r="D2141" s="153"/>
      <c r="E2141" s="6"/>
      <c r="G2141" s="6"/>
      <c r="J2141" s="6"/>
      <c r="N2141" s="154"/>
      <c r="O2141" s="6"/>
      <c r="S2141" s="6"/>
      <c r="V2141" s="6"/>
      <c r="X2141" s="6"/>
      <c r="Z2141" s="110"/>
      <c r="AB2141" s="6"/>
      <c r="AD2141" s="6"/>
      <c r="AE2141" s="6"/>
      <c r="AF2141" s="126"/>
      <c r="AJ2141" s="6"/>
      <c r="AL2141" s="110"/>
      <c r="AM2141" s="110"/>
      <c r="AN2141" s="110"/>
      <c r="AP2141" s="6"/>
      <c r="AW2141" s="6"/>
      <c r="AX2141" s="6"/>
      <c r="AZ2141" s="110"/>
      <c r="BB2141" s="6"/>
      <c r="BD2141" s="6"/>
      <c r="BE2141" s="6"/>
      <c r="BV2141" s="17"/>
      <c r="BX2141" s="17"/>
      <c r="BZ2141" s="17"/>
    </row>
    <row r="2142" spans="4:78" x14ac:dyDescent="0.3">
      <c r="D2142" s="153"/>
      <c r="E2142" s="6"/>
      <c r="G2142" s="6"/>
      <c r="J2142" s="6"/>
      <c r="N2142" s="154"/>
      <c r="O2142" s="6"/>
      <c r="S2142" s="6"/>
      <c r="V2142" s="6"/>
      <c r="X2142" s="6"/>
      <c r="Z2142" s="110"/>
      <c r="AB2142" s="6"/>
      <c r="AD2142" s="6"/>
      <c r="AE2142" s="6"/>
      <c r="AF2142" s="126"/>
      <c r="AJ2142" s="6"/>
      <c r="AL2142" s="110"/>
      <c r="AM2142" s="110"/>
      <c r="AN2142" s="110"/>
      <c r="AP2142" s="6"/>
      <c r="AW2142" s="6"/>
      <c r="AX2142" s="6"/>
      <c r="AZ2142" s="110"/>
      <c r="BB2142" s="6"/>
      <c r="BD2142" s="6"/>
      <c r="BE2142" s="6"/>
      <c r="BV2142" s="17"/>
      <c r="BX2142" s="17"/>
      <c r="BZ2142" s="17"/>
    </row>
    <row r="2143" spans="4:78" x14ac:dyDescent="0.3">
      <c r="D2143" s="153"/>
      <c r="E2143" s="6"/>
      <c r="G2143" s="6"/>
      <c r="J2143" s="6"/>
      <c r="N2143" s="154"/>
      <c r="O2143" s="6"/>
      <c r="S2143" s="6"/>
      <c r="V2143" s="6"/>
      <c r="X2143" s="6"/>
      <c r="Z2143" s="110"/>
      <c r="AB2143" s="6"/>
      <c r="AD2143" s="6"/>
      <c r="AE2143" s="6"/>
      <c r="AF2143" s="126"/>
      <c r="AJ2143" s="6"/>
      <c r="AL2143" s="110"/>
      <c r="AM2143" s="110"/>
      <c r="AN2143" s="110"/>
      <c r="AP2143" s="6"/>
      <c r="AW2143" s="6"/>
      <c r="AX2143" s="6"/>
      <c r="AZ2143" s="110"/>
      <c r="BB2143" s="6"/>
      <c r="BD2143" s="6"/>
      <c r="BE2143" s="6"/>
      <c r="BV2143" s="17"/>
      <c r="BX2143" s="17"/>
      <c r="BZ2143" s="17"/>
    </row>
    <row r="2144" spans="4:78" x14ac:dyDescent="0.3">
      <c r="D2144" s="153"/>
      <c r="E2144" s="6"/>
      <c r="G2144" s="6"/>
      <c r="J2144" s="6"/>
      <c r="N2144" s="154"/>
      <c r="O2144" s="6"/>
      <c r="S2144" s="6"/>
      <c r="V2144" s="6"/>
      <c r="X2144" s="6"/>
      <c r="Z2144" s="110"/>
      <c r="AB2144" s="6"/>
      <c r="AD2144" s="6"/>
      <c r="AE2144" s="6"/>
      <c r="AF2144" s="126"/>
      <c r="AJ2144" s="6"/>
      <c r="AL2144" s="110"/>
      <c r="AM2144" s="110"/>
      <c r="AN2144" s="110"/>
      <c r="AP2144" s="6"/>
      <c r="AW2144" s="6"/>
      <c r="AX2144" s="6"/>
      <c r="AZ2144" s="110"/>
      <c r="BB2144" s="6"/>
      <c r="BD2144" s="6"/>
      <c r="BE2144" s="6"/>
      <c r="BV2144" s="17"/>
      <c r="BX2144" s="17"/>
      <c r="BZ2144" s="17"/>
    </row>
    <row r="2145" spans="4:78" x14ac:dyDescent="0.3">
      <c r="D2145" s="153"/>
      <c r="E2145" s="6"/>
      <c r="G2145" s="6"/>
      <c r="J2145" s="6"/>
      <c r="N2145" s="154"/>
      <c r="O2145" s="6"/>
      <c r="S2145" s="6"/>
      <c r="V2145" s="6"/>
      <c r="X2145" s="6"/>
      <c r="Z2145" s="110"/>
      <c r="AB2145" s="6"/>
      <c r="AD2145" s="6"/>
      <c r="AE2145" s="6"/>
      <c r="AF2145" s="126"/>
      <c r="AJ2145" s="6"/>
      <c r="AL2145" s="110"/>
      <c r="AM2145" s="110"/>
      <c r="AN2145" s="110"/>
      <c r="AP2145" s="6"/>
      <c r="AW2145" s="6"/>
      <c r="AX2145" s="6"/>
      <c r="AZ2145" s="110"/>
      <c r="BB2145" s="6"/>
      <c r="BD2145" s="6"/>
      <c r="BE2145" s="6"/>
      <c r="BV2145" s="17"/>
      <c r="BX2145" s="17"/>
      <c r="BZ2145" s="17"/>
    </row>
    <row r="2146" spans="4:78" x14ac:dyDescent="0.3">
      <c r="D2146" s="153"/>
      <c r="E2146" s="6"/>
      <c r="G2146" s="6"/>
      <c r="J2146" s="6"/>
      <c r="N2146" s="154"/>
      <c r="O2146" s="6"/>
      <c r="S2146" s="6"/>
      <c r="V2146" s="6"/>
      <c r="X2146" s="6"/>
      <c r="Z2146" s="110"/>
      <c r="AB2146" s="6"/>
      <c r="AD2146" s="6"/>
      <c r="AE2146" s="6"/>
      <c r="AF2146" s="126"/>
      <c r="AJ2146" s="6"/>
      <c r="AL2146" s="110"/>
      <c r="AM2146" s="110"/>
      <c r="AN2146" s="110"/>
      <c r="AP2146" s="6"/>
      <c r="AW2146" s="6"/>
      <c r="AX2146" s="6"/>
      <c r="AZ2146" s="110"/>
      <c r="BB2146" s="6"/>
      <c r="BD2146" s="6"/>
      <c r="BE2146" s="6"/>
      <c r="BV2146" s="17"/>
      <c r="BX2146" s="17"/>
      <c r="BZ2146" s="17"/>
    </row>
    <row r="2147" spans="4:78" x14ac:dyDescent="0.3">
      <c r="D2147" s="153"/>
      <c r="E2147" s="6"/>
      <c r="G2147" s="6"/>
      <c r="J2147" s="6"/>
      <c r="N2147" s="154"/>
      <c r="O2147" s="6"/>
      <c r="S2147" s="6"/>
      <c r="V2147" s="6"/>
      <c r="X2147" s="6"/>
      <c r="Z2147" s="110"/>
      <c r="AB2147" s="6"/>
      <c r="AD2147" s="6"/>
      <c r="AE2147" s="6"/>
      <c r="AF2147" s="126"/>
      <c r="AJ2147" s="6"/>
      <c r="AL2147" s="110"/>
      <c r="AM2147" s="110"/>
      <c r="AN2147" s="110"/>
      <c r="AP2147" s="6"/>
      <c r="AW2147" s="6"/>
      <c r="AX2147" s="6"/>
      <c r="AZ2147" s="110"/>
      <c r="BB2147" s="6"/>
      <c r="BD2147" s="6"/>
      <c r="BE2147" s="6"/>
      <c r="BV2147" s="17"/>
      <c r="BX2147" s="17"/>
      <c r="BZ2147" s="17"/>
    </row>
    <row r="2148" spans="4:78" x14ac:dyDescent="0.3">
      <c r="D2148" s="153"/>
      <c r="E2148" s="6"/>
      <c r="G2148" s="6"/>
      <c r="J2148" s="6"/>
      <c r="N2148" s="154"/>
      <c r="O2148" s="6"/>
      <c r="S2148" s="6"/>
      <c r="V2148" s="6"/>
      <c r="X2148" s="6"/>
      <c r="Z2148" s="110"/>
      <c r="AB2148" s="6"/>
      <c r="AD2148" s="6"/>
      <c r="AE2148" s="6"/>
      <c r="AF2148" s="126"/>
      <c r="AJ2148" s="6"/>
      <c r="AL2148" s="110"/>
      <c r="AM2148" s="110"/>
      <c r="AN2148" s="110"/>
      <c r="AP2148" s="6"/>
      <c r="AW2148" s="6"/>
      <c r="AX2148" s="6"/>
      <c r="AZ2148" s="110"/>
      <c r="BB2148" s="6"/>
      <c r="BD2148" s="6"/>
      <c r="BE2148" s="6"/>
      <c r="BV2148" s="17"/>
      <c r="BX2148" s="17"/>
      <c r="BZ2148" s="17"/>
    </row>
    <row r="2149" spans="4:78" x14ac:dyDescent="0.3">
      <c r="D2149" s="153"/>
      <c r="E2149" s="6"/>
      <c r="G2149" s="6"/>
      <c r="J2149" s="6"/>
      <c r="N2149" s="154"/>
      <c r="O2149" s="6"/>
      <c r="S2149" s="6"/>
      <c r="V2149" s="6"/>
      <c r="X2149" s="6"/>
      <c r="Z2149" s="110"/>
      <c r="AB2149" s="6"/>
      <c r="AD2149" s="6"/>
      <c r="AE2149" s="6"/>
      <c r="AF2149" s="126"/>
      <c r="AJ2149" s="6"/>
      <c r="AL2149" s="110"/>
      <c r="AM2149" s="110"/>
      <c r="AN2149" s="110"/>
      <c r="AP2149" s="6"/>
      <c r="AW2149" s="6"/>
      <c r="AX2149" s="6"/>
      <c r="AZ2149" s="110"/>
      <c r="BB2149" s="6"/>
      <c r="BD2149" s="6"/>
      <c r="BE2149" s="6"/>
      <c r="BV2149" s="17"/>
      <c r="BX2149" s="17"/>
      <c r="BZ2149" s="17"/>
    </row>
    <row r="2150" spans="4:78" x14ac:dyDescent="0.3">
      <c r="D2150" s="153"/>
      <c r="E2150" s="6"/>
      <c r="G2150" s="6"/>
      <c r="J2150" s="6"/>
      <c r="N2150" s="154"/>
      <c r="O2150" s="6"/>
      <c r="S2150" s="6"/>
      <c r="V2150" s="6"/>
      <c r="X2150" s="6"/>
      <c r="Z2150" s="110"/>
      <c r="AB2150" s="6"/>
      <c r="AD2150" s="6"/>
      <c r="AE2150" s="6"/>
      <c r="AF2150" s="126"/>
      <c r="AJ2150" s="6"/>
      <c r="AL2150" s="110"/>
      <c r="AM2150" s="110"/>
      <c r="AN2150" s="110"/>
      <c r="AP2150" s="6"/>
      <c r="AW2150" s="6"/>
      <c r="AX2150" s="6"/>
      <c r="AZ2150" s="110"/>
      <c r="BB2150" s="6"/>
      <c r="BD2150" s="6"/>
      <c r="BE2150" s="6"/>
      <c r="BV2150" s="17"/>
      <c r="BX2150" s="17"/>
      <c r="BZ2150" s="17"/>
    </row>
    <row r="2151" spans="4:78" x14ac:dyDescent="0.3">
      <c r="D2151" s="153"/>
      <c r="E2151" s="6"/>
      <c r="G2151" s="6"/>
      <c r="J2151" s="6"/>
      <c r="N2151" s="154"/>
      <c r="O2151" s="6"/>
      <c r="S2151" s="6"/>
      <c r="V2151" s="6"/>
      <c r="X2151" s="6"/>
      <c r="Z2151" s="110"/>
      <c r="AB2151" s="6"/>
      <c r="AD2151" s="6"/>
      <c r="AE2151" s="6"/>
      <c r="AF2151" s="126"/>
      <c r="AJ2151" s="6"/>
      <c r="AL2151" s="110"/>
      <c r="AM2151" s="110"/>
      <c r="AN2151" s="110"/>
      <c r="AP2151" s="6"/>
      <c r="AW2151" s="6"/>
      <c r="AX2151" s="6"/>
      <c r="AZ2151" s="110"/>
      <c r="BB2151" s="6"/>
      <c r="BD2151" s="6"/>
      <c r="BE2151" s="6"/>
      <c r="BV2151" s="17"/>
      <c r="BX2151" s="17"/>
      <c r="BZ2151" s="17"/>
    </row>
    <row r="2152" spans="4:78" x14ac:dyDescent="0.3">
      <c r="D2152" s="153"/>
      <c r="E2152" s="6"/>
      <c r="G2152" s="6"/>
      <c r="J2152" s="6"/>
      <c r="N2152" s="154"/>
      <c r="O2152" s="6"/>
      <c r="S2152" s="6"/>
      <c r="V2152" s="6"/>
      <c r="X2152" s="6"/>
      <c r="Z2152" s="110"/>
      <c r="AB2152" s="6"/>
      <c r="AD2152" s="6"/>
      <c r="AE2152" s="6"/>
      <c r="AF2152" s="126"/>
      <c r="AJ2152" s="6"/>
      <c r="AL2152" s="110"/>
      <c r="AM2152" s="110"/>
      <c r="AN2152" s="110"/>
      <c r="AP2152" s="6"/>
      <c r="AW2152" s="6"/>
      <c r="AX2152" s="6"/>
      <c r="AZ2152" s="110"/>
      <c r="BB2152" s="6"/>
      <c r="BD2152" s="6"/>
      <c r="BE2152" s="6"/>
      <c r="BV2152" s="17"/>
      <c r="BX2152" s="17"/>
      <c r="BZ2152" s="17"/>
    </row>
    <row r="2153" spans="4:78" x14ac:dyDescent="0.3">
      <c r="D2153" s="153"/>
      <c r="E2153" s="6"/>
      <c r="G2153" s="6"/>
      <c r="J2153" s="6"/>
      <c r="N2153" s="154"/>
      <c r="O2153" s="6"/>
      <c r="S2153" s="6"/>
      <c r="V2153" s="6"/>
      <c r="X2153" s="6"/>
      <c r="Z2153" s="110"/>
      <c r="AB2153" s="6"/>
      <c r="AD2153" s="6"/>
      <c r="AE2153" s="6"/>
      <c r="AF2153" s="126"/>
      <c r="AJ2153" s="6"/>
      <c r="AL2153" s="110"/>
      <c r="AM2153" s="110"/>
      <c r="AN2153" s="110"/>
      <c r="AP2153" s="6"/>
      <c r="AW2153" s="6"/>
      <c r="AX2153" s="6"/>
      <c r="AZ2153" s="110"/>
      <c r="BB2153" s="6"/>
      <c r="BD2153" s="6"/>
      <c r="BE2153" s="6"/>
      <c r="BV2153" s="17"/>
      <c r="BX2153" s="17"/>
      <c r="BZ2153" s="17"/>
    </row>
    <row r="2154" spans="4:78" x14ac:dyDescent="0.3">
      <c r="D2154" s="153"/>
      <c r="E2154" s="6"/>
      <c r="G2154" s="6"/>
      <c r="J2154" s="6"/>
      <c r="N2154" s="154"/>
      <c r="O2154" s="6"/>
      <c r="S2154" s="6"/>
      <c r="V2154" s="6"/>
      <c r="X2154" s="6"/>
      <c r="Z2154" s="110"/>
      <c r="AB2154" s="6"/>
      <c r="AD2154" s="6"/>
      <c r="AE2154" s="6"/>
      <c r="AF2154" s="126"/>
      <c r="AJ2154" s="6"/>
      <c r="AL2154" s="110"/>
      <c r="AM2154" s="110"/>
      <c r="AN2154" s="110"/>
      <c r="AP2154" s="6"/>
      <c r="AW2154" s="6"/>
      <c r="AX2154" s="6"/>
      <c r="AZ2154" s="110"/>
      <c r="BB2154" s="6"/>
      <c r="BD2154" s="6"/>
      <c r="BE2154" s="6"/>
      <c r="BV2154" s="17"/>
      <c r="BX2154" s="17"/>
      <c r="BZ2154" s="17"/>
    </row>
    <row r="2155" spans="4:78" x14ac:dyDescent="0.3">
      <c r="D2155" s="153"/>
      <c r="E2155" s="6"/>
      <c r="G2155" s="6"/>
      <c r="J2155" s="6"/>
      <c r="N2155" s="154"/>
      <c r="O2155" s="6"/>
      <c r="S2155" s="6"/>
      <c r="V2155" s="6"/>
      <c r="X2155" s="6"/>
      <c r="Z2155" s="110"/>
      <c r="AB2155" s="6"/>
      <c r="AD2155" s="6"/>
      <c r="AE2155" s="6"/>
      <c r="AF2155" s="126"/>
      <c r="AJ2155" s="6"/>
      <c r="AL2155" s="110"/>
      <c r="AM2155" s="110"/>
      <c r="AN2155" s="110"/>
      <c r="AP2155" s="6"/>
      <c r="AW2155" s="6"/>
      <c r="AX2155" s="6"/>
      <c r="AZ2155" s="110"/>
      <c r="BB2155" s="6"/>
      <c r="BD2155" s="6"/>
      <c r="BE2155" s="6"/>
      <c r="BV2155" s="17"/>
      <c r="BX2155" s="17"/>
      <c r="BZ2155" s="17"/>
    </row>
    <row r="2156" spans="4:78" x14ac:dyDescent="0.3">
      <c r="D2156" s="153"/>
      <c r="E2156" s="6"/>
      <c r="G2156" s="6"/>
      <c r="J2156" s="6"/>
      <c r="N2156" s="154"/>
      <c r="O2156" s="6"/>
      <c r="S2156" s="6"/>
      <c r="V2156" s="6"/>
      <c r="X2156" s="6"/>
      <c r="Z2156" s="110"/>
      <c r="AB2156" s="6"/>
      <c r="AD2156" s="6"/>
      <c r="AE2156" s="6"/>
      <c r="AF2156" s="126"/>
      <c r="AJ2156" s="6"/>
      <c r="AL2156" s="110"/>
      <c r="AM2156" s="110"/>
      <c r="AN2156" s="110"/>
      <c r="AP2156" s="6"/>
      <c r="AW2156" s="6"/>
      <c r="AX2156" s="6"/>
      <c r="AZ2156" s="110"/>
      <c r="BB2156" s="6"/>
      <c r="BD2156" s="6"/>
      <c r="BE2156" s="6"/>
      <c r="BV2156" s="17"/>
      <c r="BX2156" s="17"/>
      <c r="BZ2156" s="17"/>
    </row>
    <row r="2157" spans="4:78" x14ac:dyDescent="0.3">
      <c r="D2157" s="153"/>
      <c r="E2157" s="6"/>
      <c r="G2157" s="6"/>
      <c r="J2157" s="6"/>
      <c r="N2157" s="154"/>
      <c r="O2157" s="6"/>
      <c r="S2157" s="6"/>
      <c r="V2157" s="6"/>
      <c r="X2157" s="6"/>
      <c r="Z2157" s="110"/>
      <c r="AB2157" s="6"/>
      <c r="AD2157" s="6"/>
      <c r="AE2157" s="6"/>
      <c r="AF2157" s="126"/>
      <c r="AJ2157" s="6"/>
      <c r="AL2157" s="110"/>
      <c r="AM2157" s="110"/>
      <c r="AN2157" s="110"/>
      <c r="AP2157" s="6"/>
      <c r="AW2157" s="6"/>
      <c r="AX2157" s="6"/>
      <c r="AZ2157" s="110"/>
      <c r="BB2157" s="6"/>
      <c r="BD2157" s="6"/>
      <c r="BE2157" s="6"/>
      <c r="BV2157" s="17"/>
      <c r="BX2157" s="17"/>
      <c r="BZ2157" s="17"/>
    </row>
    <row r="2158" spans="4:78" x14ac:dyDescent="0.3">
      <c r="D2158" s="153"/>
      <c r="E2158" s="6"/>
      <c r="G2158" s="6"/>
      <c r="J2158" s="6"/>
      <c r="N2158" s="154"/>
      <c r="O2158" s="6"/>
      <c r="S2158" s="6"/>
      <c r="V2158" s="6"/>
      <c r="X2158" s="6"/>
      <c r="Z2158" s="110"/>
      <c r="AB2158" s="6"/>
      <c r="AD2158" s="6"/>
      <c r="AE2158" s="6"/>
      <c r="AF2158" s="126"/>
      <c r="AJ2158" s="6"/>
      <c r="AL2158" s="110"/>
      <c r="AM2158" s="110"/>
      <c r="AN2158" s="110"/>
      <c r="AP2158" s="6"/>
      <c r="AW2158" s="6"/>
      <c r="AX2158" s="6"/>
      <c r="AZ2158" s="110"/>
      <c r="BB2158" s="6"/>
      <c r="BD2158" s="6"/>
      <c r="BE2158" s="6"/>
      <c r="BV2158" s="17"/>
      <c r="BX2158" s="17"/>
      <c r="BZ2158" s="17"/>
    </row>
    <row r="2159" spans="4:78" x14ac:dyDescent="0.3">
      <c r="D2159" s="153"/>
      <c r="E2159" s="6"/>
      <c r="G2159" s="6"/>
      <c r="J2159" s="6"/>
      <c r="N2159" s="154"/>
      <c r="O2159" s="6"/>
      <c r="S2159" s="6"/>
      <c r="V2159" s="6"/>
      <c r="X2159" s="6"/>
      <c r="Z2159" s="110"/>
      <c r="AB2159" s="6"/>
      <c r="AD2159" s="6"/>
      <c r="AE2159" s="6"/>
      <c r="AF2159" s="126"/>
      <c r="AJ2159" s="6"/>
      <c r="AL2159" s="110"/>
      <c r="AM2159" s="110"/>
      <c r="AN2159" s="110"/>
      <c r="AP2159" s="6"/>
      <c r="AW2159" s="6"/>
      <c r="AX2159" s="6"/>
      <c r="AZ2159" s="110"/>
      <c r="BB2159" s="6"/>
      <c r="BD2159" s="6"/>
      <c r="BE2159" s="6"/>
      <c r="BV2159" s="17"/>
      <c r="BX2159" s="17"/>
      <c r="BZ2159" s="17"/>
    </row>
    <row r="2160" spans="4:78" x14ac:dyDescent="0.3">
      <c r="D2160" s="153"/>
      <c r="E2160" s="6"/>
      <c r="G2160" s="6"/>
      <c r="J2160" s="6"/>
      <c r="N2160" s="154"/>
      <c r="O2160" s="6"/>
      <c r="S2160" s="6"/>
      <c r="V2160" s="6"/>
      <c r="X2160" s="6"/>
      <c r="Z2160" s="110"/>
      <c r="AB2160" s="6"/>
      <c r="AD2160" s="6"/>
      <c r="AE2160" s="6"/>
      <c r="AF2160" s="126"/>
      <c r="AJ2160" s="6"/>
      <c r="AL2160" s="110"/>
      <c r="AM2160" s="110"/>
      <c r="AN2160" s="110"/>
      <c r="AP2160" s="6"/>
      <c r="AW2160" s="6"/>
      <c r="AX2160" s="6"/>
      <c r="AZ2160" s="110"/>
      <c r="BB2160" s="6"/>
      <c r="BD2160" s="6"/>
      <c r="BE2160" s="6"/>
      <c r="BV2160" s="17"/>
      <c r="BX2160" s="17"/>
      <c r="BZ2160" s="17"/>
    </row>
    <row r="2161" spans="4:78" x14ac:dyDescent="0.3">
      <c r="D2161" s="153"/>
      <c r="E2161" s="6"/>
      <c r="G2161" s="6"/>
      <c r="J2161" s="6"/>
      <c r="N2161" s="154"/>
      <c r="O2161" s="6"/>
      <c r="S2161" s="6"/>
      <c r="V2161" s="6"/>
      <c r="X2161" s="6"/>
      <c r="Z2161" s="110"/>
      <c r="AB2161" s="6"/>
      <c r="AD2161" s="6"/>
      <c r="AE2161" s="6"/>
      <c r="AF2161" s="126"/>
      <c r="AJ2161" s="6"/>
      <c r="AL2161" s="110"/>
      <c r="AM2161" s="110"/>
      <c r="AN2161" s="110"/>
      <c r="AP2161" s="6"/>
      <c r="AW2161" s="6"/>
      <c r="AX2161" s="6"/>
      <c r="AZ2161" s="110"/>
      <c r="BB2161" s="6"/>
      <c r="BD2161" s="6"/>
      <c r="BE2161" s="6"/>
      <c r="BV2161" s="17"/>
      <c r="BX2161" s="17"/>
      <c r="BZ2161" s="17"/>
    </row>
    <row r="2162" spans="4:78" x14ac:dyDescent="0.3">
      <c r="D2162" s="153"/>
      <c r="E2162" s="6"/>
      <c r="G2162" s="6"/>
      <c r="J2162" s="6"/>
      <c r="N2162" s="154"/>
      <c r="O2162" s="6"/>
      <c r="S2162" s="6"/>
      <c r="V2162" s="6"/>
      <c r="X2162" s="6"/>
      <c r="Z2162" s="110"/>
      <c r="AB2162" s="6"/>
      <c r="AD2162" s="6"/>
      <c r="AE2162" s="6"/>
      <c r="AF2162" s="126"/>
      <c r="AJ2162" s="6"/>
      <c r="AL2162" s="110"/>
      <c r="AM2162" s="110"/>
      <c r="AN2162" s="110"/>
      <c r="AP2162" s="6"/>
      <c r="AW2162" s="6"/>
      <c r="AX2162" s="6"/>
      <c r="AZ2162" s="110"/>
      <c r="BB2162" s="6"/>
      <c r="BD2162" s="6"/>
      <c r="BE2162" s="6"/>
      <c r="BV2162" s="17"/>
      <c r="BX2162" s="17"/>
      <c r="BZ2162" s="17"/>
    </row>
    <row r="2163" spans="4:78" x14ac:dyDescent="0.3">
      <c r="D2163" s="153"/>
      <c r="E2163" s="6"/>
      <c r="G2163" s="6"/>
      <c r="J2163" s="6"/>
      <c r="N2163" s="154"/>
      <c r="O2163" s="6"/>
      <c r="S2163" s="6"/>
      <c r="V2163" s="6"/>
      <c r="X2163" s="6"/>
      <c r="Z2163" s="110"/>
      <c r="AB2163" s="6"/>
      <c r="AD2163" s="6"/>
      <c r="AE2163" s="6"/>
      <c r="AF2163" s="126"/>
      <c r="AJ2163" s="6"/>
      <c r="AL2163" s="110"/>
      <c r="AM2163" s="110"/>
      <c r="AN2163" s="110"/>
      <c r="AP2163" s="6"/>
      <c r="AW2163" s="6"/>
      <c r="AX2163" s="6"/>
      <c r="AZ2163" s="110"/>
      <c r="BB2163" s="6"/>
      <c r="BD2163" s="6"/>
      <c r="BE2163" s="6"/>
      <c r="BV2163" s="17"/>
      <c r="BX2163" s="17"/>
      <c r="BZ2163" s="17"/>
    </row>
    <row r="2164" spans="4:78" x14ac:dyDescent="0.3">
      <c r="D2164" s="153"/>
      <c r="E2164" s="6"/>
      <c r="G2164" s="6"/>
      <c r="J2164" s="6"/>
      <c r="N2164" s="154"/>
      <c r="O2164" s="6"/>
      <c r="S2164" s="6"/>
      <c r="V2164" s="6"/>
      <c r="X2164" s="6"/>
      <c r="Z2164" s="110"/>
      <c r="AB2164" s="6"/>
      <c r="AD2164" s="6"/>
      <c r="AE2164" s="6"/>
      <c r="AF2164" s="126"/>
      <c r="AJ2164" s="6"/>
      <c r="AL2164" s="110"/>
      <c r="AM2164" s="110"/>
      <c r="AN2164" s="110"/>
      <c r="AP2164" s="6"/>
      <c r="AW2164" s="6"/>
      <c r="AX2164" s="6"/>
      <c r="AZ2164" s="110"/>
      <c r="BB2164" s="6"/>
      <c r="BD2164" s="6"/>
      <c r="BE2164" s="6"/>
      <c r="BV2164" s="17"/>
      <c r="BX2164" s="17"/>
      <c r="BZ2164" s="17"/>
    </row>
    <row r="2165" spans="4:78" x14ac:dyDescent="0.3">
      <c r="D2165" s="153"/>
      <c r="E2165" s="6"/>
      <c r="G2165" s="6"/>
      <c r="J2165" s="6"/>
      <c r="N2165" s="154"/>
      <c r="O2165" s="6"/>
      <c r="S2165" s="6"/>
      <c r="V2165" s="6"/>
      <c r="X2165" s="6"/>
      <c r="Z2165" s="110"/>
      <c r="AB2165" s="6"/>
      <c r="AD2165" s="6"/>
      <c r="AE2165" s="6"/>
      <c r="AF2165" s="126"/>
      <c r="AJ2165" s="6"/>
      <c r="AL2165" s="110"/>
      <c r="AM2165" s="110"/>
      <c r="AN2165" s="110"/>
      <c r="AP2165" s="6"/>
      <c r="AW2165" s="6"/>
      <c r="AX2165" s="6"/>
      <c r="AZ2165" s="110"/>
      <c r="BB2165" s="6"/>
      <c r="BD2165" s="6"/>
      <c r="BE2165" s="6"/>
      <c r="BV2165" s="17"/>
      <c r="BX2165" s="17"/>
      <c r="BZ2165" s="17"/>
    </row>
    <row r="2166" spans="4:78" x14ac:dyDescent="0.3">
      <c r="D2166" s="153"/>
      <c r="E2166" s="6"/>
      <c r="G2166" s="6"/>
      <c r="J2166" s="6"/>
      <c r="N2166" s="154"/>
      <c r="O2166" s="6"/>
      <c r="S2166" s="6"/>
      <c r="V2166" s="6"/>
      <c r="X2166" s="6"/>
      <c r="Z2166" s="110"/>
      <c r="AB2166" s="6"/>
      <c r="AD2166" s="6"/>
      <c r="AE2166" s="6"/>
      <c r="AF2166" s="126"/>
      <c r="AJ2166" s="6"/>
      <c r="AL2166" s="110"/>
      <c r="AM2166" s="110"/>
      <c r="AN2166" s="110"/>
      <c r="AP2166" s="6"/>
      <c r="AW2166" s="6"/>
      <c r="AX2166" s="6"/>
      <c r="AZ2166" s="110"/>
      <c r="BB2166" s="6"/>
      <c r="BD2166" s="6"/>
      <c r="BE2166" s="6"/>
      <c r="BV2166" s="17"/>
      <c r="BX2166" s="17"/>
      <c r="BZ2166" s="17"/>
    </row>
    <row r="2167" spans="4:78" x14ac:dyDescent="0.3">
      <c r="D2167" s="153"/>
      <c r="E2167" s="6"/>
      <c r="G2167" s="6"/>
      <c r="J2167" s="6"/>
      <c r="N2167" s="154"/>
      <c r="O2167" s="6"/>
      <c r="S2167" s="6"/>
      <c r="V2167" s="6"/>
      <c r="X2167" s="6"/>
      <c r="Z2167" s="110"/>
      <c r="AB2167" s="6"/>
      <c r="AD2167" s="6"/>
      <c r="AE2167" s="6"/>
      <c r="AF2167" s="126"/>
      <c r="AJ2167" s="6"/>
      <c r="AL2167" s="110"/>
      <c r="AM2167" s="110"/>
      <c r="AN2167" s="110"/>
      <c r="AP2167" s="6"/>
      <c r="AW2167" s="6"/>
      <c r="AX2167" s="6"/>
      <c r="AZ2167" s="110"/>
      <c r="BB2167" s="6"/>
      <c r="BD2167" s="6"/>
      <c r="BE2167" s="6"/>
      <c r="BV2167" s="17"/>
      <c r="BX2167" s="17"/>
      <c r="BZ2167" s="17"/>
    </row>
    <row r="2168" spans="4:78" x14ac:dyDescent="0.3">
      <c r="D2168" s="153"/>
      <c r="E2168" s="6"/>
      <c r="G2168" s="6"/>
      <c r="J2168" s="6"/>
      <c r="N2168" s="154"/>
      <c r="O2168" s="6"/>
      <c r="S2168" s="6"/>
      <c r="V2168" s="6"/>
      <c r="X2168" s="6"/>
      <c r="Z2168" s="110"/>
      <c r="AB2168" s="6"/>
      <c r="AD2168" s="6"/>
      <c r="AE2168" s="6"/>
      <c r="AF2168" s="126"/>
      <c r="AJ2168" s="6"/>
      <c r="AL2168" s="110"/>
      <c r="AM2168" s="110"/>
      <c r="AN2168" s="110"/>
      <c r="AP2168" s="6"/>
      <c r="AW2168" s="6"/>
      <c r="AX2168" s="6"/>
      <c r="AZ2168" s="110"/>
      <c r="BB2168" s="6"/>
      <c r="BD2168" s="6"/>
      <c r="BE2168" s="6"/>
      <c r="BV2168" s="17"/>
      <c r="BX2168" s="17"/>
      <c r="BZ2168" s="17"/>
    </row>
    <row r="2169" spans="4:78" x14ac:dyDescent="0.3">
      <c r="D2169" s="153"/>
      <c r="E2169" s="6"/>
      <c r="G2169" s="6"/>
      <c r="J2169" s="6"/>
      <c r="N2169" s="154"/>
      <c r="O2169" s="6"/>
      <c r="S2169" s="6"/>
      <c r="V2169" s="6"/>
      <c r="X2169" s="6"/>
      <c r="Z2169" s="110"/>
      <c r="AB2169" s="6"/>
      <c r="AD2169" s="6"/>
      <c r="AE2169" s="6"/>
      <c r="AF2169" s="126"/>
      <c r="AJ2169" s="6"/>
      <c r="AL2169" s="110"/>
      <c r="AM2169" s="110"/>
      <c r="AN2169" s="110"/>
      <c r="AP2169" s="6"/>
      <c r="AW2169" s="6"/>
      <c r="AX2169" s="6"/>
      <c r="AZ2169" s="110"/>
      <c r="BB2169" s="6"/>
      <c r="BD2169" s="6"/>
      <c r="BE2169" s="6"/>
      <c r="BV2169" s="17"/>
      <c r="BX2169" s="17"/>
      <c r="BZ2169" s="17"/>
    </row>
    <row r="2170" spans="4:78" x14ac:dyDescent="0.3">
      <c r="D2170" s="153"/>
      <c r="E2170" s="6"/>
      <c r="G2170" s="6"/>
      <c r="J2170" s="6"/>
      <c r="N2170" s="154"/>
      <c r="O2170" s="6"/>
      <c r="S2170" s="6"/>
      <c r="V2170" s="6"/>
      <c r="X2170" s="6"/>
      <c r="Z2170" s="110"/>
      <c r="AB2170" s="6"/>
      <c r="AD2170" s="6"/>
      <c r="AE2170" s="6"/>
      <c r="AF2170" s="126"/>
      <c r="AJ2170" s="6"/>
      <c r="AL2170" s="110"/>
      <c r="AM2170" s="110"/>
      <c r="AN2170" s="110"/>
      <c r="AP2170" s="6"/>
      <c r="AW2170" s="6"/>
      <c r="AX2170" s="6"/>
      <c r="AZ2170" s="110"/>
      <c r="BB2170" s="6"/>
      <c r="BD2170" s="6"/>
      <c r="BE2170" s="6"/>
      <c r="BV2170" s="17"/>
      <c r="BX2170" s="17"/>
      <c r="BZ2170" s="17"/>
    </row>
    <row r="2171" spans="4:78" x14ac:dyDescent="0.3">
      <c r="D2171" s="153"/>
      <c r="E2171" s="6"/>
      <c r="G2171" s="6"/>
      <c r="J2171" s="6"/>
      <c r="N2171" s="154"/>
      <c r="O2171" s="6"/>
      <c r="S2171" s="6"/>
      <c r="V2171" s="6"/>
      <c r="X2171" s="6"/>
      <c r="Z2171" s="110"/>
      <c r="AB2171" s="6"/>
      <c r="AD2171" s="6"/>
      <c r="AE2171" s="6"/>
      <c r="AF2171" s="126"/>
      <c r="AJ2171" s="6"/>
      <c r="AL2171" s="110"/>
      <c r="AM2171" s="110"/>
      <c r="AN2171" s="110"/>
      <c r="AP2171" s="6"/>
      <c r="AW2171" s="6"/>
      <c r="AX2171" s="6"/>
      <c r="AZ2171" s="110"/>
      <c r="BB2171" s="6"/>
      <c r="BD2171" s="6"/>
      <c r="BE2171" s="6"/>
      <c r="BV2171" s="17"/>
      <c r="BX2171" s="17"/>
      <c r="BZ2171" s="17"/>
    </row>
    <row r="2172" spans="4:78" x14ac:dyDescent="0.3">
      <c r="D2172" s="153"/>
      <c r="E2172" s="6"/>
      <c r="G2172" s="6"/>
      <c r="J2172" s="6"/>
      <c r="N2172" s="154"/>
      <c r="O2172" s="6"/>
      <c r="S2172" s="6"/>
      <c r="V2172" s="6"/>
      <c r="X2172" s="6"/>
      <c r="Z2172" s="110"/>
      <c r="AB2172" s="6"/>
      <c r="AD2172" s="6"/>
      <c r="AE2172" s="6"/>
      <c r="AF2172" s="126"/>
      <c r="AJ2172" s="6"/>
      <c r="AL2172" s="110"/>
      <c r="AM2172" s="110"/>
      <c r="AN2172" s="110"/>
      <c r="AP2172" s="6"/>
      <c r="AW2172" s="6"/>
      <c r="AX2172" s="6"/>
      <c r="AZ2172" s="110"/>
      <c r="BB2172" s="6"/>
      <c r="BD2172" s="6"/>
      <c r="BE2172" s="6"/>
      <c r="BV2172" s="17"/>
      <c r="BX2172" s="17"/>
      <c r="BZ2172" s="17"/>
    </row>
    <row r="2173" spans="4:78" x14ac:dyDescent="0.3">
      <c r="D2173" s="153"/>
      <c r="E2173" s="6"/>
      <c r="G2173" s="6"/>
      <c r="J2173" s="6"/>
      <c r="N2173" s="154"/>
      <c r="O2173" s="6"/>
      <c r="S2173" s="6"/>
      <c r="V2173" s="6"/>
      <c r="X2173" s="6"/>
      <c r="Z2173" s="110"/>
      <c r="AB2173" s="6"/>
      <c r="AD2173" s="6"/>
      <c r="AE2173" s="6"/>
      <c r="AF2173" s="126"/>
      <c r="AJ2173" s="6"/>
      <c r="AL2173" s="110"/>
      <c r="AM2173" s="110"/>
      <c r="AN2173" s="110"/>
      <c r="AP2173" s="6"/>
      <c r="AW2173" s="6"/>
      <c r="AX2173" s="6"/>
      <c r="AZ2173" s="110"/>
      <c r="BB2173" s="6"/>
      <c r="BD2173" s="6"/>
      <c r="BE2173" s="6"/>
      <c r="BV2173" s="17"/>
      <c r="BX2173" s="17"/>
      <c r="BZ2173" s="17"/>
    </row>
    <row r="2174" spans="4:78" x14ac:dyDescent="0.3">
      <c r="D2174" s="153"/>
      <c r="E2174" s="6"/>
      <c r="G2174" s="6"/>
      <c r="J2174" s="6"/>
      <c r="N2174" s="154"/>
      <c r="O2174" s="6"/>
      <c r="S2174" s="6"/>
      <c r="V2174" s="6"/>
      <c r="X2174" s="6"/>
      <c r="Z2174" s="110"/>
      <c r="AB2174" s="6"/>
      <c r="AD2174" s="6"/>
      <c r="AE2174" s="6"/>
      <c r="AF2174" s="126"/>
      <c r="AJ2174" s="6"/>
      <c r="AL2174" s="110"/>
      <c r="AM2174" s="110"/>
      <c r="AN2174" s="110"/>
      <c r="AP2174" s="6"/>
      <c r="AW2174" s="6"/>
      <c r="AX2174" s="6"/>
      <c r="AZ2174" s="110"/>
      <c r="BB2174" s="6"/>
      <c r="BD2174" s="6"/>
      <c r="BE2174" s="6"/>
      <c r="BV2174" s="17"/>
      <c r="BX2174" s="17"/>
      <c r="BZ2174" s="17"/>
    </row>
    <row r="2175" spans="4:78" x14ac:dyDescent="0.3">
      <c r="D2175" s="153"/>
      <c r="E2175" s="6"/>
      <c r="G2175" s="6"/>
      <c r="J2175" s="6"/>
      <c r="N2175" s="154"/>
      <c r="O2175" s="6"/>
      <c r="S2175" s="6"/>
      <c r="V2175" s="6"/>
      <c r="X2175" s="6"/>
      <c r="Z2175" s="110"/>
      <c r="AB2175" s="6"/>
      <c r="AD2175" s="6"/>
      <c r="AE2175" s="6"/>
      <c r="AF2175" s="126"/>
      <c r="AJ2175" s="6"/>
      <c r="AL2175" s="110"/>
      <c r="AM2175" s="110"/>
      <c r="AN2175" s="110"/>
      <c r="AP2175" s="6"/>
      <c r="AW2175" s="6"/>
      <c r="AX2175" s="6"/>
      <c r="AZ2175" s="110"/>
      <c r="BB2175" s="6"/>
      <c r="BD2175" s="6"/>
      <c r="BE2175" s="6"/>
      <c r="BV2175" s="17"/>
      <c r="BX2175" s="17"/>
      <c r="BZ2175" s="17"/>
    </row>
    <row r="2176" spans="4:78" x14ac:dyDescent="0.3">
      <c r="D2176" s="153"/>
      <c r="E2176" s="6"/>
      <c r="G2176" s="6"/>
      <c r="J2176" s="6"/>
      <c r="N2176" s="154"/>
      <c r="O2176" s="6"/>
      <c r="S2176" s="6"/>
      <c r="V2176" s="6"/>
      <c r="X2176" s="6"/>
      <c r="Z2176" s="110"/>
      <c r="AB2176" s="6"/>
      <c r="AD2176" s="6"/>
      <c r="AE2176" s="6"/>
      <c r="AF2176" s="126"/>
      <c r="AJ2176" s="6"/>
      <c r="AL2176" s="110"/>
      <c r="AM2176" s="110"/>
      <c r="AN2176" s="110"/>
      <c r="AP2176" s="6"/>
      <c r="AW2176" s="6"/>
      <c r="AX2176" s="6"/>
      <c r="AZ2176" s="110"/>
      <c r="BB2176" s="6"/>
      <c r="BD2176" s="6"/>
      <c r="BE2176" s="6"/>
      <c r="BV2176" s="17"/>
      <c r="BX2176" s="17"/>
      <c r="BZ2176" s="17"/>
    </row>
    <row r="2177" spans="4:78" x14ac:dyDescent="0.3">
      <c r="D2177" s="153"/>
      <c r="E2177" s="6"/>
      <c r="G2177" s="6"/>
      <c r="J2177" s="6"/>
      <c r="N2177" s="154"/>
      <c r="O2177" s="6"/>
      <c r="S2177" s="6"/>
      <c r="V2177" s="6"/>
      <c r="X2177" s="6"/>
      <c r="Z2177" s="110"/>
      <c r="AB2177" s="6"/>
      <c r="AD2177" s="6"/>
      <c r="AE2177" s="6"/>
      <c r="AF2177" s="126"/>
      <c r="AJ2177" s="6"/>
      <c r="AL2177" s="110"/>
      <c r="AM2177" s="110"/>
      <c r="AN2177" s="110"/>
      <c r="AP2177" s="6"/>
      <c r="AW2177" s="6"/>
      <c r="AX2177" s="6"/>
      <c r="AZ2177" s="110"/>
      <c r="BB2177" s="6"/>
      <c r="BD2177" s="6"/>
      <c r="BE2177" s="6"/>
      <c r="BV2177" s="17"/>
      <c r="BX2177" s="17"/>
      <c r="BZ2177" s="17"/>
    </row>
    <row r="2178" spans="4:78" x14ac:dyDescent="0.3">
      <c r="D2178" s="153"/>
      <c r="E2178" s="6"/>
      <c r="G2178" s="6"/>
      <c r="J2178" s="6"/>
      <c r="N2178" s="154"/>
      <c r="O2178" s="6"/>
      <c r="S2178" s="6"/>
      <c r="V2178" s="6"/>
      <c r="X2178" s="6"/>
      <c r="Z2178" s="110"/>
      <c r="AB2178" s="6"/>
      <c r="AD2178" s="6"/>
      <c r="AE2178" s="6"/>
      <c r="AF2178" s="126"/>
      <c r="AJ2178" s="6"/>
      <c r="AL2178" s="110"/>
      <c r="AM2178" s="110"/>
      <c r="AN2178" s="110"/>
      <c r="AP2178" s="6"/>
      <c r="AW2178" s="6"/>
      <c r="AX2178" s="6"/>
      <c r="AZ2178" s="110"/>
      <c r="BB2178" s="6"/>
      <c r="BD2178" s="6"/>
      <c r="BE2178" s="6"/>
      <c r="BV2178" s="17"/>
      <c r="BX2178" s="17"/>
      <c r="BZ2178" s="17"/>
    </row>
    <row r="2179" spans="4:78" x14ac:dyDescent="0.3">
      <c r="D2179" s="153"/>
      <c r="E2179" s="6"/>
      <c r="G2179" s="6"/>
      <c r="J2179" s="6"/>
      <c r="N2179" s="154"/>
      <c r="O2179" s="6"/>
      <c r="S2179" s="6"/>
      <c r="V2179" s="6"/>
      <c r="X2179" s="6"/>
      <c r="Z2179" s="110"/>
      <c r="AB2179" s="6"/>
      <c r="AD2179" s="6"/>
      <c r="AE2179" s="6"/>
      <c r="AF2179" s="126"/>
      <c r="AJ2179" s="6"/>
      <c r="AL2179" s="110"/>
      <c r="AM2179" s="110"/>
      <c r="AN2179" s="110"/>
      <c r="AP2179" s="6"/>
      <c r="AW2179" s="6"/>
      <c r="AX2179" s="6"/>
      <c r="AZ2179" s="110"/>
      <c r="BB2179" s="6"/>
      <c r="BD2179" s="6"/>
      <c r="BE2179" s="6"/>
      <c r="BV2179" s="17"/>
      <c r="BX2179" s="17"/>
      <c r="BZ2179" s="17"/>
    </row>
    <row r="2180" spans="4:78" x14ac:dyDescent="0.3">
      <c r="D2180" s="153"/>
      <c r="E2180" s="6"/>
      <c r="G2180" s="6"/>
      <c r="J2180" s="6"/>
      <c r="N2180" s="154"/>
      <c r="O2180" s="6"/>
      <c r="S2180" s="6"/>
      <c r="V2180" s="6"/>
      <c r="X2180" s="6"/>
      <c r="Z2180" s="110"/>
      <c r="AB2180" s="6"/>
      <c r="AD2180" s="6"/>
      <c r="AE2180" s="6"/>
      <c r="AF2180" s="126"/>
      <c r="AJ2180" s="6"/>
      <c r="AL2180" s="110"/>
      <c r="AM2180" s="110"/>
      <c r="AN2180" s="110"/>
      <c r="AP2180" s="6"/>
      <c r="AW2180" s="6"/>
      <c r="AX2180" s="6"/>
      <c r="AZ2180" s="110"/>
      <c r="BB2180" s="6"/>
      <c r="BD2180" s="6"/>
      <c r="BE2180" s="6"/>
      <c r="BV2180" s="17"/>
      <c r="BX2180" s="17"/>
      <c r="BZ2180" s="17"/>
    </row>
    <row r="2181" spans="4:78" x14ac:dyDescent="0.3">
      <c r="D2181" s="153"/>
      <c r="E2181" s="6"/>
      <c r="G2181" s="6"/>
      <c r="J2181" s="6"/>
      <c r="N2181" s="154"/>
      <c r="O2181" s="6"/>
      <c r="S2181" s="6"/>
      <c r="V2181" s="6"/>
      <c r="X2181" s="6"/>
      <c r="Z2181" s="110"/>
      <c r="AB2181" s="6"/>
      <c r="AD2181" s="6"/>
      <c r="AE2181" s="6"/>
      <c r="AF2181" s="126"/>
      <c r="AJ2181" s="6"/>
      <c r="AL2181" s="110"/>
      <c r="AM2181" s="110"/>
      <c r="AN2181" s="110"/>
      <c r="AP2181" s="6"/>
      <c r="AW2181" s="6"/>
      <c r="AX2181" s="6"/>
      <c r="AZ2181" s="110"/>
      <c r="BB2181" s="6"/>
      <c r="BD2181" s="6"/>
      <c r="BE2181" s="6"/>
      <c r="BV2181" s="17"/>
      <c r="BX2181" s="17"/>
      <c r="BZ2181" s="17"/>
    </row>
    <row r="2182" spans="4:78" x14ac:dyDescent="0.3">
      <c r="D2182" s="153"/>
      <c r="E2182" s="6"/>
      <c r="G2182" s="6"/>
      <c r="J2182" s="6"/>
      <c r="N2182" s="154"/>
      <c r="O2182" s="6"/>
      <c r="S2182" s="6"/>
      <c r="V2182" s="6"/>
      <c r="X2182" s="6"/>
      <c r="Z2182" s="110"/>
      <c r="AB2182" s="6"/>
      <c r="AD2182" s="6"/>
      <c r="AE2182" s="6"/>
      <c r="AF2182" s="126"/>
      <c r="AJ2182" s="6"/>
      <c r="AL2182" s="110"/>
      <c r="AM2182" s="110"/>
      <c r="AN2182" s="110"/>
      <c r="AP2182" s="6"/>
      <c r="AW2182" s="6"/>
      <c r="AX2182" s="6"/>
      <c r="AZ2182" s="110"/>
      <c r="BB2182" s="6"/>
      <c r="BD2182" s="6"/>
      <c r="BE2182" s="6"/>
      <c r="BV2182" s="17"/>
      <c r="BX2182" s="17"/>
      <c r="BZ2182" s="17"/>
    </row>
    <row r="2183" spans="4:78" x14ac:dyDescent="0.3">
      <c r="D2183" s="153"/>
      <c r="E2183" s="6"/>
      <c r="G2183" s="6"/>
      <c r="J2183" s="6"/>
      <c r="N2183" s="154"/>
      <c r="O2183" s="6"/>
      <c r="S2183" s="6"/>
      <c r="V2183" s="6"/>
      <c r="X2183" s="6"/>
      <c r="Z2183" s="110"/>
      <c r="AB2183" s="6"/>
      <c r="AD2183" s="6"/>
      <c r="AE2183" s="6"/>
      <c r="AF2183" s="126"/>
      <c r="AJ2183" s="6"/>
      <c r="AL2183" s="110"/>
      <c r="AM2183" s="110"/>
      <c r="AN2183" s="110"/>
      <c r="AP2183" s="6"/>
      <c r="AW2183" s="6"/>
      <c r="AX2183" s="6"/>
      <c r="AZ2183" s="110"/>
      <c r="BB2183" s="6"/>
      <c r="BD2183" s="6"/>
      <c r="BE2183" s="6"/>
      <c r="BV2183" s="17"/>
      <c r="BX2183" s="17"/>
      <c r="BZ2183" s="17"/>
    </row>
    <row r="2184" spans="4:78" x14ac:dyDescent="0.3">
      <c r="D2184" s="153"/>
      <c r="E2184" s="6"/>
      <c r="G2184" s="6"/>
      <c r="J2184" s="6"/>
      <c r="N2184" s="154"/>
      <c r="O2184" s="6"/>
      <c r="S2184" s="6"/>
      <c r="V2184" s="6"/>
      <c r="X2184" s="6"/>
      <c r="Z2184" s="110"/>
      <c r="AB2184" s="6"/>
      <c r="AD2184" s="6"/>
      <c r="AE2184" s="6"/>
      <c r="AF2184" s="126"/>
      <c r="AJ2184" s="6"/>
      <c r="AL2184" s="110"/>
      <c r="AM2184" s="110"/>
      <c r="AN2184" s="110"/>
      <c r="AP2184" s="6"/>
      <c r="AW2184" s="6"/>
      <c r="AX2184" s="6"/>
      <c r="AZ2184" s="110"/>
      <c r="BB2184" s="6"/>
      <c r="BD2184" s="6"/>
      <c r="BE2184" s="6"/>
      <c r="BV2184" s="17"/>
      <c r="BX2184" s="17"/>
      <c r="BZ2184" s="17"/>
    </row>
    <row r="2185" spans="4:78" x14ac:dyDescent="0.3">
      <c r="D2185" s="153"/>
      <c r="E2185" s="6"/>
      <c r="G2185" s="6"/>
      <c r="J2185" s="6"/>
      <c r="N2185" s="154"/>
      <c r="O2185" s="6"/>
      <c r="S2185" s="6"/>
      <c r="V2185" s="6"/>
      <c r="X2185" s="6"/>
      <c r="Z2185" s="110"/>
      <c r="AB2185" s="6"/>
      <c r="AD2185" s="6"/>
      <c r="AE2185" s="6"/>
      <c r="AF2185" s="126"/>
      <c r="AJ2185" s="6"/>
      <c r="AL2185" s="110"/>
      <c r="AM2185" s="110"/>
      <c r="AN2185" s="110"/>
      <c r="AP2185" s="6"/>
      <c r="AW2185" s="6"/>
      <c r="AX2185" s="6"/>
      <c r="AZ2185" s="110"/>
      <c r="BB2185" s="6"/>
      <c r="BD2185" s="6"/>
      <c r="BE2185" s="6"/>
      <c r="BV2185" s="17"/>
      <c r="BX2185" s="17"/>
      <c r="BZ2185" s="17"/>
    </row>
    <row r="2186" spans="4:78" x14ac:dyDescent="0.3">
      <c r="D2186" s="153"/>
      <c r="E2186" s="6"/>
      <c r="G2186" s="6"/>
      <c r="J2186" s="6"/>
      <c r="N2186" s="154"/>
      <c r="O2186" s="6"/>
      <c r="S2186" s="6"/>
      <c r="V2186" s="6"/>
      <c r="X2186" s="6"/>
      <c r="Z2186" s="110"/>
      <c r="AB2186" s="6"/>
      <c r="AD2186" s="6"/>
      <c r="AE2186" s="6"/>
      <c r="AF2186" s="126"/>
      <c r="AJ2186" s="6"/>
      <c r="AL2186" s="110"/>
      <c r="AM2186" s="110"/>
      <c r="AN2186" s="110"/>
      <c r="AP2186" s="6"/>
      <c r="AW2186" s="6"/>
      <c r="AX2186" s="6"/>
      <c r="AZ2186" s="110"/>
      <c r="BB2186" s="6"/>
      <c r="BD2186" s="6"/>
      <c r="BE2186" s="6"/>
      <c r="BV2186" s="17"/>
      <c r="BX2186" s="17"/>
      <c r="BZ2186" s="17"/>
    </row>
    <row r="2187" spans="4:78" x14ac:dyDescent="0.3">
      <c r="D2187" s="153"/>
      <c r="E2187" s="6"/>
      <c r="G2187" s="6"/>
      <c r="J2187" s="6"/>
      <c r="N2187" s="154"/>
      <c r="O2187" s="6"/>
      <c r="S2187" s="6"/>
      <c r="V2187" s="6"/>
      <c r="X2187" s="6"/>
      <c r="Z2187" s="110"/>
      <c r="AB2187" s="6"/>
      <c r="AD2187" s="6"/>
      <c r="AE2187" s="6"/>
      <c r="AF2187" s="126"/>
      <c r="AJ2187" s="6"/>
      <c r="AL2187" s="110"/>
      <c r="AM2187" s="110"/>
      <c r="AN2187" s="110"/>
      <c r="AP2187" s="6"/>
      <c r="AW2187" s="6"/>
      <c r="AX2187" s="6"/>
      <c r="AZ2187" s="110"/>
      <c r="BB2187" s="6"/>
      <c r="BD2187" s="6"/>
      <c r="BE2187" s="6"/>
      <c r="BV2187" s="17"/>
      <c r="BX2187" s="17"/>
      <c r="BZ2187" s="17"/>
    </row>
    <row r="2188" spans="4:78" x14ac:dyDescent="0.3">
      <c r="D2188" s="153"/>
      <c r="E2188" s="6"/>
      <c r="G2188" s="6"/>
      <c r="J2188" s="6"/>
      <c r="N2188" s="154"/>
      <c r="O2188" s="6"/>
      <c r="S2188" s="6"/>
      <c r="V2188" s="6"/>
      <c r="X2188" s="6"/>
      <c r="Z2188" s="110"/>
      <c r="AB2188" s="6"/>
      <c r="AD2188" s="6"/>
      <c r="AE2188" s="6"/>
      <c r="AF2188" s="126"/>
      <c r="AJ2188" s="6"/>
      <c r="AL2188" s="110"/>
      <c r="AM2188" s="110"/>
      <c r="AN2188" s="110"/>
      <c r="AP2188" s="6"/>
      <c r="AW2188" s="6"/>
      <c r="AX2188" s="6"/>
      <c r="AZ2188" s="110"/>
      <c r="BB2188" s="6"/>
      <c r="BD2188" s="6"/>
      <c r="BE2188" s="6"/>
      <c r="BV2188" s="17"/>
      <c r="BX2188" s="17"/>
      <c r="BZ2188" s="17"/>
    </row>
    <row r="2189" spans="4:78" x14ac:dyDescent="0.3">
      <c r="D2189" s="153"/>
      <c r="E2189" s="6"/>
      <c r="G2189" s="6"/>
      <c r="J2189" s="6"/>
      <c r="N2189" s="154"/>
      <c r="O2189" s="6"/>
      <c r="S2189" s="6"/>
      <c r="V2189" s="6"/>
      <c r="X2189" s="6"/>
      <c r="Z2189" s="110"/>
      <c r="AB2189" s="6"/>
      <c r="AD2189" s="6"/>
      <c r="AE2189" s="6"/>
      <c r="AF2189" s="126"/>
      <c r="AJ2189" s="6"/>
      <c r="AL2189" s="110"/>
      <c r="AM2189" s="110"/>
      <c r="AN2189" s="110"/>
      <c r="AP2189" s="6"/>
      <c r="AW2189" s="6"/>
      <c r="AX2189" s="6"/>
      <c r="AZ2189" s="110"/>
      <c r="BB2189" s="6"/>
      <c r="BD2189" s="6"/>
      <c r="BE2189" s="6"/>
      <c r="BV2189" s="17"/>
      <c r="BX2189" s="17"/>
      <c r="BZ2189" s="17"/>
    </row>
    <row r="2190" spans="4:78" x14ac:dyDescent="0.3">
      <c r="D2190" s="153"/>
      <c r="E2190" s="6"/>
      <c r="G2190" s="6"/>
      <c r="J2190" s="6"/>
      <c r="N2190" s="154"/>
      <c r="O2190" s="6"/>
      <c r="S2190" s="6"/>
      <c r="V2190" s="6"/>
      <c r="X2190" s="6"/>
      <c r="Z2190" s="110"/>
      <c r="AB2190" s="6"/>
      <c r="AD2190" s="6"/>
      <c r="AE2190" s="6"/>
      <c r="AF2190" s="126"/>
      <c r="AJ2190" s="6"/>
      <c r="AL2190" s="110"/>
      <c r="AM2190" s="110"/>
      <c r="AN2190" s="110"/>
      <c r="AP2190" s="6"/>
      <c r="AW2190" s="6"/>
      <c r="AX2190" s="6"/>
      <c r="AZ2190" s="110"/>
      <c r="BB2190" s="6"/>
      <c r="BD2190" s="6"/>
      <c r="BE2190" s="6"/>
      <c r="BV2190" s="17"/>
      <c r="BX2190" s="17"/>
      <c r="BZ2190" s="17"/>
    </row>
    <row r="2191" spans="4:78" x14ac:dyDescent="0.3">
      <c r="D2191" s="153"/>
      <c r="E2191" s="6"/>
      <c r="G2191" s="6"/>
      <c r="J2191" s="6"/>
      <c r="N2191" s="154"/>
      <c r="O2191" s="6"/>
      <c r="S2191" s="6"/>
      <c r="V2191" s="6"/>
      <c r="X2191" s="6"/>
      <c r="Z2191" s="110"/>
      <c r="AB2191" s="6"/>
      <c r="AD2191" s="6"/>
      <c r="AE2191" s="6"/>
      <c r="AF2191" s="126"/>
      <c r="AJ2191" s="6"/>
      <c r="AL2191" s="110"/>
      <c r="AM2191" s="110"/>
      <c r="AN2191" s="110"/>
      <c r="AP2191" s="6"/>
      <c r="AW2191" s="6"/>
      <c r="AX2191" s="6"/>
      <c r="AZ2191" s="110"/>
      <c r="BB2191" s="6"/>
      <c r="BD2191" s="6"/>
      <c r="BE2191" s="6"/>
      <c r="BV2191" s="17"/>
      <c r="BX2191" s="17"/>
      <c r="BZ2191" s="17"/>
    </row>
    <row r="2192" spans="4:78" x14ac:dyDescent="0.3">
      <c r="D2192" s="153"/>
      <c r="E2192" s="6"/>
      <c r="G2192" s="6"/>
      <c r="J2192" s="6"/>
      <c r="N2192" s="154"/>
      <c r="O2192" s="6"/>
      <c r="S2192" s="6"/>
      <c r="V2192" s="6"/>
      <c r="X2192" s="6"/>
      <c r="Z2192" s="110"/>
      <c r="AB2192" s="6"/>
      <c r="AD2192" s="6"/>
      <c r="AE2192" s="6"/>
      <c r="AF2192" s="126"/>
      <c r="AJ2192" s="6"/>
      <c r="AL2192" s="110"/>
      <c r="AM2192" s="110"/>
      <c r="AN2192" s="110"/>
      <c r="AP2192" s="6"/>
      <c r="AW2192" s="6"/>
      <c r="AX2192" s="6"/>
      <c r="AZ2192" s="110"/>
      <c r="BB2192" s="6"/>
      <c r="BD2192" s="6"/>
      <c r="BE2192" s="6"/>
      <c r="BV2192" s="17"/>
      <c r="BX2192" s="17"/>
      <c r="BZ2192" s="17"/>
    </row>
    <row r="2193" spans="4:78" x14ac:dyDescent="0.3">
      <c r="D2193" s="153"/>
      <c r="E2193" s="6"/>
      <c r="G2193" s="6"/>
      <c r="J2193" s="6"/>
      <c r="N2193" s="154"/>
      <c r="O2193" s="6"/>
      <c r="S2193" s="6"/>
      <c r="V2193" s="6"/>
      <c r="X2193" s="6"/>
      <c r="Z2193" s="110"/>
      <c r="AB2193" s="6"/>
      <c r="AD2193" s="6"/>
      <c r="AE2193" s="6"/>
      <c r="AF2193" s="126"/>
      <c r="AJ2193" s="6"/>
      <c r="AL2193" s="110"/>
      <c r="AM2193" s="110"/>
      <c r="AN2193" s="110"/>
      <c r="AP2193" s="6"/>
      <c r="AW2193" s="6"/>
      <c r="AX2193" s="6"/>
      <c r="AZ2193" s="110"/>
      <c r="BB2193" s="6"/>
      <c r="BD2193" s="6"/>
      <c r="BE2193" s="6"/>
      <c r="BV2193" s="17"/>
      <c r="BX2193" s="17"/>
      <c r="BZ2193" s="17"/>
    </row>
    <row r="2194" spans="4:78" x14ac:dyDescent="0.3">
      <c r="D2194" s="153"/>
      <c r="E2194" s="6"/>
      <c r="G2194" s="6"/>
      <c r="J2194" s="6"/>
      <c r="N2194" s="154"/>
      <c r="O2194" s="6"/>
      <c r="S2194" s="6"/>
      <c r="V2194" s="6"/>
      <c r="X2194" s="6"/>
      <c r="Z2194" s="110"/>
      <c r="AB2194" s="6"/>
      <c r="AD2194" s="6"/>
      <c r="AE2194" s="6"/>
      <c r="AF2194" s="126"/>
      <c r="AJ2194" s="6"/>
      <c r="AL2194" s="110"/>
      <c r="AM2194" s="110"/>
      <c r="AN2194" s="110"/>
      <c r="AP2194" s="6"/>
      <c r="AW2194" s="6"/>
      <c r="AX2194" s="6"/>
      <c r="AZ2194" s="110"/>
      <c r="BB2194" s="6"/>
      <c r="BD2194" s="6"/>
      <c r="BE2194" s="6"/>
      <c r="BV2194" s="17"/>
      <c r="BX2194" s="17"/>
      <c r="BZ2194" s="17"/>
    </row>
    <row r="2195" spans="4:78" x14ac:dyDescent="0.3">
      <c r="D2195" s="153"/>
      <c r="E2195" s="6"/>
      <c r="G2195" s="6"/>
      <c r="J2195" s="6"/>
      <c r="N2195" s="154"/>
      <c r="O2195" s="6"/>
      <c r="S2195" s="6"/>
      <c r="V2195" s="6"/>
      <c r="X2195" s="6"/>
      <c r="Z2195" s="110"/>
      <c r="AB2195" s="6"/>
      <c r="AD2195" s="6"/>
      <c r="AE2195" s="6"/>
      <c r="AF2195" s="126"/>
      <c r="AJ2195" s="6"/>
      <c r="AL2195" s="110"/>
      <c r="AM2195" s="110"/>
      <c r="AN2195" s="110"/>
      <c r="AP2195" s="6"/>
      <c r="AW2195" s="6"/>
      <c r="AX2195" s="6"/>
      <c r="AZ2195" s="110"/>
      <c r="BB2195" s="6"/>
      <c r="BD2195" s="6"/>
      <c r="BE2195" s="6"/>
      <c r="BV2195" s="17"/>
      <c r="BX2195" s="17"/>
      <c r="BZ2195" s="17"/>
    </row>
    <row r="2196" spans="4:78" x14ac:dyDescent="0.3">
      <c r="D2196" s="153"/>
      <c r="E2196" s="6"/>
      <c r="G2196" s="6"/>
      <c r="J2196" s="6"/>
      <c r="N2196" s="154"/>
      <c r="O2196" s="6"/>
      <c r="S2196" s="6"/>
      <c r="V2196" s="6"/>
      <c r="X2196" s="6"/>
      <c r="Z2196" s="110"/>
      <c r="AB2196" s="6"/>
      <c r="AD2196" s="6"/>
      <c r="AE2196" s="6"/>
      <c r="AF2196" s="126"/>
      <c r="AJ2196" s="6"/>
      <c r="AL2196" s="110"/>
      <c r="AM2196" s="110"/>
      <c r="AN2196" s="110"/>
      <c r="AP2196" s="6"/>
      <c r="AW2196" s="6"/>
      <c r="AX2196" s="6"/>
      <c r="AZ2196" s="110"/>
      <c r="BB2196" s="6"/>
      <c r="BD2196" s="6"/>
      <c r="BE2196" s="6"/>
      <c r="BV2196" s="17"/>
      <c r="BX2196" s="17"/>
      <c r="BZ2196" s="17"/>
    </row>
    <row r="2197" spans="4:78" x14ac:dyDescent="0.3">
      <c r="D2197" s="153"/>
      <c r="E2197" s="6"/>
      <c r="G2197" s="6"/>
      <c r="J2197" s="6"/>
      <c r="N2197" s="154"/>
      <c r="O2197" s="6"/>
      <c r="S2197" s="6"/>
      <c r="V2197" s="6"/>
      <c r="X2197" s="6"/>
      <c r="Z2197" s="110"/>
      <c r="AB2197" s="6"/>
      <c r="AD2197" s="6"/>
      <c r="AE2197" s="6"/>
      <c r="AF2197" s="126"/>
      <c r="AJ2197" s="6"/>
      <c r="AL2197" s="110"/>
      <c r="AM2197" s="110"/>
      <c r="AN2197" s="110"/>
      <c r="AP2197" s="6"/>
      <c r="AW2197" s="6"/>
      <c r="AX2197" s="6"/>
      <c r="AZ2197" s="110"/>
      <c r="BB2197" s="6"/>
      <c r="BD2197" s="6"/>
      <c r="BE2197" s="6"/>
      <c r="BV2197" s="17"/>
      <c r="BX2197" s="17"/>
      <c r="BZ2197" s="17"/>
    </row>
    <row r="2198" spans="4:78" x14ac:dyDescent="0.3">
      <c r="D2198" s="153"/>
      <c r="E2198" s="6"/>
      <c r="G2198" s="6"/>
      <c r="J2198" s="6"/>
      <c r="N2198" s="154"/>
      <c r="O2198" s="6"/>
      <c r="S2198" s="6"/>
      <c r="V2198" s="6"/>
      <c r="X2198" s="6"/>
      <c r="Z2198" s="110"/>
      <c r="AB2198" s="6"/>
      <c r="AD2198" s="6"/>
      <c r="AE2198" s="6"/>
      <c r="AF2198" s="126"/>
      <c r="AJ2198" s="6"/>
      <c r="AL2198" s="110"/>
      <c r="AM2198" s="110"/>
      <c r="AN2198" s="110"/>
      <c r="AP2198" s="6"/>
      <c r="AW2198" s="6"/>
      <c r="AX2198" s="6"/>
      <c r="AZ2198" s="110"/>
      <c r="BB2198" s="6"/>
      <c r="BD2198" s="6"/>
      <c r="BE2198" s="6"/>
      <c r="BV2198" s="17"/>
      <c r="BX2198" s="17"/>
      <c r="BZ2198" s="17"/>
    </row>
    <row r="2199" spans="4:78" x14ac:dyDescent="0.3">
      <c r="D2199" s="153"/>
      <c r="E2199" s="6"/>
      <c r="G2199" s="6"/>
      <c r="J2199" s="6"/>
      <c r="N2199" s="154"/>
      <c r="O2199" s="6"/>
      <c r="S2199" s="6"/>
      <c r="V2199" s="6"/>
      <c r="X2199" s="6"/>
      <c r="Z2199" s="110"/>
      <c r="AB2199" s="6"/>
      <c r="AD2199" s="6"/>
      <c r="AE2199" s="6"/>
      <c r="AF2199" s="126"/>
      <c r="AJ2199" s="6"/>
      <c r="AL2199" s="110"/>
      <c r="AM2199" s="110"/>
      <c r="AN2199" s="110"/>
      <c r="AP2199" s="6"/>
      <c r="AW2199" s="6"/>
      <c r="AX2199" s="6"/>
      <c r="AZ2199" s="110"/>
      <c r="BB2199" s="6"/>
      <c r="BD2199" s="6"/>
      <c r="BE2199" s="6"/>
      <c r="BV2199" s="17"/>
      <c r="BX2199" s="17"/>
      <c r="BZ2199" s="17"/>
    </row>
    <row r="2200" spans="4:78" x14ac:dyDescent="0.3">
      <c r="D2200" s="153"/>
      <c r="E2200" s="6"/>
      <c r="G2200" s="6"/>
      <c r="J2200" s="6"/>
      <c r="N2200" s="154"/>
      <c r="O2200" s="6"/>
      <c r="S2200" s="6"/>
      <c r="V2200" s="6"/>
      <c r="X2200" s="6"/>
      <c r="Z2200" s="110"/>
      <c r="AB2200" s="6"/>
      <c r="AD2200" s="6"/>
      <c r="AE2200" s="6"/>
      <c r="AF2200" s="126"/>
      <c r="AJ2200" s="6"/>
      <c r="AL2200" s="110"/>
      <c r="AM2200" s="110"/>
      <c r="AN2200" s="110"/>
      <c r="AP2200" s="6"/>
      <c r="AW2200" s="6"/>
      <c r="AX2200" s="6"/>
      <c r="AZ2200" s="110"/>
      <c r="BB2200" s="6"/>
      <c r="BD2200" s="6"/>
      <c r="BE2200" s="6"/>
      <c r="BV2200" s="17"/>
      <c r="BX2200" s="17"/>
      <c r="BZ2200" s="17"/>
    </row>
    <row r="2201" spans="4:78" x14ac:dyDescent="0.3">
      <c r="D2201" s="153"/>
      <c r="E2201" s="6"/>
      <c r="G2201" s="6"/>
      <c r="J2201" s="6"/>
      <c r="N2201" s="154"/>
      <c r="O2201" s="6"/>
      <c r="S2201" s="6"/>
      <c r="V2201" s="6"/>
      <c r="X2201" s="6"/>
      <c r="Z2201" s="110"/>
      <c r="AB2201" s="6"/>
      <c r="AD2201" s="6"/>
      <c r="AE2201" s="6"/>
      <c r="AF2201" s="126"/>
      <c r="AJ2201" s="6"/>
      <c r="AL2201" s="110"/>
      <c r="AM2201" s="110"/>
      <c r="AN2201" s="110"/>
      <c r="AP2201" s="6"/>
      <c r="AW2201" s="6"/>
      <c r="AX2201" s="6"/>
      <c r="AZ2201" s="110"/>
      <c r="BB2201" s="6"/>
      <c r="BD2201" s="6"/>
      <c r="BE2201" s="6"/>
      <c r="BV2201" s="17"/>
      <c r="BX2201" s="17"/>
      <c r="BZ2201" s="17"/>
    </row>
    <row r="2202" spans="4:78" x14ac:dyDescent="0.3">
      <c r="D2202" s="153"/>
      <c r="E2202" s="6"/>
      <c r="G2202" s="6"/>
      <c r="J2202" s="6"/>
      <c r="N2202" s="154"/>
      <c r="O2202" s="6"/>
      <c r="S2202" s="6"/>
      <c r="V2202" s="6"/>
      <c r="X2202" s="6"/>
      <c r="Z2202" s="110"/>
      <c r="AB2202" s="6"/>
      <c r="AD2202" s="6"/>
      <c r="AE2202" s="6"/>
      <c r="AF2202" s="126"/>
      <c r="AJ2202" s="6"/>
      <c r="AL2202" s="110"/>
      <c r="AM2202" s="110"/>
      <c r="AN2202" s="110"/>
      <c r="AP2202" s="6"/>
      <c r="AW2202" s="6"/>
      <c r="AX2202" s="6"/>
      <c r="AZ2202" s="110"/>
      <c r="BB2202" s="6"/>
      <c r="BD2202" s="6"/>
      <c r="BE2202" s="6"/>
      <c r="BV2202" s="17"/>
      <c r="BX2202" s="17"/>
      <c r="BZ2202" s="17"/>
    </row>
    <row r="2203" spans="4:78" x14ac:dyDescent="0.3">
      <c r="D2203" s="153"/>
      <c r="E2203" s="6"/>
      <c r="G2203" s="6"/>
      <c r="J2203" s="6"/>
      <c r="N2203" s="154"/>
      <c r="O2203" s="6"/>
      <c r="S2203" s="6"/>
      <c r="V2203" s="6"/>
      <c r="X2203" s="6"/>
      <c r="Z2203" s="110"/>
      <c r="AB2203" s="6"/>
      <c r="AD2203" s="6"/>
      <c r="AE2203" s="6"/>
      <c r="AF2203" s="126"/>
      <c r="AJ2203" s="6"/>
      <c r="AL2203" s="110"/>
      <c r="AM2203" s="110"/>
      <c r="AN2203" s="110"/>
      <c r="AP2203" s="6"/>
      <c r="AW2203" s="6"/>
      <c r="AX2203" s="6"/>
      <c r="AZ2203" s="110"/>
      <c r="BB2203" s="6"/>
      <c r="BD2203" s="6"/>
      <c r="BE2203" s="6"/>
      <c r="BV2203" s="17"/>
      <c r="BX2203" s="17"/>
      <c r="BZ2203" s="17"/>
    </row>
    <row r="2204" spans="4:78" x14ac:dyDescent="0.3">
      <c r="D2204" s="153"/>
      <c r="E2204" s="6"/>
      <c r="G2204" s="6"/>
      <c r="J2204" s="6"/>
      <c r="N2204" s="154"/>
      <c r="O2204" s="6"/>
      <c r="S2204" s="6"/>
      <c r="V2204" s="6"/>
      <c r="X2204" s="6"/>
      <c r="Z2204" s="110"/>
      <c r="AB2204" s="6"/>
      <c r="AD2204" s="6"/>
      <c r="AE2204" s="6"/>
      <c r="AF2204" s="126"/>
      <c r="AJ2204" s="6"/>
      <c r="AL2204" s="110"/>
      <c r="AM2204" s="110"/>
      <c r="AN2204" s="110"/>
      <c r="AP2204" s="6"/>
      <c r="AW2204" s="6"/>
      <c r="AX2204" s="6"/>
      <c r="AZ2204" s="110"/>
      <c r="BB2204" s="6"/>
      <c r="BD2204" s="6"/>
      <c r="BE2204" s="6"/>
      <c r="BV2204" s="17"/>
      <c r="BX2204" s="17"/>
      <c r="BZ2204" s="17"/>
    </row>
    <row r="2205" spans="4:78" x14ac:dyDescent="0.3">
      <c r="D2205" s="153"/>
      <c r="E2205" s="6"/>
      <c r="G2205" s="6"/>
      <c r="J2205" s="6"/>
      <c r="N2205" s="154"/>
      <c r="O2205" s="6"/>
      <c r="S2205" s="6"/>
      <c r="V2205" s="6"/>
      <c r="X2205" s="6"/>
      <c r="Z2205" s="110"/>
      <c r="AB2205" s="6"/>
      <c r="AD2205" s="6"/>
      <c r="AE2205" s="6"/>
      <c r="AF2205" s="126"/>
      <c r="AJ2205" s="6"/>
      <c r="AL2205" s="110"/>
      <c r="AM2205" s="110"/>
      <c r="AN2205" s="110"/>
      <c r="AP2205" s="6"/>
      <c r="AW2205" s="6"/>
      <c r="AX2205" s="6"/>
      <c r="AZ2205" s="110"/>
      <c r="BB2205" s="6"/>
      <c r="BD2205" s="6"/>
      <c r="BE2205" s="6"/>
      <c r="BV2205" s="17"/>
      <c r="BX2205" s="17"/>
      <c r="BZ2205" s="17"/>
    </row>
    <row r="2206" spans="4:78" x14ac:dyDescent="0.3">
      <c r="D2206" s="153"/>
      <c r="E2206" s="6"/>
      <c r="G2206" s="6"/>
      <c r="J2206" s="6"/>
      <c r="N2206" s="154"/>
      <c r="O2206" s="6"/>
      <c r="S2206" s="6"/>
      <c r="V2206" s="6"/>
      <c r="X2206" s="6"/>
      <c r="Z2206" s="110"/>
      <c r="AB2206" s="6"/>
      <c r="AD2206" s="6"/>
      <c r="AE2206" s="6"/>
      <c r="AF2206" s="126"/>
      <c r="AJ2206" s="6"/>
      <c r="AL2206" s="110"/>
      <c r="AM2206" s="110"/>
      <c r="AN2206" s="110"/>
      <c r="AP2206" s="6"/>
      <c r="AW2206" s="6"/>
      <c r="AX2206" s="6"/>
      <c r="AZ2206" s="110"/>
      <c r="BB2206" s="6"/>
      <c r="BD2206" s="6"/>
      <c r="BE2206" s="6"/>
      <c r="BV2206" s="17"/>
      <c r="BX2206" s="17"/>
      <c r="BZ2206" s="17"/>
    </row>
    <row r="2207" spans="4:78" x14ac:dyDescent="0.3">
      <c r="D2207" s="153"/>
      <c r="E2207" s="6"/>
      <c r="G2207" s="6"/>
      <c r="J2207" s="6"/>
      <c r="N2207" s="154"/>
      <c r="O2207" s="6"/>
      <c r="S2207" s="6"/>
      <c r="V2207" s="6"/>
      <c r="X2207" s="6"/>
      <c r="Z2207" s="110"/>
      <c r="AB2207" s="6"/>
      <c r="AD2207" s="6"/>
      <c r="AE2207" s="6"/>
      <c r="AF2207" s="126"/>
      <c r="AJ2207" s="6"/>
      <c r="AL2207" s="110"/>
      <c r="AM2207" s="110"/>
      <c r="AN2207" s="110"/>
      <c r="AP2207" s="6"/>
      <c r="AW2207" s="6"/>
      <c r="AX2207" s="6"/>
      <c r="AZ2207" s="110"/>
      <c r="BB2207" s="6"/>
      <c r="BD2207" s="6"/>
      <c r="BE2207" s="6"/>
      <c r="BV2207" s="17"/>
      <c r="BX2207" s="17"/>
      <c r="BZ2207" s="17"/>
    </row>
    <row r="2208" spans="4:78" x14ac:dyDescent="0.3">
      <c r="D2208" s="153"/>
      <c r="E2208" s="6"/>
      <c r="G2208" s="6"/>
      <c r="J2208" s="6"/>
      <c r="N2208" s="154"/>
      <c r="O2208" s="6"/>
      <c r="S2208" s="6"/>
      <c r="V2208" s="6"/>
      <c r="X2208" s="6"/>
      <c r="Z2208" s="110"/>
      <c r="AB2208" s="6"/>
      <c r="AD2208" s="6"/>
      <c r="AE2208" s="6"/>
      <c r="AF2208" s="126"/>
      <c r="AJ2208" s="6"/>
      <c r="AL2208" s="110"/>
      <c r="AM2208" s="110"/>
      <c r="AN2208" s="110"/>
      <c r="AP2208" s="6"/>
      <c r="AW2208" s="6"/>
      <c r="AX2208" s="6"/>
      <c r="AZ2208" s="110"/>
      <c r="BB2208" s="6"/>
      <c r="BD2208" s="6"/>
      <c r="BE2208" s="6"/>
      <c r="BV2208" s="17"/>
      <c r="BX2208" s="17"/>
      <c r="BZ2208" s="17"/>
    </row>
    <row r="2209" spans="4:78" x14ac:dyDescent="0.3">
      <c r="D2209" s="153"/>
      <c r="E2209" s="6"/>
      <c r="G2209" s="6"/>
      <c r="J2209" s="6"/>
      <c r="N2209" s="154"/>
      <c r="O2209" s="6"/>
      <c r="S2209" s="6"/>
      <c r="V2209" s="6"/>
      <c r="X2209" s="6"/>
      <c r="Z2209" s="110"/>
      <c r="AB2209" s="6"/>
      <c r="AD2209" s="6"/>
      <c r="AE2209" s="6"/>
      <c r="AF2209" s="126"/>
      <c r="AJ2209" s="6"/>
      <c r="AL2209" s="110"/>
      <c r="AM2209" s="110"/>
      <c r="AN2209" s="110"/>
      <c r="AP2209" s="6"/>
      <c r="AW2209" s="6"/>
      <c r="AX2209" s="6"/>
      <c r="AZ2209" s="110"/>
      <c r="BB2209" s="6"/>
      <c r="BD2209" s="6"/>
      <c r="BE2209" s="6"/>
      <c r="BV2209" s="17"/>
      <c r="BX2209" s="17"/>
      <c r="BZ2209" s="17"/>
    </row>
    <row r="2210" spans="4:78" x14ac:dyDescent="0.3">
      <c r="D2210" s="153"/>
      <c r="E2210" s="6"/>
      <c r="G2210" s="6"/>
      <c r="J2210" s="6"/>
      <c r="N2210" s="154"/>
      <c r="O2210" s="6"/>
      <c r="S2210" s="6"/>
      <c r="V2210" s="6"/>
      <c r="X2210" s="6"/>
      <c r="Z2210" s="110"/>
      <c r="AB2210" s="6"/>
      <c r="AD2210" s="6"/>
      <c r="AE2210" s="6"/>
      <c r="AF2210" s="126"/>
      <c r="AJ2210" s="6"/>
      <c r="AL2210" s="110"/>
      <c r="AM2210" s="110"/>
      <c r="AN2210" s="110"/>
      <c r="AP2210" s="6"/>
      <c r="AW2210" s="6"/>
      <c r="AX2210" s="6"/>
      <c r="AZ2210" s="110"/>
      <c r="BB2210" s="6"/>
      <c r="BD2210" s="6"/>
      <c r="BE2210" s="6"/>
      <c r="BV2210" s="17"/>
      <c r="BX2210" s="17"/>
      <c r="BZ2210" s="17"/>
    </row>
    <row r="2211" spans="4:78" x14ac:dyDescent="0.3">
      <c r="D2211" s="153"/>
      <c r="E2211" s="6"/>
      <c r="G2211" s="6"/>
      <c r="J2211" s="6"/>
      <c r="N2211" s="154"/>
      <c r="O2211" s="6"/>
      <c r="S2211" s="6"/>
      <c r="V2211" s="6"/>
      <c r="X2211" s="6"/>
      <c r="Z2211" s="110"/>
      <c r="AB2211" s="6"/>
      <c r="AD2211" s="6"/>
      <c r="AE2211" s="6"/>
      <c r="AF2211" s="126"/>
      <c r="AJ2211" s="6"/>
      <c r="AL2211" s="110"/>
      <c r="AM2211" s="110"/>
      <c r="AN2211" s="110"/>
      <c r="AP2211" s="6"/>
      <c r="AW2211" s="6"/>
      <c r="AX2211" s="6"/>
      <c r="AZ2211" s="110"/>
      <c r="BB2211" s="6"/>
      <c r="BD2211" s="6"/>
      <c r="BE2211" s="6"/>
      <c r="BV2211" s="17"/>
      <c r="BX2211" s="17"/>
      <c r="BZ2211" s="17"/>
    </row>
    <row r="2212" spans="4:78" x14ac:dyDescent="0.3">
      <c r="D2212" s="153"/>
      <c r="E2212" s="6"/>
      <c r="G2212" s="6"/>
      <c r="J2212" s="6"/>
      <c r="N2212" s="154"/>
      <c r="O2212" s="6"/>
      <c r="S2212" s="6"/>
      <c r="V2212" s="6"/>
      <c r="X2212" s="6"/>
      <c r="Z2212" s="110"/>
      <c r="AB2212" s="6"/>
      <c r="AD2212" s="6"/>
      <c r="AE2212" s="6"/>
      <c r="AF2212" s="126"/>
      <c r="AJ2212" s="6"/>
      <c r="AL2212" s="110"/>
      <c r="AM2212" s="110"/>
      <c r="AN2212" s="110"/>
      <c r="AP2212" s="6"/>
      <c r="AW2212" s="6"/>
      <c r="AX2212" s="6"/>
      <c r="AZ2212" s="110"/>
      <c r="BB2212" s="6"/>
      <c r="BD2212" s="6"/>
      <c r="BE2212" s="6"/>
      <c r="BV2212" s="17"/>
      <c r="BX2212" s="17"/>
      <c r="BZ2212" s="17"/>
    </row>
    <row r="2213" spans="4:78" x14ac:dyDescent="0.3">
      <c r="D2213" s="153"/>
      <c r="E2213" s="6"/>
      <c r="G2213" s="6"/>
      <c r="J2213" s="6"/>
      <c r="N2213" s="154"/>
      <c r="O2213" s="6"/>
      <c r="S2213" s="6"/>
      <c r="V2213" s="6"/>
      <c r="X2213" s="6"/>
      <c r="Z2213" s="110"/>
      <c r="AB2213" s="6"/>
      <c r="AD2213" s="6"/>
      <c r="AE2213" s="6"/>
      <c r="AF2213" s="126"/>
      <c r="AJ2213" s="6"/>
      <c r="AL2213" s="110"/>
      <c r="AM2213" s="110"/>
      <c r="AN2213" s="110"/>
      <c r="AP2213" s="6"/>
      <c r="AW2213" s="6"/>
      <c r="AX2213" s="6"/>
      <c r="AZ2213" s="110"/>
      <c r="BB2213" s="6"/>
      <c r="BD2213" s="6"/>
      <c r="BE2213" s="6"/>
      <c r="BV2213" s="17"/>
      <c r="BX2213" s="17"/>
      <c r="BZ2213" s="17"/>
    </row>
    <row r="2214" spans="4:78" x14ac:dyDescent="0.3">
      <c r="D2214" s="153"/>
      <c r="E2214" s="6"/>
      <c r="G2214" s="6"/>
      <c r="J2214" s="6"/>
      <c r="N2214" s="154"/>
      <c r="O2214" s="6"/>
      <c r="S2214" s="6"/>
      <c r="V2214" s="6"/>
      <c r="X2214" s="6"/>
      <c r="Z2214" s="110"/>
      <c r="AB2214" s="6"/>
      <c r="AD2214" s="6"/>
      <c r="AE2214" s="6"/>
      <c r="AF2214" s="126"/>
      <c r="AJ2214" s="6"/>
      <c r="AL2214" s="110"/>
      <c r="AM2214" s="110"/>
      <c r="AN2214" s="110"/>
      <c r="AP2214" s="6"/>
      <c r="AW2214" s="6"/>
      <c r="AX2214" s="6"/>
      <c r="AZ2214" s="110"/>
      <c r="BB2214" s="6"/>
      <c r="BD2214" s="6"/>
      <c r="BE2214" s="6"/>
      <c r="BV2214" s="17"/>
      <c r="BX2214" s="17"/>
      <c r="BZ2214" s="17"/>
    </row>
    <row r="2215" spans="4:78" x14ac:dyDescent="0.3">
      <c r="D2215" s="153"/>
      <c r="E2215" s="6"/>
      <c r="G2215" s="6"/>
      <c r="J2215" s="6"/>
      <c r="N2215" s="154"/>
      <c r="O2215" s="6"/>
      <c r="S2215" s="6"/>
      <c r="V2215" s="6"/>
      <c r="X2215" s="6"/>
      <c r="Z2215" s="110"/>
      <c r="AB2215" s="6"/>
      <c r="AD2215" s="6"/>
      <c r="AE2215" s="6"/>
      <c r="AF2215" s="126"/>
      <c r="AJ2215" s="6"/>
      <c r="AL2215" s="110"/>
      <c r="AM2215" s="110"/>
      <c r="AN2215" s="110"/>
      <c r="AP2215" s="6"/>
      <c r="AW2215" s="6"/>
      <c r="AX2215" s="6"/>
      <c r="AZ2215" s="110"/>
      <c r="BB2215" s="6"/>
      <c r="BD2215" s="6"/>
      <c r="BE2215" s="6"/>
      <c r="BV2215" s="17"/>
      <c r="BX2215" s="17"/>
      <c r="BZ2215" s="17"/>
    </row>
    <row r="2216" spans="4:78" x14ac:dyDescent="0.3">
      <c r="D2216" s="153"/>
      <c r="E2216" s="6"/>
      <c r="G2216" s="6"/>
      <c r="J2216" s="6"/>
      <c r="N2216" s="154"/>
      <c r="O2216" s="6"/>
      <c r="S2216" s="6"/>
      <c r="V2216" s="6"/>
      <c r="X2216" s="6"/>
      <c r="Z2216" s="110"/>
      <c r="AB2216" s="6"/>
      <c r="AD2216" s="6"/>
      <c r="AE2216" s="6"/>
      <c r="AF2216" s="126"/>
      <c r="AJ2216" s="6"/>
      <c r="AL2216" s="110"/>
      <c r="AM2216" s="110"/>
      <c r="AN2216" s="110"/>
      <c r="AP2216" s="6"/>
      <c r="AW2216" s="6"/>
      <c r="AX2216" s="6"/>
      <c r="AZ2216" s="110"/>
      <c r="BB2216" s="6"/>
      <c r="BD2216" s="6"/>
      <c r="BE2216" s="6"/>
      <c r="BV2216" s="17"/>
      <c r="BX2216" s="17"/>
      <c r="BZ2216" s="17"/>
    </row>
    <row r="2217" spans="4:78" x14ac:dyDescent="0.3">
      <c r="D2217" s="153"/>
      <c r="E2217" s="6"/>
      <c r="G2217" s="6"/>
      <c r="J2217" s="6"/>
      <c r="N2217" s="154"/>
      <c r="O2217" s="6"/>
      <c r="S2217" s="6"/>
      <c r="V2217" s="6"/>
      <c r="X2217" s="6"/>
      <c r="Z2217" s="110"/>
      <c r="AB2217" s="6"/>
      <c r="AD2217" s="6"/>
      <c r="AE2217" s="6"/>
      <c r="AF2217" s="126"/>
      <c r="AJ2217" s="6"/>
      <c r="AL2217" s="110"/>
      <c r="AM2217" s="110"/>
      <c r="AN2217" s="110"/>
      <c r="AP2217" s="6"/>
      <c r="AW2217" s="6"/>
      <c r="AX2217" s="6"/>
      <c r="AZ2217" s="110"/>
      <c r="BB2217" s="6"/>
      <c r="BD2217" s="6"/>
      <c r="BE2217" s="6"/>
      <c r="BV2217" s="17"/>
      <c r="BX2217" s="17"/>
      <c r="BZ2217" s="17"/>
    </row>
    <row r="2218" spans="4:78" x14ac:dyDescent="0.3">
      <c r="D2218" s="153"/>
      <c r="E2218" s="6"/>
      <c r="G2218" s="6"/>
      <c r="J2218" s="6"/>
      <c r="N2218" s="154"/>
      <c r="O2218" s="6"/>
      <c r="S2218" s="6"/>
      <c r="V2218" s="6"/>
      <c r="X2218" s="6"/>
      <c r="Z2218" s="110"/>
      <c r="AB2218" s="6"/>
      <c r="AD2218" s="6"/>
      <c r="AE2218" s="6"/>
      <c r="AF2218" s="126"/>
      <c r="AJ2218" s="6"/>
      <c r="AL2218" s="110"/>
      <c r="AM2218" s="110"/>
      <c r="AN2218" s="110"/>
      <c r="AP2218" s="6"/>
      <c r="AW2218" s="6"/>
      <c r="AX2218" s="6"/>
      <c r="AZ2218" s="110"/>
      <c r="BB2218" s="6"/>
      <c r="BD2218" s="6"/>
      <c r="BE2218" s="6"/>
      <c r="BV2218" s="17"/>
      <c r="BX2218" s="17"/>
      <c r="BZ2218" s="17"/>
    </row>
    <row r="2219" spans="4:78" x14ac:dyDescent="0.3">
      <c r="D2219" s="153"/>
      <c r="E2219" s="6"/>
      <c r="G2219" s="6"/>
      <c r="J2219" s="6"/>
      <c r="N2219" s="154"/>
      <c r="O2219" s="6"/>
      <c r="S2219" s="6"/>
      <c r="V2219" s="6"/>
      <c r="X2219" s="6"/>
      <c r="Z2219" s="110"/>
      <c r="AB2219" s="6"/>
      <c r="AD2219" s="6"/>
      <c r="AE2219" s="6"/>
      <c r="AF2219" s="126"/>
      <c r="AJ2219" s="6"/>
      <c r="AL2219" s="110"/>
      <c r="AM2219" s="110"/>
      <c r="AN2219" s="110"/>
      <c r="AP2219" s="6"/>
      <c r="AW2219" s="6"/>
      <c r="AX2219" s="6"/>
      <c r="AZ2219" s="110"/>
      <c r="BB2219" s="6"/>
      <c r="BD2219" s="6"/>
      <c r="BE2219" s="6"/>
      <c r="BV2219" s="17"/>
      <c r="BX2219" s="17"/>
      <c r="BZ2219" s="17"/>
    </row>
    <row r="2220" spans="4:78" x14ac:dyDescent="0.3">
      <c r="D2220" s="153"/>
      <c r="E2220" s="6"/>
      <c r="G2220" s="6"/>
      <c r="J2220" s="6"/>
      <c r="N2220" s="154"/>
      <c r="O2220" s="6"/>
      <c r="S2220" s="6"/>
      <c r="V2220" s="6"/>
      <c r="X2220" s="6"/>
      <c r="Z2220" s="110"/>
      <c r="AB2220" s="6"/>
      <c r="AD2220" s="6"/>
      <c r="AE2220" s="6"/>
      <c r="AF2220" s="126"/>
      <c r="AJ2220" s="6"/>
      <c r="AL2220" s="110"/>
      <c r="AM2220" s="110"/>
      <c r="AN2220" s="110"/>
      <c r="AP2220" s="6"/>
      <c r="AW2220" s="6"/>
      <c r="AX2220" s="6"/>
      <c r="AZ2220" s="110"/>
      <c r="BB2220" s="6"/>
      <c r="BD2220" s="6"/>
      <c r="BE2220" s="6"/>
      <c r="BV2220" s="17"/>
      <c r="BX2220" s="17"/>
      <c r="BZ2220" s="17"/>
    </row>
    <row r="2221" spans="4:78" x14ac:dyDescent="0.3">
      <c r="D2221" s="153"/>
      <c r="E2221" s="6"/>
      <c r="G2221" s="6"/>
      <c r="J2221" s="6"/>
      <c r="N2221" s="154"/>
      <c r="O2221" s="6"/>
      <c r="S2221" s="6"/>
      <c r="V2221" s="6"/>
      <c r="X2221" s="6"/>
      <c r="Z2221" s="110"/>
      <c r="AB2221" s="6"/>
      <c r="AD2221" s="6"/>
      <c r="AE2221" s="6"/>
      <c r="AF2221" s="126"/>
      <c r="AJ2221" s="6"/>
      <c r="AL2221" s="110"/>
      <c r="AM2221" s="110"/>
      <c r="AN2221" s="110"/>
      <c r="AP2221" s="6"/>
      <c r="AW2221" s="6"/>
      <c r="AX2221" s="6"/>
      <c r="AZ2221" s="110"/>
      <c r="BB2221" s="6"/>
      <c r="BD2221" s="6"/>
      <c r="BE2221" s="6"/>
      <c r="BV2221" s="17"/>
      <c r="BX2221" s="17"/>
      <c r="BZ2221" s="17"/>
    </row>
    <row r="2222" spans="4:78" x14ac:dyDescent="0.3">
      <c r="D2222" s="153"/>
      <c r="E2222" s="6"/>
      <c r="G2222" s="6"/>
      <c r="J2222" s="6"/>
      <c r="N2222" s="154"/>
      <c r="O2222" s="6"/>
      <c r="S2222" s="6"/>
      <c r="V2222" s="6"/>
      <c r="X2222" s="6"/>
      <c r="Z2222" s="110"/>
      <c r="AB2222" s="6"/>
      <c r="AD2222" s="6"/>
      <c r="AE2222" s="6"/>
      <c r="AF2222" s="126"/>
      <c r="AJ2222" s="6"/>
      <c r="AL2222" s="110"/>
      <c r="AM2222" s="110"/>
      <c r="AN2222" s="110"/>
      <c r="AP2222" s="6"/>
      <c r="AW2222" s="6"/>
      <c r="AX2222" s="6"/>
      <c r="AZ2222" s="110"/>
      <c r="BB2222" s="6"/>
      <c r="BD2222" s="6"/>
      <c r="BE2222" s="6"/>
      <c r="BV2222" s="17"/>
      <c r="BX2222" s="17"/>
      <c r="BZ2222" s="17"/>
    </row>
    <row r="2223" spans="4:78" x14ac:dyDescent="0.3">
      <c r="D2223" s="153"/>
      <c r="E2223" s="6"/>
      <c r="G2223" s="6"/>
      <c r="J2223" s="6"/>
      <c r="N2223" s="154"/>
      <c r="O2223" s="6"/>
      <c r="S2223" s="6"/>
      <c r="V2223" s="6"/>
      <c r="X2223" s="6"/>
      <c r="Z2223" s="110"/>
      <c r="AB2223" s="6"/>
      <c r="AD2223" s="6"/>
      <c r="AE2223" s="6"/>
      <c r="AF2223" s="126"/>
      <c r="AJ2223" s="6"/>
      <c r="AL2223" s="110"/>
      <c r="AM2223" s="110"/>
      <c r="AN2223" s="110"/>
      <c r="AP2223" s="6"/>
      <c r="AW2223" s="6"/>
      <c r="AX2223" s="6"/>
      <c r="AZ2223" s="110"/>
      <c r="BB2223" s="6"/>
      <c r="BD2223" s="6"/>
      <c r="BE2223" s="6"/>
      <c r="BV2223" s="17"/>
      <c r="BX2223" s="17"/>
      <c r="BZ2223" s="17"/>
    </row>
    <row r="2224" spans="4:78" x14ac:dyDescent="0.3">
      <c r="D2224" s="153"/>
      <c r="E2224" s="6"/>
      <c r="G2224" s="6"/>
      <c r="J2224" s="6"/>
      <c r="N2224" s="154"/>
      <c r="O2224" s="6"/>
      <c r="S2224" s="6"/>
      <c r="V2224" s="6"/>
      <c r="X2224" s="6"/>
      <c r="Z2224" s="110"/>
      <c r="AB2224" s="6"/>
      <c r="AD2224" s="6"/>
      <c r="AE2224" s="6"/>
      <c r="AF2224" s="126"/>
      <c r="AJ2224" s="6"/>
      <c r="AL2224" s="110"/>
      <c r="AM2224" s="110"/>
      <c r="AN2224" s="110"/>
      <c r="AP2224" s="6"/>
      <c r="AW2224" s="6"/>
      <c r="AX2224" s="6"/>
      <c r="AZ2224" s="110"/>
      <c r="BB2224" s="6"/>
      <c r="BD2224" s="6"/>
      <c r="BE2224" s="6"/>
      <c r="BV2224" s="17"/>
      <c r="BX2224" s="17"/>
      <c r="BZ2224" s="17"/>
    </row>
    <row r="2225" spans="4:78" x14ac:dyDescent="0.3">
      <c r="D2225" s="153"/>
      <c r="E2225" s="6"/>
      <c r="G2225" s="6"/>
      <c r="J2225" s="6"/>
      <c r="N2225" s="154"/>
      <c r="O2225" s="6"/>
      <c r="S2225" s="6"/>
      <c r="V2225" s="6"/>
      <c r="X2225" s="6"/>
      <c r="Z2225" s="110"/>
      <c r="AB2225" s="6"/>
      <c r="AD2225" s="6"/>
      <c r="AE2225" s="6"/>
      <c r="AF2225" s="126"/>
      <c r="AJ2225" s="6"/>
      <c r="AL2225" s="110"/>
      <c r="AM2225" s="110"/>
      <c r="AN2225" s="110"/>
      <c r="AP2225" s="6"/>
      <c r="AW2225" s="6"/>
      <c r="AX2225" s="6"/>
      <c r="AZ2225" s="110"/>
      <c r="BB2225" s="6"/>
      <c r="BD2225" s="6"/>
      <c r="BE2225" s="6"/>
      <c r="BV2225" s="17"/>
      <c r="BX2225" s="17"/>
      <c r="BZ2225" s="17"/>
    </row>
    <row r="2226" spans="4:78" x14ac:dyDescent="0.3">
      <c r="D2226" s="153"/>
      <c r="E2226" s="6"/>
      <c r="G2226" s="6"/>
      <c r="J2226" s="6"/>
      <c r="N2226" s="154"/>
      <c r="O2226" s="6"/>
      <c r="S2226" s="6"/>
      <c r="V2226" s="6"/>
      <c r="X2226" s="6"/>
      <c r="Z2226" s="110"/>
      <c r="AB2226" s="6"/>
      <c r="AD2226" s="6"/>
      <c r="AE2226" s="6"/>
      <c r="AF2226" s="126"/>
      <c r="AJ2226" s="6"/>
      <c r="AL2226" s="110"/>
      <c r="AM2226" s="110"/>
      <c r="AN2226" s="110"/>
      <c r="AP2226" s="6"/>
      <c r="AW2226" s="6"/>
      <c r="AX2226" s="6"/>
      <c r="AZ2226" s="110"/>
      <c r="BB2226" s="6"/>
      <c r="BD2226" s="6"/>
      <c r="BE2226" s="6"/>
      <c r="BV2226" s="17"/>
      <c r="BX2226" s="17"/>
      <c r="BZ2226" s="17"/>
    </row>
    <row r="2227" spans="4:78" x14ac:dyDescent="0.3">
      <c r="D2227" s="153"/>
      <c r="E2227" s="6"/>
      <c r="G2227" s="6"/>
      <c r="J2227" s="6"/>
      <c r="N2227" s="154"/>
      <c r="O2227" s="6"/>
      <c r="S2227" s="6"/>
      <c r="V2227" s="6"/>
      <c r="X2227" s="6"/>
      <c r="Z2227" s="110"/>
      <c r="AB2227" s="6"/>
      <c r="AD2227" s="6"/>
      <c r="AE2227" s="6"/>
      <c r="AF2227" s="126"/>
      <c r="AJ2227" s="6"/>
      <c r="AL2227" s="110"/>
      <c r="AM2227" s="110"/>
      <c r="AN2227" s="110"/>
      <c r="AP2227" s="6"/>
      <c r="AW2227" s="6"/>
      <c r="AX2227" s="6"/>
      <c r="AZ2227" s="110"/>
      <c r="BB2227" s="6"/>
      <c r="BD2227" s="6"/>
      <c r="BE2227" s="6"/>
      <c r="BV2227" s="17"/>
      <c r="BX2227" s="17"/>
      <c r="BZ2227" s="17"/>
    </row>
    <row r="2228" spans="4:78" x14ac:dyDescent="0.3">
      <c r="D2228" s="153"/>
      <c r="E2228" s="6"/>
      <c r="G2228" s="6"/>
      <c r="J2228" s="6"/>
      <c r="N2228" s="154"/>
      <c r="O2228" s="6"/>
      <c r="S2228" s="6"/>
      <c r="V2228" s="6"/>
      <c r="X2228" s="6"/>
      <c r="Z2228" s="110"/>
      <c r="AB2228" s="6"/>
      <c r="AD2228" s="6"/>
      <c r="AE2228" s="6"/>
      <c r="AF2228" s="126"/>
      <c r="AJ2228" s="6"/>
      <c r="AL2228" s="110"/>
      <c r="AM2228" s="110"/>
      <c r="AN2228" s="110"/>
      <c r="AP2228" s="6"/>
      <c r="AW2228" s="6"/>
      <c r="AX2228" s="6"/>
      <c r="AZ2228" s="110"/>
      <c r="BB2228" s="6"/>
      <c r="BD2228" s="6"/>
      <c r="BE2228" s="6"/>
      <c r="BV2228" s="17"/>
      <c r="BX2228" s="17"/>
      <c r="BZ2228" s="17"/>
    </row>
    <row r="2229" spans="4:78" x14ac:dyDescent="0.3">
      <c r="D2229" s="153"/>
      <c r="E2229" s="6"/>
      <c r="G2229" s="6"/>
      <c r="J2229" s="6"/>
      <c r="N2229" s="154"/>
      <c r="O2229" s="6"/>
      <c r="S2229" s="6"/>
      <c r="V2229" s="6"/>
      <c r="X2229" s="6"/>
      <c r="Z2229" s="110"/>
      <c r="AB2229" s="6"/>
      <c r="AD2229" s="6"/>
      <c r="AE2229" s="6"/>
      <c r="AF2229" s="126"/>
      <c r="AJ2229" s="6"/>
      <c r="AL2229" s="110"/>
      <c r="AM2229" s="110"/>
      <c r="AN2229" s="110"/>
      <c r="AP2229" s="6"/>
      <c r="AW2229" s="6"/>
      <c r="AX2229" s="6"/>
      <c r="AZ2229" s="110"/>
      <c r="BB2229" s="6"/>
      <c r="BD2229" s="6"/>
      <c r="BE2229" s="6"/>
      <c r="BV2229" s="17"/>
      <c r="BX2229" s="17"/>
      <c r="BZ2229" s="17"/>
    </row>
    <row r="2230" spans="4:78" x14ac:dyDescent="0.3">
      <c r="D2230" s="153"/>
      <c r="E2230" s="6"/>
      <c r="G2230" s="6"/>
      <c r="J2230" s="6"/>
      <c r="N2230" s="154"/>
      <c r="O2230" s="6"/>
      <c r="S2230" s="6"/>
      <c r="V2230" s="6"/>
      <c r="X2230" s="6"/>
      <c r="Z2230" s="110"/>
      <c r="AB2230" s="6"/>
      <c r="AD2230" s="6"/>
      <c r="AE2230" s="6"/>
      <c r="AF2230" s="126"/>
      <c r="AJ2230" s="6"/>
      <c r="AL2230" s="110"/>
      <c r="AM2230" s="110"/>
      <c r="AN2230" s="110"/>
      <c r="AP2230" s="6"/>
      <c r="AW2230" s="6"/>
      <c r="AX2230" s="6"/>
      <c r="AZ2230" s="110"/>
      <c r="BB2230" s="6"/>
      <c r="BD2230" s="6"/>
      <c r="BE2230" s="6"/>
      <c r="BV2230" s="17"/>
      <c r="BX2230" s="17"/>
      <c r="BZ2230" s="17"/>
    </row>
    <row r="2231" spans="4:78" x14ac:dyDescent="0.3">
      <c r="D2231" s="153"/>
      <c r="E2231" s="6"/>
      <c r="G2231" s="6"/>
      <c r="J2231" s="6"/>
      <c r="N2231" s="154"/>
      <c r="O2231" s="6"/>
      <c r="S2231" s="6"/>
      <c r="V2231" s="6"/>
      <c r="X2231" s="6"/>
      <c r="Z2231" s="110"/>
      <c r="AB2231" s="6"/>
      <c r="AD2231" s="6"/>
      <c r="AE2231" s="6"/>
      <c r="AF2231" s="126"/>
      <c r="AJ2231" s="6"/>
      <c r="AL2231" s="110"/>
      <c r="AM2231" s="110"/>
      <c r="AN2231" s="110"/>
      <c r="AP2231" s="6"/>
      <c r="AW2231" s="6"/>
      <c r="AX2231" s="6"/>
      <c r="AZ2231" s="110"/>
      <c r="BB2231" s="6"/>
      <c r="BD2231" s="6"/>
      <c r="BE2231" s="6"/>
      <c r="BV2231" s="17"/>
      <c r="BX2231" s="17"/>
      <c r="BZ2231" s="17"/>
    </row>
    <row r="2232" spans="4:78" x14ac:dyDescent="0.3">
      <c r="D2232" s="153"/>
      <c r="E2232" s="6"/>
      <c r="G2232" s="6"/>
      <c r="J2232" s="6"/>
      <c r="N2232" s="154"/>
      <c r="O2232" s="6"/>
      <c r="S2232" s="6"/>
      <c r="V2232" s="6"/>
      <c r="X2232" s="6"/>
      <c r="Z2232" s="110"/>
      <c r="AB2232" s="6"/>
      <c r="AD2232" s="6"/>
      <c r="AE2232" s="6"/>
      <c r="AF2232" s="126"/>
      <c r="AJ2232" s="6"/>
      <c r="AL2232" s="110"/>
      <c r="AM2232" s="110"/>
      <c r="AN2232" s="110"/>
      <c r="AP2232" s="6"/>
      <c r="AW2232" s="6"/>
      <c r="AX2232" s="6"/>
      <c r="AZ2232" s="110"/>
      <c r="BB2232" s="6"/>
      <c r="BD2232" s="6"/>
      <c r="BE2232" s="6"/>
      <c r="BV2232" s="17"/>
      <c r="BX2232" s="17"/>
      <c r="BZ2232" s="17"/>
    </row>
    <row r="2233" spans="4:78" x14ac:dyDescent="0.3">
      <c r="D2233" s="153"/>
      <c r="E2233" s="6"/>
      <c r="G2233" s="6"/>
      <c r="J2233" s="6"/>
      <c r="N2233" s="154"/>
      <c r="O2233" s="6"/>
      <c r="S2233" s="6"/>
      <c r="V2233" s="6"/>
      <c r="X2233" s="6"/>
      <c r="Z2233" s="110"/>
      <c r="AB2233" s="6"/>
      <c r="AD2233" s="6"/>
      <c r="AE2233" s="6"/>
      <c r="AF2233" s="126"/>
      <c r="AJ2233" s="6"/>
      <c r="AL2233" s="110"/>
      <c r="AM2233" s="110"/>
      <c r="AN2233" s="110"/>
      <c r="AP2233" s="6"/>
      <c r="AW2233" s="6"/>
      <c r="AX2233" s="6"/>
      <c r="AZ2233" s="110"/>
      <c r="BB2233" s="6"/>
      <c r="BD2233" s="6"/>
      <c r="BE2233" s="6"/>
      <c r="BV2233" s="17"/>
      <c r="BX2233" s="17"/>
      <c r="BZ2233" s="17"/>
    </row>
    <row r="2234" spans="4:78" x14ac:dyDescent="0.3">
      <c r="D2234" s="153"/>
      <c r="E2234" s="6"/>
      <c r="G2234" s="6"/>
      <c r="J2234" s="6"/>
      <c r="N2234" s="154"/>
      <c r="O2234" s="6"/>
      <c r="S2234" s="6"/>
      <c r="V2234" s="6"/>
      <c r="X2234" s="6"/>
      <c r="Z2234" s="110"/>
      <c r="AB2234" s="6"/>
      <c r="AD2234" s="6"/>
      <c r="AE2234" s="6"/>
      <c r="AF2234" s="126"/>
      <c r="AJ2234" s="6"/>
      <c r="AL2234" s="110"/>
      <c r="AM2234" s="110"/>
      <c r="AN2234" s="110"/>
      <c r="AP2234" s="6"/>
      <c r="AW2234" s="6"/>
      <c r="AX2234" s="6"/>
      <c r="AZ2234" s="110"/>
      <c r="BB2234" s="6"/>
      <c r="BD2234" s="6"/>
      <c r="BE2234" s="6"/>
      <c r="BV2234" s="17"/>
      <c r="BX2234" s="17"/>
      <c r="BZ2234" s="17"/>
    </row>
    <row r="2235" spans="4:78" x14ac:dyDescent="0.3">
      <c r="D2235" s="153"/>
      <c r="E2235" s="6"/>
      <c r="G2235" s="6"/>
      <c r="J2235" s="6"/>
      <c r="N2235" s="154"/>
      <c r="O2235" s="6"/>
      <c r="S2235" s="6"/>
      <c r="V2235" s="6"/>
      <c r="X2235" s="6"/>
      <c r="Z2235" s="110"/>
      <c r="AB2235" s="6"/>
      <c r="AD2235" s="6"/>
      <c r="AE2235" s="6"/>
      <c r="AF2235" s="126"/>
      <c r="AJ2235" s="6"/>
      <c r="AL2235" s="110"/>
      <c r="AM2235" s="110"/>
      <c r="AN2235" s="110"/>
      <c r="AP2235" s="6"/>
      <c r="AW2235" s="6"/>
      <c r="AX2235" s="6"/>
      <c r="AZ2235" s="110"/>
      <c r="BB2235" s="6"/>
      <c r="BD2235" s="6"/>
      <c r="BE2235" s="6"/>
      <c r="BV2235" s="17"/>
      <c r="BX2235" s="17"/>
      <c r="BZ2235" s="17"/>
    </row>
    <row r="2236" spans="4:78" x14ac:dyDescent="0.3">
      <c r="D2236" s="153"/>
      <c r="E2236" s="6"/>
      <c r="G2236" s="6"/>
      <c r="J2236" s="6"/>
      <c r="N2236" s="154"/>
      <c r="O2236" s="6"/>
      <c r="S2236" s="6"/>
      <c r="V2236" s="6"/>
      <c r="X2236" s="6"/>
      <c r="Z2236" s="110"/>
      <c r="AB2236" s="6"/>
      <c r="AD2236" s="6"/>
      <c r="AE2236" s="6"/>
      <c r="AF2236" s="126"/>
      <c r="AJ2236" s="6"/>
      <c r="AL2236" s="110"/>
      <c r="AM2236" s="110"/>
      <c r="AN2236" s="110"/>
      <c r="AP2236" s="6"/>
      <c r="AW2236" s="6"/>
      <c r="AX2236" s="6"/>
      <c r="AZ2236" s="110"/>
      <c r="BB2236" s="6"/>
      <c r="BD2236" s="6"/>
      <c r="BE2236" s="6"/>
      <c r="BV2236" s="17"/>
      <c r="BX2236" s="17"/>
      <c r="BZ2236" s="17"/>
    </row>
    <row r="2237" spans="4:78" x14ac:dyDescent="0.3">
      <c r="D2237" s="153"/>
      <c r="E2237" s="6"/>
      <c r="G2237" s="6"/>
      <c r="J2237" s="6"/>
      <c r="N2237" s="154"/>
      <c r="O2237" s="6"/>
      <c r="S2237" s="6"/>
      <c r="V2237" s="6"/>
      <c r="X2237" s="6"/>
      <c r="Z2237" s="110"/>
      <c r="AB2237" s="6"/>
      <c r="AD2237" s="6"/>
      <c r="AE2237" s="6"/>
      <c r="AF2237" s="126"/>
      <c r="AJ2237" s="6"/>
      <c r="AL2237" s="110"/>
      <c r="AM2237" s="110"/>
      <c r="AN2237" s="110"/>
      <c r="AP2237" s="6"/>
      <c r="AW2237" s="6"/>
      <c r="AX2237" s="6"/>
      <c r="AZ2237" s="110"/>
      <c r="BB2237" s="6"/>
      <c r="BD2237" s="6"/>
      <c r="BE2237" s="6"/>
      <c r="BV2237" s="17"/>
      <c r="BX2237" s="17"/>
      <c r="BZ2237" s="17"/>
    </row>
    <row r="2238" spans="4:78" x14ac:dyDescent="0.3">
      <c r="D2238" s="153"/>
      <c r="E2238" s="6"/>
      <c r="G2238" s="6"/>
      <c r="J2238" s="6"/>
      <c r="N2238" s="154"/>
      <c r="O2238" s="6"/>
      <c r="S2238" s="6"/>
      <c r="V2238" s="6"/>
      <c r="X2238" s="6"/>
      <c r="Z2238" s="110"/>
      <c r="AB2238" s="6"/>
      <c r="AD2238" s="6"/>
      <c r="AE2238" s="6"/>
      <c r="AF2238" s="126"/>
      <c r="AJ2238" s="6"/>
      <c r="AL2238" s="110"/>
      <c r="AM2238" s="110"/>
      <c r="AN2238" s="110"/>
      <c r="AP2238" s="6"/>
      <c r="AW2238" s="6"/>
      <c r="AX2238" s="6"/>
      <c r="AZ2238" s="110"/>
      <c r="BB2238" s="6"/>
      <c r="BD2238" s="6"/>
      <c r="BE2238" s="6"/>
      <c r="BV2238" s="17"/>
      <c r="BX2238" s="17"/>
      <c r="BZ2238" s="17"/>
    </row>
    <row r="2239" spans="4:78" x14ac:dyDescent="0.3">
      <c r="D2239" s="153"/>
      <c r="E2239" s="6"/>
      <c r="G2239" s="6"/>
      <c r="J2239" s="6"/>
      <c r="N2239" s="154"/>
      <c r="O2239" s="6"/>
      <c r="S2239" s="6"/>
      <c r="V2239" s="6"/>
      <c r="X2239" s="6"/>
      <c r="Z2239" s="110"/>
      <c r="AB2239" s="6"/>
      <c r="AD2239" s="6"/>
      <c r="AE2239" s="6"/>
      <c r="AF2239" s="126"/>
      <c r="AJ2239" s="6"/>
      <c r="AL2239" s="110"/>
      <c r="AM2239" s="110"/>
      <c r="AN2239" s="110"/>
      <c r="AP2239" s="6"/>
      <c r="AW2239" s="6"/>
      <c r="AX2239" s="6"/>
      <c r="AZ2239" s="110"/>
      <c r="BB2239" s="6"/>
      <c r="BD2239" s="6"/>
      <c r="BE2239" s="6"/>
      <c r="BV2239" s="17"/>
      <c r="BX2239" s="17"/>
      <c r="BZ2239" s="17"/>
    </row>
    <row r="2240" spans="4:78" x14ac:dyDescent="0.3">
      <c r="D2240" s="153"/>
      <c r="E2240" s="6"/>
      <c r="G2240" s="6"/>
      <c r="J2240" s="6"/>
      <c r="N2240" s="154"/>
      <c r="O2240" s="6"/>
      <c r="S2240" s="6"/>
      <c r="V2240" s="6"/>
      <c r="X2240" s="6"/>
      <c r="Z2240" s="110"/>
      <c r="AB2240" s="6"/>
      <c r="AD2240" s="6"/>
      <c r="AE2240" s="6"/>
      <c r="AF2240" s="126"/>
      <c r="AJ2240" s="6"/>
      <c r="AL2240" s="110"/>
      <c r="AM2240" s="110"/>
      <c r="AN2240" s="110"/>
      <c r="AP2240" s="6"/>
      <c r="AW2240" s="6"/>
      <c r="AX2240" s="6"/>
      <c r="AZ2240" s="110"/>
      <c r="BB2240" s="6"/>
      <c r="BD2240" s="6"/>
      <c r="BE2240" s="6"/>
      <c r="BV2240" s="17"/>
      <c r="BX2240" s="17"/>
      <c r="BZ2240" s="17"/>
    </row>
    <row r="2241" spans="4:78" x14ac:dyDescent="0.3">
      <c r="D2241" s="153"/>
      <c r="E2241" s="6"/>
      <c r="G2241" s="6"/>
      <c r="J2241" s="6"/>
      <c r="N2241" s="154"/>
      <c r="O2241" s="6"/>
      <c r="S2241" s="6"/>
      <c r="V2241" s="6"/>
      <c r="X2241" s="6"/>
      <c r="Z2241" s="110"/>
      <c r="AB2241" s="6"/>
      <c r="AD2241" s="6"/>
      <c r="AE2241" s="6"/>
      <c r="AF2241" s="126"/>
      <c r="AJ2241" s="6"/>
      <c r="AL2241" s="110"/>
      <c r="AM2241" s="110"/>
      <c r="AN2241" s="110"/>
      <c r="AP2241" s="6"/>
      <c r="AW2241" s="6"/>
      <c r="AX2241" s="6"/>
      <c r="AZ2241" s="110"/>
      <c r="BB2241" s="6"/>
      <c r="BD2241" s="6"/>
      <c r="BE2241" s="6"/>
      <c r="BV2241" s="17"/>
      <c r="BX2241" s="17"/>
      <c r="BZ2241" s="17"/>
    </row>
    <row r="2242" spans="4:78" x14ac:dyDescent="0.3">
      <c r="D2242" s="153"/>
      <c r="E2242" s="6"/>
      <c r="G2242" s="6"/>
      <c r="J2242" s="6"/>
      <c r="N2242" s="154"/>
      <c r="O2242" s="6"/>
      <c r="S2242" s="6"/>
      <c r="V2242" s="6"/>
      <c r="X2242" s="6"/>
      <c r="Z2242" s="110"/>
      <c r="AB2242" s="6"/>
      <c r="AD2242" s="6"/>
      <c r="AE2242" s="6"/>
      <c r="AF2242" s="126"/>
      <c r="AJ2242" s="6"/>
      <c r="AL2242" s="110"/>
      <c r="AM2242" s="110"/>
      <c r="AN2242" s="110"/>
      <c r="AP2242" s="6"/>
      <c r="AW2242" s="6"/>
      <c r="AX2242" s="6"/>
      <c r="AZ2242" s="110"/>
      <c r="BB2242" s="6"/>
      <c r="BD2242" s="6"/>
      <c r="BE2242" s="6"/>
      <c r="BV2242" s="17"/>
      <c r="BX2242" s="17"/>
      <c r="BZ2242" s="17"/>
    </row>
    <row r="2243" spans="4:78" x14ac:dyDescent="0.3">
      <c r="D2243" s="153"/>
      <c r="E2243" s="6"/>
      <c r="G2243" s="6"/>
      <c r="J2243" s="6"/>
      <c r="N2243" s="154"/>
      <c r="O2243" s="6"/>
      <c r="S2243" s="6"/>
      <c r="V2243" s="6"/>
      <c r="X2243" s="6"/>
      <c r="Z2243" s="110"/>
      <c r="AB2243" s="6"/>
      <c r="AD2243" s="6"/>
      <c r="AE2243" s="6"/>
      <c r="AF2243" s="126"/>
      <c r="AJ2243" s="6"/>
      <c r="AL2243" s="110"/>
      <c r="AM2243" s="110"/>
      <c r="AN2243" s="110"/>
      <c r="AP2243" s="6"/>
      <c r="AW2243" s="6"/>
      <c r="AX2243" s="6"/>
      <c r="AZ2243" s="110"/>
      <c r="BB2243" s="6"/>
      <c r="BD2243" s="6"/>
      <c r="BE2243" s="6"/>
      <c r="BV2243" s="17"/>
      <c r="BX2243" s="17"/>
      <c r="BZ2243" s="17"/>
    </row>
    <row r="2244" spans="4:78" x14ac:dyDescent="0.3">
      <c r="D2244" s="153"/>
      <c r="E2244" s="6"/>
      <c r="G2244" s="6"/>
      <c r="J2244" s="6"/>
      <c r="N2244" s="154"/>
      <c r="O2244" s="6"/>
      <c r="S2244" s="6"/>
      <c r="V2244" s="6"/>
      <c r="X2244" s="6"/>
      <c r="Z2244" s="110"/>
      <c r="AB2244" s="6"/>
      <c r="AD2244" s="6"/>
      <c r="AE2244" s="6"/>
      <c r="AF2244" s="126"/>
      <c r="AJ2244" s="6"/>
      <c r="AL2244" s="110"/>
      <c r="AM2244" s="110"/>
      <c r="AN2244" s="110"/>
      <c r="AP2244" s="6"/>
      <c r="AW2244" s="6"/>
      <c r="AX2244" s="6"/>
      <c r="AZ2244" s="110"/>
      <c r="BB2244" s="6"/>
      <c r="BD2244" s="6"/>
      <c r="BE2244" s="6"/>
      <c r="BV2244" s="17"/>
      <c r="BX2244" s="17"/>
      <c r="BZ2244" s="17"/>
    </row>
    <row r="2245" spans="4:78" x14ac:dyDescent="0.3">
      <c r="D2245" s="153"/>
      <c r="E2245" s="6"/>
      <c r="G2245" s="6"/>
      <c r="J2245" s="6"/>
      <c r="N2245" s="154"/>
      <c r="O2245" s="6"/>
      <c r="S2245" s="6"/>
      <c r="V2245" s="6"/>
      <c r="X2245" s="6"/>
      <c r="Z2245" s="110"/>
      <c r="AB2245" s="6"/>
      <c r="AD2245" s="6"/>
      <c r="AE2245" s="6"/>
      <c r="AF2245" s="126"/>
      <c r="AJ2245" s="6"/>
      <c r="AL2245" s="110"/>
      <c r="AM2245" s="110"/>
      <c r="AN2245" s="110"/>
      <c r="AP2245" s="6"/>
      <c r="AW2245" s="6"/>
      <c r="AX2245" s="6"/>
      <c r="AZ2245" s="110"/>
      <c r="BB2245" s="6"/>
      <c r="BD2245" s="6"/>
      <c r="BE2245" s="6"/>
      <c r="BV2245" s="17"/>
      <c r="BX2245" s="17"/>
      <c r="BZ2245" s="17"/>
    </row>
    <row r="2246" spans="4:78" x14ac:dyDescent="0.3">
      <c r="D2246" s="153"/>
      <c r="E2246" s="6"/>
      <c r="G2246" s="6"/>
      <c r="J2246" s="6"/>
      <c r="N2246" s="154"/>
      <c r="O2246" s="6"/>
      <c r="S2246" s="6"/>
      <c r="V2246" s="6"/>
      <c r="X2246" s="6"/>
      <c r="Z2246" s="110"/>
      <c r="AB2246" s="6"/>
      <c r="AD2246" s="6"/>
      <c r="AE2246" s="6"/>
      <c r="AF2246" s="126"/>
      <c r="AJ2246" s="6"/>
      <c r="AL2246" s="110"/>
      <c r="AM2246" s="110"/>
      <c r="AN2246" s="110"/>
      <c r="AP2246" s="6"/>
      <c r="AW2246" s="6"/>
      <c r="AX2246" s="6"/>
      <c r="AZ2246" s="110"/>
      <c r="BB2246" s="6"/>
      <c r="BD2246" s="6"/>
      <c r="BE2246" s="6"/>
      <c r="BV2246" s="17"/>
      <c r="BX2246" s="17"/>
      <c r="BZ2246" s="17"/>
    </row>
    <row r="2247" spans="4:78" x14ac:dyDescent="0.3">
      <c r="D2247" s="153"/>
      <c r="E2247" s="6"/>
      <c r="G2247" s="6"/>
      <c r="J2247" s="6"/>
      <c r="N2247" s="154"/>
      <c r="O2247" s="6"/>
      <c r="S2247" s="6"/>
      <c r="V2247" s="6"/>
      <c r="X2247" s="6"/>
      <c r="Z2247" s="110"/>
      <c r="AB2247" s="6"/>
      <c r="AD2247" s="6"/>
      <c r="AE2247" s="6"/>
      <c r="AF2247" s="126"/>
      <c r="AJ2247" s="6"/>
      <c r="AL2247" s="110"/>
      <c r="AM2247" s="110"/>
      <c r="AN2247" s="110"/>
      <c r="AP2247" s="6"/>
      <c r="AW2247" s="6"/>
      <c r="AX2247" s="6"/>
      <c r="AZ2247" s="110"/>
      <c r="BB2247" s="6"/>
      <c r="BD2247" s="6"/>
      <c r="BE2247" s="6"/>
      <c r="BV2247" s="17"/>
      <c r="BX2247" s="17"/>
      <c r="BZ2247" s="17"/>
    </row>
    <row r="2248" spans="4:78" x14ac:dyDescent="0.3">
      <c r="D2248" s="153"/>
      <c r="E2248" s="6"/>
      <c r="G2248" s="6"/>
      <c r="J2248" s="6"/>
      <c r="N2248" s="154"/>
      <c r="O2248" s="6"/>
      <c r="S2248" s="6"/>
      <c r="V2248" s="6"/>
      <c r="X2248" s="6"/>
      <c r="Z2248" s="110"/>
      <c r="AB2248" s="6"/>
      <c r="AD2248" s="6"/>
      <c r="AE2248" s="6"/>
      <c r="AF2248" s="126"/>
      <c r="AJ2248" s="6"/>
      <c r="AL2248" s="110"/>
      <c r="AM2248" s="110"/>
      <c r="AN2248" s="110"/>
      <c r="AP2248" s="6"/>
      <c r="AW2248" s="6"/>
      <c r="AX2248" s="6"/>
      <c r="AZ2248" s="110"/>
      <c r="BB2248" s="6"/>
      <c r="BD2248" s="6"/>
      <c r="BE2248" s="6"/>
      <c r="BV2248" s="17"/>
      <c r="BX2248" s="17"/>
      <c r="BZ2248" s="17"/>
    </row>
    <row r="2249" spans="4:78" x14ac:dyDescent="0.3">
      <c r="D2249" s="153"/>
      <c r="E2249" s="6"/>
      <c r="G2249" s="6"/>
      <c r="J2249" s="6"/>
      <c r="N2249" s="154"/>
      <c r="O2249" s="6"/>
      <c r="S2249" s="6"/>
      <c r="V2249" s="6"/>
      <c r="X2249" s="6"/>
      <c r="Z2249" s="110"/>
      <c r="AB2249" s="6"/>
      <c r="AD2249" s="6"/>
      <c r="AE2249" s="6"/>
      <c r="AF2249" s="126"/>
      <c r="AJ2249" s="6"/>
      <c r="AL2249" s="110"/>
      <c r="AM2249" s="110"/>
      <c r="AN2249" s="110"/>
      <c r="AP2249" s="6"/>
      <c r="AW2249" s="6"/>
      <c r="AX2249" s="6"/>
      <c r="AZ2249" s="110"/>
      <c r="BB2249" s="6"/>
      <c r="BD2249" s="6"/>
      <c r="BE2249" s="6"/>
      <c r="BV2249" s="17"/>
      <c r="BX2249" s="17"/>
      <c r="BZ2249" s="17"/>
    </row>
    <row r="2250" spans="4:78" x14ac:dyDescent="0.3">
      <c r="D2250" s="153"/>
      <c r="E2250" s="6"/>
      <c r="G2250" s="6"/>
      <c r="J2250" s="6"/>
      <c r="N2250" s="154"/>
      <c r="O2250" s="6"/>
      <c r="S2250" s="6"/>
      <c r="V2250" s="6"/>
      <c r="X2250" s="6"/>
      <c r="Z2250" s="110"/>
      <c r="AB2250" s="6"/>
      <c r="AD2250" s="6"/>
      <c r="AE2250" s="6"/>
      <c r="AF2250" s="126"/>
      <c r="AJ2250" s="6"/>
      <c r="AL2250" s="110"/>
      <c r="AM2250" s="110"/>
      <c r="AN2250" s="110"/>
      <c r="AP2250" s="6"/>
      <c r="AW2250" s="6"/>
      <c r="AX2250" s="6"/>
      <c r="AZ2250" s="110"/>
      <c r="BB2250" s="6"/>
      <c r="BD2250" s="6"/>
      <c r="BE2250" s="6"/>
      <c r="BV2250" s="17"/>
      <c r="BX2250" s="17"/>
      <c r="BZ2250" s="17"/>
    </row>
    <row r="2251" spans="4:78" x14ac:dyDescent="0.3">
      <c r="D2251" s="153"/>
      <c r="E2251" s="6"/>
      <c r="G2251" s="6"/>
      <c r="J2251" s="6"/>
      <c r="N2251" s="154"/>
      <c r="O2251" s="6"/>
      <c r="S2251" s="6"/>
      <c r="V2251" s="6"/>
      <c r="X2251" s="6"/>
      <c r="Z2251" s="110"/>
      <c r="AB2251" s="6"/>
      <c r="AD2251" s="6"/>
      <c r="AE2251" s="6"/>
      <c r="AF2251" s="126"/>
      <c r="AJ2251" s="6"/>
      <c r="AL2251" s="110"/>
      <c r="AM2251" s="110"/>
      <c r="AN2251" s="110"/>
      <c r="AP2251" s="6"/>
      <c r="AW2251" s="6"/>
      <c r="AX2251" s="6"/>
      <c r="AZ2251" s="110"/>
      <c r="BB2251" s="6"/>
      <c r="BD2251" s="6"/>
      <c r="BE2251" s="6"/>
      <c r="BV2251" s="17"/>
      <c r="BX2251" s="17"/>
      <c r="BZ2251" s="17"/>
    </row>
    <row r="2252" spans="4:78" x14ac:dyDescent="0.3">
      <c r="D2252" s="153"/>
      <c r="E2252" s="6"/>
      <c r="G2252" s="6"/>
      <c r="J2252" s="6"/>
      <c r="N2252" s="154"/>
      <c r="O2252" s="6"/>
      <c r="S2252" s="6"/>
      <c r="V2252" s="6"/>
      <c r="X2252" s="6"/>
      <c r="Z2252" s="110"/>
      <c r="AB2252" s="6"/>
      <c r="AD2252" s="6"/>
      <c r="AE2252" s="6"/>
      <c r="AF2252" s="126"/>
      <c r="AJ2252" s="6"/>
      <c r="AL2252" s="110"/>
      <c r="AM2252" s="110"/>
      <c r="AN2252" s="110"/>
      <c r="AP2252" s="6"/>
      <c r="AW2252" s="6"/>
      <c r="AX2252" s="6"/>
      <c r="AZ2252" s="110"/>
      <c r="BB2252" s="6"/>
      <c r="BD2252" s="6"/>
      <c r="BE2252" s="6"/>
      <c r="BV2252" s="17"/>
      <c r="BX2252" s="17"/>
      <c r="BZ2252" s="17"/>
    </row>
    <row r="2253" spans="4:78" x14ac:dyDescent="0.3">
      <c r="D2253" s="153"/>
      <c r="E2253" s="6"/>
      <c r="G2253" s="6"/>
      <c r="J2253" s="6"/>
      <c r="N2253" s="154"/>
      <c r="O2253" s="6"/>
      <c r="S2253" s="6"/>
      <c r="V2253" s="6"/>
      <c r="X2253" s="6"/>
      <c r="Z2253" s="110"/>
      <c r="AB2253" s="6"/>
      <c r="AD2253" s="6"/>
      <c r="AE2253" s="6"/>
      <c r="AF2253" s="126"/>
      <c r="AJ2253" s="6"/>
      <c r="AL2253" s="110"/>
      <c r="AM2253" s="110"/>
      <c r="AN2253" s="110"/>
      <c r="AP2253" s="6"/>
      <c r="AW2253" s="6"/>
      <c r="AX2253" s="6"/>
      <c r="AZ2253" s="110"/>
      <c r="BB2253" s="6"/>
      <c r="BD2253" s="6"/>
      <c r="BE2253" s="6"/>
      <c r="BV2253" s="17"/>
      <c r="BX2253" s="17"/>
      <c r="BZ2253" s="17"/>
    </row>
    <row r="2254" spans="4:78" x14ac:dyDescent="0.3">
      <c r="D2254" s="153"/>
      <c r="E2254" s="6"/>
      <c r="G2254" s="6"/>
      <c r="J2254" s="6"/>
      <c r="N2254" s="154"/>
      <c r="O2254" s="6"/>
      <c r="S2254" s="6"/>
      <c r="V2254" s="6"/>
      <c r="X2254" s="6"/>
      <c r="Z2254" s="110"/>
      <c r="AB2254" s="6"/>
      <c r="AD2254" s="6"/>
      <c r="AE2254" s="6"/>
      <c r="AF2254" s="126"/>
      <c r="AJ2254" s="6"/>
      <c r="AL2254" s="110"/>
      <c r="AM2254" s="110"/>
      <c r="AN2254" s="110"/>
      <c r="AP2254" s="6"/>
      <c r="AW2254" s="6"/>
      <c r="AX2254" s="6"/>
      <c r="AZ2254" s="110"/>
      <c r="BB2254" s="6"/>
      <c r="BD2254" s="6"/>
      <c r="BE2254" s="6"/>
      <c r="BV2254" s="17"/>
      <c r="BX2254" s="17"/>
      <c r="BZ2254" s="17"/>
    </row>
    <row r="2255" spans="4:78" x14ac:dyDescent="0.3">
      <c r="D2255" s="153"/>
      <c r="E2255" s="6"/>
      <c r="G2255" s="6"/>
      <c r="J2255" s="6"/>
      <c r="N2255" s="154"/>
      <c r="O2255" s="6"/>
      <c r="S2255" s="6"/>
      <c r="V2255" s="6"/>
      <c r="X2255" s="6"/>
      <c r="Z2255" s="110"/>
      <c r="AB2255" s="6"/>
      <c r="AD2255" s="6"/>
      <c r="AE2255" s="6"/>
      <c r="AF2255" s="126"/>
      <c r="AJ2255" s="6"/>
      <c r="AL2255" s="110"/>
      <c r="AM2255" s="110"/>
      <c r="AN2255" s="110"/>
      <c r="AP2255" s="6"/>
      <c r="AW2255" s="6"/>
      <c r="AX2255" s="6"/>
      <c r="AZ2255" s="110"/>
      <c r="BB2255" s="6"/>
      <c r="BD2255" s="6"/>
      <c r="BE2255" s="6"/>
      <c r="BV2255" s="17"/>
      <c r="BX2255" s="17"/>
      <c r="BZ2255" s="17"/>
    </row>
    <row r="2256" spans="4:78" x14ac:dyDescent="0.3">
      <c r="D2256" s="153"/>
      <c r="E2256" s="6"/>
      <c r="G2256" s="6"/>
      <c r="J2256" s="6"/>
      <c r="N2256" s="154"/>
      <c r="O2256" s="6"/>
      <c r="S2256" s="6"/>
      <c r="V2256" s="6"/>
      <c r="X2256" s="6"/>
      <c r="Z2256" s="110"/>
      <c r="AB2256" s="6"/>
      <c r="AD2256" s="6"/>
      <c r="AE2256" s="6"/>
      <c r="AF2256" s="126"/>
      <c r="AJ2256" s="6"/>
      <c r="AL2256" s="110"/>
      <c r="AM2256" s="110"/>
      <c r="AN2256" s="110"/>
      <c r="AP2256" s="6"/>
      <c r="AW2256" s="6"/>
      <c r="AX2256" s="6"/>
      <c r="AZ2256" s="110"/>
      <c r="BB2256" s="6"/>
      <c r="BD2256" s="6"/>
      <c r="BE2256" s="6"/>
      <c r="BV2256" s="17"/>
      <c r="BX2256" s="17"/>
      <c r="BZ2256" s="17"/>
    </row>
    <row r="2257" spans="4:78" x14ac:dyDescent="0.3">
      <c r="D2257" s="153"/>
      <c r="E2257" s="6"/>
      <c r="G2257" s="6"/>
      <c r="J2257" s="6"/>
      <c r="N2257" s="154"/>
      <c r="O2257" s="6"/>
      <c r="S2257" s="6"/>
      <c r="V2257" s="6"/>
      <c r="X2257" s="6"/>
      <c r="Z2257" s="110"/>
      <c r="AB2257" s="6"/>
      <c r="AD2257" s="6"/>
      <c r="AE2257" s="6"/>
      <c r="AF2257" s="126"/>
      <c r="AJ2257" s="6"/>
      <c r="AL2257" s="110"/>
      <c r="AM2257" s="110"/>
      <c r="AN2257" s="110"/>
      <c r="AP2257" s="6"/>
      <c r="AW2257" s="6"/>
      <c r="AX2257" s="6"/>
      <c r="AZ2257" s="110"/>
      <c r="BB2257" s="6"/>
      <c r="BD2257" s="6"/>
      <c r="BE2257" s="6"/>
      <c r="BV2257" s="17"/>
      <c r="BX2257" s="17"/>
      <c r="BZ2257" s="17"/>
    </row>
    <row r="2258" spans="4:78" x14ac:dyDescent="0.3">
      <c r="D2258" s="153"/>
      <c r="E2258" s="6"/>
      <c r="G2258" s="6"/>
      <c r="J2258" s="6"/>
      <c r="N2258" s="154"/>
      <c r="O2258" s="6"/>
      <c r="S2258" s="6"/>
      <c r="V2258" s="6"/>
      <c r="X2258" s="6"/>
      <c r="Z2258" s="110"/>
      <c r="AB2258" s="6"/>
      <c r="AD2258" s="6"/>
      <c r="AE2258" s="6"/>
      <c r="AF2258" s="126"/>
      <c r="AJ2258" s="6"/>
      <c r="AL2258" s="110"/>
      <c r="AM2258" s="110"/>
      <c r="AN2258" s="110"/>
      <c r="AP2258" s="6"/>
      <c r="AW2258" s="6"/>
      <c r="AX2258" s="6"/>
      <c r="AZ2258" s="110"/>
      <c r="BB2258" s="6"/>
      <c r="BD2258" s="6"/>
      <c r="BE2258" s="6"/>
      <c r="BV2258" s="17"/>
      <c r="BX2258" s="17"/>
      <c r="BZ2258" s="17"/>
    </row>
    <row r="2259" spans="4:78" x14ac:dyDescent="0.3">
      <c r="D2259" s="153"/>
      <c r="E2259" s="6"/>
      <c r="G2259" s="6"/>
      <c r="J2259" s="6"/>
      <c r="N2259" s="154"/>
      <c r="O2259" s="6"/>
      <c r="S2259" s="6"/>
      <c r="V2259" s="6"/>
      <c r="X2259" s="6"/>
      <c r="Z2259" s="110"/>
      <c r="AB2259" s="6"/>
      <c r="AD2259" s="6"/>
      <c r="AE2259" s="6"/>
      <c r="AF2259" s="126"/>
      <c r="AJ2259" s="6"/>
      <c r="AL2259" s="110"/>
      <c r="AM2259" s="110"/>
      <c r="AN2259" s="110"/>
      <c r="AP2259" s="6"/>
      <c r="AW2259" s="6"/>
      <c r="AX2259" s="6"/>
      <c r="AZ2259" s="110"/>
      <c r="BB2259" s="6"/>
      <c r="BD2259" s="6"/>
      <c r="BE2259" s="6"/>
      <c r="BV2259" s="17"/>
      <c r="BX2259" s="17"/>
      <c r="BZ2259" s="17"/>
    </row>
    <row r="2260" spans="4:78" x14ac:dyDescent="0.3">
      <c r="D2260" s="153"/>
      <c r="E2260" s="6"/>
      <c r="G2260" s="6"/>
      <c r="J2260" s="6"/>
      <c r="N2260" s="154"/>
      <c r="O2260" s="6"/>
      <c r="S2260" s="6"/>
      <c r="V2260" s="6"/>
      <c r="X2260" s="6"/>
      <c r="Z2260" s="110"/>
      <c r="AB2260" s="6"/>
      <c r="AD2260" s="6"/>
      <c r="AE2260" s="6"/>
      <c r="AF2260" s="126"/>
      <c r="AJ2260" s="6"/>
      <c r="AL2260" s="110"/>
      <c r="AM2260" s="110"/>
      <c r="AN2260" s="110"/>
      <c r="AP2260" s="6"/>
      <c r="AW2260" s="6"/>
      <c r="AX2260" s="6"/>
      <c r="AZ2260" s="110"/>
      <c r="BB2260" s="6"/>
      <c r="BD2260" s="6"/>
      <c r="BE2260" s="6"/>
      <c r="BV2260" s="17"/>
      <c r="BX2260" s="17"/>
      <c r="BZ2260" s="17"/>
    </row>
    <row r="2261" spans="4:78" x14ac:dyDescent="0.3">
      <c r="D2261" s="153"/>
      <c r="E2261" s="6"/>
      <c r="G2261" s="6"/>
      <c r="J2261" s="6"/>
      <c r="N2261" s="154"/>
      <c r="O2261" s="6"/>
      <c r="S2261" s="6"/>
      <c r="V2261" s="6"/>
      <c r="X2261" s="6"/>
      <c r="Z2261" s="110"/>
      <c r="AB2261" s="6"/>
      <c r="AD2261" s="6"/>
      <c r="AE2261" s="6"/>
      <c r="AF2261" s="126"/>
      <c r="AJ2261" s="6"/>
      <c r="AL2261" s="110"/>
      <c r="AM2261" s="110"/>
      <c r="AN2261" s="110"/>
      <c r="AP2261" s="6"/>
      <c r="AW2261" s="6"/>
      <c r="AX2261" s="6"/>
      <c r="AZ2261" s="110"/>
      <c r="BB2261" s="6"/>
      <c r="BD2261" s="6"/>
      <c r="BE2261" s="6"/>
      <c r="BV2261" s="17"/>
      <c r="BX2261" s="17"/>
      <c r="BZ2261" s="17"/>
    </row>
    <row r="2262" spans="4:78" x14ac:dyDescent="0.3">
      <c r="D2262" s="153"/>
      <c r="E2262" s="6"/>
      <c r="G2262" s="6"/>
      <c r="J2262" s="6"/>
      <c r="N2262" s="154"/>
      <c r="O2262" s="6"/>
      <c r="S2262" s="6"/>
      <c r="V2262" s="6"/>
      <c r="X2262" s="6"/>
      <c r="Z2262" s="110"/>
      <c r="AB2262" s="6"/>
      <c r="AD2262" s="6"/>
      <c r="AE2262" s="6"/>
      <c r="AF2262" s="126"/>
      <c r="AJ2262" s="6"/>
      <c r="AL2262" s="110"/>
      <c r="AM2262" s="110"/>
      <c r="AN2262" s="110"/>
      <c r="AP2262" s="6"/>
      <c r="AW2262" s="6"/>
      <c r="AX2262" s="6"/>
      <c r="AZ2262" s="110"/>
      <c r="BB2262" s="6"/>
      <c r="BD2262" s="6"/>
      <c r="BE2262" s="6"/>
      <c r="BV2262" s="17"/>
      <c r="BX2262" s="17"/>
      <c r="BZ2262" s="17"/>
    </row>
    <row r="2263" spans="4:78" x14ac:dyDescent="0.3">
      <c r="D2263" s="153"/>
      <c r="E2263" s="6"/>
      <c r="G2263" s="6"/>
      <c r="J2263" s="6"/>
      <c r="N2263" s="154"/>
      <c r="O2263" s="6"/>
      <c r="S2263" s="6"/>
      <c r="V2263" s="6"/>
      <c r="X2263" s="6"/>
      <c r="Z2263" s="110"/>
      <c r="AB2263" s="6"/>
      <c r="AD2263" s="6"/>
      <c r="AE2263" s="6"/>
      <c r="AF2263" s="126"/>
      <c r="AJ2263" s="6"/>
      <c r="AL2263" s="110"/>
      <c r="AM2263" s="110"/>
      <c r="AN2263" s="110"/>
      <c r="AP2263" s="6"/>
      <c r="AW2263" s="6"/>
      <c r="AX2263" s="6"/>
      <c r="AZ2263" s="110"/>
      <c r="BB2263" s="6"/>
      <c r="BD2263" s="6"/>
      <c r="BE2263" s="6"/>
      <c r="BV2263" s="17"/>
      <c r="BX2263" s="17"/>
      <c r="BZ2263" s="17"/>
    </row>
    <row r="2264" spans="4:78" x14ac:dyDescent="0.3">
      <c r="D2264" s="153"/>
      <c r="E2264" s="6"/>
      <c r="G2264" s="6"/>
      <c r="J2264" s="6"/>
      <c r="N2264" s="154"/>
      <c r="O2264" s="6"/>
      <c r="S2264" s="6"/>
      <c r="V2264" s="6"/>
      <c r="X2264" s="6"/>
      <c r="Z2264" s="110"/>
      <c r="AB2264" s="6"/>
      <c r="AD2264" s="6"/>
      <c r="AE2264" s="6"/>
      <c r="AF2264" s="126"/>
      <c r="AJ2264" s="6"/>
      <c r="AL2264" s="110"/>
      <c r="AM2264" s="110"/>
      <c r="AN2264" s="110"/>
      <c r="AP2264" s="6"/>
      <c r="AW2264" s="6"/>
      <c r="AX2264" s="6"/>
      <c r="AZ2264" s="110"/>
      <c r="BB2264" s="6"/>
      <c r="BD2264" s="6"/>
      <c r="BE2264" s="6"/>
      <c r="BV2264" s="17"/>
      <c r="BX2264" s="17"/>
      <c r="BZ2264" s="17"/>
    </row>
    <row r="2265" spans="4:78" x14ac:dyDescent="0.3">
      <c r="D2265" s="153"/>
      <c r="E2265" s="6"/>
      <c r="G2265" s="6"/>
      <c r="J2265" s="6"/>
      <c r="N2265" s="154"/>
      <c r="O2265" s="6"/>
      <c r="S2265" s="6"/>
      <c r="V2265" s="6"/>
      <c r="X2265" s="6"/>
      <c r="Z2265" s="110"/>
      <c r="AB2265" s="6"/>
      <c r="AD2265" s="6"/>
      <c r="AE2265" s="6"/>
      <c r="AF2265" s="126"/>
      <c r="AJ2265" s="6"/>
      <c r="AL2265" s="110"/>
      <c r="AM2265" s="110"/>
      <c r="AN2265" s="110"/>
      <c r="AP2265" s="6"/>
      <c r="AW2265" s="6"/>
      <c r="AX2265" s="6"/>
      <c r="AZ2265" s="110"/>
      <c r="BB2265" s="6"/>
      <c r="BD2265" s="6"/>
      <c r="BE2265" s="6"/>
      <c r="BV2265" s="17"/>
      <c r="BX2265" s="17"/>
      <c r="BZ2265" s="17"/>
    </row>
    <row r="2266" spans="4:78" x14ac:dyDescent="0.3">
      <c r="D2266" s="153"/>
      <c r="E2266" s="6"/>
      <c r="G2266" s="6"/>
      <c r="J2266" s="6"/>
      <c r="N2266" s="154"/>
      <c r="O2266" s="6"/>
      <c r="S2266" s="6"/>
      <c r="V2266" s="6"/>
      <c r="X2266" s="6"/>
      <c r="Z2266" s="110"/>
      <c r="AB2266" s="6"/>
      <c r="AD2266" s="6"/>
      <c r="AE2266" s="6"/>
      <c r="AF2266" s="126"/>
      <c r="AJ2266" s="6"/>
      <c r="AL2266" s="110"/>
      <c r="AM2266" s="110"/>
      <c r="AN2266" s="110"/>
      <c r="AP2266" s="6"/>
      <c r="AW2266" s="6"/>
      <c r="AX2266" s="6"/>
      <c r="AZ2266" s="110"/>
      <c r="BB2266" s="6"/>
      <c r="BD2266" s="6"/>
      <c r="BE2266" s="6"/>
      <c r="BV2266" s="17"/>
      <c r="BX2266" s="17"/>
      <c r="BZ2266" s="17"/>
    </row>
    <row r="2267" spans="4:78" x14ac:dyDescent="0.3">
      <c r="D2267" s="153"/>
      <c r="E2267" s="6"/>
      <c r="G2267" s="6"/>
      <c r="J2267" s="6"/>
      <c r="N2267" s="154"/>
      <c r="O2267" s="6"/>
      <c r="S2267" s="6"/>
      <c r="V2267" s="6"/>
      <c r="X2267" s="6"/>
      <c r="Z2267" s="110"/>
      <c r="AB2267" s="6"/>
      <c r="AD2267" s="6"/>
      <c r="AE2267" s="6"/>
      <c r="AF2267" s="126"/>
      <c r="AJ2267" s="6"/>
      <c r="AL2267" s="110"/>
      <c r="AM2267" s="110"/>
      <c r="AN2267" s="110"/>
      <c r="AP2267" s="6"/>
      <c r="AW2267" s="6"/>
      <c r="AX2267" s="6"/>
      <c r="AZ2267" s="110"/>
      <c r="BB2267" s="6"/>
      <c r="BD2267" s="6"/>
      <c r="BE2267" s="6"/>
      <c r="BV2267" s="17"/>
      <c r="BX2267" s="17"/>
      <c r="BZ2267" s="17"/>
    </row>
    <row r="2268" spans="4:78" x14ac:dyDescent="0.3">
      <c r="D2268" s="153"/>
      <c r="E2268" s="6"/>
      <c r="G2268" s="6"/>
      <c r="J2268" s="6"/>
      <c r="N2268" s="154"/>
      <c r="O2268" s="6"/>
      <c r="S2268" s="6"/>
      <c r="V2268" s="6"/>
      <c r="X2268" s="6"/>
      <c r="Z2268" s="110"/>
      <c r="AB2268" s="6"/>
      <c r="AD2268" s="6"/>
      <c r="AE2268" s="6"/>
      <c r="AF2268" s="126"/>
      <c r="AJ2268" s="6"/>
      <c r="AL2268" s="110"/>
      <c r="AM2268" s="110"/>
      <c r="AN2268" s="110"/>
      <c r="AP2268" s="6"/>
      <c r="AW2268" s="6"/>
      <c r="AX2268" s="6"/>
      <c r="AZ2268" s="110"/>
      <c r="BB2268" s="6"/>
      <c r="BD2268" s="6"/>
      <c r="BE2268" s="6"/>
      <c r="BV2268" s="17"/>
      <c r="BX2268" s="17"/>
      <c r="BZ2268" s="17"/>
    </row>
    <row r="2269" spans="4:78" x14ac:dyDescent="0.3">
      <c r="D2269" s="153"/>
      <c r="E2269" s="6"/>
      <c r="G2269" s="6"/>
      <c r="J2269" s="6"/>
      <c r="N2269" s="154"/>
      <c r="O2269" s="6"/>
      <c r="S2269" s="6"/>
      <c r="V2269" s="6"/>
      <c r="X2269" s="6"/>
      <c r="Z2269" s="110"/>
      <c r="AB2269" s="6"/>
      <c r="AD2269" s="6"/>
      <c r="AE2269" s="6"/>
      <c r="AF2269" s="126"/>
      <c r="AJ2269" s="6"/>
      <c r="AL2269" s="110"/>
      <c r="AM2269" s="110"/>
      <c r="AN2269" s="110"/>
      <c r="AP2269" s="6"/>
      <c r="AW2269" s="6"/>
      <c r="AX2269" s="6"/>
      <c r="AZ2269" s="110"/>
      <c r="BB2269" s="6"/>
      <c r="BD2269" s="6"/>
      <c r="BE2269" s="6"/>
      <c r="BV2269" s="17"/>
      <c r="BX2269" s="17"/>
      <c r="BZ2269" s="17"/>
    </row>
    <row r="2270" spans="4:78" x14ac:dyDescent="0.3">
      <c r="D2270" s="153"/>
      <c r="E2270" s="6"/>
      <c r="G2270" s="6"/>
      <c r="J2270" s="6"/>
      <c r="N2270" s="154"/>
      <c r="O2270" s="6"/>
      <c r="S2270" s="6"/>
      <c r="V2270" s="6"/>
      <c r="X2270" s="6"/>
      <c r="Z2270" s="110"/>
      <c r="AB2270" s="6"/>
      <c r="AD2270" s="6"/>
      <c r="AE2270" s="6"/>
      <c r="AF2270" s="126"/>
      <c r="AJ2270" s="6"/>
      <c r="AL2270" s="110"/>
      <c r="AM2270" s="110"/>
      <c r="AN2270" s="110"/>
      <c r="AP2270" s="6"/>
      <c r="AW2270" s="6"/>
      <c r="AX2270" s="6"/>
      <c r="AZ2270" s="110"/>
      <c r="BB2270" s="6"/>
      <c r="BD2270" s="6"/>
      <c r="BE2270" s="6"/>
      <c r="BV2270" s="17"/>
      <c r="BX2270" s="17"/>
      <c r="BZ2270" s="17"/>
    </row>
    <row r="2271" spans="4:78" x14ac:dyDescent="0.3">
      <c r="D2271" s="153"/>
      <c r="E2271" s="6"/>
      <c r="G2271" s="6"/>
      <c r="J2271" s="6"/>
      <c r="N2271" s="154"/>
      <c r="O2271" s="6"/>
      <c r="S2271" s="6"/>
      <c r="V2271" s="6"/>
      <c r="X2271" s="6"/>
      <c r="Z2271" s="110"/>
      <c r="AB2271" s="6"/>
      <c r="AD2271" s="6"/>
      <c r="AE2271" s="6"/>
      <c r="AF2271" s="126"/>
      <c r="AJ2271" s="6"/>
      <c r="AL2271" s="110"/>
      <c r="AM2271" s="110"/>
      <c r="AN2271" s="110"/>
      <c r="AP2271" s="6"/>
      <c r="AW2271" s="6"/>
      <c r="AX2271" s="6"/>
      <c r="AZ2271" s="110"/>
      <c r="BB2271" s="6"/>
      <c r="BD2271" s="6"/>
      <c r="BE2271" s="6"/>
      <c r="BV2271" s="17"/>
      <c r="BX2271" s="17"/>
      <c r="BZ2271" s="17"/>
    </row>
    <row r="2272" spans="4:78" x14ac:dyDescent="0.3">
      <c r="D2272" s="153"/>
      <c r="E2272" s="6"/>
      <c r="G2272" s="6"/>
      <c r="J2272" s="6"/>
      <c r="N2272" s="154"/>
      <c r="O2272" s="6"/>
      <c r="S2272" s="6"/>
      <c r="V2272" s="6"/>
      <c r="X2272" s="6"/>
      <c r="Z2272" s="110"/>
      <c r="AB2272" s="6"/>
      <c r="AD2272" s="6"/>
      <c r="AE2272" s="6"/>
      <c r="AF2272" s="126"/>
      <c r="AJ2272" s="6"/>
      <c r="AL2272" s="110"/>
      <c r="AM2272" s="110"/>
      <c r="AN2272" s="110"/>
      <c r="AP2272" s="6"/>
      <c r="AW2272" s="6"/>
      <c r="AX2272" s="6"/>
      <c r="AZ2272" s="110"/>
      <c r="BB2272" s="6"/>
      <c r="BD2272" s="6"/>
      <c r="BE2272" s="6"/>
      <c r="BV2272" s="17"/>
      <c r="BX2272" s="17"/>
      <c r="BZ2272" s="17"/>
    </row>
    <row r="2273" spans="4:78" x14ac:dyDescent="0.3">
      <c r="D2273" s="153"/>
      <c r="E2273" s="6"/>
      <c r="G2273" s="6"/>
      <c r="J2273" s="6"/>
      <c r="N2273" s="154"/>
      <c r="O2273" s="6"/>
      <c r="S2273" s="6"/>
      <c r="V2273" s="6"/>
      <c r="X2273" s="6"/>
      <c r="Z2273" s="110"/>
      <c r="AB2273" s="6"/>
      <c r="AD2273" s="6"/>
      <c r="AE2273" s="6"/>
      <c r="AF2273" s="126"/>
      <c r="AJ2273" s="6"/>
      <c r="AL2273" s="110"/>
      <c r="AM2273" s="110"/>
      <c r="AN2273" s="110"/>
      <c r="AP2273" s="6"/>
      <c r="AW2273" s="6"/>
      <c r="AX2273" s="6"/>
      <c r="AZ2273" s="110"/>
      <c r="BB2273" s="6"/>
      <c r="BD2273" s="6"/>
      <c r="BE2273" s="6"/>
      <c r="BV2273" s="17"/>
      <c r="BX2273" s="17"/>
      <c r="BZ2273" s="17"/>
    </row>
    <row r="2274" spans="4:78" x14ac:dyDescent="0.3">
      <c r="D2274" s="153"/>
      <c r="E2274" s="6"/>
      <c r="G2274" s="6"/>
      <c r="J2274" s="6"/>
      <c r="N2274" s="154"/>
      <c r="O2274" s="6"/>
      <c r="S2274" s="6"/>
      <c r="V2274" s="6"/>
      <c r="X2274" s="6"/>
      <c r="Z2274" s="110"/>
      <c r="AB2274" s="6"/>
      <c r="AD2274" s="6"/>
      <c r="AE2274" s="6"/>
      <c r="AF2274" s="126"/>
      <c r="AJ2274" s="6"/>
      <c r="AL2274" s="110"/>
      <c r="AM2274" s="110"/>
      <c r="AN2274" s="110"/>
      <c r="AP2274" s="6"/>
      <c r="AW2274" s="6"/>
      <c r="AX2274" s="6"/>
      <c r="AZ2274" s="110"/>
      <c r="BB2274" s="6"/>
      <c r="BD2274" s="6"/>
      <c r="BE2274" s="6"/>
      <c r="BV2274" s="17"/>
      <c r="BX2274" s="17"/>
      <c r="BZ2274" s="17"/>
    </row>
    <row r="2275" spans="4:78" x14ac:dyDescent="0.3">
      <c r="D2275" s="153"/>
      <c r="E2275" s="6"/>
      <c r="G2275" s="6"/>
      <c r="J2275" s="6"/>
      <c r="N2275" s="154"/>
      <c r="O2275" s="6"/>
      <c r="S2275" s="6"/>
      <c r="V2275" s="6"/>
      <c r="X2275" s="6"/>
      <c r="Z2275" s="110"/>
      <c r="AB2275" s="6"/>
      <c r="AD2275" s="6"/>
      <c r="AE2275" s="6"/>
      <c r="AF2275" s="126"/>
      <c r="AJ2275" s="6"/>
      <c r="AL2275" s="110"/>
      <c r="AM2275" s="110"/>
      <c r="AN2275" s="110"/>
      <c r="AP2275" s="6"/>
      <c r="AW2275" s="6"/>
      <c r="AX2275" s="6"/>
      <c r="AZ2275" s="110"/>
      <c r="BB2275" s="6"/>
      <c r="BD2275" s="6"/>
      <c r="BE2275" s="6"/>
      <c r="BV2275" s="17"/>
      <c r="BX2275" s="17"/>
      <c r="BZ2275" s="17"/>
    </row>
    <row r="2276" spans="4:78" x14ac:dyDescent="0.3">
      <c r="D2276" s="153"/>
      <c r="E2276" s="6"/>
      <c r="G2276" s="6"/>
      <c r="J2276" s="6"/>
      <c r="N2276" s="154"/>
      <c r="O2276" s="6"/>
      <c r="S2276" s="6"/>
      <c r="V2276" s="6"/>
      <c r="X2276" s="6"/>
      <c r="Z2276" s="110"/>
      <c r="AB2276" s="6"/>
      <c r="AD2276" s="6"/>
      <c r="AE2276" s="6"/>
      <c r="AF2276" s="126"/>
      <c r="AJ2276" s="6"/>
      <c r="AL2276" s="110"/>
      <c r="AM2276" s="110"/>
      <c r="AN2276" s="110"/>
      <c r="AP2276" s="6"/>
      <c r="AW2276" s="6"/>
      <c r="AX2276" s="6"/>
      <c r="AZ2276" s="110"/>
      <c r="BB2276" s="6"/>
      <c r="BD2276" s="6"/>
      <c r="BE2276" s="6"/>
      <c r="BV2276" s="17"/>
      <c r="BX2276" s="17"/>
      <c r="BZ2276" s="17"/>
    </row>
    <row r="2277" spans="4:78" x14ac:dyDescent="0.3">
      <c r="D2277" s="153"/>
      <c r="E2277" s="6"/>
      <c r="G2277" s="6"/>
      <c r="J2277" s="6"/>
      <c r="N2277" s="154"/>
      <c r="O2277" s="6"/>
      <c r="S2277" s="6"/>
      <c r="V2277" s="6"/>
      <c r="X2277" s="6"/>
      <c r="Z2277" s="110"/>
      <c r="AB2277" s="6"/>
      <c r="AD2277" s="6"/>
      <c r="AE2277" s="6"/>
      <c r="AF2277" s="126"/>
      <c r="AJ2277" s="6"/>
      <c r="AL2277" s="110"/>
      <c r="AM2277" s="110"/>
      <c r="AN2277" s="110"/>
      <c r="AP2277" s="6"/>
      <c r="AW2277" s="6"/>
      <c r="AX2277" s="6"/>
      <c r="AZ2277" s="110"/>
      <c r="BB2277" s="6"/>
      <c r="BD2277" s="6"/>
      <c r="BE2277" s="6"/>
      <c r="BV2277" s="17"/>
      <c r="BX2277" s="17"/>
      <c r="BZ2277" s="17"/>
    </row>
    <row r="2278" spans="4:78" x14ac:dyDescent="0.3">
      <c r="D2278" s="153"/>
      <c r="E2278" s="6"/>
      <c r="G2278" s="6"/>
      <c r="J2278" s="6"/>
      <c r="N2278" s="154"/>
      <c r="O2278" s="6"/>
      <c r="S2278" s="6"/>
      <c r="V2278" s="6"/>
      <c r="X2278" s="6"/>
      <c r="Z2278" s="110"/>
      <c r="AB2278" s="6"/>
      <c r="AD2278" s="6"/>
      <c r="AE2278" s="6"/>
      <c r="AF2278" s="126"/>
      <c r="AJ2278" s="6"/>
      <c r="AL2278" s="110"/>
      <c r="AM2278" s="110"/>
      <c r="AN2278" s="110"/>
      <c r="AP2278" s="6"/>
      <c r="AW2278" s="6"/>
      <c r="AX2278" s="6"/>
      <c r="AZ2278" s="110"/>
      <c r="BB2278" s="6"/>
      <c r="BD2278" s="6"/>
      <c r="BE2278" s="6"/>
      <c r="BV2278" s="17"/>
      <c r="BX2278" s="17"/>
      <c r="BZ2278" s="17"/>
    </row>
    <row r="2279" spans="4:78" x14ac:dyDescent="0.3">
      <c r="D2279" s="153"/>
      <c r="E2279" s="6"/>
      <c r="G2279" s="6"/>
      <c r="J2279" s="6"/>
      <c r="N2279" s="154"/>
      <c r="O2279" s="6"/>
      <c r="S2279" s="6"/>
      <c r="V2279" s="6"/>
      <c r="X2279" s="6"/>
      <c r="Z2279" s="110"/>
      <c r="AB2279" s="6"/>
      <c r="AD2279" s="6"/>
      <c r="AE2279" s="6"/>
      <c r="AF2279" s="126"/>
      <c r="AJ2279" s="6"/>
      <c r="AL2279" s="110"/>
      <c r="AM2279" s="110"/>
      <c r="AN2279" s="110"/>
      <c r="AP2279" s="6"/>
      <c r="AW2279" s="6"/>
      <c r="AX2279" s="6"/>
      <c r="AZ2279" s="110"/>
      <c r="BB2279" s="6"/>
      <c r="BD2279" s="6"/>
      <c r="BE2279" s="6"/>
      <c r="BV2279" s="17"/>
      <c r="BX2279" s="17"/>
      <c r="BZ2279" s="17"/>
    </row>
    <row r="2280" spans="4:78" x14ac:dyDescent="0.3">
      <c r="D2280" s="153"/>
      <c r="E2280" s="6"/>
      <c r="G2280" s="6"/>
      <c r="J2280" s="6"/>
      <c r="N2280" s="154"/>
      <c r="O2280" s="6"/>
      <c r="S2280" s="6"/>
      <c r="V2280" s="6"/>
      <c r="X2280" s="6"/>
      <c r="Z2280" s="110"/>
      <c r="AB2280" s="6"/>
      <c r="AD2280" s="6"/>
      <c r="AE2280" s="6"/>
      <c r="AF2280" s="126"/>
      <c r="AJ2280" s="6"/>
      <c r="AL2280" s="110"/>
      <c r="AM2280" s="110"/>
      <c r="AN2280" s="110"/>
      <c r="AP2280" s="6"/>
      <c r="AW2280" s="6"/>
      <c r="AX2280" s="6"/>
      <c r="AZ2280" s="110"/>
      <c r="BB2280" s="6"/>
      <c r="BD2280" s="6"/>
      <c r="BE2280" s="6"/>
      <c r="BV2280" s="17"/>
      <c r="BX2280" s="17"/>
      <c r="BZ2280" s="17"/>
    </row>
    <row r="2281" spans="4:78" x14ac:dyDescent="0.3">
      <c r="D2281" s="153"/>
      <c r="E2281" s="6"/>
      <c r="G2281" s="6"/>
      <c r="J2281" s="6"/>
      <c r="N2281" s="154"/>
      <c r="O2281" s="6"/>
      <c r="S2281" s="6"/>
      <c r="V2281" s="6"/>
      <c r="X2281" s="6"/>
      <c r="Z2281" s="110"/>
      <c r="AB2281" s="6"/>
      <c r="AD2281" s="6"/>
      <c r="AE2281" s="6"/>
      <c r="AF2281" s="126"/>
      <c r="AJ2281" s="6"/>
      <c r="AL2281" s="110"/>
      <c r="AM2281" s="110"/>
      <c r="AN2281" s="110"/>
      <c r="AP2281" s="6"/>
      <c r="AW2281" s="6"/>
      <c r="AX2281" s="6"/>
      <c r="AZ2281" s="110"/>
      <c r="BB2281" s="6"/>
      <c r="BD2281" s="6"/>
      <c r="BE2281" s="6"/>
      <c r="BV2281" s="17"/>
      <c r="BX2281" s="17"/>
      <c r="BZ2281" s="17"/>
    </row>
    <row r="2282" spans="4:78" x14ac:dyDescent="0.3">
      <c r="D2282" s="153"/>
      <c r="E2282" s="6"/>
      <c r="G2282" s="6"/>
      <c r="J2282" s="6"/>
      <c r="N2282" s="154"/>
      <c r="O2282" s="6"/>
      <c r="S2282" s="6"/>
      <c r="V2282" s="6"/>
      <c r="X2282" s="6"/>
      <c r="Z2282" s="110"/>
      <c r="AB2282" s="6"/>
      <c r="AD2282" s="6"/>
      <c r="AE2282" s="6"/>
      <c r="AF2282" s="126"/>
      <c r="AJ2282" s="6"/>
      <c r="AL2282" s="110"/>
      <c r="AM2282" s="110"/>
      <c r="AN2282" s="110"/>
      <c r="AP2282" s="6"/>
      <c r="AW2282" s="6"/>
      <c r="AX2282" s="6"/>
      <c r="AZ2282" s="110"/>
      <c r="BB2282" s="6"/>
      <c r="BD2282" s="6"/>
      <c r="BE2282" s="6"/>
      <c r="BV2282" s="17"/>
      <c r="BX2282" s="17"/>
      <c r="BZ2282" s="17"/>
    </row>
    <row r="2283" spans="4:78" x14ac:dyDescent="0.3">
      <c r="D2283" s="153"/>
      <c r="E2283" s="6"/>
      <c r="G2283" s="6"/>
      <c r="J2283" s="6"/>
      <c r="N2283" s="154"/>
      <c r="O2283" s="6"/>
      <c r="S2283" s="6"/>
      <c r="V2283" s="6"/>
      <c r="X2283" s="6"/>
      <c r="Z2283" s="110"/>
      <c r="AB2283" s="6"/>
      <c r="AD2283" s="6"/>
      <c r="AE2283" s="6"/>
      <c r="AF2283" s="126"/>
      <c r="AJ2283" s="6"/>
      <c r="AL2283" s="110"/>
      <c r="AM2283" s="110"/>
      <c r="AN2283" s="110"/>
      <c r="AP2283" s="6"/>
      <c r="AW2283" s="6"/>
      <c r="AX2283" s="6"/>
      <c r="AZ2283" s="110"/>
      <c r="BB2283" s="6"/>
      <c r="BD2283" s="6"/>
      <c r="BE2283" s="6"/>
      <c r="BV2283" s="17"/>
      <c r="BX2283" s="17"/>
      <c r="BZ2283" s="17"/>
    </row>
    <row r="2284" spans="4:78" x14ac:dyDescent="0.3">
      <c r="D2284" s="153"/>
      <c r="E2284" s="6"/>
      <c r="G2284" s="6"/>
      <c r="J2284" s="6"/>
      <c r="N2284" s="154"/>
      <c r="O2284" s="6"/>
      <c r="S2284" s="6"/>
      <c r="V2284" s="6"/>
      <c r="X2284" s="6"/>
      <c r="Z2284" s="110"/>
      <c r="AB2284" s="6"/>
      <c r="AD2284" s="6"/>
      <c r="AE2284" s="6"/>
      <c r="AF2284" s="126"/>
      <c r="AJ2284" s="6"/>
      <c r="AL2284" s="110"/>
      <c r="AM2284" s="110"/>
      <c r="AN2284" s="110"/>
      <c r="AP2284" s="6"/>
      <c r="AW2284" s="6"/>
      <c r="AX2284" s="6"/>
      <c r="AZ2284" s="110"/>
      <c r="BB2284" s="6"/>
      <c r="BD2284" s="6"/>
      <c r="BE2284" s="6"/>
      <c r="BV2284" s="17"/>
      <c r="BX2284" s="17"/>
      <c r="BZ2284" s="17"/>
    </row>
    <row r="2285" spans="4:78" x14ac:dyDescent="0.3">
      <c r="D2285" s="153"/>
      <c r="E2285" s="6"/>
      <c r="G2285" s="6"/>
      <c r="J2285" s="6"/>
      <c r="N2285" s="154"/>
      <c r="O2285" s="6"/>
      <c r="S2285" s="6"/>
      <c r="V2285" s="6"/>
      <c r="X2285" s="6"/>
      <c r="Z2285" s="110"/>
      <c r="AB2285" s="6"/>
      <c r="AD2285" s="6"/>
      <c r="AE2285" s="6"/>
      <c r="AF2285" s="126"/>
      <c r="AJ2285" s="6"/>
      <c r="AL2285" s="110"/>
      <c r="AM2285" s="110"/>
      <c r="AN2285" s="110"/>
      <c r="AP2285" s="6"/>
      <c r="AW2285" s="6"/>
      <c r="AX2285" s="6"/>
      <c r="AZ2285" s="110"/>
      <c r="BB2285" s="6"/>
      <c r="BD2285" s="6"/>
      <c r="BE2285" s="6"/>
      <c r="BV2285" s="17"/>
      <c r="BX2285" s="17"/>
      <c r="BZ2285" s="17"/>
    </row>
    <row r="2286" spans="4:78" x14ac:dyDescent="0.3">
      <c r="D2286" s="153"/>
      <c r="E2286" s="6"/>
      <c r="G2286" s="6"/>
      <c r="J2286" s="6"/>
      <c r="N2286" s="154"/>
      <c r="O2286" s="6"/>
      <c r="S2286" s="6"/>
      <c r="V2286" s="6"/>
      <c r="X2286" s="6"/>
      <c r="Z2286" s="110"/>
      <c r="AB2286" s="6"/>
      <c r="AD2286" s="6"/>
      <c r="AE2286" s="6"/>
      <c r="AF2286" s="126"/>
      <c r="AJ2286" s="6"/>
      <c r="AL2286" s="110"/>
      <c r="AM2286" s="110"/>
      <c r="AN2286" s="110"/>
      <c r="AP2286" s="6"/>
      <c r="AW2286" s="6"/>
      <c r="AX2286" s="6"/>
      <c r="AZ2286" s="110"/>
      <c r="BB2286" s="6"/>
      <c r="BD2286" s="6"/>
      <c r="BE2286" s="6"/>
      <c r="BV2286" s="17"/>
      <c r="BX2286" s="17"/>
      <c r="BZ2286" s="17"/>
    </row>
    <row r="2287" spans="4:78" x14ac:dyDescent="0.3">
      <c r="D2287" s="153"/>
      <c r="E2287" s="6"/>
      <c r="G2287" s="6"/>
      <c r="J2287" s="6"/>
      <c r="N2287" s="154"/>
      <c r="O2287" s="6"/>
      <c r="S2287" s="6"/>
      <c r="V2287" s="6"/>
      <c r="X2287" s="6"/>
      <c r="Z2287" s="110"/>
      <c r="AB2287" s="6"/>
      <c r="AD2287" s="6"/>
      <c r="AE2287" s="6"/>
      <c r="AF2287" s="126"/>
      <c r="AJ2287" s="6"/>
      <c r="AL2287" s="110"/>
      <c r="AM2287" s="110"/>
      <c r="AN2287" s="110"/>
      <c r="AP2287" s="6"/>
      <c r="AW2287" s="6"/>
      <c r="AX2287" s="6"/>
      <c r="AZ2287" s="110"/>
      <c r="BB2287" s="6"/>
      <c r="BD2287" s="6"/>
      <c r="BE2287" s="6"/>
      <c r="BV2287" s="17"/>
      <c r="BX2287" s="17"/>
      <c r="BZ2287" s="17"/>
    </row>
    <row r="2288" spans="4:78" x14ac:dyDescent="0.3">
      <c r="D2288" s="153"/>
      <c r="E2288" s="6"/>
      <c r="G2288" s="6"/>
      <c r="J2288" s="6"/>
      <c r="N2288" s="154"/>
      <c r="O2288" s="6"/>
      <c r="S2288" s="6"/>
      <c r="V2288" s="6"/>
      <c r="X2288" s="6"/>
      <c r="Z2288" s="110"/>
      <c r="AB2288" s="6"/>
      <c r="AD2288" s="6"/>
      <c r="AE2288" s="6"/>
      <c r="AF2288" s="126"/>
      <c r="AJ2288" s="6"/>
      <c r="AL2288" s="110"/>
      <c r="AM2288" s="110"/>
      <c r="AN2288" s="110"/>
      <c r="AP2288" s="6"/>
      <c r="AW2288" s="6"/>
      <c r="AX2288" s="6"/>
      <c r="AZ2288" s="110"/>
      <c r="BB2288" s="6"/>
      <c r="BD2288" s="6"/>
      <c r="BE2288" s="6"/>
      <c r="BV2288" s="17"/>
      <c r="BX2288" s="17"/>
      <c r="BZ2288" s="17"/>
    </row>
    <row r="2289" spans="4:78" x14ac:dyDescent="0.3">
      <c r="D2289" s="153"/>
      <c r="E2289" s="6"/>
      <c r="G2289" s="6"/>
      <c r="J2289" s="6"/>
      <c r="N2289" s="154"/>
      <c r="O2289" s="6"/>
      <c r="S2289" s="6"/>
      <c r="V2289" s="6"/>
      <c r="X2289" s="6"/>
      <c r="Z2289" s="110"/>
      <c r="AB2289" s="6"/>
      <c r="AD2289" s="6"/>
      <c r="AE2289" s="6"/>
      <c r="AF2289" s="126"/>
      <c r="AJ2289" s="6"/>
      <c r="AL2289" s="110"/>
      <c r="AM2289" s="110"/>
      <c r="AN2289" s="110"/>
      <c r="AP2289" s="6"/>
      <c r="AW2289" s="6"/>
      <c r="AX2289" s="6"/>
      <c r="AZ2289" s="110"/>
      <c r="BB2289" s="6"/>
      <c r="BD2289" s="6"/>
      <c r="BE2289" s="6"/>
      <c r="BV2289" s="17"/>
      <c r="BX2289" s="17"/>
      <c r="BZ2289" s="17"/>
    </row>
    <row r="2290" spans="4:78" x14ac:dyDescent="0.3">
      <c r="D2290" s="153"/>
      <c r="E2290" s="6"/>
      <c r="G2290" s="6"/>
      <c r="J2290" s="6"/>
      <c r="N2290" s="154"/>
      <c r="O2290" s="6"/>
      <c r="S2290" s="6"/>
      <c r="V2290" s="6"/>
      <c r="X2290" s="6"/>
      <c r="Z2290" s="110"/>
      <c r="AB2290" s="6"/>
      <c r="AD2290" s="6"/>
      <c r="AE2290" s="6"/>
      <c r="AF2290" s="126"/>
      <c r="AJ2290" s="6"/>
      <c r="AL2290" s="110"/>
      <c r="AM2290" s="110"/>
      <c r="AN2290" s="110"/>
      <c r="AP2290" s="6"/>
      <c r="AW2290" s="6"/>
      <c r="AX2290" s="6"/>
      <c r="AZ2290" s="110"/>
      <c r="BB2290" s="6"/>
      <c r="BD2290" s="6"/>
      <c r="BE2290" s="6"/>
      <c r="BV2290" s="17"/>
      <c r="BX2290" s="17"/>
      <c r="BZ2290" s="17"/>
    </row>
    <row r="2291" spans="4:78" x14ac:dyDescent="0.3">
      <c r="D2291" s="153"/>
      <c r="E2291" s="6"/>
      <c r="G2291" s="6"/>
      <c r="J2291" s="6"/>
      <c r="N2291" s="154"/>
      <c r="O2291" s="6"/>
      <c r="S2291" s="6"/>
      <c r="V2291" s="6"/>
      <c r="X2291" s="6"/>
      <c r="Z2291" s="110"/>
      <c r="AB2291" s="6"/>
      <c r="AD2291" s="6"/>
      <c r="AE2291" s="6"/>
      <c r="AF2291" s="126"/>
      <c r="AJ2291" s="6"/>
      <c r="AL2291" s="110"/>
      <c r="AM2291" s="110"/>
      <c r="AN2291" s="110"/>
      <c r="AP2291" s="6"/>
      <c r="AW2291" s="6"/>
      <c r="AX2291" s="6"/>
      <c r="AZ2291" s="110"/>
      <c r="BB2291" s="6"/>
      <c r="BD2291" s="6"/>
      <c r="BE2291" s="6"/>
      <c r="BV2291" s="17"/>
      <c r="BX2291" s="17"/>
      <c r="BZ2291" s="17"/>
    </row>
    <row r="2292" spans="4:78" x14ac:dyDescent="0.3">
      <c r="D2292" s="153"/>
      <c r="E2292" s="6"/>
      <c r="G2292" s="6"/>
      <c r="J2292" s="6"/>
      <c r="N2292" s="154"/>
      <c r="O2292" s="6"/>
      <c r="S2292" s="6"/>
      <c r="V2292" s="6"/>
      <c r="X2292" s="6"/>
      <c r="Z2292" s="110"/>
      <c r="AB2292" s="6"/>
      <c r="AD2292" s="6"/>
      <c r="AE2292" s="6"/>
      <c r="AF2292" s="126"/>
      <c r="AJ2292" s="6"/>
      <c r="AL2292" s="110"/>
      <c r="AM2292" s="110"/>
      <c r="AN2292" s="110"/>
      <c r="AP2292" s="6"/>
      <c r="AW2292" s="6"/>
      <c r="AX2292" s="6"/>
      <c r="AZ2292" s="110"/>
      <c r="BB2292" s="6"/>
      <c r="BD2292" s="6"/>
      <c r="BE2292" s="6"/>
      <c r="BV2292" s="17"/>
      <c r="BX2292" s="17"/>
      <c r="BZ2292" s="17"/>
    </row>
    <row r="2293" spans="4:78" x14ac:dyDescent="0.3">
      <c r="D2293" s="153"/>
      <c r="E2293" s="6"/>
      <c r="G2293" s="6"/>
      <c r="J2293" s="6"/>
      <c r="N2293" s="154"/>
      <c r="O2293" s="6"/>
      <c r="S2293" s="6"/>
      <c r="V2293" s="6"/>
      <c r="X2293" s="6"/>
      <c r="Z2293" s="110"/>
      <c r="AB2293" s="6"/>
      <c r="AD2293" s="6"/>
      <c r="AE2293" s="6"/>
      <c r="AF2293" s="126"/>
      <c r="AJ2293" s="6"/>
      <c r="AL2293" s="110"/>
      <c r="AM2293" s="110"/>
      <c r="AN2293" s="110"/>
      <c r="AP2293" s="6"/>
      <c r="AW2293" s="6"/>
      <c r="AX2293" s="6"/>
      <c r="AZ2293" s="110"/>
      <c r="BB2293" s="6"/>
      <c r="BD2293" s="6"/>
      <c r="BE2293" s="6"/>
      <c r="BV2293" s="17"/>
      <c r="BX2293" s="17"/>
      <c r="BZ2293" s="17"/>
    </row>
    <row r="2294" spans="4:78" x14ac:dyDescent="0.3">
      <c r="D2294" s="153"/>
      <c r="E2294" s="6"/>
      <c r="G2294" s="6"/>
      <c r="J2294" s="6"/>
      <c r="N2294" s="154"/>
      <c r="O2294" s="6"/>
      <c r="S2294" s="6"/>
      <c r="V2294" s="6"/>
      <c r="X2294" s="6"/>
      <c r="Z2294" s="110"/>
      <c r="AB2294" s="6"/>
      <c r="AD2294" s="6"/>
      <c r="AE2294" s="6"/>
      <c r="AF2294" s="126"/>
      <c r="AJ2294" s="6"/>
      <c r="AL2294" s="110"/>
      <c r="AM2294" s="110"/>
      <c r="AN2294" s="110"/>
      <c r="AP2294" s="6"/>
      <c r="AW2294" s="6"/>
      <c r="AX2294" s="6"/>
      <c r="AZ2294" s="110"/>
      <c r="BB2294" s="6"/>
      <c r="BD2294" s="6"/>
      <c r="BE2294" s="6"/>
      <c r="BV2294" s="17"/>
      <c r="BX2294" s="17"/>
      <c r="BZ2294" s="17"/>
    </row>
    <row r="2295" spans="4:78" x14ac:dyDescent="0.3">
      <c r="D2295" s="153"/>
      <c r="E2295" s="6"/>
      <c r="G2295" s="6"/>
      <c r="J2295" s="6"/>
      <c r="N2295" s="154"/>
      <c r="O2295" s="6"/>
      <c r="S2295" s="6"/>
      <c r="V2295" s="6"/>
      <c r="X2295" s="6"/>
      <c r="Z2295" s="110"/>
      <c r="AB2295" s="6"/>
      <c r="AD2295" s="6"/>
      <c r="AE2295" s="6"/>
      <c r="AF2295" s="126"/>
      <c r="AJ2295" s="6"/>
      <c r="AL2295" s="110"/>
      <c r="AM2295" s="110"/>
      <c r="AN2295" s="110"/>
      <c r="AP2295" s="6"/>
      <c r="AW2295" s="6"/>
      <c r="AX2295" s="6"/>
      <c r="AZ2295" s="110"/>
      <c r="BB2295" s="6"/>
      <c r="BD2295" s="6"/>
      <c r="BE2295" s="6"/>
      <c r="BV2295" s="17"/>
      <c r="BX2295" s="17"/>
      <c r="BZ2295" s="17"/>
    </row>
    <row r="2296" spans="4:78" x14ac:dyDescent="0.3">
      <c r="D2296" s="153"/>
      <c r="E2296" s="6"/>
      <c r="G2296" s="6"/>
      <c r="J2296" s="6"/>
      <c r="N2296" s="154"/>
      <c r="O2296" s="6"/>
      <c r="S2296" s="6"/>
      <c r="V2296" s="6"/>
      <c r="X2296" s="6"/>
      <c r="Z2296" s="110"/>
      <c r="AB2296" s="6"/>
      <c r="AD2296" s="6"/>
      <c r="AE2296" s="6"/>
      <c r="AF2296" s="126"/>
      <c r="AJ2296" s="6"/>
      <c r="AL2296" s="110"/>
      <c r="AM2296" s="110"/>
      <c r="AN2296" s="110"/>
      <c r="AP2296" s="6"/>
      <c r="AW2296" s="6"/>
      <c r="AX2296" s="6"/>
      <c r="AZ2296" s="110"/>
      <c r="BB2296" s="6"/>
      <c r="BD2296" s="6"/>
      <c r="BE2296" s="6"/>
      <c r="BV2296" s="17"/>
      <c r="BX2296" s="17"/>
      <c r="BZ2296" s="17"/>
    </row>
    <row r="2297" spans="4:78" x14ac:dyDescent="0.3">
      <c r="D2297" s="153"/>
      <c r="E2297" s="6"/>
      <c r="G2297" s="6"/>
      <c r="J2297" s="6"/>
      <c r="N2297" s="154"/>
      <c r="O2297" s="6"/>
      <c r="S2297" s="6"/>
      <c r="V2297" s="6"/>
      <c r="X2297" s="6"/>
      <c r="Z2297" s="110"/>
      <c r="AB2297" s="6"/>
      <c r="AD2297" s="6"/>
      <c r="AE2297" s="6"/>
      <c r="AF2297" s="126"/>
      <c r="AJ2297" s="6"/>
      <c r="AL2297" s="110"/>
      <c r="AM2297" s="110"/>
      <c r="AN2297" s="110"/>
      <c r="AP2297" s="6"/>
      <c r="AW2297" s="6"/>
      <c r="AX2297" s="6"/>
      <c r="AZ2297" s="110"/>
      <c r="BB2297" s="6"/>
      <c r="BD2297" s="6"/>
      <c r="BE2297" s="6"/>
      <c r="BV2297" s="17"/>
      <c r="BX2297" s="17"/>
      <c r="BZ2297" s="17"/>
    </row>
    <row r="2298" spans="4:78" x14ac:dyDescent="0.3">
      <c r="D2298" s="153"/>
      <c r="E2298" s="6"/>
      <c r="G2298" s="6"/>
      <c r="J2298" s="6"/>
      <c r="N2298" s="154"/>
      <c r="O2298" s="6"/>
      <c r="S2298" s="6"/>
      <c r="V2298" s="6"/>
      <c r="X2298" s="6"/>
      <c r="Z2298" s="110"/>
      <c r="AB2298" s="6"/>
      <c r="AD2298" s="6"/>
      <c r="AE2298" s="6"/>
      <c r="AF2298" s="126"/>
      <c r="AJ2298" s="6"/>
      <c r="AL2298" s="110"/>
      <c r="AM2298" s="110"/>
      <c r="AN2298" s="110"/>
      <c r="AP2298" s="6"/>
      <c r="AW2298" s="6"/>
      <c r="AX2298" s="6"/>
      <c r="AZ2298" s="110"/>
      <c r="BB2298" s="6"/>
      <c r="BD2298" s="6"/>
      <c r="BE2298" s="6"/>
      <c r="BV2298" s="17"/>
      <c r="BX2298" s="17"/>
      <c r="BZ2298" s="17"/>
    </row>
    <row r="2299" spans="4:78" x14ac:dyDescent="0.3">
      <c r="D2299" s="153"/>
      <c r="E2299" s="6"/>
      <c r="G2299" s="6"/>
      <c r="J2299" s="6"/>
      <c r="N2299" s="154"/>
      <c r="O2299" s="6"/>
      <c r="S2299" s="6"/>
      <c r="V2299" s="6"/>
      <c r="X2299" s="6"/>
      <c r="Z2299" s="110"/>
      <c r="AB2299" s="6"/>
      <c r="AD2299" s="6"/>
      <c r="AE2299" s="6"/>
      <c r="AF2299" s="126"/>
      <c r="AJ2299" s="6"/>
      <c r="AL2299" s="110"/>
      <c r="AM2299" s="110"/>
      <c r="AN2299" s="110"/>
      <c r="AP2299" s="6"/>
      <c r="AW2299" s="6"/>
      <c r="AX2299" s="6"/>
      <c r="AZ2299" s="110"/>
      <c r="BB2299" s="6"/>
      <c r="BD2299" s="6"/>
      <c r="BE2299" s="6"/>
      <c r="BV2299" s="17"/>
      <c r="BX2299" s="17"/>
      <c r="BZ2299" s="17"/>
    </row>
    <row r="2300" spans="4:78" x14ac:dyDescent="0.3">
      <c r="D2300" s="153"/>
      <c r="E2300" s="6"/>
      <c r="G2300" s="6"/>
      <c r="J2300" s="6"/>
      <c r="N2300" s="154"/>
      <c r="O2300" s="6"/>
      <c r="S2300" s="6"/>
      <c r="V2300" s="6"/>
      <c r="X2300" s="6"/>
      <c r="Z2300" s="110"/>
      <c r="AB2300" s="6"/>
      <c r="AD2300" s="6"/>
      <c r="AE2300" s="6"/>
      <c r="AF2300" s="126"/>
      <c r="AJ2300" s="6"/>
      <c r="AL2300" s="110"/>
      <c r="AM2300" s="110"/>
      <c r="AN2300" s="110"/>
      <c r="AP2300" s="6"/>
      <c r="AW2300" s="6"/>
      <c r="AX2300" s="6"/>
      <c r="AZ2300" s="110"/>
      <c r="BB2300" s="6"/>
      <c r="BD2300" s="6"/>
      <c r="BE2300" s="6"/>
      <c r="BV2300" s="17"/>
      <c r="BX2300" s="17"/>
      <c r="BZ2300" s="17"/>
    </row>
    <row r="2301" spans="4:78" x14ac:dyDescent="0.3">
      <c r="D2301" s="153"/>
      <c r="E2301" s="6"/>
      <c r="G2301" s="6"/>
      <c r="J2301" s="6"/>
      <c r="N2301" s="154"/>
      <c r="O2301" s="6"/>
      <c r="S2301" s="6"/>
      <c r="V2301" s="6"/>
      <c r="X2301" s="6"/>
      <c r="Z2301" s="110"/>
      <c r="AB2301" s="6"/>
      <c r="AD2301" s="6"/>
      <c r="AE2301" s="6"/>
      <c r="AF2301" s="126"/>
      <c r="AJ2301" s="6"/>
      <c r="AL2301" s="110"/>
      <c r="AM2301" s="110"/>
      <c r="AN2301" s="110"/>
      <c r="AP2301" s="6"/>
      <c r="AW2301" s="6"/>
      <c r="AX2301" s="6"/>
      <c r="AZ2301" s="110"/>
      <c r="BB2301" s="6"/>
      <c r="BD2301" s="6"/>
      <c r="BE2301" s="6"/>
      <c r="BV2301" s="17"/>
      <c r="BX2301" s="17"/>
      <c r="BZ2301" s="17"/>
    </row>
    <row r="2302" spans="4:78" x14ac:dyDescent="0.3">
      <c r="D2302" s="153"/>
      <c r="E2302" s="6"/>
      <c r="G2302" s="6"/>
      <c r="J2302" s="6"/>
      <c r="N2302" s="154"/>
      <c r="O2302" s="6"/>
      <c r="S2302" s="6"/>
      <c r="V2302" s="6"/>
      <c r="X2302" s="6"/>
      <c r="Z2302" s="110"/>
      <c r="AB2302" s="6"/>
      <c r="AD2302" s="6"/>
      <c r="AE2302" s="6"/>
      <c r="AF2302" s="126"/>
      <c r="AJ2302" s="6"/>
      <c r="AL2302" s="110"/>
      <c r="AM2302" s="110"/>
      <c r="AN2302" s="110"/>
      <c r="AP2302" s="6"/>
      <c r="AW2302" s="6"/>
      <c r="AX2302" s="6"/>
      <c r="AZ2302" s="110"/>
      <c r="BB2302" s="6"/>
      <c r="BD2302" s="6"/>
      <c r="BE2302" s="6"/>
      <c r="BV2302" s="17"/>
      <c r="BX2302" s="17"/>
      <c r="BZ2302" s="17"/>
    </row>
    <row r="2303" spans="4:78" x14ac:dyDescent="0.3">
      <c r="D2303" s="153"/>
      <c r="E2303" s="6"/>
      <c r="G2303" s="6"/>
      <c r="J2303" s="6"/>
      <c r="N2303" s="154"/>
      <c r="O2303" s="6"/>
      <c r="S2303" s="6"/>
      <c r="V2303" s="6"/>
      <c r="X2303" s="6"/>
      <c r="Z2303" s="110"/>
      <c r="AB2303" s="6"/>
      <c r="AD2303" s="6"/>
      <c r="AE2303" s="6"/>
      <c r="AF2303" s="126"/>
      <c r="AJ2303" s="6"/>
      <c r="AL2303" s="110"/>
      <c r="AM2303" s="110"/>
      <c r="AN2303" s="110"/>
      <c r="AP2303" s="6"/>
      <c r="AW2303" s="6"/>
      <c r="AX2303" s="6"/>
      <c r="AZ2303" s="110"/>
      <c r="BB2303" s="6"/>
      <c r="BD2303" s="6"/>
      <c r="BE2303" s="6"/>
      <c r="BV2303" s="17"/>
      <c r="BX2303" s="17"/>
      <c r="BZ2303" s="17"/>
    </row>
    <row r="2304" spans="4:78" x14ac:dyDescent="0.3">
      <c r="D2304" s="153"/>
      <c r="E2304" s="6"/>
      <c r="G2304" s="6"/>
      <c r="J2304" s="6"/>
      <c r="N2304" s="154"/>
      <c r="O2304" s="6"/>
      <c r="S2304" s="6"/>
      <c r="V2304" s="6"/>
      <c r="X2304" s="6"/>
      <c r="Z2304" s="110"/>
      <c r="AB2304" s="6"/>
      <c r="AD2304" s="6"/>
      <c r="AE2304" s="6"/>
      <c r="AF2304" s="126"/>
      <c r="AJ2304" s="6"/>
      <c r="AL2304" s="110"/>
      <c r="AM2304" s="110"/>
      <c r="AN2304" s="110"/>
      <c r="AP2304" s="6"/>
      <c r="AW2304" s="6"/>
      <c r="AX2304" s="6"/>
      <c r="AZ2304" s="110"/>
      <c r="BB2304" s="6"/>
      <c r="BD2304" s="6"/>
      <c r="BE2304" s="6"/>
      <c r="BV2304" s="17"/>
      <c r="BX2304" s="17"/>
      <c r="BZ2304" s="17"/>
    </row>
    <row r="2305" spans="4:78" x14ac:dyDescent="0.3">
      <c r="D2305" s="153"/>
      <c r="E2305" s="6"/>
      <c r="G2305" s="6"/>
      <c r="J2305" s="6"/>
      <c r="N2305" s="154"/>
      <c r="O2305" s="6"/>
      <c r="S2305" s="6"/>
      <c r="V2305" s="6"/>
      <c r="X2305" s="6"/>
      <c r="Z2305" s="110"/>
      <c r="AB2305" s="6"/>
      <c r="AD2305" s="6"/>
      <c r="AE2305" s="6"/>
      <c r="AF2305" s="126"/>
      <c r="AJ2305" s="6"/>
      <c r="AL2305" s="110"/>
      <c r="AM2305" s="110"/>
      <c r="AN2305" s="110"/>
      <c r="AP2305" s="6"/>
      <c r="AW2305" s="6"/>
      <c r="AX2305" s="6"/>
      <c r="AZ2305" s="110"/>
      <c r="BB2305" s="6"/>
      <c r="BD2305" s="6"/>
      <c r="BE2305" s="6"/>
      <c r="BV2305" s="17"/>
      <c r="BX2305" s="17"/>
      <c r="BZ2305" s="17"/>
    </row>
    <row r="2306" spans="4:78" x14ac:dyDescent="0.3">
      <c r="D2306" s="153"/>
      <c r="E2306" s="6"/>
      <c r="G2306" s="6"/>
      <c r="J2306" s="6"/>
      <c r="N2306" s="154"/>
      <c r="O2306" s="6"/>
      <c r="S2306" s="6"/>
      <c r="V2306" s="6"/>
      <c r="X2306" s="6"/>
      <c r="Z2306" s="110"/>
      <c r="AB2306" s="6"/>
      <c r="AD2306" s="6"/>
      <c r="AE2306" s="6"/>
      <c r="AF2306" s="126"/>
      <c r="AJ2306" s="6"/>
      <c r="AL2306" s="110"/>
      <c r="AM2306" s="110"/>
      <c r="AN2306" s="110"/>
      <c r="AP2306" s="6"/>
      <c r="AW2306" s="6"/>
      <c r="AX2306" s="6"/>
      <c r="AZ2306" s="110"/>
      <c r="BB2306" s="6"/>
      <c r="BD2306" s="6"/>
      <c r="BE2306" s="6"/>
      <c r="BV2306" s="17"/>
      <c r="BX2306" s="17"/>
      <c r="BZ2306" s="17"/>
    </row>
    <row r="2307" spans="4:78" x14ac:dyDescent="0.3">
      <c r="D2307" s="153"/>
      <c r="E2307" s="6"/>
      <c r="G2307" s="6"/>
      <c r="J2307" s="6"/>
      <c r="N2307" s="154"/>
      <c r="O2307" s="6"/>
      <c r="S2307" s="6"/>
      <c r="V2307" s="6"/>
      <c r="X2307" s="6"/>
      <c r="Z2307" s="110"/>
      <c r="AB2307" s="6"/>
      <c r="AD2307" s="6"/>
      <c r="AE2307" s="6"/>
      <c r="AF2307" s="126"/>
      <c r="AJ2307" s="6"/>
      <c r="AL2307" s="110"/>
      <c r="AM2307" s="110"/>
      <c r="AN2307" s="110"/>
      <c r="AP2307" s="6"/>
      <c r="AW2307" s="6"/>
      <c r="AX2307" s="6"/>
      <c r="AZ2307" s="110"/>
      <c r="BB2307" s="6"/>
      <c r="BD2307" s="6"/>
      <c r="BE2307" s="6"/>
      <c r="BV2307" s="17"/>
      <c r="BX2307" s="17"/>
      <c r="BZ2307" s="17"/>
    </row>
    <row r="2308" spans="4:78" x14ac:dyDescent="0.3">
      <c r="D2308" s="153"/>
      <c r="E2308" s="6"/>
      <c r="G2308" s="6"/>
      <c r="J2308" s="6"/>
      <c r="N2308" s="154"/>
      <c r="O2308" s="6"/>
      <c r="S2308" s="6"/>
      <c r="V2308" s="6"/>
      <c r="X2308" s="6"/>
      <c r="Z2308" s="110"/>
      <c r="AB2308" s="6"/>
      <c r="AD2308" s="6"/>
      <c r="AE2308" s="6"/>
      <c r="AF2308" s="126"/>
      <c r="AJ2308" s="6"/>
      <c r="AL2308" s="110"/>
      <c r="AM2308" s="110"/>
      <c r="AN2308" s="110"/>
      <c r="AP2308" s="6"/>
      <c r="AW2308" s="6"/>
      <c r="AX2308" s="6"/>
      <c r="AZ2308" s="110"/>
      <c r="BB2308" s="6"/>
      <c r="BD2308" s="6"/>
      <c r="BE2308" s="6"/>
      <c r="BV2308" s="17"/>
      <c r="BX2308" s="17"/>
      <c r="BZ2308" s="17"/>
    </row>
    <row r="2309" spans="4:78" x14ac:dyDescent="0.3">
      <c r="D2309" s="153"/>
      <c r="E2309" s="6"/>
      <c r="G2309" s="6"/>
      <c r="J2309" s="6"/>
      <c r="N2309" s="154"/>
      <c r="O2309" s="6"/>
      <c r="S2309" s="6"/>
      <c r="V2309" s="6"/>
      <c r="X2309" s="6"/>
      <c r="Z2309" s="110"/>
      <c r="AB2309" s="6"/>
      <c r="AD2309" s="6"/>
      <c r="AE2309" s="6"/>
      <c r="AF2309" s="126"/>
      <c r="AJ2309" s="6"/>
      <c r="AL2309" s="110"/>
      <c r="AM2309" s="110"/>
      <c r="AN2309" s="110"/>
      <c r="AP2309" s="6"/>
      <c r="AW2309" s="6"/>
      <c r="AX2309" s="6"/>
      <c r="AZ2309" s="110"/>
      <c r="BB2309" s="6"/>
      <c r="BD2309" s="6"/>
      <c r="BE2309" s="6"/>
      <c r="BV2309" s="17"/>
      <c r="BX2309" s="17"/>
      <c r="BZ2309" s="17"/>
    </row>
    <row r="2310" spans="4:78" x14ac:dyDescent="0.3">
      <c r="D2310" s="153"/>
      <c r="E2310" s="6"/>
      <c r="G2310" s="6"/>
      <c r="J2310" s="6"/>
      <c r="N2310" s="154"/>
      <c r="O2310" s="6"/>
      <c r="S2310" s="6"/>
      <c r="V2310" s="6"/>
      <c r="X2310" s="6"/>
      <c r="Z2310" s="110"/>
      <c r="AB2310" s="6"/>
      <c r="AD2310" s="6"/>
      <c r="AE2310" s="6"/>
      <c r="AF2310" s="126"/>
      <c r="AJ2310" s="6"/>
      <c r="AL2310" s="110"/>
      <c r="AM2310" s="110"/>
      <c r="AN2310" s="110"/>
      <c r="AP2310" s="6"/>
      <c r="AW2310" s="6"/>
      <c r="AX2310" s="6"/>
      <c r="AZ2310" s="110"/>
      <c r="BB2310" s="6"/>
      <c r="BD2310" s="6"/>
      <c r="BE2310" s="6"/>
      <c r="BV2310" s="17"/>
      <c r="BX2310" s="17"/>
      <c r="BZ2310" s="17"/>
    </row>
    <row r="2311" spans="4:78" x14ac:dyDescent="0.3">
      <c r="D2311" s="153"/>
      <c r="E2311" s="6"/>
      <c r="G2311" s="6"/>
      <c r="J2311" s="6"/>
      <c r="N2311" s="154"/>
      <c r="O2311" s="6"/>
      <c r="S2311" s="6"/>
      <c r="V2311" s="6"/>
      <c r="X2311" s="6"/>
      <c r="Z2311" s="110"/>
      <c r="AB2311" s="6"/>
      <c r="AD2311" s="6"/>
      <c r="AE2311" s="6"/>
      <c r="AF2311" s="126"/>
      <c r="AJ2311" s="6"/>
      <c r="AL2311" s="110"/>
      <c r="AM2311" s="110"/>
      <c r="AN2311" s="110"/>
      <c r="AP2311" s="6"/>
      <c r="AW2311" s="6"/>
      <c r="AX2311" s="6"/>
      <c r="AZ2311" s="110"/>
      <c r="BB2311" s="6"/>
      <c r="BD2311" s="6"/>
      <c r="BE2311" s="6"/>
      <c r="BV2311" s="17"/>
      <c r="BX2311" s="17"/>
      <c r="BZ2311" s="17"/>
    </row>
    <row r="2312" spans="4:78" x14ac:dyDescent="0.3">
      <c r="D2312" s="153"/>
      <c r="E2312" s="6"/>
      <c r="G2312" s="6"/>
      <c r="J2312" s="6"/>
      <c r="N2312" s="154"/>
      <c r="O2312" s="6"/>
      <c r="S2312" s="6"/>
      <c r="V2312" s="6"/>
      <c r="X2312" s="6"/>
      <c r="Z2312" s="110"/>
      <c r="AB2312" s="6"/>
      <c r="AD2312" s="6"/>
      <c r="AE2312" s="6"/>
      <c r="AF2312" s="126"/>
      <c r="AJ2312" s="6"/>
      <c r="AL2312" s="110"/>
      <c r="AM2312" s="110"/>
      <c r="AN2312" s="110"/>
      <c r="AP2312" s="6"/>
      <c r="AW2312" s="6"/>
      <c r="AX2312" s="6"/>
      <c r="AZ2312" s="110"/>
      <c r="BB2312" s="6"/>
      <c r="BD2312" s="6"/>
      <c r="BE2312" s="6"/>
      <c r="BV2312" s="17"/>
      <c r="BX2312" s="17"/>
      <c r="BZ2312" s="17"/>
    </row>
    <row r="2313" spans="4:78" x14ac:dyDescent="0.3">
      <c r="D2313" s="153"/>
      <c r="E2313" s="6"/>
      <c r="G2313" s="6"/>
      <c r="J2313" s="6"/>
      <c r="N2313" s="154"/>
      <c r="O2313" s="6"/>
      <c r="S2313" s="6"/>
      <c r="V2313" s="6"/>
      <c r="X2313" s="6"/>
      <c r="Z2313" s="110"/>
      <c r="AB2313" s="6"/>
      <c r="AD2313" s="6"/>
      <c r="AE2313" s="6"/>
      <c r="AF2313" s="126"/>
      <c r="AJ2313" s="6"/>
      <c r="AL2313" s="110"/>
      <c r="AM2313" s="110"/>
      <c r="AN2313" s="110"/>
      <c r="AP2313" s="6"/>
      <c r="AW2313" s="6"/>
      <c r="AX2313" s="6"/>
      <c r="AZ2313" s="110"/>
      <c r="BB2313" s="6"/>
      <c r="BD2313" s="6"/>
      <c r="BE2313" s="6"/>
      <c r="BV2313" s="17"/>
      <c r="BX2313" s="17"/>
      <c r="BZ2313" s="17"/>
    </row>
    <row r="2314" spans="4:78" x14ac:dyDescent="0.3">
      <c r="D2314" s="153"/>
      <c r="E2314" s="6"/>
      <c r="G2314" s="6"/>
      <c r="J2314" s="6"/>
      <c r="N2314" s="154"/>
      <c r="O2314" s="6"/>
      <c r="S2314" s="6"/>
      <c r="V2314" s="6"/>
      <c r="X2314" s="6"/>
      <c r="Z2314" s="110"/>
      <c r="AB2314" s="6"/>
      <c r="AD2314" s="6"/>
      <c r="AE2314" s="6"/>
      <c r="AF2314" s="126"/>
      <c r="AJ2314" s="6"/>
      <c r="AL2314" s="110"/>
      <c r="AM2314" s="110"/>
      <c r="AN2314" s="110"/>
      <c r="AP2314" s="6"/>
      <c r="AW2314" s="6"/>
      <c r="AX2314" s="6"/>
      <c r="AZ2314" s="110"/>
      <c r="BB2314" s="6"/>
      <c r="BD2314" s="6"/>
      <c r="BE2314" s="6"/>
      <c r="BV2314" s="17"/>
      <c r="BX2314" s="17"/>
      <c r="BZ2314" s="17"/>
    </row>
    <row r="2315" spans="4:78" x14ac:dyDescent="0.3">
      <c r="D2315" s="153"/>
      <c r="E2315" s="6"/>
      <c r="G2315" s="6"/>
      <c r="J2315" s="6"/>
      <c r="N2315" s="154"/>
      <c r="O2315" s="6"/>
      <c r="S2315" s="6"/>
      <c r="V2315" s="6"/>
      <c r="X2315" s="6"/>
      <c r="Z2315" s="110"/>
      <c r="AB2315" s="6"/>
      <c r="AD2315" s="6"/>
      <c r="AE2315" s="6"/>
      <c r="AF2315" s="126"/>
      <c r="AJ2315" s="6"/>
      <c r="AL2315" s="110"/>
      <c r="AM2315" s="110"/>
      <c r="AN2315" s="110"/>
      <c r="AP2315" s="6"/>
      <c r="AW2315" s="6"/>
      <c r="AX2315" s="6"/>
      <c r="AZ2315" s="110"/>
      <c r="BB2315" s="6"/>
      <c r="BD2315" s="6"/>
      <c r="BE2315" s="6"/>
      <c r="BV2315" s="17"/>
      <c r="BX2315" s="17"/>
      <c r="BZ2315" s="17"/>
    </row>
    <row r="2316" spans="4:78" x14ac:dyDescent="0.3">
      <c r="D2316" s="153"/>
      <c r="E2316" s="6"/>
      <c r="G2316" s="6"/>
      <c r="J2316" s="6"/>
      <c r="N2316" s="154"/>
      <c r="O2316" s="6"/>
      <c r="S2316" s="6"/>
      <c r="V2316" s="6"/>
      <c r="X2316" s="6"/>
      <c r="Z2316" s="110"/>
      <c r="AB2316" s="6"/>
      <c r="AD2316" s="6"/>
      <c r="AE2316" s="6"/>
      <c r="AF2316" s="126"/>
      <c r="AJ2316" s="6"/>
      <c r="AL2316" s="110"/>
      <c r="AM2316" s="110"/>
      <c r="AN2316" s="110"/>
      <c r="AP2316" s="6"/>
      <c r="AW2316" s="6"/>
      <c r="AX2316" s="6"/>
      <c r="AZ2316" s="110"/>
      <c r="BB2316" s="6"/>
      <c r="BD2316" s="6"/>
      <c r="BE2316" s="6"/>
      <c r="BV2316" s="17"/>
      <c r="BX2316" s="17"/>
      <c r="BZ2316" s="17"/>
    </row>
    <row r="2317" spans="4:78" x14ac:dyDescent="0.3">
      <c r="D2317" s="153"/>
      <c r="E2317" s="6"/>
      <c r="G2317" s="6"/>
      <c r="J2317" s="6"/>
      <c r="N2317" s="154"/>
      <c r="O2317" s="6"/>
      <c r="S2317" s="6"/>
      <c r="V2317" s="6"/>
      <c r="X2317" s="6"/>
      <c r="Z2317" s="110"/>
      <c r="AB2317" s="6"/>
      <c r="AD2317" s="6"/>
      <c r="AE2317" s="6"/>
      <c r="AF2317" s="126"/>
      <c r="AJ2317" s="6"/>
      <c r="AL2317" s="110"/>
      <c r="AM2317" s="110"/>
      <c r="AN2317" s="110"/>
      <c r="AP2317" s="6"/>
      <c r="AW2317" s="6"/>
      <c r="AX2317" s="6"/>
      <c r="AZ2317" s="110"/>
      <c r="BB2317" s="6"/>
      <c r="BD2317" s="6"/>
      <c r="BE2317" s="6"/>
      <c r="BV2317" s="17"/>
      <c r="BX2317" s="17"/>
      <c r="BZ2317" s="17"/>
    </row>
    <row r="2318" spans="4:78" x14ac:dyDescent="0.3">
      <c r="D2318" s="153"/>
      <c r="E2318" s="6"/>
      <c r="G2318" s="6"/>
      <c r="J2318" s="6"/>
      <c r="N2318" s="154"/>
      <c r="O2318" s="6"/>
      <c r="S2318" s="6"/>
      <c r="V2318" s="6"/>
      <c r="X2318" s="6"/>
      <c r="Z2318" s="110"/>
      <c r="AB2318" s="6"/>
      <c r="AD2318" s="6"/>
      <c r="AE2318" s="6"/>
      <c r="AF2318" s="126"/>
      <c r="AJ2318" s="6"/>
      <c r="AL2318" s="110"/>
      <c r="AM2318" s="110"/>
      <c r="AN2318" s="110"/>
      <c r="AP2318" s="6"/>
      <c r="AW2318" s="6"/>
      <c r="AX2318" s="6"/>
      <c r="AZ2318" s="110"/>
      <c r="BB2318" s="6"/>
      <c r="BD2318" s="6"/>
      <c r="BE2318" s="6"/>
      <c r="BV2318" s="17"/>
      <c r="BX2318" s="17"/>
      <c r="BZ2318" s="17"/>
    </row>
    <row r="2319" spans="4:78" x14ac:dyDescent="0.3">
      <c r="D2319" s="153"/>
      <c r="E2319" s="6"/>
      <c r="G2319" s="6"/>
      <c r="J2319" s="6"/>
      <c r="N2319" s="154"/>
      <c r="O2319" s="6"/>
      <c r="S2319" s="6"/>
      <c r="V2319" s="6"/>
      <c r="X2319" s="6"/>
      <c r="Z2319" s="110"/>
      <c r="AB2319" s="6"/>
      <c r="AD2319" s="6"/>
      <c r="AE2319" s="6"/>
      <c r="AF2319" s="126"/>
      <c r="AJ2319" s="6"/>
      <c r="AL2319" s="110"/>
      <c r="AM2319" s="110"/>
      <c r="AN2319" s="110"/>
      <c r="AP2319" s="6"/>
      <c r="AW2319" s="6"/>
      <c r="AX2319" s="6"/>
      <c r="AZ2319" s="110"/>
      <c r="BB2319" s="6"/>
      <c r="BD2319" s="6"/>
      <c r="BE2319" s="6"/>
      <c r="BV2319" s="17"/>
      <c r="BX2319" s="17"/>
      <c r="BZ2319" s="17"/>
    </row>
    <row r="2320" spans="4:78" x14ac:dyDescent="0.3">
      <c r="D2320" s="153"/>
      <c r="E2320" s="6"/>
      <c r="G2320" s="6"/>
      <c r="J2320" s="6"/>
      <c r="N2320" s="154"/>
      <c r="O2320" s="6"/>
      <c r="S2320" s="6"/>
      <c r="V2320" s="6"/>
      <c r="X2320" s="6"/>
      <c r="Z2320" s="110"/>
      <c r="AB2320" s="6"/>
      <c r="AD2320" s="6"/>
      <c r="AE2320" s="6"/>
      <c r="AF2320" s="126"/>
      <c r="AJ2320" s="6"/>
      <c r="AL2320" s="110"/>
      <c r="AM2320" s="110"/>
      <c r="AN2320" s="110"/>
      <c r="AP2320" s="6"/>
      <c r="AW2320" s="6"/>
      <c r="AX2320" s="6"/>
      <c r="AZ2320" s="110"/>
      <c r="BB2320" s="6"/>
      <c r="BD2320" s="6"/>
      <c r="BE2320" s="6"/>
      <c r="BV2320" s="17"/>
      <c r="BX2320" s="17"/>
      <c r="BZ2320" s="17"/>
    </row>
    <row r="2321" spans="4:78" x14ac:dyDescent="0.3">
      <c r="D2321" s="153"/>
      <c r="E2321" s="6"/>
      <c r="G2321" s="6"/>
      <c r="J2321" s="6"/>
      <c r="N2321" s="154"/>
      <c r="O2321" s="6"/>
      <c r="S2321" s="6"/>
      <c r="V2321" s="6"/>
      <c r="X2321" s="6"/>
      <c r="Z2321" s="110"/>
      <c r="AB2321" s="6"/>
      <c r="AD2321" s="6"/>
      <c r="AE2321" s="6"/>
      <c r="AF2321" s="126"/>
      <c r="AJ2321" s="6"/>
      <c r="AL2321" s="110"/>
      <c r="AM2321" s="110"/>
      <c r="AN2321" s="110"/>
      <c r="AP2321" s="6"/>
      <c r="AW2321" s="6"/>
      <c r="AX2321" s="6"/>
      <c r="AZ2321" s="110"/>
      <c r="BB2321" s="6"/>
      <c r="BD2321" s="6"/>
      <c r="BE2321" s="6"/>
      <c r="BV2321" s="17"/>
      <c r="BX2321" s="17"/>
      <c r="BZ2321" s="17"/>
    </row>
    <row r="2322" spans="4:78" x14ac:dyDescent="0.3">
      <c r="D2322" s="153"/>
      <c r="E2322" s="6"/>
      <c r="G2322" s="6"/>
      <c r="J2322" s="6"/>
      <c r="N2322" s="154"/>
      <c r="O2322" s="6"/>
      <c r="S2322" s="6"/>
      <c r="V2322" s="6"/>
      <c r="X2322" s="6"/>
      <c r="Z2322" s="110"/>
      <c r="AB2322" s="6"/>
      <c r="AD2322" s="6"/>
      <c r="AE2322" s="6"/>
      <c r="AF2322" s="126"/>
      <c r="AJ2322" s="6"/>
      <c r="AL2322" s="110"/>
      <c r="AM2322" s="110"/>
      <c r="AN2322" s="110"/>
      <c r="AP2322" s="6"/>
      <c r="AW2322" s="6"/>
      <c r="AX2322" s="6"/>
      <c r="AZ2322" s="110"/>
      <c r="BB2322" s="6"/>
      <c r="BD2322" s="6"/>
      <c r="BE2322" s="6"/>
      <c r="BV2322" s="17"/>
      <c r="BX2322" s="17"/>
      <c r="BZ2322" s="17"/>
    </row>
    <row r="2323" spans="4:78" x14ac:dyDescent="0.3">
      <c r="D2323" s="153"/>
      <c r="E2323" s="6"/>
      <c r="G2323" s="6"/>
      <c r="J2323" s="6"/>
      <c r="N2323" s="154"/>
      <c r="O2323" s="6"/>
      <c r="S2323" s="6"/>
      <c r="V2323" s="6"/>
      <c r="X2323" s="6"/>
      <c r="Z2323" s="110"/>
      <c r="AB2323" s="6"/>
      <c r="AD2323" s="6"/>
      <c r="AE2323" s="6"/>
      <c r="AF2323" s="126"/>
      <c r="AJ2323" s="6"/>
      <c r="AL2323" s="110"/>
      <c r="AM2323" s="110"/>
      <c r="AN2323" s="110"/>
      <c r="AP2323" s="6"/>
      <c r="AW2323" s="6"/>
      <c r="AX2323" s="6"/>
      <c r="AZ2323" s="110"/>
      <c r="BB2323" s="6"/>
      <c r="BD2323" s="6"/>
      <c r="BE2323" s="6"/>
      <c r="BV2323" s="17"/>
      <c r="BX2323" s="17"/>
      <c r="BZ2323" s="17"/>
    </row>
    <row r="2324" spans="4:78" x14ac:dyDescent="0.3">
      <c r="D2324" s="153"/>
      <c r="E2324" s="6"/>
      <c r="G2324" s="6"/>
      <c r="J2324" s="6"/>
      <c r="N2324" s="154"/>
      <c r="O2324" s="6"/>
      <c r="S2324" s="6"/>
      <c r="V2324" s="6"/>
      <c r="X2324" s="6"/>
      <c r="Z2324" s="110"/>
      <c r="AB2324" s="6"/>
      <c r="AD2324" s="6"/>
      <c r="AE2324" s="6"/>
      <c r="AF2324" s="126"/>
      <c r="AJ2324" s="6"/>
      <c r="AL2324" s="110"/>
      <c r="AM2324" s="110"/>
      <c r="AN2324" s="110"/>
      <c r="AP2324" s="6"/>
      <c r="AW2324" s="6"/>
      <c r="AX2324" s="6"/>
      <c r="AZ2324" s="110"/>
      <c r="BB2324" s="6"/>
      <c r="BD2324" s="6"/>
      <c r="BE2324" s="6"/>
      <c r="BV2324" s="17"/>
      <c r="BX2324" s="17"/>
      <c r="BZ2324" s="17"/>
    </row>
    <row r="2325" spans="4:78" x14ac:dyDescent="0.3">
      <c r="D2325" s="153"/>
      <c r="E2325" s="6"/>
      <c r="G2325" s="6"/>
      <c r="J2325" s="6"/>
      <c r="N2325" s="154"/>
      <c r="O2325" s="6"/>
      <c r="S2325" s="6"/>
      <c r="V2325" s="6"/>
      <c r="X2325" s="6"/>
      <c r="Z2325" s="110"/>
      <c r="AB2325" s="6"/>
      <c r="AD2325" s="6"/>
      <c r="AE2325" s="6"/>
      <c r="AF2325" s="126"/>
      <c r="AJ2325" s="6"/>
      <c r="AL2325" s="110"/>
      <c r="AM2325" s="110"/>
      <c r="AN2325" s="110"/>
      <c r="AP2325" s="6"/>
      <c r="AW2325" s="6"/>
      <c r="AX2325" s="6"/>
      <c r="AZ2325" s="110"/>
      <c r="BB2325" s="6"/>
      <c r="BD2325" s="6"/>
      <c r="BE2325" s="6"/>
      <c r="BV2325" s="17"/>
      <c r="BX2325" s="17"/>
      <c r="BZ2325" s="17"/>
    </row>
    <row r="2326" spans="4:78" x14ac:dyDescent="0.3">
      <c r="D2326" s="153"/>
      <c r="E2326" s="6"/>
      <c r="G2326" s="6"/>
      <c r="J2326" s="6"/>
      <c r="N2326" s="154"/>
      <c r="O2326" s="6"/>
      <c r="S2326" s="6"/>
      <c r="V2326" s="6"/>
      <c r="X2326" s="6"/>
      <c r="Z2326" s="110"/>
      <c r="AB2326" s="6"/>
      <c r="AD2326" s="6"/>
      <c r="AE2326" s="6"/>
      <c r="AF2326" s="126"/>
      <c r="AJ2326" s="6"/>
      <c r="AL2326" s="110"/>
      <c r="AM2326" s="110"/>
      <c r="AN2326" s="110"/>
      <c r="AP2326" s="6"/>
      <c r="AW2326" s="6"/>
      <c r="AX2326" s="6"/>
      <c r="AZ2326" s="110"/>
      <c r="BB2326" s="6"/>
      <c r="BD2326" s="6"/>
      <c r="BE2326" s="6"/>
      <c r="BV2326" s="17"/>
      <c r="BX2326" s="17"/>
      <c r="BZ2326" s="17"/>
    </row>
    <row r="2327" spans="4:78" x14ac:dyDescent="0.3">
      <c r="D2327" s="153"/>
      <c r="E2327" s="6"/>
      <c r="G2327" s="6"/>
      <c r="J2327" s="6"/>
      <c r="N2327" s="154"/>
      <c r="O2327" s="6"/>
      <c r="S2327" s="6"/>
      <c r="V2327" s="6"/>
      <c r="X2327" s="6"/>
      <c r="Z2327" s="110"/>
      <c r="AB2327" s="6"/>
      <c r="AD2327" s="6"/>
      <c r="AE2327" s="6"/>
      <c r="AF2327" s="126"/>
      <c r="AJ2327" s="6"/>
      <c r="AL2327" s="110"/>
      <c r="AM2327" s="110"/>
      <c r="AN2327" s="110"/>
      <c r="AP2327" s="6"/>
      <c r="AW2327" s="6"/>
      <c r="AX2327" s="6"/>
      <c r="AZ2327" s="110"/>
      <c r="BB2327" s="6"/>
      <c r="BD2327" s="6"/>
      <c r="BE2327" s="6"/>
      <c r="BV2327" s="17"/>
      <c r="BX2327" s="17"/>
      <c r="BZ2327" s="17"/>
    </row>
    <row r="2328" spans="4:78" x14ac:dyDescent="0.3">
      <c r="D2328" s="153"/>
      <c r="E2328" s="6"/>
      <c r="G2328" s="6"/>
      <c r="J2328" s="6"/>
      <c r="N2328" s="154"/>
      <c r="O2328" s="6"/>
      <c r="S2328" s="6"/>
      <c r="V2328" s="6"/>
      <c r="X2328" s="6"/>
      <c r="Z2328" s="110"/>
      <c r="AB2328" s="6"/>
      <c r="AD2328" s="6"/>
      <c r="AE2328" s="6"/>
      <c r="AF2328" s="126"/>
      <c r="AJ2328" s="6"/>
      <c r="AL2328" s="110"/>
      <c r="AM2328" s="110"/>
      <c r="AN2328" s="110"/>
      <c r="AP2328" s="6"/>
      <c r="AW2328" s="6"/>
      <c r="AX2328" s="6"/>
      <c r="AZ2328" s="110"/>
      <c r="BB2328" s="6"/>
      <c r="BD2328" s="6"/>
      <c r="BE2328" s="6"/>
      <c r="BV2328" s="17"/>
      <c r="BX2328" s="17"/>
      <c r="BZ2328" s="17"/>
    </row>
    <row r="2329" spans="4:78" x14ac:dyDescent="0.3">
      <c r="D2329" s="153"/>
      <c r="E2329" s="6"/>
      <c r="G2329" s="6"/>
      <c r="J2329" s="6"/>
      <c r="N2329" s="154"/>
      <c r="O2329" s="6"/>
      <c r="S2329" s="6"/>
      <c r="V2329" s="6"/>
      <c r="X2329" s="6"/>
      <c r="Z2329" s="110"/>
      <c r="AB2329" s="6"/>
      <c r="AD2329" s="6"/>
      <c r="AE2329" s="6"/>
      <c r="AF2329" s="126"/>
      <c r="AJ2329" s="6"/>
      <c r="AL2329" s="110"/>
      <c r="AM2329" s="110"/>
      <c r="AN2329" s="110"/>
      <c r="AP2329" s="6"/>
      <c r="AW2329" s="6"/>
      <c r="AX2329" s="6"/>
      <c r="AZ2329" s="110"/>
      <c r="BB2329" s="6"/>
      <c r="BD2329" s="6"/>
      <c r="BE2329" s="6"/>
      <c r="BV2329" s="17"/>
      <c r="BX2329" s="17"/>
      <c r="BZ2329" s="17"/>
    </row>
    <row r="2330" spans="4:78" x14ac:dyDescent="0.3">
      <c r="D2330" s="153"/>
      <c r="E2330" s="6"/>
      <c r="G2330" s="6"/>
      <c r="J2330" s="6"/>
      <c r="N2330" s="154"/>
      <c r="O2330" s="6"/>
      <c r="S2330" s="6"/>
      <c r="V2330" s="6"/>
      <c r="X2330" s="6"/>
      <c r="Z2330" s="110"/>
      <c r="AB2330" s="6"/>
      <c r="AD2330" s="6"/>
      <c r="AE2330" s="6"/>
      <c r="AF2330" s="126"/>
      <c r="AJ2330" s="6"/>
      <c r="AL2330" s="110"/>
      <c r="AM2330" s="110"/>
      <c r="AN2330" s="110"/>
      <c r="AP2330" s="6"/>
      <c r="AW2330" s="6"/>
      <c r="AX2330" s="6"/>
      <c r="AZ2330" s="110"/>
      <c r="BB2330" s="6"/>
      <c r="BD2330" s="6"/>
      <c r="BE2330" s="6"/>
      <c r="BV2330" s="17"/>
      <c r="BX2330" s="17"/>
      <c r="BZ2330" s="17"/>
    </row>
    <row r="2331" spans="4:78" x14ac:dyDescent="0.3">
      <c r="D2331" s="153"/>
      <c r="E2331" s="6"/>
      <c r="G2331" s="6"/>
      <c r="J2331" s="6"/>
      <c r="N2331" s="154"/>
      <c r="O2331" s="6"/>
      <c r="S2331" s="6"/>
      <c r="V2331" s="6"/>
      <c r="X2331" s="6"/>
      <c r="Z2331" s="110"/>
      <c r="AB2331" s="6"/>
      <c r="AD2331" s="6"/>
      <c r="AE2331" s="6"/>
      <c r="AF2331" s="126"/>
      <c r="AJ2331" s="6"/>
      <c r="AL2331" s="110"/>
      <c r="AM2331" s="110"/>
      <c r="AN2331" s="110"/>
      <c r="AP2331" s="6"/>
      <c r="AW2331" s="6"/>
      <c r="AX2331" s="6"/>
      <c r="AZ2331" s="110"/>
      <c r="BB2331" s="6"/>
      <c r="BD2331" s="6"/>
      <c r="BE2331" s="6"/>
      <c r="BV2331" s="17"/>
      <c r="BX2331" s="17"/>
      <c r="BZ2331" s="17"/>
    </row>
    <row r="2332" spans="4:78" x14ac:dyDescent="0.3">
      <c r="D2332" s="153"/>
      <c r="E2332" s="6"/>
      <c r="G2332" s="6"/>
      <c r="J2332" s="6"/>
      <c r="N2332" s="154"/>
      <c r="O2332" s="6"/>
      <c r="S2332" s="6"/>
      <c r="V2332" s="6"/>
      <c r="X2332" s="6"/>
      <c r="Z2332" s="110"/>
      <c r="AB2332" s="6"/>
      <c r="AD2332" s="6"/>
      <c r="AE2332" s="6"/>
      <c r="AF2332" s="126"/>
      <c r="AJ2332" s="6"/>
      <c r="AL2332" s="110"/>
      <c r="AM2332" s="110"/>
      <c r="AN2332" s="110"/>
      <c r="AP2332" s="6"/>
      <c r="AW2332" s="6"/>
      <c r="AX2332" s="6"/>
      <c r="AZ2332" s="110"/>
      <c r="BB2332" s="6"/>
      <c r="BD2332" s="6"/>
      <c r="BE2332" s="6"/>
      <c r="BV2332" s="17"/>
      <c r="BX2332" s="17"/>
      <c r="BZ2332" s="17"/>
    </row>
    <row r="2333" spans="4:78" x14ac:dyDescent="0.3">
      <c r="D2333" s="153"/>
      <c r="E2333" s="6"/>
      <c r="G2333" s="6"/>
      <c r="J2333" s="6"/>
      <c r="N2333" s="154"/>
      <c r="O2333" s="6"/>
      <c r="S2333" s="6"/>
      <c r="V2333" s="6"/>
      <c r="X2333" s="6"/>
      <c r="Z2333" s="110"/>
      <c r="AB2333" s="6"/>
      <c r="AD2333" s="6"/>
      <c r="AE2333" s="6"/>
      <c r="AF2333" s="126"/>
      <c r="AJ2333" s="6"/>
      <c r="AL2333" s="110"/>
      <c r="AM2333" s="110"/>
      <c r="AN2333" s="110"/>
      <c r="AP2333" s="6"/>
      <c r="AW2333" s="6"/>
      <c r="AX2333" s="6"/>
      <c r="AZ2333" s="110"/>
      <c r="BB2333" s="6"/>
      <c r="BD2333" s="6"/>
      <c r="BE2333" s="6"/>
      <c r="BV2333" s="17"/>
      <c r="BX2333" s="17"/>
      <c r="BZ2333" s="17"/>
    </row>
    <row r="2334" spans="4:78" x14ac:dyDescent="0.3">
      <c r="D2334" s="153"/>
      <c r="E2334" s="6"/>
      <c r="G2334" s="6"/>
      <c r="J2334" s="6"/>
      <c r="N2334" s="154"/>
      <c r="O2334" s="6"/>
      <c r="S2334" s="6"/>
      <c r="V2334" s="6"/>
      <c r="X2334" s="6"/>
      <c r="Z2334" s="110"/>
      <c r="AB2334" s="6"/>
      <c r="AD2334" s="6"/>
      <c r="AE2334" s="6"/>
      <c r="AF2334" s="126"/>
      <c r="AJ2334" s="6"/>
      <c r="AL2334" s="110"/>
      <c r="AM2334" s="110"/>
      <c r="AN2334" s="110"/>
      <c r="AP2334" s="6"/>
      <c r="AW2334" s="6"/>
      <c r="AX2334" s="6"/>
      <c r="AZ2334" s="110"/>
      <c r="BB2334" s="6"/>
      <c r="BD2334" s="6"/>
      <c r="BE2334" s="6"/>
      <c r="BV2334" s="17"/>
      <c r="BX2334" s="17"/>
      <c r="BZ2334" s="17"/>
    </row>
    <row r="2335" spans="4:78" x14ac:dyDescent="0.3">
      <c r="D2335" s="153"/>
      <c r="E2335" s="6"/>
      <c r="G2335" s="6"/>
      <c r="J2335" s="6"/>
      <c r="N2335" s="154"/>
      <c r="O2335" s="6"/>
      <c r="S2335" s="6"/>
      <c r="V2335" s="6"/>
      <c r="X2335" s="6"/>
      <c r="Z2335" s="110"/>
      <c r="AB2335" s="6"/>
      <c r="AD2335" s="6"/>
      <c r="AE2335" s="6"/>
      <c r="AF2335" s="126"/>
      <c r="AJ2335" s="6"/>
      <c r="AL2335" s="110"/>
      <c r="AM2335" s="110"/>
      <c r="AN2335" s="110"/>
      <c r="AP2335" s="6"/>
      <c r="AW2335" s="6"/>
      <c r="AX2335" s="6"/>
      <c r="AZ2335" s="110"/>
      <c r="BB2335" s="6"/>
      <c r="BD2335" s="6"/>
      <c r="BE2335" s="6"/>
      <c r="BV2335" s="17"/>
      <c r="BX2335" s="17"/>
      <c r="BZ2335" s="17"/>
    </row>
    <row r="2336" spans="4:78" x14ac:dyDescent="0.3">
      <c r="D2336" s="153"/>
      <c r="E2336" s="6"/>
      <c r="G2336" s="6"/>
      <c r="J2336" s="6"/>
      <c r="N2336" s="154"/>
      <c r="O2336" s="6"/>
      <c r="S2336" s="6"/>
      <c r="V2336" s="6"/>
      <c r="X2336" s="6"/>
      <c r="Z2336" s="110"/>
      <c r="AB2336" s="6"/>
      <c r="AD2336" s="6"/>
      <c r="AE2336" s="6"/>
      <c r="AF2336" s="126"/>
      <c r="AJ2336" s="6"/>
      <c r="AL2336" s="110"/>
      <c r="AM2336" s="110"/>
      <c r="AN2336" s="110"/>
      <c r="AP2336" s="6"/>
      <c r="AW2336" s="6"/>
      <c r="AX2336" s="6"/>
      <c r="AZ2336" s="110"/>
      <c r="BB2336" s="6"/>
      <c r="BD2336" s="6"/>
      <c r="BE2336" s="6"/>
      <c r="BV2336" s="17"/>
      <c r="BX2336" s="17"/>
      <c r="BZ2336" s="17"/>
    </row>
    <row r="2337" spans="4:78" x14ac:dyDescent="0.3">
      <c r="D2337" s="153"/>
      <c r="E2337" s="6"/>
      <c r="G2337" s="6"/>
      <c r="J2337" s="6"/>
      <c r="N2337" s="154"/>
      <c r="O2337" s="6"/>
      <c r="S2337" s="6"/>
      <c r="V2337" s="6"/>
      <c r="X2337" s="6"/>
      <c r="Z2337" s="110"/>
      <c r="AB2337" s="6"/>
      <c r="AD2337" s="6"/>
      <c r="AE2337" s="6"/>
      <c r="AF2337" s="126"/>
      <c r="AJ2337" s="6"/>
      <c r="AL2337" s="110"/>
      <c r="AM2337" s="110"/>
      <c r="AN2337" s="110"/>
      <c r="AP2337" s="6"/>
      <c r="AW2337" s="6"/>
      <c r="AX2337" s="6"/>
      <c r="AZ2337" s="110"/>
      <c r="BB2337" s="6"/>
      <c r="BD2337" s="6"/>
      <c r="BE2337" s="6"/>
      <c r="BV2337" s="17"/>
      <c r="BX2337" s="17"/>
      <c r="BZ2337" s="17"/>
    </row>
    <row r="2338" spans="4:78" x14ac:dyDescent="0.3">
      <c r="D2338" s="153"/>
      <c r="E2338" s="6"/>
      <c r="G2338" s="6"/>
      <c r="J2338" s="6"/>
      <c r="N2338" s="154"/>
      <c r="O2338" s="6"/>
      <c r="S2338" s="6"/>
      <c r="V2338" s="6"/>
      <c r="X2338" s="6"/>
      <c r="Z2338" s="110"/>
      <c r="AB2338" s="6"/>
      <c r="AD2338" s="6"/>
      <c r="AE2338" s="6"/>
      <c r="AF2338" s="126"/>
      <c r="AJ2338" s="6"/>
      <c r="AL2338" s="110"/>
      <c r="AM2338" s="110"/>
      <c r="AN2338" s="110"/>
      <c r="AP2338" s="6"/>
      <c r="AW2338" s="6"/>
      <c r="AX2338" s="6"/>
      <c r="AZ2338" s="110"/>
      <c r="BB2338" s="6"/>
      <c r="BD2338" s="6"/>
      <c r="BE2338" s="6"/>
      <c r="BV2338" s="17"/>
      <c r="BX2338" s="17"/>
      <c r="BZ2338" s="17"/>
    </row>
    <row r="2339" spans="4:78" x14ac:dyDescent="0.3">
      <c r="D2339" s="153"/>
      <c r="E2339" s="6"/>
      <c r="G2339" s="6"/>
      <c r="J2339" s="6"/>
      <c r="N2339" s="154"/>
      <c r="O2339" s="6"/>
      <c r="S2339" s="6"/>
      <c r="V2339" s="6"/>
      <c r="X2339" s="6"/>
      <c r="Z2339" s="110"/>
      <c r="AB2339" s="6"/>
      <c r="AD2339" s="6"/>
      <c r="AE2339" s="6"/>
      <c r="AF2339" s="126"/>
      <c r="AJ2339" s="6"/>
      <c r="AL2339" s="110"/>
      <c r="AM2339" s="110"/>
      <c r="AN2339" s="110"/>
      <c r="AP2339" s="6"/>
      <c r="AW2339" s="6"/>
      <c r="AX2339" s="6"/>
      <c r="AZ2339" s="110"/>
      <c r="BB2339" s="6"/>
      <c r="BD2339" s="6"/>
      <c r="BE2339" s="6"/>
      <c r="BV2339" s="17"/>
      <c r="BX2339" s="17"/>
      <c r="BZ2339" s="17"/>
    </row>
    <row r="2340" spans="4:78" x14ac:dyDescent="0.3">
      <c r="D2340" s="153"/>
      <c r="E2340" s="6"/>
      <c r="G2340" s="6"/>
      <c r="J2340" s="6"/>
      <c r="N2340" s="154"/>
      <c r="O2340" s="6"/>
      <c r="S2340" s="6"/>
      <c r="V2340" s="6"/>
      <c r="X2340" s="6"/>
      <c r="Z2340" s="110"/>
      <c r="AB2340" s="6"/>
      <c r="AD2340" s="6"/>
      <c r="AE2340" s="6"/>
      <c r="AF2340" s="126"/>
      <c r="AJ2340" s="6"/>
      <c r="AL2340" s="110"/>
      <c r="AM2340" s="110"/>
      <c r="AN2340" s="110"/>
      <c r="AP2340" s="6"/>
      <c r="AW2340" s="6"/>
      <c r="AX2340" s="6"/>
      <c r="AZ2340" s="110"/>
      <c r="BB2340" s="6"/>
      <c r="BD2340" s="6"/>
      <c r="BE2340" s="6"/>
      <c r="BV2340" s="17"/>
      <c r="BX2340" s="17"/>
      <c r="BZ2340" s="17"/>
    </row>
    <row r="2341" spans="4:78" x14ac:dyDescent="0.3">
      <c r="D2341" s="153"/>
      <c r="E2341" s="6"/>
      <c r="G2341" s="6"/>
      <c r="J2341" s="6"/>
      <c r="N2341" s="154"/>
      <c r="O2341" s="6"/>
      <c r="S2341" s="6"/>
      <c r="V2341" s="6"/>
      <c r="X2341" s="6"/>
      <c r="Z2341" s="110"/>
      <c r="AB2341" s="6"/>
      <c r="AD2341" s="6"/>
      <c r="AE2341" s="6"/>
      <c r="AF2341" s="126"/>
      <c r="AJ2341" s="6"/>
      <c r="AL2341" s="110"/>
      <c r="AM2341" s="110"/>
      <c r="AN2341" s="110"/>
      <c r="AP2341" s="6"/>
      <c r="AW2341" s="6"/>
      <c r="AX2341" s="6"/>
      <c r="AZ2341" s="110"/>
      <c r="BB2341" s="6"/>
      <c r="BD2341" s="6"/>
      <c r="BE2341" s="6"/>
      <c r="BV2341" s="17"/>
      <c r="BX2341" s="17"/>
      <c r="BZ2341" s="17"/>
    </row>
    <row r="2342" spans="4:78" x14ac:dyDescent="0.3">
      <c r="D2342" s="153"/>
      <c r="E2342" s="6"/>
      <c r="G2342" s="6"/>
      <c r="J2342" s="6"/>
      <c r="N2342" s="154"/>
      <c r="O2342" s="6"/>
      <c r="S2342" s="6"/>
      <c r="V2342" s="6"/>
      <c r="X2342" s="6"/>
      <c r="Z2342" s="110"/>
      <c r="AB2342" s="6"/>
      <c r="AD2342" s="6"/>
      <c r="AE2342" s="6"/>
      <c r="AF2342" s="126"/>
      <c r="AJ2342" s="6"/>
      <c r="AL2342" s="110"/>
      <c r="AM2342" s="110"/>
      <c r="AN2342" s="110"/>
      <c r="AP2342" s="6"/>
      <c r="AW2342" s="6"/>
      <c r="AX2342" s="6"/>
      <c r="AZ2342" s="110"/>
      <c r="BB2342" s="6"/>
      <c r="BD2342" s="6"/>
      <c r="BE2342" s="6"/>
      <c r="BV2342" s="17"/>
      <c r="BX2342" s="17"/>
      <c r="BZ2342" s="17"/>
    </row>
    <row r="2343" spans="4:78" x14ac:dyDescent="0.3">
      <c r="D2343" s="153"/>
      <c r="E2343" s="6"/>
      <c r="G2343" s="6"/>
      <c r="J2343" s="6"/>
      <c r="N2343" s="154"/>
      <c r="O2343" s="6"/>
      <c r="S2343" s="6"/>
      <c r="V2343" s="6"/>
      <c r="X2343" s="6"/>
      <c r="Z2343" s="110"/>
      <c r="AB2343" s="6"/>
      <c r="AD2343" s="6"/>
      <c r="AE2343" s="6"/>
      <c r="AF2343" s="126"/>
      <c r="AJ2343" s="6"/>
      <c r="AL2343" s="110"/>
      <c r="AM2343" s="110"/>
      <c r="AN2343" s="110"/>
      <c r="AP2343" s="6"/>
      <c r="AW2343" s="6"/>
      <c r="AX2343" s="6"/>
      <c r="AZ2343" s="110"/>
      <c r="BB2343" s="6"/>
      <c r="BD2343" s="6"/>
      <c r="BE2343" s="6"/>
      <c r="BV2343" s="17"/>
      <c r="BX2343" s="17"/>
      <c r="BZ2343" s="17"/>
    </row>
    <row r="2344" spans="4:78" x14ac:dyDescent="0.3">
      <c r="D2344" s="153"/>
      <c r="E2344" s="6"/>
      <c r="G2344" s="6"/>
      <c r="J2344" s="6"/>
      <c r="N2344" s="154"/>
      <c r="O2344" s="6"/>
      <c r="S2344" s="6"/>
      <c r="V2344" s="6"/>
      <c r="X2344" s="6"/>
      <c r="Z2344" s="110"/>
      <c r="AB2344" s="6"/>
      <c r="AD2344" s="6"/>
      <c r="AE2344" s="6"/>
      <c r="AF2344" s="126"/>
      <c r="AJ2344" s="6"/>
      <c r="AL2344" s="110"/>
      <c r="AM2344" s="110"/>
      <c r="AN2344" s="110"/>
      <c r="AP2344" s="6"/>
      <c r="AW2344" s="6"/>
      <c r="AX2344" s="6"/>
      <c r="AZ2344" s="110"/>
      <c r="BB2344" s="6"/>
      <c r="BD2344" s="6"/>
      <c r="BE2344" s="6"/>
      <c r="BV2344" s="17"/>
      <c r="BX2344" s="17"/>
      <c r="BZ2344" s="17"/>
    </row>
    <row r="2345" spans="4:78" x14ac:dyDescent="0.3">
      <c r="D2345" s="153"/>
      <c r="E2345" s="6"/>
      <c r="G2345" s="6"/>
      <c r="J2345" s="6"/>
      <c r="N2345" s="154"/>
      <c r="O2345" s="6"/>
      <c r="S2345" s="6"/>
      <c r="V2345" s="6"/>
      <c r="X2345" s="6"/>
      <c r="Z2345" s="110"/>
      <c r="AB2345" s="6"/>
      <c r="AD2345" s="6"/>
      <c r="AE2345" s="6"/>
      <c r="AF2345" s="126"/>
      <c r="AJ2345" s="6"/>
      <c r="AL2345" s="110"/>
      <c r="AM2345" s="110"/>
      <c r="AN2345" s="110"/>
      <c r="AP2345" s="6"/>
      <c r="AW2345" s="6"/>
      <c r="AX2345" s="6"/>
      <c r="AZ2345" s="110"/>
      <c r="BB2345" s="6"/>
      <c r="BD2345" s="6"/>
      <c r="BE2345" s="6"/>
      <c r="BV2345" s="17"/>
      <c r="BX2345" s="17"/>
      <c r="BZ2345" s="17"/>
    </row>
    <row r="2346" spans="4:78" x14ac:dyDescent="0.3">
      <c r="D2346" s="153"/>
      <c r="E2346" s="6"/>
      <c r="G2346" s="6"/>
      <c r="J2346" s="6"/>
      <c r="N2346" s="154"/>
      <c r="O2346" s="6"/>
      <c r="S2346" s="6"/>
      <c r="V2346" s="6"/>
      <c r="X2346" s="6"/>
      <c r="Z2346" s="110"/>
      <c r="AB2346" s="6"/>
      <c r="AD2346" s="6"/>
      <c r="AE2346" s="6"/>
      <c r="AF2346" s="126"/>
      <c r="AJ2346" s="6"/>
      <c r="AL2346" s="110"/>
      <c r="AM2346" s="110"/>
      <c r="AN2346" s="110"/>
      <c r="AP2346" s="6"/>
      <c r="AW2346" s="6"/>
      <c r="AX2346" s="6"/>
      <c r="AZ2346" s="110"/>
      <c r="BB2346" s="6"/>
      <c r="BD2346" s="6"/>
      <c r="BE2346" s="6"/>
      <c r="BV2346" s="17"/>
      <c r="BX2346" s="17"/>
      <c r="BZ2346" s="17"/>
    </row>
    <row r="2347" spans="4:78" x14ac:dyDescent="0.3">
      <c r="D2347" s="153"/>
      <c r="E2347" s="6"/>
      <c r="G2347" s="6"/>
      <c r="J2347" s="6"/>
      <c r="N2347" s="154"/>
      <c r="O2347" s="6"/>
      <c r="S2347" s="6"/>
      <c r="V2347" s="6"/>
      <c r="X2347" s="6"/>
      <c r="Z2347" s="110"/>
      <c r="AB2347" s="6"/>
      <c r="AD2347" s="6"/>
      <c r="AE2347" s="6"/>
      <c r="AF2347" s="126"/>
      <c r="AJ2347" s="6"/>
      <c r="AL2347" s="110"/>
      <c r="AM2347" s="110"/>
      <c r="AN2347" s="110"/>
      <c r="AP2347" s="6"/>
      <c r="AW2347" s="6"/>
      <c r="AX2347" s="6"/>
      <c r="AZ2347" s="110"/>
      <c r="BB2347" s="6"/>
      <c r="BD2347" s="6"/>
      <c r="BE2347" s="6"/>
      <c r="BV2347" s="17"/>
      <c r="BX2347" s="17"/>
      <c r="BZ2347" s="17"/>
    </row>
    <row r="2348" spans="4:78" x14ac:dyDescent="0.3">
      <c r="D2348" s="153"/>
      <c r="E2348" s="6"/>
      <c r="G2348" s="6"/>
      <c r="J2348" s="6"/>
      <c r="N2348" s="154"/>
      <c r="O2348" s="6"/>
      <c r="S2348" s="6"/>
      <c r="V2348" s="6"/>
      <c r="X2348" s="6"/>
      <c r="Z2348" s="110"/>
      <c r="AB2348" s="6"/>
      <c r="AD2348" s="6"/>
      <c r="AE2348" s="6"/>
      <c r="AF2348" s="126"/>
      <c r="AJ2348" s="6"/>
      <c r="AL2348" s="110"/>
      <c r="AM2348" s="110"/>
      <c r="AN2348" s="110"/>
      <c r="AP2348" s="6"/>
      <c r="AW2348" s="6"/>
      <c r="AX2348" s="6"/>
      <c r="AZ2348" s="110"/>
      <c r="BB2348" s="6"/>
      <c r="BD2348" s="6"/>
      <c r="BE2348" s="6"/>
      <c r="BV2348" s="17"/>
      <c r="BX2348" s="17"/>
      <c r="BZ2348" s="17"/>
    </row>
    <row r="2349" spans="4:78" x14ac:dyDescent="0.3">
      <c r="D2349" s="153"/>
      <c r="E2349" s="6"/>
      <c r="G2349" s="6"/>
      <c r="J2349" s="6"/>
      <c r="N2349" s="154"/>
      <c r="O2349" s="6"/>
      <c r="S2349" s="6"/>
      <c r="V2349" s="6"/>
      <c r="X2349" s="6"/>
      <c r="Z2349" s="110"/>
      <c r="AB2349" s="6"/>
      <c r="AD2349" s="6"/>
      <c r="AE2349" s="6"/>
      <c r="AF2349" s="126"/>
      <c r="AJ2349" s="6"/>
      <c r="AL2349" s="110"/>
      <c r="AM2349" s="110"/>
      <c r="AN2349" s="110"/>
      <c r="AP2349" s="6"/>
      <c r="AW2349" s="6"/>
      <c r="AX2349" s="6"/>
      <c r="AZ2349" s="110"/>
      <c r="BB2349" s="6"/>
      <c r="BD2349" s="6"/>
      <c r="BE2349" s="6"/>
      <c r="BV2349" s="17"/>
      <c r="BX2349" s="17"/>
      <c r="BZ2349" s="17"/>
    </row>
    <row r="2350" spans="4:78" x14ac:dyDescent="0.3">
      <c r="D2350" s="153"/>
      <c r="E2350" s="6"/>
      <c r="G2350" s="6"/>
      <c r="J2350" s="6"/>
      <c r="N2350" s="154"/>
      <c r="O2350" s="6"/>
      <c r="S2350" s="6"/>
      <c r="V2350" s="6"/>
      <c r="X2350" s="6"/>
      <c r="Z2350" s="110"/>
      <c r="AB2350" s="6"/>
      <c r="AD2350" s="6"/>
      <c r="AE2350" s="6"/>
      <c r="AF2350" s="126"/>
      <c r="AJ2350" s="6"/>
      <c r="AL2350" s="110"/>
      <c r="AM2350" s="110"/>
      <c r="AN2350" s="110"/>
      <c r="AP2350" s="6"/>
      <c r="AW2350" s="6"/>
      <c r="AX2350" s="6"/>
      <c r="AZ2350" s="110"/>
      <c r="BB2350" s="6"/>
      <c r="BD2350" s="6"/>
      <c r="BE2350" s="6"/>
      <c r="BV2350" s="17"/>
      <c r="BX2350" s="17"/>
      <c r="BZ2350" s="17"/>
    </row>
    <row r="2351" spans="4:78" x14ac:dyDescent="0.3">
      <c r="D2351" s="153"/>
      <c r="E2351" s="6"/>
      <c r="G2351" s="6"/>
      <c r="J2351" s="6"/>
      <c r="N2351" s="154"/>
      <c r="O2351" s="6"/>
      <c r="S2351" s="6"/>
      <c r="V2351" s="6"/>
      <c r="X2351" s="6"/>
      <c r="Z2351" s="110"/>
      <c r="AB2351" s="6"/>
      <c r="AD2351" s="6"/>
      <c r="AE2351" s="6"/>
      <c r="AF2351" s="126"/>
      <c r="AJ2351" s="6"/>
      <c r="AL2351" s="110"/>
      <c r="AM2351" s="110"/>
      <c r="AN2351" s="110"/>
      <c r="AP2351" s="6"/>
      <c r="AW2351" s="6"/>
      <c r="AX2351" s="6"/>
      <c r="AZ2351" s="110"/>
      <c r="BB2351" s="6"/>
      <c r="BD2351" s="6"/>
      <c r="BE2351" s="6"/>
      <c r="BV2351" s="17"/>
      <c r="BX2351" s="17"/>
      <c r="BZ2351" s="17"/>
    </row>
    <row r="2352" spans="4:78" x14ac:dyDescent="0.3">
      <c r="D2352" s="153"/>
      <c r="E2352" s="6"/>
      <c r="G2352" s="6"/>
      <c r="J2352" s="6"/>
      <c r="N2352" s="154"/>
      <c r="O2352" s="6"/>
      <c r="S2352" s="6"/>
      <c r="V2352" s="6"/>
      <c r="X2352" s="6"/>
      <c r="Z2352" s="110"/>
      <c r="AB2352" s="6"/>
      <c r="AD2352" s="6"/>
      <c r="AE2352" s="6"/>
      <c r="AF2352" s="126"/>
      <c r="AJ2352" s="6"/>
      <c r="AL2352" s="110"/>
      <c r="AM2352" s="110"/>
      <c r="AN2352" s="110"/>
      <c r="AP2352" s="6"/>
      <c r="AW2352" s="6"/>
      <c r="AX2352" s="6"/>
      <c r="AZ2352" s="110"/>
      <c r="BB2352" s="6"/>
      <c r="BD2352" s="6"/>
      <c r="BE2352" s="6"/>
      <c r="BV2352" s="17"/>
      <c r="BX2352" s="17"/>
      <c r="BZ2352" s="17"/>
    </row>
    <row r="2353" spans="4:78" x14ac:dyDescent="0.3">
      <c r="D2353" s="153"/>
      <c r="E2353" s="6"/>
      <c r="G2353" s="6"/>
      <c r="J2353" s="6"/>
      <c r="N2353" s="154"/>
      <c r="O2353" s="6"/>
      <c r="S2353" s="6"/>
      <c r="V2353" s="6"/>
      <c r="X2353" s="6"/>
      <c r="Z2353" s="110"/>
      <c r="AB2353" s="6"/>
      <c r="AD2353" s="6"/>
      <c r="AE2353" s="6"/>
      <c r="AF2353" s="126"/>
      <c r="AJ2353" s="6"/>
      <c r="AL2353" s="110"/>
      <c r="AM2353" s="110"/>
      <c r="AN2353" s="110"/>
      <c r="AP2353" s="6"/>
      <c r="AW2353" s="6"/>
      <c r="AX2353" s="6"/>
      <c r="AZ2353" s="110"/>
      <c r="BB2353" s="6"/>
      <c r="BD2353" s="6"/>
      <c r="BE2353" s="6"/>
      <c r="BV2353" s="17"/>
      <c r="BX2353" s="17"/>
      <c r="BZ2353" s="17"/>
    </row>
    <row r="2354" spans="4:78" x14ac:dyDescent="0.3">
      <c r="D2354" s="153"/>
      <c r="E2354" s="6"/>
      <c r="G2354" s="6"/>
      <c r="J2354" s="6"/>
      <c r="N2354" s="154"/>
      <c r="O2354" s="6"/>
      <c r="S2354" s="6"/>
      <c r="V2354" s="6"/>
      <c r="X2354" s="6"/>
      <c r="Z2354" s="110"/>
      <c r="AB2354" s="6"/>
      <c r="AD2354" s="6"/>
      <c r="AE2354" s="6"/>
      <c r="AF2354" s="126"/>
      <c r="AJ2354" s="6"/>
      <c r="AL2354" s="110"/>
      <c r="AM2354" s="110"/>
      <c r="AN2354" s="110"/>
      <c r="AP2354" s="6"/>
      <c r="AW2354" s="6"/>
      <c r="AX2354" s="6"/>
      <c r="AZ2354" s="110"/>
      <c r="BB2354" s="6"/>
      <c r="BD2354" s="6"/>
      <c r="BE2354" s="6"/>
      <c r="BV2354" s="17"/>
      <c r="BX2354" s="17"/>
      <c r="BZ2354" s="17"/>
    </row>
    <row r="2355" spans="4:78" x14ac:dyDescent="0.3">
      <c r="D2355" s="153"/>
      <c r="E2355" s="6"/>
      <c r="G2355" s="6"/>
      <c r="J2355" s="6"/>
      <c r="N2355" s="154"/>
      <c r="O2355" s="6"/>
      <c r="S2355" s="6"/>
      <c r="V2355" s="6"/>
      <c r="X2355" s="6"/>
      <c r="Z2355" s="110"/>
      <c r="AB2355" s="6"/>
      <c r="AD2355" s="6"/>
      <c r="AE2355" s="6"/>
      <c r="AF2355" s="126"/>
      <c r="AJ2355" s="6"/>
      <c r="AL2355" s="110"/>
      <c r="AM2355" s="110"/>
      <c r="AN2355" s="110"/>
      <c r="AP2355" s="6"/>
      <c r="AW2355" s="6"/>
      <c r="AX2355" s="6"/>
      <c r="AZ2355" s="110"/>
      <c r="BB2355" s="6"/>
      <c r="BD2355" s="6"/>
      <c r="BE2355" s="6"/>
      <c r="BV2355" s="17"/>
      <c r="BX2355" s="17"/>
      <c r="BZ2355" s="17"/>
    </row>
    <row r="2356" spans="4:78" x14ac:dyDescent="0.3">
      <c r="D2356" s="153"/>
      <c r="E2356" s="6"/>
      <c r="G2356" s="6"/>
      <c r="J2356" s="6"/>
      <c r="N2356" s="154"/>
      <c r="O2356" s="6"/>
      <c r="S2356" s="6"/>
      <c r="V2356" s="6"/>
      <c r="X2356" s="6"/>
      <c r="Z2356" s="110"/>
      <c r="AB2356" s="6"/>
      <c r="AD2356" s="6"/>
      <c r="AE2356" s="6"/>
      <c r="AF2356" s="126"/>
      <c r="AJ2356" s="6"/>
      <c r="AL2356" s="110"/>
      <c r="AM2356" s="110"/>
      <c r="AN2356" s="110"/>
      <c r="AP2356" s="6"/>
      <c r="AW2356" s="6"/>
      <c r="AX2356" s="6"/>
      <c r="AZ2356" s="110"/>
      <c r="BB2356" s="6"/>
      <c r="BD2356" s="6"/>
      <c r="BE2356" s="6"/>
      <c r="BV2356" s="17"/>
      <c r="BX2356" s="17"/>
      <c r="BZ2356" s="17"/>
    </row>
    <row r="2357" spans="4:78" x14ac:dyDescent="0.3">
      <c r="D2357" s="153"/>
      <c r="E2357" s="6"/>
      <c r="G2357" s="6"/>
      <c r="J2357" s="6"/>
      <c r="N2357" s="154"/>
      <c r="O2357" s="6"/>
      <c r="S2357" s="6"/>
      <c r="V2357" s="6"/>
      <c r="X2357" s="6"/>
      <c r="Z2357" s="110"/>
      <c r="AB2357" s="6"/>
      <c r="AD2357" s="6"/>
      <c r="AE2357" s="6"/>
      <c r="AF2357" s="126"/>
      <c r="AJ2357" s="6"/>
      <c r="AL2357" s="110"/>
      <c r="AM2357" s="110"/>
      <c r="AN2357" s="110"/>
      <c r="AP2357" s="6"/>
      <c r="AW2357" s="6"/>
      <c r="AX2357" s="6"/>
      <c r="AZ2357" s="110"/>
      <c r="BB2357" s="6"/>
      <c r="BD2357" s="6"/>
      <c r="BE2357" s="6"/>
      <c r="BV2357" s="17"/>
      <c r="BX2357" s="17"/>
      <c r="BZ2357" s="17"/>
    </row>
    <row r="2358" spans="4:78" x14ac:dyDescent="0.3">
      <c r="D2358" s="153"/>
      <c r="E2358" s="6"/>
      <c r="G2358" s="6"/>
      <c r="J2358" s="6"/>
      <c r="N2358" s="154"/>
      <c r="O2358" s="6"/>
      <c r="S2358" s="6"/>
      <c r="V2358" s="6"/>
      <c r="X2358" s="6"/>
      <c r="Z2358" s="110"/>
      <c r="AB2358" s="6"/>
      <c r="AD2358" s="6"/>
      <c r="AE2358" s="6"/>
      <c r="AF2358" s="126"/>
      <c r="AJ2358" s="6"/>
      <c r="AL2358" s="110"/>
      <c r="AM2358" s="110"/>
      <c r="AN2358" s="110"/>
      <c r="AP2358" s="6"/>
      <c r="AW2358" s="6"/>
      <c r="AX2358" s="6"/>
      <c r="AZ2358" s="110"/>
      <c r="BB2358" s="6"/>
      <c r="BD2358" s="6"/>
      <c r="BE2358" s="6"/>
      <c r="BV2358" s="17"/>
      <c r="BX2358" s="17"/>
      <c r="BZ2358" s="17"/>
    </row>
    <row r="2359" spans="4:78" x14ac:dyDescent="0.3">
      <c r="D2359" s="153"/>
      <c r="E2359" s="6"/>
      <c r="G2359" s="6"/>
      <c r="J2359" s="6"/>
      <c r="N2359" s="154"/>
      <c r="O2359" s="6"/>
      <c r="S2359" s="6"/>
      <c r="V2359" s="6"/>
      <c r="X2359" s="6"/>
      <c r="Z2359" s="110"/>
      <c r="AB2359" s="6"/>
      <c r="AD2359" s="6"/>
      <c r="AE2359" s="6"/>
      <c r="AF2359" s="126"/>
      <c r="AJ2359" s="6"/>
      <c r="AL2359" s="110"/>
      <c r="AM2359" s="110"/>
      <c r="AN2359" s="110"/>
      <c r="AP2359" s="6"/>
      <c r="AW2359" s="6"/>
      <c r="AX2359" s="6"/>
      <c r="AZ2359" s="110"/>
      <c r="BB2359" s="6"/>
      <c r="BD2359" s="6"/>
      <c r="BE2359" s="6"/>
      <c r="BV2359" s="17"/>
      <c r="BX2359" s="17"/>
      <c r="BZ2359" s="17"/>
    </row>
    <row r="2360" spans="4:78" x14ac:dyDescent="0.3">
      <c r="D2360" s="153"/>
      <c r="E2360" s="6"/>
      <c r="G2360" s="6"/>
      <c r="J2360" s="6"/>
      <c r="N2360" s="154"/>
      <c r="O2360" s="6"/>
      <c r="S2360" s="6"/>
      <c r="V2360" s="6"/>
      <c r="X2360" s="6"/>
      <c r="Z2360" s="110"/>
      <c r="AB2360" s="6"/>
      <c r="AD2360" s="6"/>
      <c r="AE2360" s="6"/>
      <c r="AF2360" s="126"/>
      <c r="AJ2360" s="6"/>
      <c r="AL2360" s="110"/>
      <c r="AM2360" s="110"/>
      <c r="AN2360" s="110"/>
      <c r="AP2360" s="6"/>
      <c r="AW2360" s="6"/>
      <c r="AX2360" s="6"/>
      <c r="AZ2360" s="110"/>
      <c r="BB2360" s="6"/>
      <c r="BD2360" s="6"/>
      <c r="BE2360" s="6"/>
      <c r="BV2360" s="17"/>
      <c r="BX2360" s="17"/>
      <c r="BZ2360" s="17"/>
    </row>
    <row r="2361" spans="4:78" x14ac:dyDescent="0.3">
      <c r="D2361" s="153"/>
      <c r="E2361" s="6"/>
      <c r="G2361" s="6"/>
      <c r="J2361" s="6"/>
      <c r="N2361" s="154"/>
      <c r="O2361" s="6"/>
      <c r="S2361" s="6"/>
      <c r="V2361" s="6"/>
      <c r="X2361" s="6"/>
      <c r="Z2361" s="110"/>
      <c r="AB2361" s="6"/>
      <c r="AD2361" s="6"/>
      <c r="AE2361" s="6"/>
      <c r="AF2361" s="126"/>
      <c r="AJ2361" s="6"/>
      <c r="AL2361" s="110"/>
      <c r="AM2361" s="110"/>
      <c r="AN2361" s="110"/>
      <c r="AP2361" s="6"/>
      <c r="AW2361" s="6"/>
      <c r="AX2361" s="6"/>
      <c r="AZ2361" s="110"/>
      <c r="BB2361" s="6"/>
      <c r="BD2361" s="6"/>
      <c r="BE2361" s="6"/>
      <c r="BV2361" s="17"/>
      <c r="BX2361" s="17"/>
      <c r="BZ2361" s="17"/>
    </row>
    <row r="2362" spans="4:78" x14ac:dyDescent="0.3">
      <c r="D2362" s="153"/>
      <c r="E2362" s="6"/>
      <c r="G2362" s="6"/>
      <c r="J2362" s="6"/>
      <c r="N2362" s="154"/>
      <c r="O2362" s="6"/>
      <c r="S2362" s="6"/>
      <c r="V2362" s="6"/>
      <c r="X2362" s="6"/>
      <c r="Z2362" s="110"/>
      <c r="AB2362" s="6"/>
      <c r="AD2362" s="6"/>
      <c r="AE2362" s="6"/>
      <c r="AF2362" s="126"/>
      <c r="AJ2362" s="6"/>
      <c r="AL2362" s="110"/>
      <c r="AM2362" s="110"/>
      <c r="AN2362" s="110"/>
      <c r="AP2362" s="6"/>
      <c r="AW2362" s="6"/>
      <c r="AX2362" s="6"/>
      <c r="AZ2362" s="110"/>
      <c r="BB2362" s="6"/>
      <c r="BD2362" s="6"/>
      <c r="BE2362" s="6"/>
      <c r="BV2362" s="17"/>
      <c r="BX2362" s="17"/>
      <c r="BZ2362" s="17"/>
    </row>
    <row r="2363" spans="4:78" x14ac:dyDescent="0.3">
      <c r="D2363" s="153"/>
      <c r="E2363" s="6"/>
      <c r="G2363" s="6"/>
      <c r="J2363" s="6"/>
      <c r="N2363" s="154"/>
      <c r="O2363" s="6"/>
      <c r="S2363" s="6"/>
      <c r="V2363" s="6"/>
      <c r="X2363" s="6"/>
      <c r="Z2363" s="110"/>
      <c r="AB2363" s="6"/>
      <c r="AD2363" s="6"/>
      <c r="AE2363" s="6"/>
      <c r="AF2363" s="126"/>
      <c r="AJ2363" s="6"/>
      <c r="AL2363" s="110"/>
      <c r="AM2363" s="110"/>
      <c r="AN2363" s="110"/>
      <c r="AP2363" s="6"/>
      <c r="AW2363" s="6"/>
      <c r="AX2363" s="6"/>
      <c r="AZ2363" s="110"/>
      <c r="BB2363" s="6"/>
      <c r="BD2363" s="6"/>
      <c r="BE2363" s="6"/>
      <c r="BV2363" s="17"/>
      <c r="BX2363" s="17"/>
      <c r="BZ2363" s="17"/>
    </row>
    <row r="2364" spans="4:78" x14ac:dyDescent="0.3">
      <c r="D2364" s="153"/>
      <c r="E2364" s="6"/>
      <c r="G2364" s="6"/>
      <c r="J2364" s="6"/>
      <c r="N2364" s="154"/>
      <c r="O2364" s="6"/>
      <c r="S2364" s="6"/>
      <c r="V2364" s="6"/>
      <c r="X2364" s="6"/>
      <c r="Z2364" s="110"/>
      <c r="AB2364" s="6"/>
      <c r="AD2364" s="6"/>
      <c r="AE2364" s="6"/>
      <c r="AF2364" s="126"/>
      <c r="AJ2364" s="6"/>
      <c r="AL2364" s="110"/>
      <c r="AM2364" s="110"/>
      <c r="AN2364" s="110"/>
      <c r="AP2364" s="6"/>
      <c r="AW2364" s="6"/>
      <c r="AX2364" s="6"/>
      <c r="AZ2364" s="110"/>
      <c r="BB2364" s="6"/>
      <c r="BD2364" s="6"/>
      <c r="BE2364" s="6"/>
      <c r="BV2364" s="17"/>
      <c r="BX2364" s="17"/>
      <c r="BZ2364" s="17"/>
    </row>
    <row r="2365" spans="4:78" x14ac:dyDescent="0.3">
      <c r="D2365" s="153"/>
      <c r="E2365" s="6"/>
      <c r="G2365" s="6"/>
      <c r="J2365" s="6"/>
      <c r="N2365" s="154"/>
      <c r="O2365" s="6"/>
      <c r="S2365" s="6"/>
      <c r="V2365" s="6"/>
      <c r="X2365" s="6"/>
      <c r="Z2365" s="110"/>
      <c r="AB2365" s="6"/>
      <c r="AD2365" s="6"/>
      <c r="AE2365" s="6"/>
      <c r="AF2365" s="126"/>
      <c r="AJ2365" s="6"/>
      <c r="AL2365" s="110"/>
      <c r="AM2365" s="110"/>
      <c r="AN2365" s="110"/>
      <c r="AP2365" s="6"/>
      <c r="AW2365" s="6"/>
      <c r="AX2365" s="6"/>
      <c r="AZ2365" s="110"/>
      <c r="BB2365" s="6"/>
      <c r="BD2365" s="6"/>
      <c r="BE2365" s="6"/>
      <c r="BV2365" s="17"/>
      <c r="BX2365" s="17"/>
      <c r="BZ2365" s="17"/>
    </row>
    <row r="2366" spans="4:78" x14ac:dyDescent="0.3">
      <c r="D2366" s="153"/>
      <c r="E2366" s="6"/>
      <c r="G2366" s="6"/>
      <c r="J2366" s="6"/>
      <c r="N2366" s="154"/>
      <c r="O2366" s="6"/>
      <c r="S2366" s="6"/>
      <c r="V2366" s="6"/>
      <c r="X2366" s="6"/>
      <c r="Z2366" s="110"/>
      <c r="AB2366" s="6"/>
      <c r="AD2366" s="6"/>
      <c r="AE2366" s="6"/>
      <c r="AF2366" s="126"/>
      <c r="AJ2366" s="6"/>
      <c r="AL2366" s="110"/>
      <c r="AM2366" s="110"/>
      <c r="AN2366" s="110"/>
      <c r="AP2366" s="6"/>
      <c r="AW2366" s="6"/>
      <c r="AX2366" s="6"/>
      <c r="AZ2366" s="110"/>
      <c r="BB2366" s="6"/>
      <c r="BD2366" s="6"/>
      <c r="BE2366" s="6"/>
      <c r="BV2366" s="17"/>
      <c r="BX2366" s="17"/>
      <c r="BZ2366" s="17"/>
    </row>
    <row r="2367" spans="4:78" x14ac:dyDescent="0.3">
      <c r="D2367" s="153"/>
      <c r="E2367" s="6"/>
      <c r="G2367" s="6"/>
      <c r="J2367" s="6"/>
      <c r="N2367" s="154"/>
      <c r="O2367" s="6"/>
      <c r="S2367" s="6"/>
      <c r="V2367" s="6"/>
      <c r="X2367" s="6"/>
      <c r="Z2367" s="110"/>
      <c r="AB2367" s="6"/>
      <c r="AD2367" s="6"/>
      <c r="AE2367" s="6"/>
      <c r="AF2367" s="126"/>
      <c r="AJ2367" s="6"/>
      <c r="AL2367" s="110"/>
      <c r="AM2367" s="110"/>
      <c r="AN2367" s="110"/>
      <c r="AP2367" s="6"/>
      <c r="AW2367" s="6"/>
      <c r="AX2367" s="6"/>
      <c r="AZ2367" s="110"/>
      <c r="BB2367" s="6"/>
      <c r="BD2367" s="6"/>
      <c r="BE2367" s="6"/>
      <c r="BV2367" s="17"/>
      <c r="BX2367" s="17"/>
      <c r="BZ2367" s="17"/>
    </row>
    <row r="2368" spans="4:78" x14ac:dyDescent="0.3">
      <c r="D2368" s="153"/>
      <c r="E2368" s="6"/>
      <c r="G2368" s="6"/>
      <c r="J2368" s="6"/>
      <c r="N2368" s="154"/>
      <c r="O2368" s="6"/>
      <c r="S2368" s="6"/>
      <c r="V2368" s="6"/>
      <c r="X2368" s="6"/>
      <c r="Z2368" s="110"/>
      <c r="AB2368" s="6"/>
      <c r="AD2368" s="6"/>
      <c r="AE2368" s="6"/>
      <c r="AF2368" s="126"/>
      <c r="AJ2368" s="6"/>
      <c r="AL2368" s="110"/>
      <c r="AM2368" s="110"/>
      <c r="AN2368" s="110"/>
      <c r="AP2368" s="6"/>
      <c r="AW2368" s="6"/>
      <c r="AX2368" s="6"/>
      <c r="AZ2368" s="110"/>
      <c r="BB2368" s="6"/>
      <c r="BD2368" s="6"/>
      <c r="BE2368" s="6"/>
      <c r="BV2368" s="17"/>
      <c r="BX2368" s="17"/>
      <c r="BZ2368" s="17"/>
    </row>
    <row r="2369" spans="4:78" x14ac:dyDescent="0.3">
      <c r="D2369" s="153"/>
      <c r="E2369" s="6"/>
      <c r="G2369" s="6"/>
      <c r="J2369" s="6"/>
      <c r="N2369" s="154"/>
      <c r="O2369" s="6"/>
      <c r="S2369" s="6"/>
      <c r="V2369" s="6"/>
      <c r="X2369" s="6"/>
      <c r="Z2369" s="110"/>
      <c r="AB2369" s="6"/>
      <c r="AD2369" s="6"/>
      <c r="AE2369" s="6"/>
      <c r="AF2369" s="126"/>
      <c r="AJ2369" s="6"/>
      <c r="AL2369" s="110"/>
      <c r="AM2369" s="110"/>
      <c r="AN2369" s="110"/>
      <c r="AP2369" s="6"/>
      <c r="AW2369" s="6"/>
      <c r="AX2369" s="6"/>
      <c r="AZ2369" s="110"/>
      <c r="BB2369" s="6"/>
      <c r="BD2369" s="6"/>
      <c r="BE2369" s="6"/>
      <c r="BV2369" s="17"/>
      <c r="BX2369" s="17"/>
      <c r="BZ2369" s="17"/>
    </row>
    <row r="2370" spans="4:78" x14ac:dyDescent="0.3">
      <c r="D2370" s="153"/>
      <c r="E2370" s="6"/>
      <c r="G2370" s="6"/>
      <c r="J2370" s="6"/>
      <c r="N2370" s="154"/>
      <c r="O2370" s="6"/>
      <c r="S2370" s="6"/>
      <c r="V2370" s="6"/>
      <c r="X2370" s="6"/>
      <c r="Z2370" s="110"/>
      <c r="AB2370" s="6"/>
      <c r="AD2370" s="6"/>
      <c r="AE2370" s="6"/>
      <c r="AF2370" s="126"/>
      <c r="AJ2370" s="6"/>
      <c r="AL2370" s="110"/>
      <c r="AM2370" s="110"/>
      <c r="AN2370" s="110"/>
      <c r="AP2370" s="6"/>
      <c r="AW2370" s="6"/>
      <c r="AX2370" s="6"/>
      <c r="AZ2370" s="110"/>
      <c r="BB2370" s="6"/>
      <c r="BD2370" s="6"/>
      <c r="BE2370" s="6"/>
      <c r="BV2370" s="17"/>
      <c r="BX2370" s="17"/>
      <c r="BZ2370" s="17"/>
    </row>
    <row r="2371" spans="4:78" x14ac:dyDescent="0.3">
      <c r="D2371" s="153"/>
      <c r="E2371" s="6"/>
      <c r="G2371" s="6"/>
      <c r="J2371" s="6"/>
      <c r="N2371" s="154"/>
      <c r="O2371" s="6"/>
      <c r="S2371" s="6"/>
      <c r="V2371" s="6"/>
      <c r="X2371" s="6"/>
      <c r="Z2371" s="110"/>
      <c r="AB2371" s="6"/>
      <c r="AD2371" s="6"/>
      <c r="AE2371" s="6"/>
      <c r="AF2371" s="126"/>
      <c r="AJ2371" s="6"/>
      <c r="AL2371" s="110"/>
      <c r="AM2371" s="110"/>
      <c r="AN2371" s="110"/>
      <c r="AP2371" s="6"/>
      <c r="AW2371" s="6"/>
      <c r="AX2371" s="6"/>
      <c r="AZ2371" s="110"/>
      <c r="BB2371" s="6"/>
      <c r="BD2371" s="6"/>
      <c r="BE2371" s="6"/>
      <c r="BV2371" s="17"/>
      <c r="BX2371" s="17"/>
      <c r="BZ2371" s="17"/>
    </row>
    <row r="2372" spans="4:78" x14ac:dyDescent="0.3">
      <c r="D2372" s="153"/>
      <c r="E2372" s="6"/>
      <c r="G2372" s="6"/>
      <c r="J2372" s="6"/>
      <c r="N2372" s="154"/>
      <c r="O2372" s="6"/>
      <c r="S2372" s="6"/>
      <c r="V2372" s="6"/>
      <c r="X2372" s="6"/>
      <c r="Z2372" s="110"/>
      <c r="AB2372" s="6"/>
      <c r="AD2372" s="6"/>
      <c r="AE2372" s="6"/>
      <c r="AF2372" s="126"/>
      <c r="AJ2372" s="6"/>
      <c r="AL2372" s="110"/>
      <c r="AM2372" s="110"/>
      <c r="AN2372" s="110"/>
      <c r="AP2372" s="6"/>
      <c r="AW2372" s="6"/>
      <c r="AX2372" s="6"/>
      <c r="AZ2372" s="110"/>
      <c r="BB2372" s="6"/>
      <c r="BD2372" s="6"/>
      <c r="BE2372" s="6"/>
      <c r="BV2372" s="17"/>
      <c r="BX2372" s="17"/>
      <c r="BZ2372" s="17"/>
    </row>
    <row r="2373" spans="4:78" x14ac:dyDescent="0.3">
      <c r="D2373" s="153"/>
      <c r="E2373" s="6"/>
      <c r="G2373" s="6"/>
      <c r="J2373" s="6"/>
      <c r="N2373" s="154"/>
      <c r="O2373" s="6"/>
      <c r="S2373" s="6"/>
      <c r="V2373" s="6"/>
      <c r="X2373" s="6"/>
      <c r="Z2373" s="110"/>
      <c r="AB2373" s="6"/>
      <c r="AD2373" s="6"/>
      <c r="AE2373" s="6"/>
      <c r="AF2373" s="126"/>
      <c r="AJ2373" s="6"/>
      <c r="AL2373" s="110"/>
      <c r="AM2373" s="110"/>
      <c r="AN2373" s="110"/>
      <c r="AP2373" s="6"/>
      <c r="AW2373" s="6"/>
      <c r="AX2373" s="6"/>
      <c r="AZ2373" s="110"/>
      <c r="BB2373" s="6"/>
      <c r="BD2373" s="6"/>
      <c r="BE2373" s="6"/>
      <c r="BV2373" s="17"/>
      <c r="BX2373" s="17"/>
      <c r="BZ2373" s="17"/>
    </row>
    <row r="2374" spans="4:78" x14ac:dyDescent="0.3">
      <c r="D2374" s="153"/>
      <c r="E2374" s="6"/>
      <c r="G2374" s="6"/>
      <c r="J2374" s="6"/>
      <c r="N2374" s="154"/>
      <c r="O2374" s="6"/>
      <c r="S2374" s="6"/>
      <c r="V2374" s="6"/>
      <c r="X2374" s="6"/>
      <c r="Z2374" s="110"/>
      <c r="AB2374" s="6"/>
      <c r="AD2374" s="6"/>
      <c r="AE2374" s="6"/>
      <c r="AF2374" s="126"/>
      <c r="AJ2374" s="6"/>
      <c r="AL2374" s="110"/>
      <c r="AM2374" s="110"/>
      <c r="AN2374" s="110"/>
      <c r="AP2374" s="6"/>
      <c r="AW2374" s="6"/>
      <c r="AX2374" s="6"/>
      <c r="AZ2374" s="110"/>
      <c r="BB2374" s="6"/>
      <c r="BD2374" s="6"/>
      <c r="BE2374" s="6"/>
      <c r="BV2374" s="17"/>
      <c r="BX2374" s="17"/>
      <c r="BZ2374" s="17"/>
    </row>
    <row r="2375" spans="4:78" x14ac:dyDescent="0.3">
      <c r="D2375" s="153"/>
      <c r="E2375" s="6"/>
      <c r="G2375" s="6"/>
      <c r="J2375" s="6"/>
      <c r="N2375" s="154"/>
      <c r="O2375" s="6"/>
      <c r="S2375" s="6"/>
      <c r="V2375" s="6"/>
      <c r="X2375" s="6"/>
      <c r="Z2375" s="110"/>
      <c r="AB2375" s="6"/>
      <c r="AD2375" s="6"/>
      <c r="AE2375" s="6"/>
      <c r="AF2375" s="126"/>
      <c r="AJ2375" s="6"/>
      <c r="AL2375" s="110"/>
      <c r="AM2375" s="110"/>
      <c r="AN2375" s="110"/>
      <c r="AP2375" s="6"/>
      <c r="AW2375" s="6"/>
      <c r="AX2375" s="6"/>
      <c r="AZ2375" s="110"/>
      <c r="BB2375" s="6"/>
      <c r="BD2375" s="6"/>
      <c r="BE2375" s="6"/>
      <c r="BV2375" s="17"/>
      <c r="BX2375" s="17"/>
      <c r="BZ2375" s="17"/>
    </row>
    <row r="2376" spans="4:78" x14ac:dyDescent="0.3">
      <c r="D2376" s="153"/>
      <c r="E2376" s="6"/>
      <c r="G2376" s="6"/>
      <c r="J2376" s="6"/>
      <c r="N2376" s="154"/>
      <c r="O2376" s="6"/>
      <c r="S2376" s="6"/>
      <c r="V2376" s="6"/>
      <c r="X2376" s="6"/>
      <c r="Z2376" s="110"/>
      <c r="AB2376" s="6"/>
      <c r="AD2376" s="6"/>
      <c r="AE2376" s="6"/>
      <c r="AF2376" s="126"/>
      <c r="AJ2376" s="6"/>
      <c r="AL2376" s="110"/>
      <c r="AM2376" s="110"/>
      <c r="AN2376" s="110"/>
      <c r="AP2376" s="6"/>
      <c r="AW2376" s="6"/>
      <c r="AX2376" s="6"/>
      <c r="AZ2376" s="110"/>
      <c r="BB2376" s="6"/>
      <c r="BD2376" s="6"/>
      <c r="BE2376" s="6"/>
      <c r="BV2376" s="17"/>
      <c r="BX2376" s="17"/>
      <c r="BZ2376" s="17"/>
    </row>
    <row r="2377" spans="4:78" x14ac:dyDescent="0.3">
      <c r="D2377" s="153"/>
      <c r="E2377" s="6"/>
      <c r="G2377" s="6"/>
      <c r="J2377" s="6"/>
      <c r="N2377" s="154"/>
      <c r="O2377" s="6"/>
      <c r="S2377" s="6"/>
      <c r="V2377" s="6"/>
      <c r="X2377" s="6"/>
      <c r="Z2377" s="110"/>
      <c r="AB2377" s="6"/>
      <c r="AD2377" s="6"/>
      <c r="AE2377" s="6"/>
      <c r="AF2377" s="126"/>
      <c r="AJ2377" s="6"/>
      <c r="AL2377" s="110"/>
      <c r="AM2377" s="110"/>
      <c r="AN2377" s="110"/>
      <c r="AP2377" s="6"/>
      <c r="AW2377" s="6"/>
      <c r="AX2377" s="6"/>
      <c r="AZ2377" s="110"/>
      <c r="BB2377" s="6"/>
      <c r="BD2377" s="6"/>
      <c r="BE2377" s="6"/>
      <c r="BV2377" s="17"/>
      <c r="BX2377" s="17"/>
      <c r="BZ2377" s="17"/>
    </row>
    <row r="2378" spans="4:78" x14ac:dyDescent="0.3">
      <c r="D2378" s="153"/>
      <c r="E2378" s="6"/>
      <c r="G2378" s="6"/>
      <c r="J2378" s="6"/>
      <c r="N2378" s="154"/>
      <c r="O2378" s="6"/>
      <c r="S2378" s="6"/>
      <c r="V2378" s="6"/>
      <c r="X2378" s="6"/>
      <c r="Z2378" s="110"/>
      <c r="AB2378" s="6"/>
      <c r="AD2378" s="6"/>
      <c r="AE2378" s="6"/>
      <c r="AF2378" s="126"/>
      <c r="AJ2378" s="6"/>
      <c r="AL2378" s="110"/>
      <c r="AM2378" s="110"/>
      <c r="AN2378" s="110"/>
      <c r="AP2378" s="6"/>
      <c r="AW2378" s="6"/>
      <c r="AX2378" s="6"/>
      <c r="AZ2378" s="110"/>
      <c r="BB2378" s="6"/>
      <c r="BD2378" s="6"/>
      <c r="BE2378" s="6"/>
      <c r="BV2378" s="17"/>
      <c r="BX2378" s="17"/>
      <c r="BZ2378" s="17"/>
    </row>
    <row r="2379" spans="4:78" x14ac:dyDescent="0.3">
      <c r="D2379" s="153"/>
      <c r="E2379" s="6"/>
      <c r="G2379" s="6"/>
      <c r="J2379" s="6"/>
      <c r="N2379" s="154"/>
      <c r="O2379" s="6"/>
      <c r="S2379" s="6"/>
      <c r="V2379" s="6"/>
      <c r="X2379" s="6"/>
      <c r="Z2379" s="110"/>
      <c r="AB2379" s="6"/>
      <c r="AD2379" s="6"/>
      <c r="AE2379" s="6"/>
      <c r="AF2379" s="126"/>
      <c r="AJ2379" s="6"/>
      <c r="AL2379" s="110"/>
      <c r="AM2379" s="110"/>
      <c r="AN2379" s="110"/>
      <c r="AP2379" s="6"/>
      <c r="AW2379" s="6"/>
      <c r="AX2379" s="6"/>
      <c r="AZ2379" s="110"/>
      <c r="BB2379" s="6"/>
      <c r="BD2379" s="6"/>
      <c r="BE2379" s="6"/>
      <c r="BV2379" s="17"/>
      <c r="BX2379" s="17"/>
      <c r="BZ2379" s="17"/>
    </row>
    <row r="2380" spans="4:78" x14ac:dyDescent="0.3">
      <c r="D2380" s="153"/>
      <c r="E2380" s="6"/>
      <c r="G2380" s="6"/>
      <c r="J2380" s="6"/>
      <c r="N2380" s="154"/>
      <c r="O2380" s="6"/>
      <c r="S2380" s="6"/>
      <c r="V2380" s="6"/>
      <c r="X2380" s="6"/>
      <c r="Z2380" s="110"/>
      <c r="AB2380" s="6"/>
      <c r="AD2380" s="6"/>
      <c r="AE2380" s="6"/>
      <c r="AF2380" s="126"/>
      <c r="AJ2380" s="6"/>
      <c r="AL2380" s="110"/>
      <c r="AM2380" s="110"/>
      <c r="AN2380" s="110"/>
      <c r="AP2380" s="6"/>
      <c r="AW2380" s="6"/>
      <c r="AX2380" s="6"/>
      <c r="AZ2380" s="110"/>
      <c r="BB2380" s="6"/>
      <c r="BD2380" s="6"/>
      <c r="BE2380" s="6"/>
      <c r="BV2380" s="17"/>
      <c r="BX2380" s="17"/>
      <c r="BZ2380" s="17"/>
    </row>
    <row r="2381" spans="4:78" x14ac:dyDescent="0.3">
      <c r="D2381" s="153"/>
      <c r="E2381" s="6"/>
      <c r="G2381" s="6"/>
      <c r="J2381" s="6"/>
      <c r="N2381" s="154"/>
      <c r="O2381" s="6"/>
      <c r="S2381" s="6"/>
      <c r="V2381" s="6"/>
      <c r="X2381" s="6"/>
      <c r="Z2381" s="110"/>
      <c r="AB2381" s="6"/>
      <c r="AD2381" s="6"/>
      <c r="AE2381" s="6"/>
      <c r="AF2381" s="126"/>
      <c r="AJ2381" s="6"/>
      <c r="AL2381" s="110"/>
      <c r="AM2381" s="110"/>
      <c r="AN2381" s="110"/>
      <c r="AP2381" s="6"/>
      <c r="AW2381" s="6"/>
      <c r="AX2381" s="6"/>
      <c r="AZ2381" s="110"/>
      <c r="BB2381" s="6"/>
      <c r="BD2381" s="6"/>
      <c r="BE2381" s="6"/>
      <c r="BV2381" s="17"/>
      <c r="BX2381" s="17"/>
      <c r="BZ2381" s="17"/>
    </row>
    <row r="2382" spans="4:78" x14ac:dyDescent="0.3">
      <c r="D2382" s="153"/>
      <c r="E2382" s="6"/>
      <c r="G2382" s="6"/>
      <c r="J2382" s="6"/>
      <c r="N2382" s="154"/>
      <c r="O2382" s="6"/>
      <c r="S2382" s="6"/>
      <c r="V2382" s="6"/>
      <c r="X2382" s="6"/>
      <c r="Z2382" s="110"/>
      <c r="AB2382" s="6"/>
      <c r="AD2382" s="6"/>
      <c r="AE2382" s="6"/>
      <c r="AF2382" s="126"/>
      <c r="AJ2382" s="6"/>
      <c r="AL2382" s="110"/>
      <c r="AM2382" s="110"/>
      <c r="AN2382" s="110"/>
      <c r="AP2382" s="6"/>
      <c r="AW2382" s="6"/>
      <c r="AX2382" s="6"/>
      <c r="AZ2382" s="110"/>
      <c r="BB2382" s="6"/>
      <c r="BD2382" s="6"/>
      <c r="BE2382" s="6"/>
      <c r="BV2382" s="17"/>
      <c r="BX2382" s="17"/>
      <c r="BZ2382" s="17"/>
    </row>
    <row r="2383" spans="4:78" x14ac:dyDescent="0.3">
      <c r="D2383" s="153"/>
      <c r="E2383" s="6"/>
      <c r="G2383" s="6"/>
      <c r="J2383" s="6"/>
      <c r="N2383" s="154"/>
      <c r="O2383" s="6"/>
      <c r="S2383" s="6"/>
      <c r="V2383" s="6"/>
      <c r="X2383" s="6"/>
      <c r="Z2383" s="110"/>
      <c r="AB2383" s="6"/>
      <c r="AD2383" s="6"/>
      <c r="AE2383" s="6"/>
      <c r="AF2383" s="126"/>
      <c r="AJ2383" s="6"/>
      <c r="AL2383" s="110"/>
      <c r="AM2383" s="110"/>
      <c r="AN2383" s="110"/>
      <c r="AP2383" s="6"/>
      <c r="AW2383" s="6"/>
      <c r="AX2383" s="6"/>
      <c r="AZ2383" s="110"/>
      <c r="BB2383" s="6"/>
      <c r="BD2383" s="6"/>
      <c r="BE2383" s="6"/>
      <c r="BV2383" s="17"/>
      <c r="BX2383" s="17"/>
      <c r="BZ2383" s="17"/>
    </row>
    <row r="2384" spans="4:78" x14ac:dyDescent="0.3">
      <c r="D2384" s="153"/>
      <c r="E2384" s="6"/>
      <c r="G2384" s="6"/>
      <c r="J2384" s="6"/>
      <c r="N2384" s="154"/>
      <c r="O2384" s="6"/>
      <c r="S2384" s="6"/>
      <c r="V2384" s="6"/>
      <c r="X2384" s="6"/>
      <c r="Z2384" s="110"/>
      <c r="AB2384" s="6"/>
      <c r="AD2384" s="6"/>
      <c r="AE2384" s="6"/>
      <c r="AF2384" s="126"/>
      <c r="AJ2384" s="6"/>
      <c r="AL2384" s="110"/>
      <c r="AM2384" s="110"/>
      <c r="AN2384" s="110"/>
      <c r="AP2384" s="6"/>
      <c r="AW2384" s="6"/>
      <c r="AX2384" s="6"/>
      <c r="AZ2384" s="110"/>
      <c r="BB2384" s="6"/>
      <c r="BD2384" s="6"/>
      <c r="BE2384" s="6"/>
      <c r="BV2384" s="17"/>
      <c r="BX2384" s="17"/>
      <c r="BZ2384" s="17"/>
    </row>
    <row r="2385" spans="4:78" x14ac:dyDescent="0.3">
      <c r="D2385" s="153"/>
      <c r="E2385" s="6"/>
      <c r="G2385" s="6"/>
      <c r="J2385" s="6"/>
      <c r="N2385" s="154"/>
      <c r="O2385" s="6"/>
      <c r="S2385" s="6"/>
      <c r="V2385" s="6"/>
      <c r="X2385" s="6"/>
      <c r="Z2385" s="110"/>
      <c r="AB2385" s="6"/>
      <c r="AD2385" s="6"/>
      <c r="AE2385" s="6"/>
      <c r="AF2385" s="126"/>
      <c r="AJ2385" s="6"/>
      <c r="AL2385" s="110"/>
      <c r="AM2385" s="110"/>
      <c r="AN2385" s="110"/>
      <c r="AP2385" s="6"/>
      <c r="AW2385" s="6"/>
      <c r="AX2385" s="6"/>
      <c r="AZ2385" s="110"/>
      <c r="BB2385" s="6"/>
      <c r="BD2385" s="6"/>
      <c r="BE2385" s="6"/>
      <c r="BV2385" s="17"/>
      <c r="BX2385" s="17"/>
      <c r="BZ2385" s="17"/>
    </row>
    <row r="2386" spans="4:78" x14ac:dyDescent="0.3">
      <c r="D2386" s="153"/>
      <c r="E2386" s="6"/>
      <c r="G2386" s="6"/>
      <c r="J2386" s="6"/>
      <c r="N2386" s="154"/>
      <c r="O2386" s="6"/>
      <c r="S2386" s="6"/>
      <c r="V2386" s="6"/>
      <c r="X2386" s="6"/>
      <c r="Z2386" s="110"/>
      <c r="AB2386" s="6"/>
      <c r="AD2386" s="6"/>
      <c r="AE2386" s="6"/>
      <c r="AF2386" s="126"/>
      <c r="AJ2386" s="6"/>
      <c r="AL2386" s="110"/>
      <c r="AM2386" s="110"/>
      <c r="AN2386" s="110"/>
      <c r="AP2386" s="6"/>
      <c r="AW2386" s="6"/>
      <c r="AX2386" s="6"/>
      <c r="AZ2386" s="110"/>
      <c r="BB2386" s="6"/>
      <c r="BD2386" s="6"/>
      <c r="BE2386" s="6"/>
      <c r="BV2386" s="17"/>
      <c r="BX2386" s="17"/>
      <c r="BZ2386" s="17"/>
    </row>
    <row r="2387" spans="4:78" x14ac:dyDescent="0.3">
      <c r="D2387" s="153"/>
      <c r="E2387" s="6"/>
      <c r="G2387" s="6"/>
      <c r="J2387" s="6"/>
      <c r="N2387" s="154"/>
      <c r="O2387" s="6"/>
      <c r="S2387" s="6"/>
      <c r="V2387" s="6"/>
      <c r="X2387" s="6"/>
      <c r="Z2387" s="110"/>
      <c r="AB2387" s="6"/>
      <c r="AD2387" s="6"/>
      <c r="AE2387" s="6"/>
      <c r="AF2387" s="126"/>
      <c r="AJ2387" s="6"/>
      <c r="AL2387" s="110"/>
      <c r="AM2387" s="110"/>
      <c r="AN2387" s="110"/>
      <c r="AP2387" s="6"/>
      <c r="AW2387" s="6"/>
      <c r="AX2387" s="6"/>
      <c r="AZ2387" s="110"/>
      <c r="BB2387" s="6"/>
      <c r="BD2387" s="6"/>
      <c r="BE2387" s="6"/>
      <c r="BV2387" s="17"/>
      <c r="BX2387" s="17"/>
      <c r="BZ2387" s="17"/>
    </row>
    <row r="2388" spans="4:78" x14ac:dyDescent="0.3">
      <c r="D2388" s="153"/>
      <c r="E2388" s="6"/>
      <c r="G2388" s="6"/>
      <c r="J2388" s="6"/>
      <c r="N2388" s="154"/>
      <c r="O2388" s="6"/>
      <c r="S2388" s="6"/>
      <c r="V2388" s="6"/>
      <c r="X2388" s="6"/>
      <c r="Z2388" s="110"/>
      <c r="AB2388" s="6"/>
      <c r="AD2388" s="6"/>
      <c r="AE2388" s="6"/>
      <c r="AF2388" s="126"/>
      <c r="AJ2388" s="6"/>
      <c r="AL2388" s="110"/>
      <c r="AM2388" s="110"/>
      <c r="AN2388" s="110"/>
      <c r="AP2388" s="6"/>
      <c r="AW2388" s="6"/>
      <c r="AX2388" s="6"/>
      <c r="AZ2388" s="110"/>
      <c r="BB2388" s="6"/>
      <c r="BD2388" s="6"/>
      <c r="BE2388" s="6"/>
      <c r="BV2388" s="17"/>
      <c r="BX2388" s="17"/>
      <c r="BZ2388" s="17"/>
    </row>
    <row r="2389" spans="4:78" x14ac:dyDescent="0.3">
      <c r="D2389" s="153"/>
      <c r="E2389" s="6"/>
      <c r="G2389" s="6"/>
      <c r="J2389" s="6"/>
      <c r="N2389" s="154"/>
      <c r="O2389" s="6"/>
      <c r="S2389" s="6"/>
      <c r="V2389" s="6"/>
      <c r="X2389" s="6"/>
      <c r="Z2389" s="110"/>
      <c r="AB2389" s="6"/>
      <c r="AD2389" s="6"/>
      <c r="AE2389" s="6"/>
      <c r="AF2389" s="126"/>
      <c r="AJ2389" s="6"/>
      <c r="AL2389" s="110"/>
      <c r="AM2389" s="110"/>
      <c r="AN2389" s="110"/>
      <c r="AP2389" s="6"/>
      <c r="AW2389" s="6"/>
      <c r="AX2389" s="6"/>
      <c r="AZ2389" s="110"/>
      <c r="BB2389" s="6"/>
      <c r="BD2389" s="6"/>
      <c r="BE2389" s="6"/>
      <c r="BV2389" s="17"/>
      <c r="BX2389" s="17"/>
      <c r="BZ2389" s="17"/>
    </row>
    <row r="2390" spans="4:78" x14ac:dyDescent="0.3">
      <c r="D2390" s="153"/>
      <c r="E2390" s="6"/>
      <c r="G2390" s="6"/>
      <c r="J2390" s="6"/>
      <c r="N2390" s="154"/>
      <c r="O2390" s="6"/>
      <c r="S2390" s="6"/>
      <c r="V2390" s="6"/>
      <c r="X2390" s="6"/>
      <c r="Z2390" s="110"/>
      <c r="AB2390" s="6"/>
      <c r="AD2390" s="6"/>
      <c r="AE2390" s="6"/>
      <c r="AF2390" s="126"/>
      <c r="AJ2390" s="6"/>
      <c r="AL2390" s="110"/>
      <c r="AM2390" s="110"/>
      <c r="AN2390" s="110"/>
      <c r="AP2390" s="6"/>
      <c r="AW2390" s="6"/>
      <c r="AX2390" s="6"/>
      <c r="AZ2390" s="110"/>
      <c r="BB2390" s="6"/>
      <c r="BD2390" s="6"/>
      <c r="BE2390" s="6"/>
      <c r="BV2390" s="17"/>
      <c r="BX2390" s="17"/>
      <c r="BZ2390" s="17"/>
    </row>
    <row r="2391" spans="4:78" x14ac:dyDescent="0.3">
      <c r="D2391" s="153"/>
      <c r="E2391" s="6"/>
      <c r="G2391" s="6"/>
      <c r="J2391" s="6"/>
      <c r="N2391" s="154"/>
      <c r="O2391" s="6"/>
      <c r="S2391" s="6"/>
      <c r="V2391" s="6"/>
      <c r="X2391" s="6"/>
      <c r="Z2391" s="110"/>
      <c r="AB2391" s="6"/>
      <c r="AD2391" s="6"/>
      <c r="AE2391" s="6"/>
      <c r="AF2391" s="126"/>
      <c r="AJ2391" s="6"/>
      <c r="AL2391" s="110"/>
      <c r="AM2391" s="110"/>
      <c r="AN2391" s="110"/>
      <c r="AP2391" s="6"/>
      <c r="AW2391" s="6"/>
      <c r="AX2391" s="6"/>
      <c r="AZ2391" s="110"/>
      <c r="BB2391" s="6"/>
      <c r="BD2391" s="6"/>
      <c r="BE2391" s="6"/>
      <c r="BV2391" s="17"/>
      <c r="BX2391" s="17"/>
      <c r="BZ2391" s="17"/>
    </row>
    <row r="2392" spans="4:78" x14ac:dyDescent="0.3">
      <c r="D2392" s="153"/>
      <c r="E2392" s="6"/>
      <c r="G2392" s="6"/>
      <c r="J2392" s="6"/>
      <c r="N2392" s="154"/>
      <c r="O2392" s="6"/>
      <c r="S2392" s="6"/>
      <c r="V2392" s="6"/>
      <c r="X2392" s="6"/>
      <c r="Z2392" s="110"/>
      <c r="AB2392" s="6"/>
      <c r="AD2392" s="6"/>
      <c r="AE2392" s="6"/>
      <c r="AF2392" s="126"/>
      <c r="AJ2392" s="6"/>
      <c r="AL2392" s="110"/>
      <c r="AM2392" s="110"/>
      <c r="AN2392" s="110"/>
      <c r="AP2392" s="6"/>
      <c r="AW2392" s="6"/>
      <c r="AX2392" s="6"/>
      <c r="AZ2392" s="110"/>
      <c r="BB2392" s="6"/>
      <c r="BD2392" s="6"/>
      <c r="BE2392" s="6"/>
      <c r="BV2392" s="17"/>
      <c r="BX2392" s="17"/>
      <c r="BZ2392" s="17"/>
    </row>
    <row r="2393" spans="4:78" x14ac:dyDescent="0.3">
      <c r="D2393" s="153"/>
      <c r="E2393" s="6"/>
      <c r="G2393" s="6"/>
      <c r="J2393" s="6"/>
      <c r="N2393" s="154"/>
      <c r="O2393" s="6"/>
      <c r="S2393" s="6"/>
      <c r="V2393" s="6"/>
      <c r="X2393" s="6"/>
      <c r="Z2393" s="110"/>
      <c r="AB2393" s="6"/>
      <c r="AD2393" s="6"/>
      <c r="AE2393" s="6"/>
      <c r="AF2393" s="126"/>
      <c r="AJ2393" s="6"/>
      <c r="AL2393" s="110"/>
      <c r="AM2393" s="110"/>
      <c r="AN2393" s="110"/>
      <c r="AP2393" s="6"/>
      <c r="AW2393" s="6"/>
      <c r="AX2393" s="6"/>
      <c r="AZ2393" s="110"/>
      <c r="BB2393" s="6"/>
      <c r="BD2393" s="6"/>
      <c r="BE2393" s="6"/>
      <c r="BV2393" s="17"/>
      <c r="BX2393" s="17"/>
      <c r="BZ2393" s="17"/>
    </row>
    <row r="2394" spans="4:78" x14ac:dyDescent="0.3">
      <c r="D2394" s="153"/>
      <c r="E2394" s="6"/>
      <c r="G2394" s="6"/>
      <c r="J2394" s="6"/>
      <c r="N2394" s="154"/>
      <c r="O2394" s="6"/>
      <c r="S2394" s="6"/>
      <c r="V2394" s="6"/>
      <c r="X2394" s="6"/>
      <c r="Z2394" s="110"/>
      <c r="AB2394" s="6"/>
      <c r="AD2394" s="6"/>
      <c r="AE2394" s="6"/>
      <c r="AF2394" s="126"/>
      <c r="AJ2394" s="6"/>
      <c r="AL2394" s="110"/>
      <c r="AM2394" s="110"/>
      <c r="AN2394" s="110"/>
      <c r="AP2394" s="6"/>
      <c r="AW2394" s="6"/>
      <c r="AX2394" s="6"/>
      <c r="AZ2394" s="110"/>
      <c r="BB2394" s="6"/>
      <c r="BD2394" s="6"/>
      <c r="BE2394" s="6"/>
      <c r="BV2394" s="17"/>
      <c r="BX2394" s="17"/>
      <c r="BZ2394" s="17"/>
    </row>
    <row r="2395" spans="4:78" x14ac:dyDescent="0.3">
      <c r="D2395" s="153"/>
      <c r="E2395" s="6"/>
      <c r="G2395" s="6"/>
      <c r="J2395" s="6"/>
      <c r="N2395" s="154"/>
      <c r="O2395" s="6"/>
      <c r="S2395" s="6"/>
      <c r="V2395" s="6"/>
      <c r="X2395" s="6"/>
      <c r="Z2395" s="110"/>
      <c r="AB2395" s="6"/>
      <c r="AD2395" s="6"/>
      <c r="AE2395" s="6"/>
      <c r="AF2395" s="126"/>
      <c r="AJ2395" s="6"/>
      <c r="AL2395" s="110"/>
      <c r="AM2395" s="110"/>
      <c r="AN2395" s="110"/>
      <c r="AP2395" s="6"/>
      <c r="AW2395" s="6"/>
      <c r="AX2395" s="6"/>
      <c r="AZ2395" s="110"/>
      <c r="BB2395" s="6"/>
      <c r="BD2395" s="6"/>
      <c r="BE2395" s="6"/>
      <c r="BV2395" s="17"/>
      <c r="BX2395" s="17"/>
      <c r="BZ2395" s="17"/>
    </row>
    <row r="2396" spans="4:78" x14ac:dyDescent="0.3">
      <c r="D2396" s="153"/>
      <c r="E2396" s="6"/>
      <c r="G2396" s="6"/>
      <c r="J2396" s="6"/>
      <c r="N2396" s="154"/>
      <c r="O2396" s="6"/>
      <c r="S2396" s="6"/>
      <c r="V2396" s="6"/>
      <c r="X2396" s="6"/>
      <c r="Z2396" s="110"/>
      <c r="AB2396" s="6"/>
      <c r="AD2396" s="6"/>
      <c r="AE2396" s="6"/>
      <c r="AF2396" s="126"/>
      <c r="AJ2396" s="6"/>
      <c r="AL2396" s="110"/>
      <c r="AM2396" s="110"/>
      <c r="AN2396" s="110"/>
      <c r="AP2396" s="6"/>
      <c r="AW2396" s="6"/>
      <c r="AX2396" s="6"/>
      <c r="AZ2396" s="110"/>
      <c r="BB2396" s="6"/>
      <c r="BD2396" s="6"/>
      <c r="BE2396" s="6"/>
      <c r="BV2396" s="17"/>
      <c r="BX2396" s="17"/>
      <c r="BZ2396" s="17"/>
    </row>
    <row r="2397" spans="4:78" x14ac:dyDescent="0.3">
      <c r="D2397" s="153"/>
      <c r="E2397" s="6"/>
      <c r="G2397" s="6"/>
      <c r="J2397" s="6"/>
      <c r="N2397" s="154"/>
      <c r="O2397" s="6"/>
      <c r="S2397" s="6"/>
      <c r="V2397" s="6"/>
      <c r="X2397" s="6"/>
      <c r="Z2397" s="110"/>
      <c r="AB2397" s="6"/>
      <c r="AD2397" s="6"/>
      <c r="AE2397" s="6"/>
      <c r="AF2397" s="126"/>
      <c r="AJ2397" s="6"/>
      <c r="AL2397" s="110"/>
      <c r="AM2397" s="110"/>
      <c r="AN2397" s="110"/>
      <c r="AP2397" s="6"/>
      <c r="AW2397" s="6"/>
      <c r="AX2397" s="6"/>
      <c r="AZ2397" s="110"/>
      <c r="BB2397" s="6"/>
      <c r="BD2397" s="6"/>
      <c r="BE2397" s="6"/>
      <c r="BV2397" s="17"/>
      <c r="BX2397" s="17"/>
      <c r="BZ2397" s="17"/>
    </row>
    <row r="2398" spans="4:78" x14ac:dyDescent="0.3">
      <c r="D2398" s="153"/>
      <c r="E2398" s="6"/>
      <c r="G2398" s="6"/>
      <c r="J2398" s="6"/>
      <c r="N2398" s="154"/>
      <c r="O2398" s="6"/>
      <c r="S2398" s="6"/>
      <c r="V2398" s="6"/>
      <c r="X2398" s="6"/>
      <c r="Z2398" s="110"/>
      <c r="AB2398" s="6"/>
      <c r="AD2398" s="6"/>
      <c r="AE2398" s="6"/>
      <c r="AF2398" s="126"/>
      <c r="AJ2398" s="6"/>
      <c r="AL2398" s="110"/>
      <c r="AM2398" s="110"/>
      <c r="AN2398" s="110"/>
      <c r="AP2398" s="6"/>
      <c r="AW2398" s="6"/>
      <c r="AX2398" s="6"/>
      <c r="AZ2398" s="110"/>
      <c r="BB2398" s="6"/>
      <c r="BD2398" s="6"/>
      <c r="BE2398" s="6"/>
      <c r="BV2398" s="17"/>
      <c r="BX2398" s="17"/>
      <c r="BZ2398" s="17"/>
    </row>
    <row r="2399" spans="4:78" x14ac:dyDescent="0.3">
      <c r="D2399" s="153"/>
      <c r="E2399" s="6"/>
      <c r="G2399" s="6"/>
      <c r="J2399" s="6"/>
      <c r="N2399" s="154"/>
      <c r="O2399" s="6"/>
      <c r="S2399" s="6"/>
      <c r="V2399" s="6"/>
      <c r="X2399" s="6"/>
      <c r="Z2399" s="110"/>
      <c r="AB2399" s="6"/>
      <c r="AD2399" s="6"/>
      <c r="AE2399" s="6"/>
      <c r="AF2399" s="126"/>
      <c r="AJ2399" s="6"/>
      <c r="AL2399" s="110"/>
      <c r="AM2399" s="110"/>
      <c r="AN2399" s="110"/>
      <c r="AP2399" s="6"/>
      <c r="AW2399" s="6"/>
      <c r="AX2399" s="6"/>
      <c r="AZ2399" s="110"/>
      <c r="BB2399" s="6"/>
      <c r="BD2399" s="6"/>
      <c r="BE2399" s="6"/>
      <c r="BV2399" s="17"/>
      <c r="BX2399" s="17"/>
      <c r="BZ2399" s="17"/>
    </row>
    <row r="2400" spans="4:78" x14ac:dyDescent="0.3">
      <c r="D2400" s="153"/>
      <c r="E2400" s="6"/>
      <c r="G2400" s="6"/>
      <c r="J2400" s="6"/>
      <c r="N2400" s="154"/>
      <c r="O2400" s="6"/>
      <c r="S2400" s="6"/>
      <c r="V2400" s="6"/>
      <c r="X2400" s="6"/>
      <c r="Z2400" s="110"/>
      <c r="AB2400" s="6"/>
      <c r="AD2400" s="6"/>
      <c r="AE2400" s="6"/>
      <c r="AF2400" s="126"/>
      <c r="AJ2400" s="6"/>
      <c r="AL2400" s="110"/>
      <c r="AM2400" s="110"/>
      <c r="AN2400" s="110"/>
      <c r="AP2400" s="6"/>
      <c r="AW2400" s="6"/>
      <c r="AX2400" s="6"/>
      <c r="AZ2400" s="110"/>
      <c r="BB2400" s="6"/>
      <c r="BD2400" s="6"/>
      <c r="BE2400" s="6"/>
      <c r="BV2400" s="17"/>
      <c r="BX2400" s="17"/>
      <c r="BZ2400" s="17"/>
    </row>
    <row r="2401" spans="4:78" x14ac:dyDescent="0.3">
      <c r="D2401" s="153"/>
      <c r="E2401" s="6"/>
      <c r="G2401" s="6"/>
      <c r="J2401" s="6"/>
      <c r="N2401" s="154"/>
      <c r="O2401" s="6"/>
      <c r="S2401" s="6"/>
      <c r="V2401" s="6"/>
      <c r="X2401" s="6"/>
      <c r="Z2401" s="110"/>
      <c r="AB2401" s="6"/>
      <c r="AD2401" s="6"/>
      <c r="AE2401" s="6"/>
      <c r="AF2401" s="126"/>
      <c r="AJ2401" s="6"/>
      <c r="AL2401" s="110"/>
      <c r="AM2401" s="110"/>
      <c r="AN2401" s="110"/>
      <c r="AP2401" s="6"/>
      <c r="AW2401" s="6"/>
      <c r="AX2401" s="6"/>
      <c r="AZ2401" s="110"/>
      <c r="BB2401" s="6"/>
      <c r="BD2401" s="6"/>
      <c r="BE2401" s="6"/>
      <c r="BV2401" s="17"/>
      <c r="BX2401" s="17"/>
      <c r="BZ2401" s="17"/>
    </row>
    <row r="2402" spans="4:78" x14ac:dyDescent="0.3">
      <c r="D2402" s="153"/>
      <c r="E2402" s="6"/>
      <c r="G2402" s="6"/>
      <c r="J2402" s="6"/>
      <c r="N2402" s="154"/>
      <c r="O2402" s="6"/>
      <c r="S2402" s="6"/>
      <c r="V2402" s="6"/>
      <c r="X2402" s="6"/>
      <c r="Z2402" s="110"/>
      <c r="AB2402" s="6"/>
      <c r="AD2402" s="6"/>
      <c r="AE2402" s="6"/>
      <c r="AF2402" s="126"/>
      <c r="AJ2402" s="6"/>
      <c r="AL2402" s="110"/>
      <c r="AM2402" s="110"/>
      <c r="AN2402" s="110"/>
      <c r="AP2402" s="6"/>
      <c r="AW2402" s="6"/>
      <c r="AX2402" s="6"/>
      <c r="AZ2402" s="110"/>
      <c r="BB2402" s="6"/>
      <c r="BD2402" s="6"/>
      <c r="BE2402" s="6"/>
      <c r="BV2402" s="17"/>
      <c r="BX2402" s="17"/>
      <c r="BZ2402" s="17"/>
    </row>
    <row r="2403" spans="4:78" x14ac:dyDescent="0.3">
      <c r="D2403" s="153"/>
      <c r="E2403" s="6"/>
      <c r="G2403" s="6"/>
      <c r="J2403" s="6"/>
      <c r="N2403" s="154"/>
      <c r="O2403" s="6"/>
      <c r="S2403" s="6"/>
      <c r="V2403" s="6"/>
      <c r="X2403" s="6"/>
      <c r="Z2403" s="110"/>
      <c r="AB2403" s="6"/>
      <c r="AD2403" s="6"/>
      <c r="AE2403" s="6"/>
      <c r="AF2403" s="126"/>
      <c r="AJ2403" s="6"/>
      <c r="AL2403" s="110"/>
      <c r="AM2403" s="110"/>
      <c r="AN2403" s="110"/>
      <c r="AP2403" s="6"/>
      <c r="AW2403" s="6"/>
      <c r="AX2403" s="6"/>
      <c r="AZ2403" s="110"/>
      <c r="BB2403" s="6"/>
      <c r="BD2403" s="6"/>
      <c r="BE2403" s="6"/>
      <c r="BV2403" s="17"/>
      <c r="BX2403" s="17"/>
      <c r="BZ2403" s="17"/>
    </row>
    <row r="2404" spans="4:78" x14ac:dyDescent="0.3">
      <c r="D2404" s="153"/>
      <c r="E2404" s="6"/>
      <c r="G2404" s="6"/>
      <c r="J2404" s="6"/>
      <c r="N2404" s="154"/>
      <c r="O2404" s="6"/>
      <c r="S2404" s="6"/>
      <c r="V2404" s="6"/>
      <c r="X2404" s="6"/>
      <c r="Z2404" s="110"/>
      <c r="AB2404" s="6"/>
      <c r="AD2404" s="6"/>
      <c r="AE2404" s="6"/>
      <c r="AF2404" s="126"/>
      <c r="AJ2404" s="6"/>
      <c r="AL2404" s="110"/>
      <c r="AM2404" s="110"/>
      <c r="AN2404" s="110"/>
      <c r="AP2404" s="6"/>
      <c r="AW2404" s="6"/>
      <c r="AX2404" s="6"/>
      <c r="AZ2404" s="110"/>
      <c r="BB2404" s="6"/>
      <c r="BD2404" s="6"/>
      <c r="BE2404" s="6"/>
      <c r="BV2404" s="17"/>
      <c r="BX2404" s="17"/>
      <c r="BZ2404" s="17"/>
    </row>
    <row r="2405" spans="4:78" x14ac:dyDescent="0.3">
      <c r="D2405" s="153"/>
      <c r="E2405" s="6"/>
      <c r="G2405" s="6"/>
      <c r="J2405" s="6"/>
      <c r="N2405" s="154"/>
      <c r="O2405" s="6"/>
      <c r="S2405" s="6"/>
      <c r="V2405" s="6"/>
      <c r="X2405" s="6"/>
      <c r="Z2405" s="110"/>
      <c r="AB2405" s="6"/>
      <c r="AD2405" s="6"/>
      <c r="AE2405" s="6"/>
      <c r="AF2405" s="126"/>
      <c r="AJ2405" s="6"/>
      <c r="AL2405" s="110"/>
      <c r="AM2405" s="110"/>
      <c r="AN2405" s="110"/>
      <c r="AP2405" s="6"/>
      <c r="AW2405" s="6"/>
      <c r="AX2405" s="6"/>
      <c r="AZ2405" s="110"/>
      <c r="BB2405" s="6"/>
      <c r="BD2405" s="6"/>
      <c r="BE2405" s="6"/>
      <c r="BV2405" s="17"/>
      <c r="BX2405" s="17"/>
      <c r="BZ2405" s="17"/>
    </row>
    <row r="2406" spans="4:78" x14ac:dyDescent="0.3">
      <c r="D2406" s="153"/>
      <c r="E2406" s="6"/>
      <c r="G2406" s="6"/>
      <c r="J2406" s="6"/>
      <c r="N2406" s="154"/>
      <c r="O2406" s="6"/>
      <c r="S2406" s="6"/>
      <c r="V2406" s="6"/>
      <c r="X2406" s="6"/>
      <c r="Z2406" s="110"/>
      <c r="AB2406" s="6"/>
      <c r="AD2406" s="6"/>
      <c r="AE2406" s="6"/>
      <c r="AF2406" s="126"/>
      <c r="AJ2406" s="6"/>
      <c r="AL2406" s="110"/>
      <c r="AM2406" s="110"/>
      <c r="AN2406" s="110"/>
      <c r="AP2406" s="6"/>
      <c r="AW2406" s="6"/>
      <c r="AX2406" s="6"/>
      <c r="AZ2406" s="110"/>
      <c r="BB2406" s="6"/>
      <c r="BD2406" s="6"/>
      <c r="BE2406" s="6"/>
      <c r="BV2406" s="17"/>
      <c r="BX2406" s="17"/>
      <c r="BZ2406" s="17"/>
    </row>
    <row r="2407" spans="4:78" x14ac:dyDescent="0.3">
      <c r="D2407" s="153"/>
      <c r="E2407" s="6"/>
      <c r="G2407" s="6"/>
      <c r="J2407" s="6"/>
      <c r="N2407" s="154"/>
      <c r="O2407" s="6"/>
      <c r="S2407" s="6"/>
      <c r="V2407" s="6"/>
      <c r="X2407" s="6"/>
      <c r="Z2407" s="110"/>
      <c r="AB2407" s="6"/>
      <c r="AD2407" s="6"/>
      <c r="AE2407" s="6"/>
      <c r="AF2407" s="126"/>
      <c r="AJ2407" s="6"/>
      <c r="AL2407" s="110"/>
      <c r="AM2407" s="110"/>
      <c r="AN2407" s="110"/>
      <c r="AP2407" s="6"/>
      <c r="AW2407" s="6"/>
      <c r="AX2407" s="6"/>
      <c r="AZ2407" s="110"/>
      <c r="BB2407" s="6"/>
      <c r="BD2407" s="6"/>
      <c r="BE2407" s="6"/>
      <c r="BV2407" s="17"/>
      <c r="BX2407" s="17"/>
      <c r="BZ2407" s="17"/>
    </row>
    <row r="2408" spans="4:78" x14ac:dyDescent="0.3">
      <c r="D2408" s="153"/>
      <c r="E2408" s="6"/>
      <c r="G2408" s="6"/>
      <c r="J2408" s="6"/>
      <c r="N2408" s="154"/>
      <c r="O2408" s="6"/>
      <c r="S2408" s="6"/>
      <c r="V2408" s="6"/>
      <c r="X2408" s="6"/>
      <c r="Z2408" s="110"/>
      <c r="AB2408" s="6"/>
      <c r="AD2408" s="6"/>
      <c r="AE2408" s="6"/>
      <c r="AF2408" s="126"/>
      <c r="AJ2408" s="6"/>
      <c r="AL2408" s="110"/>
      <c r="AM2408" s="110"/>
      <c r="AN2408" s="110"/>
      <c r="AP2408" s="6"/>
      <c r="AW2408" s="6"/>
      <c r="AX2408" s="6"/>
      <c r="AZ2408" s="110"/>
      <c r="BB2408" s="6"/>
      <c r="BD2408" s="6"/>
      <c r="BE2408" s="6"/>
      <c r="BV2408" s="17"/>
      <c r="BX2408" s="17"/>
      <c r="BZ2408" s="17"/>
    </row>
    <row r="2409" spans="4:78" x14ac:dyDescent="0.3">
      <c r="D2409" s="153"/>
      <c r="E2409" s="6"/>
      <c r="G2409" s="6"/>
      <c r="J2409" s="6"/>
      <c r="N2409" s="154"/>
      <c r="O2409" s="6"/>
      <c r="S2409" s="6"/>
      <c r="V2409" s="6"/>
      <c r="X2409" s="6"/>
      <c r="Z2409" s="110"/>
      <c r="AB2409" s="6"/>
      <c r="AD2409" s="6"/>
      <c r="AE2409" s="6"/>
      <c r="AF2409" s="126"/>
      <c r="AJ2409" s="6"/>
      <c r="AL2409" s="110"/>
      <c r="AM2409" s="110"/>
      <c r="AN2409" s="110"/>
      <c r="AP2409" s="6"/>
      <c r="AW2409" s="6"/>
      <c r="AX2409" s="6"/>
      <c r="AZ2409" s="110"/>
      <c r="BB2409" s="6"/>
      <c r="BD2409" s="6"/>
      <c r="BE2409" s="6"/>
      <c r="BV2409" s="17"/>
      <c r="BX2409" s="17"/>
      <c r="BZ2409" s="17"/>
    </row>
    <row r="2410" spans="4:78" x14ac:dyDescent="0.3">
      <c r="D2410" s="153"/>
      <c r="E2410" s="6"/>
      <c r="G2410" s="6"/>
      <c r="J2410" s="6"/>
      <c r="N2410" s="154"/>
      <c r="O2410" s="6"/>
      <c r="S2410" s="6"/>
      <c r="V2410" s="6"/>
      <c r="X2410" s="6"/>
      <c r="Z2410" s="110"/>
      <c r="AB2410" s="6"/>
      <c r="AD2410" s="6"/>
      <c r="AE2410" s="6"/>
      <c r="AF2410" s="126"/>
      <c r="AJ2410" s="6"/>
      <c r="AL2410" s="110"/>
      <c r="AM2410" s="110"/>
      <c r="AN2410" s="110"/>
      <c r="AP2410" s="6"/>
      <c r="AW2410" s="6"/>
      <c r="AX2410" s="6"/>
      <c r="AZ2410" s="110"/>
      <c r="BB2410" s="6"/>
      <c r="BD2410" s="6"/>
      <c r="BE2410" s="6"/>
      <c r="BV2410" s="17"/>
      <c r="BX2410" s="17"/>
      <c r="BZ2410" s="17"/>
    </row>
    <row r="2411" spans="4:78" x14ac:dyDescent="0.3">
      <c r="D2411" s="153"/>
      <c r="E2411" s="6"/>
      <c r="G2411" s="6"/>
      <c r="J2411" s="6"/>
      <c r="N2411" s="154"/>
      <c r="O2411" s="6"/>
      <c r="S2411" s="6"/>
      <c r="V2411" s="6"/>
      <c r="X2411" s="6"/>
      <c r="Z2411" s="110"/>
      <c r="AB2411" s="6"/>
      <c r="AD2411" s="6"/>
      <c r="AE2411" s="6"/>
      <c r="AF2411" s="126"/>
      <c r="AJ2411" s="6"/>
      <c r="AL2411" s="110"/>
      <c r="AM2411" s="110"/>
      <c r="AN2411" s="110"/>
      <c r="AP2411" s="6"/>
      <c r="AW2411" s="6"/>
      <c r="AX2411" s="6"/>
      <c r="AZ2411" s="110"/>
      <c r="BB2411" s="6"/>
      <c r="BD2411" s="6"/>
      <c r="BE2411" s="6"/>
      <c r="BV2411" s="17"/>
      <c r="BX2411" s="17"/>
      <c r="BZ2411" s="17"/>
    </row>
    <row r="2412" spans="4:78" x14ac:dyDescent="0.3">
      <c r="D2412" s="153"/>
      <c r="E2412" s="6"/>
      <c r="G2412" s="6"/>
      <c r="J2412" s="6"/>
      <c r="N2412" s="154"/>
      <c r="O2412" s="6"/>
      <c r="S2412" s="6"/>
      <c r="V2412" s="6"/>
      <c r="X2412" s="6"/>
      <c r="Z2412" s="110"/>
      <c r="AB2412" s="6"/>
      <c r="AD2412" s="6"/>
      <c r="AE2412" s="6"/>
      <c r="AF2412" s="126"/>
      <c r="AJ2412" s="6"/>
      <c r="AL2412" s="110"/>
      <c r="AM2412" s="110"/>
      <c r="AN2412" s="110"/>
      <c r="AP2412" s="6"/>
      <c r="AW2412" s="6"/>
      <c r="AX2412" s="6"/>
      <c r="AZ2412" s="110"/>
      <c r="BB2412" s="6"/>
      <c r="BD2412" s="6"/>
      <c r="BE2412" s="6"/>
      <c r="BV2412" s="17"/>
      <c r="BX2412" s="17"/>
      <c r="BZ2412" s="17"/>
    </row>
    <row r="2413" spans="4:78" x14ac:dyDescent="0.3">
      <c r="D2413" s="153"/>
      <c r="E2413" s="6"/>
      <c r="G2413" s="6"/>
      <c r="J2413" s="6"/>
      <c r="N2413" s="154"/>
      <c r="O2413" s="6"/>
      <c r="S2413" s="6"/>
      <c r="V2413" s="6"/>
      <c r="X2413" s="6"/>
      <c r="Z2413" s="110"/>
      <c r="AB2413" s="6"/>
      <c r="AD2413" s="6"/>
      <c r="AE2413" s="6"/>
      <c r="AF2413" s="126"/>
      <c r="AJ2413" s="6"/>
      <c r="AL2413" s="110"/>
      <c r="AM2413" s="110"/>
      <c r="AN2413" s="110"/>
      <c r="AP2413" s="6"/>
      <c r="AW2413" s="6"/>
      <c r="AX2413" s="6"/>
      <c r="AZ2413" s="110"/>
      <c r="BB2413" s="6"/>
      <c r="BD2413" s="6"/>
      <c r="BE2413" s="6"/>
      <c r="BV2413" s="17"/>
      <c r="BX2413" s="17"/>
      <c r="BZ2413" s="17"/>
    </row>
    <row r="2414" spans="4:78" x14ac:dyDescent="0.3">
      <c r="D2414" s="153"/>
      <c r="E2414" s="6"/>
      <c r="G2414" s="6"/>
      <c r="J2414" s="6"/>
      <c r="N2414" s="154"/>
      <c r="O2414" s="6"/>
      <c r="S2414" s="6"/>
      <c r="V2414" s="6"/>
      <c r="X2414" s="6"/>
      <c r="Z2414" s="110"/>
      <c r="AB2414" s="6"/>
      <c r="AD2414" s="6"/>
      <c r="AE2414" s="6"/>
      <c r="AF2414" s="126"/>
      <c r="AJ2414" s="6"/>
      <c r="AL2414" s="110"/>
      <c r="AM2414" s="110"/>
      <c r="AN2414" s="110"/>
      <c r="AP2414" s="6"/>
      <c r="AW2414" s="6"/>
      <c r="AX2414" s="6"/>
      <c r="AZ2414" s="110"/>
      <c r="BB2414" s="6"/>
      <c r="BD2414" s="6"/>
      <c r="BE2414" s="6"/>
      <c r="BV2414" s="17"/>
      <c r="BX2414" s="17"/>
      <c r="BZ2414" s="17"/>
    </row>
    <row r="2415" spans="4:78" x14ac:dyDescent="0.3">
      <c r="D2415" s="153"/>
      <c r="E2415" s="6"/>
      <c r="G2415" s="6"/>
      <c r="J2415" s="6"/>
      <c r="N2415" s="154"/>
      <c r="O2415" s="6"/>
      <c r="S2415" s="6"/>
      <c r="V2415" s="6"/>
      <c r="X2415" s="6"/>
      <c r="Z2415" s="110"/>
      <c r="AB2415" s="6"/>
      <c r="AD2415" s="6"/>
      <c r="AE2415" s="6"/>
      <c r="AF2415" s="126"/>
      <c r="AJ2415" s="6"/>
      <c r="AL2415" s="110"/>
      <c r="AM2415" s="110"/>
      <c r="AN2415" s="110"/>
      <c r="AP2415" s="6"/>
      <c r="AW2415" s="6"/>
      <c r="AX2415" s="6"/>
      <c r="AZ2415" s="110"/>
      <c r="BB2415" s="6"/>
      <c r="BD2415" s="6"/>
      <c r="BE2415" s="6"/>
      <c r="BV2415" s="17"/>
      <c r="BX2415" s="17"/>
      <c r="BZ2415" s="17"/>
    </row>
    <row r="2416" spans="4:78" x14ac:dyDescent="0.3">
      <c r="D2416" s="153"/>
      <c r="E2416" s="6"/>
      <c r="G2416" s="6"/>
      <c r="J2416" s="6"/>
      <c r="N2416" s="154"/>
      <c r="O2416" s="6"/>
      <c r="S2416" s="6"/>
      <c r="V2416" s="6"/>
      <c r="X2416" s="6"/>
      <c r="Z2416" s="110"/>
      <c r="AB2416" s="6"/>
      <c r="AD2416" s="6"/>
      <c r="AE2416" s="6"/>
      <c r="AF2416" s="126"/>
      <c r="AJ2416" s="6"/>
      <c r="AL2416" s="110"/>
      <c r="AM2416" s="110"/>
      <c r="AN2416" s="110"/>
      <c r="AP2416" s="6"/>
      <c r="AW2416" s="6"/>
      <c r="AX2416" s="6"/>
      <c r="AZ2416" s="110"/>
      <c r="BB2416" s="6"/>
      <c r="BD2416" s="6"/>
      <c r="BE2416" s="6"/>
      <c r="BV2416" s="17"/>
      <c r="BX2416" s="17"/>
      <c r="BZ2416" s="17"/>
    </row>
    <row r="2417" spans="4:78" x14ac:dyDescent="0.3">
      <c r="D2417" s="153"/>
      <c r="E2417" s="6"/>
      <c r="G2417" s="6"/>
      <c r="J2417" s="6"/>
      <c r="N2417" s="154"/>
      <c r="O2417" s="6"/>
      <c r="S2417" s="6"/>
      <c r="V2417" s="6"/>
      <c r="X2417" s="6"/>
      <c r="Z2417" s="110"/>
      <c r="AB2417" s="6"/>
      <c r="AD2417" s="6"/>
      <c r="AE2417" s="6"/>
      <c r="AF2417" s="126"/>
      <c r="AJ2417" s="6"/>
      <c r="AL2417" s="110"/>
      <c r="AM2417" s="110"/>
      <c r="AN2417" s="110"/>
      <c r="AP2417" s="6"/>
      <c r="AW2417" s="6"/>
      <c r="AX2417" s="6"/>
      <c r="AZ2417" s="110"/>
      <c r="BB2417" s="6"/>
      <c r="BD2417" s="6"/>
      <c r="BE2417" s="6"/>
      <c r="BV2417" s="17"/>
      <c r="BX2417" s="17"/>
      <c r="BZ2417" s="17"/>
    </row>
    <row r="2418" spans="4:78" x14ac:dyDescent="0.3">
      <c r="D2418" s="153"/>
      <c r="E2418" s="6"/>
      <c r="G2418" s="6"/>
      <c r="J2418" s="6"/>
      <c r="N2418" s="154"/>
      <c r="O2418" s="6"/>
      <c r="S2418" s="6"/>
      <c r="V2418" s="6"/>
      <c r="X2418" s="6"/>
      <c r="Z2418" s="110"/>
      <c r="AB2418" s="6"/>
      <c r="AD2418" s="6"/>
      <c r="AE2418" s="6"/>
      <c r="AF2418" s="126"/>
      <c r="AJ2418" s="6"/>
      <c r="AL2418" s="110"/>
      <c r="AM2418" s="110"/>
      <c r="AN2418" s="110"/>
      <c r="AP2418" s="6"/>
      <c r="AW2418" s="6"/>
      <c r="AX2418" s="6"/>
      <c r="AZ2418" s="110"/>
      <c r="BB2418" s="6"/>
      <c r="BD2418" s="6"/>
      <c r="BE2418" s="6"/>
      <c r="BV2418" s="17"/>
      <c r="BX2418" s="17"/>
      <c r="BZ2418" s="17"/>
    </row>
    <row r="2419" spans="4:78" x14ac:dyDescent="0.3">
      <c r="D2419" s="153"/>
      <c r="E2419" s="6"/>
      <c r="G2419" s="6"/>
      <c r="J2419" s="6"/>
      <c r="N2419" s="154"/>
      <c r="O2419" s="6"/>
      <c r="S2419" s="6"/>
      <c r="V2419" s="6"/>
      <c r="X2419" s="6"/>
      <c r="Z2419" s="110"/>
      <c r="AB2419" s="6"/>
      <c r="AD2419" s="6"/>
      <c r="AE2419" s="6"/>
      <c r="AF2419" s="126"/>
      <c r="AJ2419" s="6"/>
      <c r="AL2419" s="110"/>
      <c r="AM2419" s="110"/>
      <c r="AN2419" s="110"/>
      <c r="AP2419" s="6"/>
      <c r="AW2419" s="6"/>
      <c r="AX2419" s="6"/>
      <c r="AZ2419" s="110"/>
      <c r="BB2419" s="6"/>
      <c r="BD2419" s="6"/>
      <c r="BE2419" s="6"/>
      <c r="BV2419" s="17"/>
      <c r="BX2419" s="17"/>
      <c r="BZ2419" s="17"/>
    </row>
    <row r="2420" spans="4:78" x14ac:dyDescent="0.3">
      <c r="D2420" s="153"/>
      <c r="E2420" s="6"/>
      <c r="G2420" s="6"/>
      <c r="J2420" s="6"/>
      <c r="N2420" s="154"/>
      <c r="O2420" s="6"/>
      <c r="S2420" s="6"/>
      <c r="V2420" s="6"/>
      <c r="X2420" s="6"/>
      <c r="Z2420" s="110"/>
      <c r="AB2420" s="6"/>
      <c r="AD2420" s="6"/>
      <c r="AE2420" s="6"/>
      <c r="AF2420" s="126"/>
      <c r="AJ2420" s="6"/>
      <c r="AL2420" s="110"/>
      <c r="AM2420" s="110"/>
      <c r="AN2420" s="110"/>
      <c r="AP2420" s="6"/>
      <c r="AW2420" s="6"/>
      <c r="AX2420" s="6"/>
      <c r="AZ2420" s="110"/>
      <c r="BB2420" s="6"/>
      <c r="BD2420" s="6"/>
      <c r="BE2420" s="6"/>
      <c r="BV2420" s="17"/>
      <c r="BX2420" s="17"/>
      <c r="BZ2420" s="17"/>
    </row>
    <row r="2421" spans="4:78" x14ac:dyDescent="0.3">
      <c r="D2421" s="153"/>
      <c r="E2421" s="6"/>
      <c r="G2421" s="6"/>
      <c r="J2421" s="6"/>
      <c r="N2421" s="154"/>
      <c r="O2421" s="6"/>
      <c r="S2421" s="6"/>
      <c r="V2421" s="6"/>
      <c r="X2421" s="6"/>
      <c r="Z2421" s="110"/>
      <c r="AB2421" s="6"/>
      <c r="AD2421" s="6"/>
      <c r="AE2421" s="6"/>
      <c r="AF2421" s="126"/>
      <c r="AJ2421" s="6"/>
      <c r="AL2421" s="110"/>
      <c r="AM2421" s="110"/>
      <c r="AN2421" s="110"/>
      <c r="AP2421" s="6"/>
      <c r="AW2421" s="6"/>
      <c r="AX2421" s="6"/>
      <c r="AZ2421" s="110"/>
      <c r="BB2421" s="6"/>
      <c r="BD2421" s="6"/>
      <c r="BE2421" s="6"/>
      <c r="BV2421" s="17"/>
      <c r="BX2421" s="17"/>
      <c r="BZ2421" s="17"/>
    </row>
    <row r="2422" spans="4:78" x14ac:dyDescent="0.3">
      <c r="D2422" s="153"/>
      <c r="E2422" s="6"/>
      <c r="G2422" s="6"/>
      <c r="J2422" s="6"/>
      <c r="N2422" s="154"/>
      <c r="O2422" s="6"/>
      <c r="S2422" s="6"/>
      <c r="V2422" s="6"/>
      <c r="X2422" s="6"/>
      <c r="Z2422" s="110"/>
      <c r="AB2422" s="6"/>
      <c r="AD2422" s="6"/>
      <c r="AE2422" s="6"/>
      <c r="AF2422" s="126"/>
      <c r="AJ2422" s="6"/>
      <c r="AL2422" s="110"/>
      <c r="AM2422" s="110"/>
      <c r="AN2422" s="110"/>
      <c r="AP2422" s="6"/>
      <c r="AW2422" s="6"/>
      <c r="AX2422" s="6"/>
      <c r="AZ2422" s="110"/>
      <c r="BB2422" s="6"/>
      <c r="BD2422" s="6"/>
      <c r="BE2422" s="6"/>
      <c r="BV2422" s="17"/>
      <c r="BX2422" s="17"/>
      <c r="BZ2422" s="17"/>
    </row>
    <row r="2423" spans="4:78" x14ac:dyDescent="0.3">
      <c r="D2423" s="153"/>
      <c r="E2423" s="6"/>
      <c r="G2423" s="6"/>
      <c r="J2423" s="6"/>
      <c r="N2423" s="154"/>
      <c r="O2423" s="6"/>
      <c r="S2423" s="6"/>
      <c r="V2423" s="6"/>
      <c r="X2423" s="6"/>
      <c r="Z2423" s="110"/>
      <c r="AB2423" s="6"/>
      <c r="AD2423" s="6"/>
      <c r="AE2423" s="6"/>
      <c r="AF2423" s="126"/>
      <c r="AJ2423" s="6"/>
      <c r="AL2423" s="110"/>
      <c r="AM2423" s="110"/>
      <c r="AN2423" s="110"/>
      <c r="AP2423" s="6"/>
      <c r="AW2423" s="6"/>
      <c r="AX2423" s="6"/>
      <c r="AZ2423" s="110"/>
      <c r="BB2423" s="6"/>
      <c r="BD2423" s="6"/>
      <c r="BE2423" s="6"/>
      <c r="BV2423" s="17"/>
      <c r="BX2423" s="17"/>
      <c r="BZ2423" s="17"/>
    </row>
    <row r="2424" spans="4:78" x14ac:dyDescent="0.3">
      <c r="D2424" s="153"/>
      <c r="E2424" s="6"/>
      <c r="G2424" s="6"/>
      <c r="J2424" s="6"/>
      <c r="N2424" s="154"/>
      <c r="O2424" s="6"/>
      <c r="S2424" s="6"/>
      <c r="V2424" s="6"/>
      <c r="X2424" s="6"/>
      <c r="Z2424" s="110"/>
      <c r="AB2424" s="6"/>
      <c r="AD2424" s="6"/>
      <c r="AE2424" s="6"/>
      <c r="AF2424" s="126"/>
      <c r="AJ2424" s="6"/>
      <c r="AL2424" s="110"/>
      <c r="AM2424" s="110"/>
      <c r="AN2424" s="110"/>
      <c r="AP2424" s="6"/>
      <c r="AW2424" s="6"/>
      <c r="AX2424" s="6"/>
      <c r="AZ2424" s="110"/>
      <c r="BB2424" s="6"/>
      <c r="BD2424" s="6"/>
      <c r="BE2424" s="6"/>
      <c r="BV2424" s="17"/>
      <c r="BX2424" s="17"/>
      <c r="BZ2424" s="17"/>
    </row>
    <row r="2425" spans="4:78" x14ac:dyDescent="0.3">
      <c r="D2425" s="153"/>
      <c r="E2425" s="6"/>
      <c r="G2425" s="6"/>
      <c r="J2425" s="6"/>
      <c r="N2425" s="154"/>
      <c r="O2425" s="6"/>
      <c r="S2425" s="6"/>
      <c r="V2425" s="6"/>
      <c r="X2425" s="6"/>
      <c r="Z2425" s="110"/>
      <c r="AB2425" s="6"/>
      <c r="AD2425" s="6"/>
      <c r="AE2425" s="6"/>
      <c r="AF2425" s="126"/>
      <c r="AJ2425" s="6"/>
      <c r="AL2425" s="110"/>
      <c r="AM2425" s="110"/>
      <c r="AN2425" s="110"/>
      <c r="AP2425" s="6"/>
      <c r="AW2425" s="6"/>
      <c r="AX2425" s="6"/>
      <c r="AZ2425" s="110"/>
      <c r="BB2425" s="6"/>
      <c r="BD2425" s="6"/>
      <c r="BE2425" s="6"/>
      <c r="BV2425" s="17"/>
      <c r="BX2425" s="17"/>
      <c r="BZ2425" s="17"/>
    </row>
    <row r="2426" spans="4:78" x14ac:dyDescent="0.3">
      <c r="D2426" s="153"/>
      <c r="E2426" s="6"/>
      <c r="G2426" s="6"/>
      <c r="J2426" s="6"/>
      <c r="N2426" s="154"/>
      <c r="O2426" s="6"/>
      <c r="S2426" s="6"/>
      <c r="V2426" s="6"/>
      <c r="X2426" s="6"/>
      <c r="Z2426" s="110"/>
      <c r="AB2426" s="6"/>
      <c r="AD2426" s="6"/>
      <c r="AE2426" s="6"/>
      <c r="AF2426" s="126"/>
      <c r="AJ2426" s="6"/>
      <c r="AL2426" s="110"/>
      <c r="AM2426" s="110"/>
      <c r="AN2426" s="110"/>
      <c r="AP2426" s="6"/>
      <c r="AW2426" s="6"/>
      <c r="AX2426" s="6"/>
      <c r="AZ2426" s="110"/>
      <c r="BB2426" s="6"/>
      <c r="BD2426" s="6"/>
      <c r="BE2426" s="6"/>
      <c r="BV2426" s="17"/>
      <c r="BX2426" s="17"/>
      <c r="BZ2426" s="17"/>
    </row>
    <row r="2427" spans="4:78" x14ac:dyDescent="0.3">
      <c r="D2427" s="153"/>
      <c r="E2427" s="6"/>
      <c r="G2427" s="6"/>
      <c r="J2427" s="6"/>
      <c r="N2427" s="154"/>
      <c r="O2427" s="6"/>
      <c r="S2427" s="6"/>
      <c r="V2427" s="6"/>
      <c r="X2427" s="6"/>
      <c r="Z2427" s="110"/>
      <c r="AB2427" s="6"/>
      <c r="AD2427" s="6"/>
      <c r="AE2427" s="6"/>
      <c r="AF2427" s="126"/>
      <c r="AJ2427" s="6"/>
      <c r="AL2427" s="110"/>
      <c r="AM2427" s="110"/>
      <c r="AN2427" s="110"/>
      <c r="AP2427" s="6"/>
      <c r="AW2427" s="6"/>
      <c r="AX2427" s="6"/>
      <c r="AZ2427" s="110"/>
      <c r="BB2427" s="6"/>
      <c r="BD2427" s="6"/>
      <c r="BE2427" s="6"/>
      <c r="BV2427" s="17"/>
      <c r="BX2427" s="17"/>
      <c r="BZ2427" s="17"/>
    </row>
    <row r="2428" spans="4:78" x14ac:dyDescent="0.3">
      <c r="D2428" s="153"/>
      <c r="E2428" s="6"/>
      <c r="G2428" s="6"/>
      <c r="J2428" s="6"/>
      <c r="N2428" s="154"/>
      <c r="O2428" s="6"/>
      <c r="S2428" s="6"/>
      <c r="V2428" s="6"/>
      <c r="X2428" s="6"/>
      <c r="Z2428" s="110"/>
      <c r="AB2428" s="6"/>
      <c r="AD2428" s="6"/>
      <c r="AE2428" s="6"/>
      <c r="AF2428" s="126"/>
      <c r="AJ2428" s="6"/>
      <c r="AL2428" s="110"/>
      <c r="AM2428" s="110"/>
      <c r="AN2428" s="110"/>
      <c r="AP2428" s="6"/>
      <c r="AW2428" s="6"/>
      <c r="AX2428" s="6"/>
      <c r="AZ2428" s="110"/>
      <c r="BB2428" s="6"/>
      <c r="BD2428" s="6"/>
      <c r="BE2428" s="6"/>
      <c r="BV2428" s="17"/>
      <c r="BX2428" s="17"/>
      <c r="BZ2428" s="17"/>
    </row>
    <row r="2429" spans="4:78" x14ac:dyDescent="0.3">
      <c r="D2429" s="153"/>
      <c r="E2429" s="6"/>
      <c r="G2429" s="6"/>
      <c r="J2429" s="6"/>
      <c r="N2429" s="154"/>
      <c r="O2429" s="6"/>
      <c r="S2429" s="6"/>
      <c r="V2429" s="6"/>
      <c r="X2429" s="6"/>
      <c r="Z2429" s="110"/>
      <c r="AB2429" s="6"/>
      <c r="AD2429" s="6"/>
      <c r="AE2429" s="6"/>
      <c r="AF2429" s="126"/>
      <c r="AJ2429" s="6"/>
      <c r="AL2429" s="110"/>
      <c r="AM2429" s="110"/>
      <c r="AN2429" s="110"/>
      <c r="AP2429" s="6"/>
      <c r="AW2429" s="6"/>
      <c r="AX2429" s="6"/>
      <c r="AZ2429" s="110"/>
      <c r="BB2429" s="6"/>
      <c r="BD2429" s="6"/>
      <c r="BE2429" s="6"/>
      <c r="BV2429" s="17"/>
      <c r="BX2429" s="17"/>
      <c r="BZ2429" s="17"/>
    </row>
    <row r="2430" spans="4:78" x14ac:dyDescent="0.3">
      <c r="D2430" s="153"/>
      <c r="E2430" s="6"/>
      <c r="G2430" s="6"/>
      <c r="J2430" s="6"/>
      <c r="N2430" s="154"/>
      <c r="O2430" s="6"/>
      <c r="S2430" s="6"/>
      <c r="V2430" s="6"/>
      <c r="X2430" s="6"/>
      <c r="Z2430" s="110"/>
      <c r="AB2430" s="6"/>
      <c r="AD2430" s="6"/>
      <c r="AE2430" s="6"/>
      <c r="AF2430" s="126"/>
      <c r="AJ2430" s="6"/>
      <c r="AL2430" s="110"/>
      <c r="AM2430" s="110"/>
      <c r="AN2430" s="110"/>
      <c r="AP2430" s="6"/>
      <c r="AW2430" s="6"/>
      <c r="AX2430" s="6"/>
      <c r="AZ2430" s="110"/>
      <c r="BB2430" s="6"/>
      <c r="BD2430" s="6"/>
      <c r="BE2430" s="6"/>
      <c r="BV2430" s="17"/>
      <c r="BX2430" s="17"/>
      <c r="BZ2430" s="17"/>
    </row>
    <row r="2431" spans="4:78" x14ac:dyDescent="0.3">
      <c r="D2431" s="153"/>
      <c r="E2431" s="6"/>
      <c r="G2431" s="6"/>
      <c r="J2431" s="6"/>
      <c r="N2431" s="154"/>
      <c r="O2431" s="6"/>
      <c r="S2431" s="6"/>
      <c r="V2431" s="6"/>
      <c r="X2431" s="6"/>
      <c r="Z2431" s="110"/>
      <c r="AB2431" s="6"/>
      <c r="AD2431" s="6"/>
      <c r="AE2431" s="6"/>
      <c r="AF2431" s="126"/>
      <c r="AJ2431" s="6"/>
      <c r="AL2431" s="110"/>
      <c r="AM2431" s="110"/>
      <c r="AN2431" s="110"/>
      <c r="AP2431" s="6"/>
      <c r="AW2431" s="6"/>
      <c r="AX2431" s="6"/>
      <c r="AZ2431" s="110"/>
      <c r="BB2431" s="6"/>
      <c r="BD2431" s="6"/>
      <c r="BE2431" s="6"/>
      <c r="BV2431" s="17"/>
      <c r="BX2431" s="17"/>
      <c r="BZ2431" s="17"/>
    </row>
    <row r="2432" spans="4:78" x14ac:dyDescent="0.3">
      <c r="D2432" s="153"/>
      <c r="E2432" s="6"/>
      <c r="G2432" s="6"/>
      <c r="J2432" s="6"/>
      <c r="N2432" s="154"/>
      <c r="O2432" s="6"/>
      <c r="S2432" s="6"/>
      <c r="V2432" s="6"/>
      <c r="X2432" s="6"/>
      <c r="Z2432" s="110"/>
      <c r="AB2432" s="6"/>
      <c r="AD2432" s="6"/>
      <c r="AE2432" s="6"/>
      <c r="AF2432" s="126"/>
      <c r="AJ2432" s="6"/>
      <c r="AL2432" s="110"/>
      <c r="AM2432" s="110"/>
      <c r="AN2432" s="110"/>
      <c r="AP2432" s="6"/>
      <c r="AW2432" s="6"/>
      <c r="AX2432" s="6"/>
      <c r="AZ2432" s="110"/>
      <c r="BB2432" s="6"/>
      <c r="BD2432" s="6"/>
      <c r="BE2432" s="6"/>
      <c r="BV2432" s="17"/>
      <c r="BX2432" s="17"/>
      <c r="BZ2432" s="17"/>
    </row>
    <row r="2433" spans="4:78" x14ac:dyDescent="0.3">
      <c r="D2433" s="153"/>
      <c r="E2433" s="6"/>
      <c r="G2433" s="6"/>
      <c r="J2433" s="6"/>
      <c r="N2433" s="154"/>
      <c r="O2433" s="6"/>
      <c r="S2433" s="6"/>
      <c r="V2433" s="6"/>
      <c r="X2433" s="6"/>
      <c r="Z2433" s="110"/>
      <c r="AB2433" s="6"/>
      <c r="AD2433" s="6"/>
      <c r="AE2433" s="6"/>
      <c r="AF2433" s="126"/>
      <c r="AJ2433" s="6"/>
      <c r="AL2433" s="110"/>
      <c r="AM2433" s="110"/>
      <c r="AN2433" s="110"/>
      <c r="AP2433" s="6"/>
      <c r="AW2433" s="6"/>
      <c r="AX2433" s="6"/>
      <c r="AZ2433" s="110"/>
      <c r="BB2433" s="6"/>
      <c r="BD2433" s="6"/>
      <c r="BE2433" s="6"/>
      <c r="BV2433" s="17"/>
      <c r="BX2433" s="17"/>
      <c r="BZ2433" s="17"/>
    </row>
    <row r="2434" spans="4:78" x14ac:dyDescent="0.3">
      <c r="D2434" s="153"/>
      <c r="E2434" s="6"/>
      <c r="G2434" s="6"/>
      <c r="J2434" s="6"/>
      <c r="N2434" s="154"/>
      <c r="O2434" s="6"/>
      <c r="S2434" s="6"/>
      <c r="V2434" s="6"/>
      <c r="X2434" s="6"/>
      <c r="Z2434" s="110"/>
      <c r="AB2434" s="6"/>
      <c r="AD2434" s="6"/>
      <c r="AE2434" s="6"/>
      <c r="AF2434" s="126"/>
      <c r="AJ2434" s="6"/>
      <c r="AL2434" s="110"/>
      <c r="AM2434" s="110"/>
      <c r="AN2434" s="110"/>
      <c r="AP2434" s="6"/>
      <c r="AW2434" s="6"/>
      <c r="AX2434" s="6"/>
      <c r="AZ2434" s="110"/>
      <c r="BB2434" s="6"/>
      <c r="BD2434" s="6"/>
      <c r="BE2434" s="6"/>
      <c r="BV2434" s="17"/>
      <c r="BX2434" s="17"/>
      <c r="BZ2434" s="17"/>
    </row>
    <row r="2435" spans="4:78" x14ac:dyDescent="0.3">
      <c r="D2435" s="153"/>
      <c r="E2435" s="6"/>
      <c r="G2435" s="6"/>
      <c r="J2435" s="6"/>
      <c r="N2435" s="154"/>
      <c r="O2435" s="6"/>
      <c r="S2435" s="6"/>
      <c r="V2435" s="6"/>
      <c r="X2435" s="6"/>
      <c r="Z2435" s="110"/>
      <c r="AB2435" s="6"/>
      <c r="AD2435" s="6"/>
      <c r="AE2435" s="6"/>
      <c r="AF2435" s="126"/>
      <c r="AJ2435" s="6"/>
      <c r="AL2435" s="110"/>
      <c r="AM2435" s="110"/>
      <c r="AN2435" s="110"/>
      <c r="AP2435" s="6"/>
      <c r="AW2435" s="6"/>
      <c r="AX2435" s="6"/>
      <c r="AZ2435" s="110"/>
      <c r="BB2435" s="6"/>
      <c r="BD2435" s="6"/>
      <c r="BE2435" s="6"/>
      <c r="BV2435" s="17"/>
      <c r="BX2435" s="17"/>
      <c r="BZ2435" s="17"/>
    </row>
    <row r="2436" spans="4:78" x14ac:dyDescent="0.3">
      <c r="D2436" s="153"/>
      <c r="E2436" s="6"/>
      <c r="G2436" s="6"/>
      <c r="J2436" s="6"/>
      <c r="N2436" s="154"/>
      <c r="O2436" s="6"/>
      <c r="S2436" s="6"/>
      <c r="V2436" s="6"/>
      <c r="X2436" s="6"/>
      <c r="Z2436" s="110"/>
      <c r="AB2436" s="6"/>
      <c r="AD2436" s="6"/>
      <c r="AE2436" s="6"/>
      <c r="AF2436" s="126"/>
      <c r="AJ2436" s="6"/>
      <c r="AL2436" s="110"/>
      <c r="AM2436" s="110"/>
      <c r="AN2436" s="110"/>
      <c r="AP2436" s="6"/>
      <c r="AW2436" s="6"/>
      <c r="AX2436" s="6"/>
      <c r="AZ2436" s="110"/>
      <c r="BB2436" s="6"/>
      <c r="BD2436" s="6"/>
      <c r="BE2436" s="6"/>
      <c r="BV2436" s="17"/>
      <c r="BX2436" s="17"/>
      <c r="BZ2436" s="17"/>
    </row>
    <row r="2437" spans="4:78" x14ac:dyDescent="0.3">
      <c r="D2437" s="153"/>
      <c r="E2437" s="6"/>
      <c r="G2437" s="6"/>
      <c r="J2437" s="6"/>
      <c r="N2437" s="154"/>
      <c r="O2437" s="6"/>
      <c r="S2437" s="6"/>
      <c r="V2437" s="6"/>
      <c r="X2437" s="6"/>
      <c r="Z2437" s="110"/>
      <c r="AB2437" s="6"/>
      <c r="AD2437" s="6"/>
      <c r="AE2437" s="6"/>
      <c r="AF2437" s="126"/>
      <c r="AJ2437" s="6"/>
      <c r="AL2437" s="110"/>
      <c r="AM2437" s="110"/>
      <c r="AN2437" s="110"/>
      <c r="AP2437" s="6"/>
      <c r="AW2437" s="6"/>
      <c r="AX2437" s="6"/>
      <c r="AZ2437" s="110"/>
      <c r="BB2437" s="6"/>
      <c r="BD2437" s="6"/>
      <c r="BE2437" s="6"/>
      <c r="BV2437" s="17"/>
      <c r="BX2437" s="17"/>
      <c r="BZ2437" s="17"/>
    </row>
    <row r="2438" spans="4:78" x14ac:dyDescent="0.3">
      <c r="D2438" s="153"/>
      <c r="E2438" s="6"/>
      <c r="G2438" s="6"/>
      <c r="J2438" s="6"/>
      <c r="N2438" s="154"/>
      <c r="O2438" s="6"/>
      <c r="S2438" s="6"/>
      <c r="V2438" s="6"/>
      <c r="X2438" s="6"/>
      <c r="Z2438" s="110"/>
      <c r="AB2438" s="6"/>
      <c r="AD2438" s="6"/>
      <c r="AE2438" s="6"/>
      <c r="AF2438" s="126"/>
      <c r="AJ2438" s="6"/>
      <c r="AL2438" s="110"/>
      <c r="AM2438" s="110"/>
      <c r="AN2438" s="110"/>
      <c r="AP2438" s="6"/>
      <c r="AW2438" s="6"/>
      <c r="AX2438" s="6"/>
      <c r="AZ2438" s="110"/>
      <c r="BB2438" s="6"/>
      <c r="BD2438" s="6"/>
      <c r="BE2438" s="6"/>
      <c r="BV2438" s="17"/>
      <c r="BX2438" s="17"/>
      <c r="BZ2438" s="17"/>
    </row>
    <row r="2439" spans="4:78" x14ac:dyDescent="0.3">
      <c r="D2439" s="153"/>
      <c r="E2439" s="6"/>
      <c r="G2439" s="6"/>
      <c r="J2439" s="6"/>
      <c r="N2439" s="154"/>
      <c r="O2439" s="6"/>
      <c r="S2439" s="6"/>
      <c r="V2439" s="6"/>
      <c r="X2439" s="6"/>
      <c r="Z2439" s="110"/>
      <c r="AB2439" s="6"/>
      <c r="AD2439" s="6"/>
      <c r="AE2439" s="6"/>
      <c r="AF2439" s="126"/>
      <c r="AJ2439" s="6"/>
      <c r="AL2439" s="110"/>
      <c r="AM2439" s="110"/>
      <c r="AN2439" s="110"/>
      <c r="AP2439" s="6"/>
      <c r="AW2439" s="6"/>
      <c r="AX2439" s="6"/>
      <c r="AZ2439" s="110"/>
      <c r="BB2439" s="6"/>
      <c r="BD2439" s="6"/>
      <c r="BE2439" s="6"/>
      <c r="BV2439" s="17"/>
      <c r="BX2439" s="17"/>
      <c r="BZ2439" s="17"/>
    </row>
    <row r="2440" spans="4:78" x14ac:dyDescent="0.3">
      <c r="D2440" s="153"/>
      <c r="E2440" s="6"/>
      <c r="G2440" s="6"/>
      <c r="J2440" s="6"/>
      <c r="N2440" s="154"/>
      <c r="O2440" s="6"/>
      <c r="S2440" s="6"/>
      <c r="V2440" s="6"/>
      <c r="X2440" s="6"/>
      <c r="Z2440" s="110"/>
      <c r="AB2440" s="6"/>
      <c r="AD2440" s="6"/>
      <c r="AE2440" s="6"/>
      <c r="AF2440" s="126"/>
      <c r="AJ2440" s="6"/>
      <c r="AL2440" s="110"/>
      <c r="AM2440" s="110"/>
      <c r="AN2440" s="110"/>
      <c r="AP2440" s="6"/>
      <c r="AW2440" s="6"/>
      <c r="AX2440" s="6"/>
      <c r="AZ2440" s="110"/>
      <c r="BB2440" s="6"/>
      <c r="BD2440" s="6"/>
      <c r="BE2440" s="6"/>
      <c r="BV2440" s="17"/>
      <c r="BX2440" s="17"/>
      <c r="BZ2440" s="17"/>
    </row>
    <row r="2441" spans="4:78" x14ac:dyDescent="0.3">
      <c r="D2441" s="153"/>
      <c r="E2441" s="6"/>
      <c r="G2441" s="6"/>
      <c r="J2441" s="6"/>
      <c r="N2441" s="154"/>
      <c r="O2441" s="6"/>
      <c r="S2441" s="6"/>
      <c r="V2441" s="6"/>
      <c r="X2441" s="6"/>
      <c r="Z2441" s="110"/>
      <c r="AB2441" s="6"/>
      <c r="AD2441" s="6"/>
      <c r="AE2441" s="6"/>
      <c r="AF2441" s="126"/>
      <c r="AJ2441" s="6"/>
      <c r="AL2441" s="110"/>
      <c r="AM2441" s="110"/>
      <c r="AN2441" s="110"/>
      <c r="AP2441" s="6"/>
      <c r="AW2441" s="6"/>
      <c r="AX2441" s="6"/>
      <c r="AZ2441" s="110"/>
      <c r="BB2441" s="6"/>
      <c r="BD2441" s="6"/>
      <c r="BE2441" s="6"/>
      <c r="BV2441" s="17"/>
      <c r="BX2441" s="17"/>
      <c r="BZ2441" s="17"/>
    </row>
    <row r="2442" spans="4:78" x14ac:dyDescent="0.3">
      <c r="D2442" s="153"/>
      <c r="E2442" s="6"/>
      <c r="G2442" s="6"/>
      <c r="J2442" s="6"/>
      <c r="N2442" s="154"/>
      <c r="O2442" s="6"/>
      <c r="S2442" s="6"/>
      <c r="V2442" s="6"/>
      <c r="X2442" s="6"/>
      <c r="Z2442" s="110"/>
      <c r="AB2442" s="6"/>
      <c r="AD2442" s="6"/>
      <c r="AE2442" s="6"/>
      <c r="AF2442" s="126"/>
      <c r="AJ2442" s="6"/>
      <c r="AL2442" s="110"/>
      <c r="AM2442" s="110"/>
      <c r="AN2442" s="110"/>
      <c r="AP2442" s="6"/>
      <c r="AW2442" s="6"/>
      <c r="AX2442" s="6"/>
      <c r="AZ2442" s="110"/>
      <c r="BB2442" s="6"/>
      <c r="BD2442" s="6"/>
      <c r="BE2442" s="6"/>
      <c r="BV2442" s="17"/>
      <c r="BX2442" s="17"/>
      <c r="BZ2442" s="17"/>
    </row>
    <row r="2443" spans="4:78" x14ac:dyDescent="0.3">
      <c r="D2443" s="153"/>
      <c r="E2443" s="6"/>
      <c r="G2443" s="6"/>
      <c r="J2443" s="6"/>
      <c r="N2443" s="154"/>
      <c r="O2443" s="6"/>
      <c r="S2443" s="6"/>
      <c r="V2443" s="6"/>
      <c r="X2443" s="6"/>
      <c r="Z2443" s="110"/>
      <c r="AB2443" s="6"/>
      <c r="AD2443" s="6"/>
      <c r="AE2443" s="6"/>
      <c r="AF2443" s="126"/>
      <c r="AJ2443" s="6"/>
      <c r="AL2443" s="110"/>
      <c r="AM2443" s="110"/>
      <c r="AN2443" s="110"/>
      <c r="AP2443" s="6"/>
      <c r="AW2443" s="6"/>
      <c r="AX2443" s="6"/>
      <c r="AZ2443" s="110"/>
      <c r="BB2443" s="6"/>
      <c r="BD2443" s="6"/>
      <c r="BE2443" s="6"/>
      <c r="BV2443" s="17"/>
      <c r="BX2443" s="17"/>
      <c r="BZ2443" s="17"/>
    </row>
    <row r="2444" spans="4:78" x14ac:dyDescent="0.3">
      <c r="D2444" s="153"/>
      <c r="E2444" s="6"/>
      <c r="G2444" s="6"/>
      <c r="J2444" s="6"/>
      <c r="N2444" s="154"/>
      <c r="O2444" s="6"/>
      <c r="S2444" s="6"/>
      <c r="V2444" s="6"/>
      <c r="X2444" s="6"/>
      <c r="Z2444" s="110"/>
      <c r="AB2444" s="6"/>
      <c r="AD2444" s="6"/>
      <c r="AE2444" s="6"/>
      <c r="AF2444" s="126"/>
      <c r="AJ2444" s="6"/>
      <c r="AL2444" s="110"/>
      <c r="AM2444" s="110"/>
      <c r="AN2444" s="110"/>
      <c r="AP2444" s="6"/>
      <c r="AW2444" s="6"/>
      <c r="AX2444" s="6"/>
      <c r="AZ2444" s="110"/>
      <c r="BB2444" s="6"/>
      <c r="BD2444" s="6"/>
      <c r="BE2444" s="6"/>
      <c r="BV2444" s="17"/>
      <c r="BX2444" s="17"/>
      <c r="BZ2444" s="17"/>
    </row>
    <row r="2445" spans="4:78" x14ac:dyDescent="0.3">
      <c r="D2445" s="153"/>
      <c r="E2445" s="6"/>
      <c r="G2445" s="6"/>
      <c r="J2445" s="6"/>
      <c r="N2445" s="154"/>
      <c r="O2445" s="6"/>
      <c r="S2445" s="6"/>
      <c r="V2445" s="6"/>
      <c r="X2445" s="6"/>
      <c r="Z2445" s="110"/>
      <c r="AB2445" s="6"/>
      <c r="AD2445" s="6"/>
      <c r="AE2445" s="6"/>
      <c r="AF2445" s="126"/>
      <c r="AJ2445" s="6"/>
      <c r="AL2445" s="110"/>
      <c r="AM2445" s="110"/>
      <c r="AN2445" s="110"/>
      <c r="AP2445" s="6"/>
      <c r="AW2445" s="6"/>
      <c r="AX2445" s="6"/>
      <c r="AZ2445" s="110"/>
      <c r="BB2445" s="6"/>
      <c r="BD2445" s="6"/>
      <c r="BE2445" s="6"/>
      <c r="BV2445" s="17"/>
      <c r="BX2445" s="17"/>
      <c r="BZ2445" s="17"/>
    </row>
    <row r="2446" spans="4:78" x14ac:dyDescent="0.3">
      <c r="D2446" s="153"/>
      <c r="E2446" s="6"/>
      <c r="G2446" s="6"/>
      <c r="J2446" s="6"/>
      <c r="N2446" s="154"/>
      <c r="O2446" s="6"/>
      <c r="S2446" s="6"/>
      <c r="V2446" s="6"/>
      <c r="X2446" s="6"/>
      <c r="Z2446" s="110"/>
      <c r="AB2446" s="6"/>
      <c r="AD2446" s="6"/>
      <c r="AE2446" s="6"/>
      <c r="AF2446" s="126"/>
      <c r="AJ2446" s="6"/>
      <c r="AL2446" s="110"/>
      <c r="AM2446" s="110"/>
      <c r="AN2446" s="110"/>
      <c r="AP2446" s="6"/>
      <c r="AW2446" s="6"/>
      <c r="AX2446" s="6"/>
      <c r="AZ2446" s="110"/>
      <c r="BB2446" s="6"/>
      <c r="BD2446" s="6"/>
      <c r="BE2446" s="6"/>
      <c r="BV2446" s="17"/>
      <c r="BX2446" s="17"/>
      <c r="BZ2446" s="17"/>
    </row>
    <row r="2447" spans="4:78" x14ac:dyDescent="0.3">
      <c r="D2447" s="153"/>
      <c r="E2447" s="6"/>
      <c r="G2447" s="6"/>
      <c r="J2447" s="6"/>
      <c r="N2447" s="154"/>
      <c r="O2447" s="6"/>
      <c r="S2447" s="6"/>
      <c r="V2447" s="6"/>
      <c r="X2447" s="6"/>
      <c r="Z2447" s="110"/>
      <c r="AB2447" s="6"/>
      <c r="AD2447" s="6"/>
      <c r="AE2447" s="6"/>
      <c r="AF2447" s="126"/>
      <c r="AJ2447" s="6"/>
      <c r="AL2447" s="110"/>
      <c r="AM2447" s="110"/>
      <c r="AN2447" s="110"/>
      <c r="AP2447" s="6"/>
      <c r="AW2447" s="6"/>
      <c r="AX2447" s="6"/>
      <c r="AZ2447" s="110"/>
      <c r="BB2447" s="6"/>
      <c r="BD2447" s="6"/>
      <c r="BE2447" s="6"/>
      <c r="BV2447" s="17"/>
      <c r="BX2447" s="17"/>
      <c r="BZ2447" s="17"/>
    </row>
    <row r="2448" spans="4:78" x14ac:dyDescent="0.3">
      <c r="D2448" s="153"/>
      <c r="E2448" s="6"/>
      <c r="G2448" s="6"/>
      <c r="J2448" s="6"/>
      <c r="N2448" s="154"/>
      <c r="O2448" s="6"/>
      <c r="S2448" s="6"/>
      <c r="V2448" s="6"/>
      <c r="X2448" s="6"/>
      <c r="Z2448" s="110"/>
      <c r="AB2448" s="6"/>
      <c r="AD2448" s="6"/>
      <c r="AE2448" s="6"/>
      <c r="AF2448" s="126"/>
      <c r="AJ2448" s="6"/>
      <c r="AL2448" s="110"/>
      <c r="AM2448" s="110"/>
      <c r="AN2448" s="110"/>
      <c r="AP2448" s="6"/>
      <c r="AW2448" s="6"/>
      <c r="AX2448" s="6"/>
      <c r="AZ2448" s="110"/>
      <c r="BB2448" s="6"/>
      <c r="BD2448" s="6"/>
      <c r="BE2448" s="6"/>
      <c r="BV2448" s="17"/>
      <c r="BX2448" s="17"/>
      <c r="BZ2448" s="17"/>
    </row>
    <row r="2449" spans="4:78" x14ac:dyDescent="0.3">
      <c r="D2449" s="153"/>
      <c r="E2449" s="6"/>
      <c r="G2449" s="6"/>
      <c r="J2449" s="6"/>
      <c r="N2449" s="154"/>
      <c r="O2449" s="6"/>
      <c r="S2449" s="6"/>
      <c r="V2449" s="6"/>
      <c r="X2449" s="6"/>
      <c r="Z2449" s="110"/>
      <c r="AB2449" s="6"/>
      <c r="AD2449" s="6"/>
      <c r="AE2449" s="6"/>
      <c r="AF2449" s="126"/>
      <c r="AJ2449" s="6"/>
      <c r="AL2449" s="110"/>
      <c r="AM2449" s="110"/>
      <c r="AN2449" s="110"/>
      <c r="AP2449" s="6"/>
      <c r="AW2449" s="6"/>
      <c r="AX2449" s="6"/>
      <c r="AZ2449" s="110"/>
      <c r="BB2449" s="6"/>
      <c r="BD2449" s="6"/>
      <c r="BE2449" s="6"/>
      <c r="BV2449" s="17"/>
      <c r="BX2449" s="17"/>
      <c r="BZ2449" s="17"/>
    </row>
    <row r="2450" spans="4:78" x14ac:dyDescent="0.3">
      <c r="D2450" s="153"/>
      <c r="E2450" s="6"/>
      <c r="G2450" s="6"/>
      <c r="J2450" s="6"/>
      <c r="N2450" s="154"/>
      <c r="O2450" s="6"/>
      <c r="S2450" s="6"/>
      <c r="V2450" s="6"/>
      <c r="X2450" s="6"/>
      <c r="Z2450" s="110"/>
      <c r="AB2450" s="6"/>
      <c r="AD2450" s="6"/>
      <c r="AE2450" s="6"/>
      <c r="AF2450" s="126"/>
      <c r="AJ2450" s="6"/>
      <c r="AL2450" s="110"/>
      <c r="AM2450" s="110"/>
      <c r="AN2450" s="110"/>
      <c r="AP2450" s="6"/>
      <c r="AW2450" s="6"/>
      <c r="AX2450" s="6"/>
      <c r="AZ2450" s="110"/>
      <c r="BB2450" s="6"/>
      <c r="BD2450" s="6"/>
      <c r="BE2450" s="6"/>
      <c r="BV2450" s="17"/>
      <c r="BX2450" s="17"/>
      <c r="BZ2450" s="17"/>
    </row>
    <row r="2451" spans="4:78" x14ac:dyDescent="0.3">
      <c r="D2451" s="153"/>
      <c r="E2451" s="6"/>
      <c r="G2451" s="6"/>
      <c r="J2451" s="6"/>
      <c r="N2451" s="154"/>
      <c r="O2451" s="6"/>
      <c r="S2451" s="6"/>
      <c r="V2451" s="6"/>
      <c r="X2451" s="6"/>
      <c r="Z2451" s="110"/>
      <c r="AB2451" s="6"/>
      <c r="AD2451" s="6"/>
      <c r="AE2451" s="6"/>
      <c r="AF2451" s="126"/>
      <c r="AJ2451" s="6"/>
      <c r="AL2451" s="110"/>
      <c r="AM2451" s="110"/>
      <c r="AN2451" s="110"/>
      <c r="AP2451" s="6"/>
      <c r="AW2451" s="6"/>
      <c r="AX2451" s="6"/>
      <c r="AZ2451" s="110"/>
      <c r="BB2451" s="6"/>
      <c r="BD2451" s="6"/>
      <c r="BE2451" s="6"/>
      <c r="BV2451" s="17"/>
      <c r="BX2451" s="17"/>
      <c r="BZ2451" s="17"/>
    </row>
    <row r="2452" spans="4:78" x14ac:dyDescent="0.3">
      <c r="D2452" s="153"/>
      <c r="E2452" s="6"/>
      <c r="G2452" s="6"/>
      <c r="J2452" s="6"/>
      <c r="N2452" s="154"/>
      <c r="O2452" s="6"/>
      <c r="S2452" s="6"/>
      <c r="V2452" s="6"/>
      <c r="X2452" s="6"/>
      <c r="Z2452" s="110"/>
      <c r="AB2452" s="6"/>
      <c r="AD2452" s="6"/>
      <c r="AE2452" s="6"/>
      <c r="AF2452" s="126"/>
      <c r="AJ2452" s="6"/>
      <c r="AL2452" s="110"/>
      <c r="AM2452" s="110"/>
      <c r="AN2452" s="110"/>
      <c r="AP2452" s="6"/>
      <c r="AW2452" s="6"/>
      <c r="AX2452" s="6"/>
      <c r="AZ2452" s="110"/>
      <c r="BB2452" s="6"/>
      <c r="BD2452" s="6"/>
      <c r="BE2452" s="6"/>
      <c r="BV2452" s="17"/>
      <c r="BX2452" s="17"/>
      <c r="BZ2452" s="17"/>
    </row>
    <row r="2453" spans="4:78" x14ac:dyDescent="0.3">
      <c r="D2453" s="153"/>
      <c r="E2453" s="6"/>
      <c r="G2453" s="6"/>
      <c r="J2453" s="6"/>
      <c r="N2453" s="154"/>
      <c r="O2453" s="6"/>
      <c r="S2453" s="6"/>
      <c r="V2453" s="6"/>
      <c r="X2453" s="6"/>
      <c r="Z2453" s="110"/>
      <c r="AB2453" s="6"/>
      <c r="AD2453" s="6"/>
      <c r="AE2453" s="6"/>
      <c r="AF2453" s="126"/>
      <c r="AJ2453" s="6"/>
      <c r="AL2453" s="110"/>
      <c r="AM2453" s="110"/>
      <c r="AN2453" s="110"/>
      <c r="AP2453" s="6"/>
      <c r="AW2453" s="6"/>
      <c r="AX2453" s="6"/>
      <c r="AZ2453" s="110"/>
      <c r="BB2453" s="6"/>
      <c r="BD2453" s="6"/>
      <c r="BE2453" s="6"/>
      <c r="BV2453" s="17"/>
      <c r="BX2453" s="17"/>
      <c r="BZ2453" s="17"/>
    </row>
    <row r="2454" spans="4:78" x14ac:dyDescent="0.3">
      <c r="D2454" s="153"/>
      <c r="E2454" s="6"/>
      <c r="G2454" s="6"/>
      <c r="J2454" s="6"/>
      <c r="N2454" s="154"/>
      <c r="O2454" s="6"/>
      <c r="S2454" s="6"/>
      <c r="V2454" s="6"/>
      <c r="X2454" s="6"/>
      <c r="Z2454" s="110"/>
      <c r="AB2454" s="6"/>
      <c r="AD2454" s="6"/>
      <c r="AE2454" s="6"/>
      <c r="AF2454" s="126"/>
      <c r="AJ2454" s="6"/>
      <c r="AL2454" s="110"/>
      <c r="AM2454" s="110"/>
      <c r="AN2454" s="110"/>
      <c r="AP2454" s="6"/>
      <c r="AW2454" s="6"/>
      <c r="AX2454" s="6"/>
      <c r="AZ2454" s="110"/>
      <c r="BB2454" s="6"/>
      <c r="BD2454" s="6"/>
      <c r="BE2454" s="6"/>
      <c r="BV2454" s="17"/>
      <c r="BX2454" s="17"/>
      <c r="BZ2454" s="17"/>
    </row>
    <row r="2455" spans="4:78" x14ac:dyDescent="0.3">
      <c r="D2455" s="153"/>
      <c r="E2455" s="6"/>
      <c r="G2455" s="6"/>
      <c r="J2455" s="6"/>
      <c r="N2455" s="154"/>
      <c r="O2455" s="6"/>
      <c r="S2455" s="6"/>
      <c r="V2455" s="6"/>
      <c r="X2455" s="6"/>
      <c r="Z2455" s="110"/>
      <c r="AB2455" s="6"/>
      <c r="AD2455" s="6"/>
      <c r="AE2455" s="6"/>
      <c r="AF2455" s="126"/>
      <c r="AJ2455" s="6"/>
      <c r="AL2455" s="110"/>
      <c r="AM2455" s="110"/>
      <c r="AN2455" s="110"/>
      <c r="AP2455" s="6"/>
      <c r="AW2455" s="6"/>
      <c r="AX2455" s="6"/>
      <c r="AZ2455" s="110"/>
      <c r="BB2455" s="6"/>
      <c r="BD2455" s="6"/>
      <c r="BE2455" s="6"/>
      <c r="BV2455" s="17"/>
      <c r="BX2455" s="17"/>
      <c r="BZ2455" s="17"/>
    </row>
    <row r="2456" spans="4:78" x14ac:dyDescent="0.3">
      <c r="D2456" s="153"/>
      <c r="E2456" s="6"/>
      <c r="G2456" s="6"/>
      <c r="J2456" s="6"/>
      <c r="N2456" s="154"/>
      <c r="O2456" s="6"/>
      <c r="S2456" s="6"/>
      <c r="V2456" s="6"/>
      <c r="X2456" s="6"/>
      <c r="Z2456" s="110"/>
      <c r="AB2456" s="6"/>
      <c r="AD2456" s="6"/>
      <c r="AE2456" s="6"/>
      <c r="AF2456" s="126"/>
      <c r="AJ2456" s="6"/>
      <c r="AL2456" s="110"/>
      <c r="AM2456" s="110"/>
      <c r="AN2456" s="110"/>
      <c r="AP2456" s="6"/>
      <c r="AW2456" s="6"/>
      <c r="AX2456" s="6"/>
      <c r="AZ2456" s="110"/>
      <c r="BB2456" s="6"/>
      <c r="BD2456" s="6"/>
      <c r="BE2456" s="6"/>
      <c r="BV2456" s="17"/>
      <c r="BX2456" s="17"/>
      <c r="BZ2456" s="17"/>
    </row>
    <row r="2457" spans="4:78" x14ac:dyDescent="0.3">
      <c r="D2457" s="153"/>
      <c r="E2457" s="6"/>
      <c r="G2457" s="6"/>
      <c r="J2457" s="6"/>
      <c r="N2457" s="154"/>
      <c r="O2457" s="6"/>
      <c r="S2457" s="6"/>
      <c r="V2457" s="6"/>
      <c r="X2457" s="6"/>
      <c r="Z2457" s="110"/>
      <c r="AB2457" s="6"/>
      <c r="AD2457" s="6"/>
      <c r="AE2457" s="6"/>
      <c r="AF2457" s="126"/>
      <c r="AJ2457" s="6"/>
      <c r="AL2457" s="110"/>
      <c r="AM2457" s="110"/>
      <c r="AN2457" s="110"/>
      <c r="AP2457" s="6"/>
      <c r="AW2457" s="6"/>
      <c r="AX2457" s="6"/>
      <c r="AZ2457" s="110"/>
      <c r="BB2457" s="6"/>
      <c r="BD2457" s="6"/>
      <c r="BE2457" s="6"/>
      <c r="BV2457" s="17"/>
      <c r="BX2457" s="17"/>
      <c r="BZ2457" s="17"/>
    </row>
    <row r="2458" spans="4:78" x14ac:dyDescent="0.3">
      <c r="D2458" s="153"/>
      <c r="E2458" s="6"/>
      <c r="G2458" s="6"/>
      <c r="J2458" s="6"/>
      <c r="N2458" s="154"/>
      <c r="O2458" s="6"/>
      <c r="S2458" s="6"/>
      <c r="V2458" s="6"/>
      <c r="X2458" s="6"/>
      <c r="Z2458" s="110"/>
      <c r="AB2458" s="6"/>
      <c r="AD2458" s="6"/>
      <c r="AE2458" s="6"/>
      <c r="AF2458" s="126"/>
      <c r="AJ2458" s="6"/>
      <c r="AL2458" s="110"/>
      <c r="AM2458" s="110"/>
      <c r="AN2458" s="110"/>
      <c r="AP2458" s="6"/>
      <c r="AW2458" s="6"/>
      <c r="AX2458" s="6"/>
      <c r="AZ2458" s="110"/>
      <c r="BB2458" s="6"/>
      <c r="BD2458" s="6"/>
      <c r="BE2458" s="6"/>
      <c r="BV2458" s="17"/>
      <c r="BX2458" s="17"/>
      <c r="BZ2458" s="17"/>
    </row>
    <row r="2459" spans="4:78" x14ac:dyDescent="0.3">
      <c r="D2459" s="153"/>
      <c r="E2459" s="6"/>
      <c r="G2459" s="6"/>
      <c r="J2459" s="6"/>
      <c r="N2459" s="154"/>
      <c r="O2459" s="6"/>
      <c r="S2459" s="6"/>
      <c r="V2459" s="6"/>
      <c r="X2459" s="6"/>
      <c r="Z2459" s="110"/>
      <c r="AB2459" s="6"/>
      <c r="AD2459" s="6"/>
      <c r="AE2459" s="6"/>
      <c r="AF2459" s="126"/>
      <c r="AJ2459" s="6"/>
      <c r="AL2459" s="110"/>
      <c r="AM2459" s="110"/>
      <c r="AN2459" s="110"/>
      <c r="AP2459" s="6"/>
      <c r="AW2459" s="6"/>
      <c r="AX2459" s="6"/>
      <c r="AZ2459" s="110"/>
      <c r="BB2459" s="6"/>
      <c r="BD2459" s="6"/>
      <c r="BE2459" s="6"/>
      <c r="BV2459" s="17"/>
      <c r="BX2459" s="17"/>
      <c r="BZ2459" s="17"/>
    </row>
    <row r="2460" spans="4:78" x14ac:dyDescent="0.3">
      <c r="D2460" s="153"/>
      <c r="E2460" s="6"/>
      <c r="G2460" s="6"/>
      <c r="J2460" s="6"/>
      <c r="N2460" s="154"/>
      <c r="O2460" s="6"/>
      <c r="S2460" s="6"/>
      <c r="V2460" s="6"/>
      <c r="X2460" s="6"/>
      <c r="Z2460" s="110"/>
      <c r="AB2460" s="6"/>
      <c r="AD2460" s="6"/>
      <c r="AE2460" s="6"/>
      <c r="AF2460" s="126"/>
      <c r="AJ2460" s="6"/>
      <c r="AL2460" s="110"/>
      <c r="AM2460" s="110"/>
      <c r="AN2460" s="110"/>
      <c r="AP2460" s="6"/>
      <c r="AW2460" s="6"/>
      <c r="AX2460" s="6"/>
      <c r="AZ2460" s="110"/>
      <c r="BB2460" s="6"/>
      <c r="BD2460" s="6"/>
      <c r="BE2460" s="6"/>
      <c r="BV2460" s="17"/>
      <c r="BX2460" s="17"/>
      <c r="BZ2460" s="17"/>
    </row>
    <row r="2461" spans="4:78" x14ac:dyDescent="0.3">
      <c r="D2461" s="153"/>
      <c r="E2461" s="6"/>
      <c r="G2461" s="6"/>
      <c r="J2461" s="6"/>
      <c r="N2461" s="154"/>
      <c r="O2461" s="6"/>
      <c r="S2461" s="6"/>
      <c r="V2461" s="6"/>
      <c r="X2461" s="6"/>
      <c r="Z2461" s="110"/>
      <c r="AB2461" s="6"/>
      <c r="AD2461" s="6"/>
      <c r="AE2461" s="6"/>
      <c r="AF2461" s="126"/>
      <c r="AJ2461" s="6"/>
      <c r="AL2461" s="110"/>
      <c r="AM2461" s="110"/>
      <c r="AN2461" s="110"/>
      <c r="AP2461" s="6"/>
      <c r="AW2461" s="6"/>
      <c r="AX2461" s="6"/>
      <c r="AZ2461" s="110"/>
      <c r="BB2461" s="6"/>
      <c r="BD2461" s="6"/>
      <c r="BE2461" s="6"/>
      <c r="BV2461" s="17"/>
      <c r="BX2461" s="17"/>
      <c r="BZ2461" s="17"/>
    </row>
    <row r="2462" spans="4:78" x14ac:dyDescent="0.3">
      <c r="D2462" s="153"/>
      <c r="E2462" s="6"/>
      <c r="G2462" s="6"/>
      <c r="J2462" s="6"/>
      <c r="N2462" s="154"/>
      <c r="O2462" s="6"/>
      <c r="S2462" s="6"/>
      <c r="V2462" s="6"/>
      <c r="X2462" s="6"/>
      <c r="Z2462" s="110"/>
      <c r="AB2462" s="6"/>
      <c r="AD2462" s="6"/>
      <c r="AE2462" s="6"/>
      <c r="AF2462" s="126"/>
      <c r="AJ2462" s="6"/>
      <c r="AL2462" s="110"/>
      <c r="AM2462" s="110"/>
      <c r="AN2462" s="110"/>
      <c r="AP2462" s="6"/>
      <c r="AW2462" s="6"/>
      <c r="AX2462" s="6"/>
      <c r="AZ2462" s="110"/>
      <c r="BB2462" s="6"/>
      <c r="BD2462" s="6"/>
      <c r="BE2462" s="6"/>
      <c r="BV2462" s="17"/>
      <c r="BX2462" s="17"/>
      <c r="BZ2462" s="17"/>
    </row>
    <row r="2463" spans="4:78" x14ac:dyDescent="0.3">
      <c r="D2463" s="153"/>
      <c r="E2463" s="6"/>
      <c r="G2463" s="6"/>
      <c r="J2463" s="6"/>
      <c r="N2463" s="154"/>
      <c r="O2463" s="6"/>
      <c r="S2463" s="6"/>
      <c r="V2463" s="6"/>
      <c r="X2463" s="6"/>
      <c r="Z2463" s="110"/>
      <c r="AB2463" s="6"/>
      <c r="AD2463" s="6"/>
      <c r="AE2463" s="6"/>
      <c r="AF2463" s="126"/>
      <c r="AJ2463" s="6"/>
      <c r="AL2463" s="110"/>
      <c r="AM2463" s="110"/>
      <c r="AN2463" s="110"/>
      <c r="AP2463" s="6"/>
      <c r="AW2463" s="6"/>
      <c r="AX2463" s="6"/>
      <c r="AZ2463" s="110"/>
      <c r="BB2463" s="6"/>
      <c r="BD2463" s="6"/>
      <c r="BE2463" s="6"/>
      <c r="BV2463" s="17"/>
      <c r="BX2463" s="17"/>
      <c r="BZ2463" s="17"/>
    </row>
    <row r="2464" spans="4:78" x14ac:dyDescent="0.3">
      <c r="D2464" s="153"/>
      <c r="E2464" s="6"/>
      <c r="G2464" s="6"/>
      <c r="J2464" s="6"/>
      <c r="N2464" s="154"/>
      <c r="O2464" s="6"/>
      <c r="S2464" s="6"/>
      <c r="V2464" s="6"/>
      <c r="X2464" s="6"/>
      <c r="Z2464" s="110"/>
      <c r="AB2464" s="6"/>
      <c r="AD2464" s="6"/>
      <c r="AE2464" s="6"/>
      <c r="AF2464" s="126"/>
      <c r="AJ2464" s="6"/>
      <c r="AL2464" s="110"/>
      <c r="AM2464" s="110"/>
      <c r="AN2464" s="110"/>
      <c r="AP2464" s="6"/>
      <c r="AW2464" s="6"/>
      <c r="AX2464" s="6"/>
      <c r="AZ2464" s="110"/>
      <c r="BB2464" s="6"/>
      <c r="BD2464" s="6"/>
      <c r="BE2464" s="6"/>
      <c r="BV2464" s="17"/>
      <c r="BX2464" s="17"/>
      <c r="BZ2464" s="17"/>
    </row>
    <row r="2465" spans="4:78" x14ac:dyDescent="0.3">
      <c r="D2465" s="153"/>
      <c r="E2465" s="6"/>
      <c r="G2465" s="6"/>
      <c r="J2465" s="6"/>
      <c r="N2465" s="154"/>
      <c r="O2465" s="6"/>
      <c r="S2465" s="6"/>
      <c r="V2465" s="6"/>
      <c r="X2465" s="6"/>
      <c r="Z2465" s="110"/>
      <c r="AB2465" s="6"/>
      <c r="AD2465" s="6"/>
      <c r="AE2465" s="6"/>
      <c r="AF2465" s="126"/>
      <c r="AJ2465" s="6"/>
      <c r="AL2465" s="110"/>
      <c r="AM2465" s="110"/>
      <c r="AN2465" s="110"/>
      <c r="AP2465" s="6"/>
      <c r="AW2465" s="6"/>
      <c r="AX2465" s="6"/>
      <c r="AZ2465" s="110"/>
      <c r="BB2465" s="6"/>
      <c r="BD2465" s="6"/>
      <c r="BE2465" s="6"/>
      <c r="BV2465" s="17"/>
      <c r="BX2465" s="17"/>
      <c r="BZ2465" s="17"/>
    </row>
    <row r="2466" spans="4:78" x14ac:dyDescent="0.3">
      <c r="D2466" s="153"/>
      <c r="E2466" s="6"/>
      <c r="G2466" s="6"/>
      <c r="J2466" s="6"/>
      <c r="N2466" s="154"/>
      <c r="O2466" s="6"/>
      <c r="S2466" s="6"/>
      <c r="V2466" s="6"/>
      <c r="X2466" s="6"/>
      <c r="Z2466" s="110"/>
      <c r="AB2466" s="6"/>
      <c r="AD2466" s="6"/>
      <c r="AE2466" s="6"/>
      <c r="AF2466" s="126"/>
      <c r="AJ2466" s="6"/>
      <c r="AL2466" s="110"/>
      <c r="AM2466" s="110"/>
      <c r="AN2466" s="110"/>
      <c r="AP2466" s="6"/>
      <c r="AW2466" s="6"/>
      <c r="AX2466" s="6"/>
      <c r="AZ2466" s="110"/>
      <c r="BB2466" s="6"/>
      <c r="BD2466" s="6"/>
      <c r="BE2466" s="6"/>
      <c r="BV2466" s="17"/>
      <c r="BX2466" s="17"/>
      <c r="BZ2466" s="17"/>
    </row>
    <row r="2467" spans="4:78" x14ac:dyDescent="0.3">
      <c r="D2467" s="153"/>
      <c r="E2467" s="6"/>
      <c r="G2467" s="6"/>
      <c r="J2467" s="6"/>
      <c r="N2467" s="154"/>
      <c r="O2467" s="6"/>
      <c r="S2467" s="6"/>
      <c r="V2467" s="6"/>
      <c r="X2467" s="6"/>
      <c r="Z2467" s="110"/>
      <c r="AB2467" s="6"/>
      <c r="AD2467" s="6"/>
      <c r="AE2467" s="6"/>
      <c r="AF2467" s="126"/>
      <c r="AJ2467" s="6"/>
      <c r="AL2467" s="110"/>
      <c r="AM2467" s="110"/>
      <c r="AN2467" s="110"/>
      <c r="AP2467" s="6"/>
      <c r="AW2467" s="6"/>
      <c r="AX2467" s="6"/>
      <c r="AZ2467" s="110"/>
      <c r="BB2467" s="6"/>
      <c r="BD2467" s="6"/>
      <c r="BE2467" s="6"/>
      <c r="BV2467" s="17"/>
      <c r="BX2467" s="17"/>
      <c r="BZ2467" s="17"/>
    </row>
    <row r="2468" spans="4:78" x14ac:dyDescent="0.3">
      <c r="D2468" s="153"/>
      <c r="E2468" s="6"/>
      <c r="G2468" s="6"/>
      <c r="J2468" s="6"/>
      <c r="N2468" s="154"/>
      <c r="O2468" s="6"/>
      <c r="S2468" s="6"/>
      <c r="V2468" s="6"/>
      <c r="X2468" s="6"/>
      <c r="Z2468" s="110"/>
      <c r="AB2468" s="6"/>
      <c r="AD2468" s="6"/>
      <c r="AE2468" s="6"/>
      <c r="AF2468" s="126"/>
      <c r="AJ2468" s="6"/>
      <c r="AL2468" s="110"/>
      <c r="AM2468" s="110"/>
      <c r="AN2468" s="110"/>
      <c r="AP2468" s="6"/>
      <c r="AW2468" s="6"/>
      <c r="AX2468" s="6"/>
      <c r="AZ2468" s="110"/>
      <c r="BB2468" s="6"/>
      <c r="BD2468" s="6"/>
      <c r="BE2468" s="6"/>
      <c r="BV2468" s="17"/>
      <c r="BX2468" s="17"/>
      <c r="BZ2468" s="17"/>
    </row>
    <row r="2469" spans="4:78" x14ac:dyDescent="0.3">
      <c r="D2469" s="153"/>
      <c r="E2469" s="6"/>
      <c r="G2469" s="6"/>
      <c r="J2469" s="6"/>
      <c r="N2469" s="154"/>
      <c r="O2469" s="6"/>
      <c r="S2469" s="6"/>
      <c r="V2469" s="6"/>
      <c r="X2469" s="6"/>
      <c r="Z2469" s="110"/>
      <c r="AB2469" s="6"/>
      <c r="AD2469" s="6"/>
      <c r="AE2469" s="6"/>
      <c r="AF2469" s="126"/>
      <c r="AJ2469" s="6"/>
      <c r="AL2469" s="110"/>
      <c r="AM2469" s="110"/>
      <c r="AN2469" s="110"/>
      <c r="AP2469" s="6"/>
      <c r="AW2469" s="6"/>
      <c r="AX2469" s="6"/>
      <c r="AZ2469" s="110"/>
      <c r="BB2469" s="6"/>
      <c r="BD2469" s="6"/>
      <c r="BE2469" s="6"/>
      <c r="BV2469" s="17"/>
      <c r="BX2469" s="17"/>
      <c r="BZ2469" s="17"/>
    </row>
    <row r="2470" spans="4:78" x14ac:dyDescent="0.3">
      <c r="D2470" s="153"/>
      <c r="E2470" s="6"/>
      <c r="G2470" s="6"/>
      <c r="J2470" s="6"/>
      <c r="N2470" s="154"/>
      <c r="O2470" s="6"/>
      <c r="S2470" s="6"/>
      <c r="V2470" s="6"/>
      <c r="X2470" s="6"/>
      <c r="Z2470" s="110"/>
      <c r="AB2470" s="6"/>
      <c r="AD2470" s="6"/>
      <c r="AE2470" s="6"/>
      <c r="AF2470" s="126"/>
      <c r="AJ2470" s="6"/>
      <c r="AL2470" s="110"/>
      <c r="AM2470" s="110"/>
      <c r="AN2470" s="110"/>
      <c r="AP2470" s="6"/>
      <c r="AW2470" s="6"/>
      <c r="AX2470" s="6"/>
      <c r="AZ2470" s="110"/>
      <c r="BB2470" s="6"/>
      <c r="BD2470" s="6"/>
      <c r="BE2470" s="6"/>
      <c r="BV2470" s="17"/>
      <c r="BX2470" s="17"/>
      <c r="BZ2470" s="17"/>
    </row>
    <row r="2471" spans="4:78" x14ac:dyDescent="0.3">
      <c r="D2471" s="153"/>
      <c r="E2471" s="6"/>
      <c r="G2471" s="6"/>
      <c r="J2471" s="6"/>
      <c r="N2471" s="154"/>
      <c r="O2471" s="6"/>
      <c r="S2471" s="6"/>
      <c r="V2471" s="6"/>
      <c r="X2471" s="6"/>
      <c r="Z2471" s="110"/>
      <c r="AB2471" s="6"/>
      <c r="AD2471" s="6"/>
      <c r="AE2471" s="6"/>
      <c r="AF2471" s="126"/>
      <c r="AJ2471" s="6"/>
      <c r="AL2471" s="110"/>
      <c r="AM2471" s="110"/>
      <c r="AN2471" s="110"/>
      <c r="AP2471" s="6"/>
      <c r="AW2471" s="6"/>
      <c r="AX2471" s="6"/>
      <c r="AZ2471" s="110"/>
      <c r="BB2471" s="6"/>
      <c r="BD2471" s="6"/>
      <c r="BE2471" s="6"/>
      <c r="BV2471" s="17"/>
      <c r="BX2471" s="17"/>
      <c r="BZ2471" s="17"/>
    </row>
    <row r="2472" spans="4:78" x14ac:dyDescent="0.3">
      <c r="D2472" s="153"/>
      <c r="E2472" s="6"/>
      <c r="G2472" s="6"/>
      <c r="J2472" s="6"/>
      <c r="N2472" s="154"/>
      <c r="O2472" s="6"/>
      <c r="S2472" s="6"/>
      <c r="V2472" s="6"/>
      <c r="X2472" s="6"/>
      <c r="Z2472" s="110"/>
      <c r="AB2472" s="6"/>
      <c r="AD2472" s="6"/>
      <c r="AE2472" s="6"/>
      <c r="AF2472" s="126"/>
      <c r="AJ2472" s="6"/>
      <c r="AL2472" s="110"/>
      <c r="AM2472" s="110"/>
      <c r="AN2472" s="110"/>
      <c r="AP2472" s="6"/>
      <c r="AW2472" s="6"/>
      <c r="AX2472" s="6"/>
      <c r="AZ2472" s="110"/>
      <c r="BB2472" s="6"/>
      <c r="BD2472" s="6"/>
      <c r="BE2472" s="6"/>
      <c r="BV2472" s="17"/>
      <c r="BX2472" s="17"/>
      <c r="BZ2472" s="17"/>
    </row>
    <row r="2473" spans="4:78" x14ac:dyDescent="0.3">
      <c r="D2473" s="153"/>
      <c r="E2473" s="6"/>
      <c r="G2473" s="6"/>
      <c r="J2473" s="6"/>
      <c r="N2473" s="154"/>
      <c r="O2473" s="6"/>
      <c r="S2473" s="6"/>
      <c r="V2473" s="6"/>
      <c r="X2473" s="6"/>
      <c r="Z2473" s="110"/>
      <c r="AB2473" s="6"/>
      <c r="AD2473" s="6"/>
      <c r="AE2473" s="6"/>
      <c r="AF2473" s="126"/>
      <c r="AJ2473" s="6"/>
      <c r="AL2473" s="110"/>
      <c r="AM2473" s="110"/>
      <c r="AN2473" s="110"/>
      <c r="AP2473" s="6"/>
      <c r="AW2473" s="6"/>
      <c r="AX2473" s="6"/>
      <c r="AZ2473" s="110"/>
      <c r="BB2473" s="6"/>
      <c r="BD2473" s="6"/>
      <c r="BE2473" s="6"/>
      <c r="BV2473" s="17"/>
      <c r="BX2473" s="17"/>
      <c r="BZ2473" s="17"/>
    </row>
    <row r="2474" spans="4:78" x14ac:dyDescent="0.3">
      <c r="D2474" s="153"/>
      <c r="E2474" s="6"/>
      <c r="G2474" s="6"/>
      <c r="J2474" s="6"/>
      <c r="N2474" s="154"/>
      <c r="O2474" s="6"/>
      <c r="S2474" s="6"/>
      <c r="V2474" s="6"/>
      <c r="X2474" s="6"/>
      <c r="Z2474" s="110"/>
      <c r="AB2474" s="6"/>
      <c r="AD2474" s="6"/>
      <c r="AE2474" s="6"/>
      <c r="AF2474" s="126"/>
      <c r="AJ2474" s="6"/>
      <c r="AL2474" s="110"/>
      <c r="AM2474" s="110"/>
      <c r="AN2474" s="110"/>
      <c r="AP2474" s="6"/>
      <c r="AW2474" s="6"/>
      <c r="AX2474" s="6"/>
      <c r="AZ2474" s="110"/>
      <c r="BB2474" s="6"/>
      <c r="BD2474" s="6"/>
      <c r="BE2474" s="6"/>
      <c r="BV2474" s="17"/>
      <c r="BX2474" s="17"/>
      <c r="BZ2474" s="17"/>
    </row>
    <row r="2475" spans="4:78" x14ac:dyDescent="0.3">
      <c r="D2475" s="153"/>
      <c r="E2475" s="6"/>
      <c r="G2475" s="6"/>
      <c r="J2475" s="6"/>
      <c r="N2475" s="154"/>
      <c r="O2475" s="6"/>
      <c r="S2475" s="6"/>
      <c r="V2475" s="6"/>
      <c r="X2475" s="6"/>
      <c r="Z2475" s="110"/>
      <c r="AB2475" s="6"/>
      <c r="AD2475" s="6"/>
      <c r="AE2475" s="6"/>
      <c r="AF2475" s="126"/>
      <c r="AJ2475" s="6"/>
      <c r="AL2475" s="110"/>
      <c r="AM2475" s="110"/>
      <c r="AN2475" s="110"/>
      <c r="AP2475" s="6"/>
      <c r="AW2475" s="6"/>
      <c r="AX2475" s="6"/>
      <c r="AZ2475" s="110"/>
      <c r="BB2475" s="6"/>
      <c r="BD2475" s="6"/>
      <c r="BE2475" s="6"/>
      <c r="BV2475" s="17"/>
      <c r="BX2475" s="17"/>
      <c r="BZ2475" s="17"/>
    </row>
    <row r="2476" spans="4:78" x14ac:dyDescent="0.3">
      <c r="D2476" s="153"/>
      <c r="E2476" s="6"/>
      <c r="G2476" s="6"/>
      <c r="J2476" s="6"/>
      <c r="N2476" s="154"/>
      <c r="O2476" s="6"/>
      <c r="S2476" s="6"/>
      <c r="V2476" s="6"/>
      <c r="X2476" s="6"/>
      <c r="Z2476" s="110"/>
      <c r="AB2476" s="6"/>
      <c r="AD2476" s="6"/>
      <c r="AE2476" s="6"/>
      <c r="AF2476" s="126"/>
      <c r="AJ2476" s="6"/>
      <c r="AL2476" s="110"/>
      <c r="AM2476" s="110"/>
      <c r="AN2476" s="110"/>
      <c r="AP2476" s="6"/>
      <c r="AW2476" s="6"/>
      <c r="AX2476" s="6"/>
      <c r="AZ2476" s="110"/>
      <c r="BB2476" s="6"/>
      <c r="BD2476" s="6"/>
      <c r="BE2476" s="6"/>
      <c r="BV2476" s="17"/>
      <c r="BX2476" s="17"/>
      <c r="BZ2476" s="17"/>
    </row>
    <row r="2477" spans="4:78" x14ac:dyDescent="0.3">
      <c r="D2477" s="153"/>
      <c r="E2477" s="6"/>
      <c r="G2477" s="6"/>
      <c r="J2477" s="6"/>
      <c r="N2477" s="154"/>
      <c r="O2477" s="6"/>
      <c r="S2477" s="6"/>
      <c r="V2477" s="6"/>
      <c r="X2477" s="6"/>
      <c r="Z2477" s="110"/>
      <c r="AB2477" s="6"/>
      <c r="AD2477" s="6"/>
      <c r="AE2477" s="6"/>
      <c r="AF2477" s="126"/>
      <c r="AJ2477" s="6"/>
      <c r="AL2477" s="110"/>
      <c r="AM2477" s="110"/>
      <c r="AN2477" s="110"/>
      <c r="AP2477" s="6"/>
      <c r="AW2477" s="6"/>
      <c r="AX2477" s="6"/>
      <c r="AZ2477" s="110"/>
      <c r="BB2477" s="6"/>
      <c r="BD2477" s="6"/>
      <c r="BE2477" s="6"/>
      <c r="BV2477" s="17"/>
      <c r="BX2477" s="17"/>
      <c r="BZ2477" s="17"/>
    </row>
    <row r="2478" spans="4:78" x14ac:dyDescent="0.3">
      <c r="D2478" s="153"/>
      <c r="E2478" s="6"/>
      <c r="G2478" s="6"/>
      <c r="J2478" s="6"/>
      <c r="N2478" s="154"/>
      <c r="O2478" s="6"/>
      <c r="S2478" s="6"/>
      <c r="V2478" s="6"/>
      <c r="X2478" s="6"/>
      <c r="Z2478" s="110"/>
      <c r="AB2478" s="6"/>
      <c r="AD2478" s="6"/>
      <c r="AE2478" s="6"/>
      <c r="AF2478" s="126"/>
      <c r="AJ2478" s="6"/>
      <c r="AL2478" s="110"/>
      <c r="AM2478" s="110"/>
      <c r="AN2478" s="110"/>
      <c r="AP2478" s="6"/>
      <c r="AW2478" s="6"/>
      <c r="AX2478" s="6"/>
      <c r="AZ2478" s="110"/>
      <c r="BB2478" s="6"/>
      <c r="BD2478" s="6"/>
      <c r="BE2478" s="6"/>
      <c r="BV2478" s="17"/>
      <c r="BX2478" s="17"/>
      <c r="BZ2478" s="17"/>
    </row>
    <row r="2479" spans="4:78" x14ac:dyDescent="0.3">
      <c r="D2479" s="153"/>
      <c r="E2479" s="6"/>
      <c r="G2479" s="6"/>
      <c r="J2479" s="6"/>
      <c r="N2479" s="154"/>
      <c r="O2479" s="6"/>
      <c r="S2479" s="6"/>
      <c r="V2479" s="6"/>
      <c r="X2479" s="6"/>
      <c r="Z2479" s="110"/>
      <c r="AB2479" s="6"/>
      <c r="AD2479" s="6"/>
      <c r="AE2479" s="6"/>
      <c r="AF2479" s="126"/>
      <c r="AJ2479" s="6"/>
      <c r="AL2479" s="110"/>
      <c r="AM2479" s="110"/>
      <c r="AN2479" s="110"/>
      <c r="AP2479" s="6"/>
      <c r="AW2479" s="6"/>
      <c r="AX2479" s="6"/>
      <c r="AZ2479" s="110"/>
      <c r="BB2479" s="6"/>
      <c r="BD2479" s="6"/>
      <c r="BE2479" s="6"/>
      <c r="BV2479" s="17"/>
      <c r="BX2479" s="17"/>
      <c r="BZ2479" s="17"/>
    </row>
    <row r="2480" spans="4:78" x14ac:dyDescent="0.3">
      <c r="D2480" s="153"/>
      <c r="E2480" s="6"/>
      <c r="G2480" s="6"/>
      <c r="J2480" s="6"/>
      <c r="N2480" s="154"/>
      <c r="O2480" s="6"/>
      <c r="S2480" s="6"/>
      <c r="V2480" s="6"/>
      <c r="X2480" s="6"/>
      <c r="Z2480" s="110"/>
      <c r="AB2480" s="6"/>
      <c r="AD2480" s="6"/>
      <c r="AE2480" s="6"/>
      <c r="AF2480" s="126"/>
      <c r="AJ2480" s="6"/>
      <c r="AL2480" s="110"/>
      <c r="AM2480" s="110"/>
      <c r="AN2480" s="110"/>
      <c r="AP2480" s="6"/>
      <c r="AW2480" s="6"/>
      <c r="AX2480" s="6"/>
      <c r="AZ2480" s="110"/>
      <c r="BB2480" s="6"/>
      <c r="BD2480" s="6"/>
      <c r="BE2480" s="6"/>
      <c r="BV2480" s="17"/>
      <c r="BX2480" s="17"/>
      <c r="BZ2480" s="17"/>
    </row>
    <row r="2481" spans="4:78" x14ac:dyDescent="0.3">
      <c r="D2481" s="153"/>
      <c r="E2481" s="6"/>
      <c r="G2481" s="6"/>
      <c r="J2481" s="6"/>
      <c r="N2481" s="154"/>
      <c r="O2481" s="6"/>
      <c r="S2481" s="6"/>
      <c r="V2481" s="6"/>
      <c r="X2481" s="6"/>
      <c r="Z2481" s="110"/>
      <c r="AB2481" s="6"/>
      <c r="AD2481" s="6"/>
      <c r="AE2481" s="6"/>
      <c r="AF2481" s="126"/>
      <c r="AJ2481" s="6"/>
      <c r="AL2481" s="110"/>
      <c r="AM2481" s="110"/>
      <c r="AN2481" s="110"/>
      <c r="AP2481" s="6"/>
      <c r="AW2481" s="6"/>
      <c r="AX2481" s="6"/>
      <c r="AZ2481" s="110"/>
      <c r="BB2481" s="6"/>
      <c r="BD2481" s="6"/>
      <c r="BE2481" s="6"/>
      <c r="BV2481" s="17"/>
      <c r="BX2481" s="17"/>
      <c r="BZ2481" s="17"/>
    </row>
    <row r="2482" spans="4:78" x14ac:dyDescent="0.3">
      <c r="D2482" s="153"/>
      <c r="E2482" s="6"/>
      <c r="G2482" s="6"/>
      <c r="J2482" s="6"/>
      <c r="N2482" s="154"/>
      <c r="O2482" s="6"/>
      <c r="S2482" s="6"/>
      <c r="V2482" s="6"/>
      <c r="X2482" s="6"/>
      <c r="Z2482" s="110"/>
      <c r="AB2482" s="6"/>
      <c r="AD2482" s="6"/>
      <c r="AE2482" s="6"/>
      <c r="AF2482" s="126"/>
      <c r="AJ2482" s="6"/>
      <c r="AL2482" s="110"/>
      <c r="AM2482" s="110"/>
      <c r="AN2482" s="110"/>
      <c r="AP2482" s="6"/>
      <c r="AW2482" s="6"/>
      <c r="AX2482" s="6"/>
      <c r="AZ2482" s="110"/>
      <c r="BB2482" s="6"/>
      <c r="BD2482" s="6"/>
      <c r="BE2482" s="6"/>
      <c r="BV2482" s="17"/>
      <c r="BX2482" s="17"/>
      <c r="BZ2482" s="17"/>
    </row>
    <row r="2483" spans="4:78" x14ac:dyDescent="0.3">
      <c r="D2483" s="153"/>
      <c r="E2483" s="6"/>
      <c r="G2483" s="6"/>
      <c r="J2483" s="6"/>
      <c r="N2483" s="154"/>
      <c r="O2483" s="6"/>
      <c r="S2483" s="6"/>
      <c r="V2483" s="6"/>
      <c r="X2483" s="6"/>
      <c r="Z2483" s="110"/>
      <c r="AB2483" s="6"/>
      <c r="AD2483" s="6"/>
      <c r="AE2483" s="6"/>
      <c r="AF2483" s="126"/>
      <c r="AJ2483" s="6"/>
      <c r="AL2483" s="110"/>
      <c r="AM2483" s="110"/>
      <c r="AN2483" s="110"/>
      <c r="AP2483" s="6"/>
      <c r="AW2483" s="6"/>
      <c r="AX2483" s="6"/>
      <c r="AZ2483" s="110"/>
      <c r="BB2483" s="6"/>
      <c r="BD2483" s="6"/>
      <c r="BE2483" s="6"/>
      <c r="BV2483" s="17"/>
      <c r="BX2483" s="17"/>
      <c r="BZ2483" s="17"/>
    </row>
    <row r="2484" spans="4:78" x14ac:dyDescent="0.3">
      <c r="D2484" s="153"/>
      <c r="E2484" s="6"/>
      <c r="G2484" s="6"/>
      <c r="J2484" s="6"/>
      <c r="N2484" s="154"/>
      <c r="O2484" s="6"/>
      <c r="S2484" s="6"/>
      <c r="V2484" s="6"/>
      <c r="X2484" s="6"/>
      <c r="Z2484" s="110"/>
      <c r="AB2484" s="6"/>
      <c r="AD2484" s="6"/>
      <c r="AE2484" s="6"/>
      <c r="AF2484" s="126"/>
      <c r="AJ2484" s="6"/>
      <c r="AL2484" s="110"/>
      <c r="AM2484" s="110"/>
      <c r="AN2484" s="110"/>
      <c r="AP2484" s="6"/>
      <c r="AW2484" s="6"/>
      <c r="AX2484" s="6"/>
      <c r="AZ2484" s="110"/>
      <c r="BB2484" s="6"/>
      <c r="BD2484" s="6"/>
      <c r="BE2484" s="6"/>
      <c r="BV2484" s="17"/>
      <c r="BX2484" s="17"/>
      <c r="BZ2484" s="17"/>
    </row>
    <row r="2485" spans="4:78" x14ac:dyDescent="0.3">
      <c r="D2485" s="153"/>
      <c r="E2485" s="6"/>
      <c r="G2485" s="6"/>
      <c r="J2485" s="6"/>
      <c r="N2485" s="154"/>
      <c r="O2485" s="6"/>
      <c r="S2485" s="6"/>
      <c r="V2485" s="6"/>
      <c r="X2485" s="6"/>
      <c r="Z2485" s="110"/>
      <c r="AB2485" s="6"/>
      <c r="AD2485" s="6"/>
      <c r="AE2485" s="6"/>
      <c r="AF2485" s="126"/>
      <c r="AJ2485" s="6"/>
      <c r="AL2485" s="110"/>
      <c r="AM2485" s="110"/>
      <c r="AN2485" s="110"/>
      <c r="AP2485" s="6"/>
      <c r="AW2485" s="6"/>
      <c r="AX2485" s="6"/>
      <c r="AZ2485" s="110"/>
      <c r="BB2485" s="6"/>
      <c r="BD2485" s="6"/>
      <c r="BE2485" s="6"/>
      <c r="BV2485" s="17"/>
      <c r="BX2485" s="17"/>
      <c r="BZ2485" s="17"/>
    </row>
    <row r="2486" spans="4:78" x14ac:dyDescent="0.3">
      <c r="D2486" s="153"/>
      <c r="E2486" s="6"/>
      <c r="G2486" s="6"/>
      <c r="J2486" s="6"/>
      <c r="N2486" s="154"/>
      <c r="O2486" s="6"/>
      <c r="S2486" s="6"/>
      <c r="V2486" s="6"/>
      <c r="X2486" s="6"/>
      <c r="Z2486" s="110"/>
      <c r="AB2486" s="6"/>
      <c r="AD2486" s="6"/>
      <c r="AE2486" s="6"/>
      <c r="AF2486" s="126"/>
      <c r="AJ2486" s="6"/>
      <c r="AL2486" s="110"/>
      <c r="AM2486" s="110"/>
      <c r="AN2486" s="110"/>
      <c r="AP2486" s="6"/>
      <c r="AW2486" s="6"/>
      <c r="AX2486" s="6"/>
      <c r="AZ2486" s="110"/>
      <c r="BB2486" s="6"/>
      <c r="BD2486" s="6"/>
      <c r="BE2486" s="6"/>
      <c r="BV2486" s="17"/>
      <c r="BX2486" s="17"/>
      <c r="BZ2486" s="17"/>
    </row>
    <row r="2487" spans="4:78" x14ac:dyDescent="0.3">
      <c r="D2487" s="153"/>
      <c r="E2487" s="6"/>
      <c r="G2487" s="6"/>
      <c r="J2487" s="6"/>
      <c r="N2487" s="154"/>
      <c r="O2487" s="6"/>
      <c r="S2487" s="6"/>
      <c r="V2487" s="6"/>
      <c r="X2487" s="6"/>
      <c r="Z2487" s="110"/>
      <c r="AB2487" s="6"/>
      <c r="AD2487" s="6"/>
      <c r="AE2487" s="6"/>
      <c r="AF2487" s="126"/>
      <c r="AJ2487" s="6"/>
      <c r="AL2487" s="110"/>
      <c r="AM2487" s="110"/>
      <c r="AN2487" s="110"/>
      <c r="AP2487" s="6"/>
      <c r="AW2487" s="6"/>
      <c r="AX2487" s="6"/>
      <c r="AZ2487" s="110"/>
      <c r="BB2487" s="6"/>
      <c r="BD2487" s="6"/>
      <c r="BE2487" s="6"/>
      <c r="BV2487" s="17"/>
      <c r="BX2487" s="17"/>
      <c r="BZ2487" s="17"/>
    </row>
    <row r="2488" spans="4:78" x14ac:dyDescent="0.3">
      <c r="D2488" s="153"/>
      <c r="E2488" s="6"/>
      <c r="G2488" s="6"/>
      <c r="J2488" s="6"/>
      <c r="N2488" s="154"/>
      <c r="O2488" s="6"/>
      <c r="S2488" s="6"/>
      <c r="V2488" s="6"/>
      <c r="X2488" s="6"/>
      <c r="Z2488" s="110"/>
      <c r="AB2488" s="6"/>
      <c r="AD2488" s="6"/>
      <c r="AE2488" s="6"/>
      <c r="AF2488" s="126"/>
      <c r="AJ2488" s="6"/>
      <c r="AL2488" s="110"/>
      <c r="AM2488" s="110"/>
      <c r="AN2488" s="110"/>
      <c r="AP2488" s="6"/>
      <c r="AW2488" s="6"/>
      <c r="AX2488" s="6"/>
      <c r="AZ2488" s="110"/>
      <c r="BB2488" s="6"/>
      <c r="BD2488" s="6"/>
      <c r="BE2488" s="6"/>
      <c r="BV2488" s="17"/>
      <c r="BX2488" s="17"/>
      <c r="BZ2488" s="17"/>
    </row>
    <row r="2489" spans="4:78" x14ac:dyDescent="0.3">
      <c r="D2489" s="153"/>
      <c r="E2489" s="6"/>
      <c r="G2489" s="6"/>
      <c r="J2489" s="6"/>
      <c r="N2489" s="154"/>
      <c r="O2489" s="6"/>
      <c r="S2489" s="6"/>
      <c r="V2489" s="6"/>
      <c r="X2489" s="6"/>
      <c r="Z2489" s="110"/>
      <c r="AB2489" s="6"/>
      <c r="AD2489" s="6"/>
      <c r="AE2489" s="6"/>
      <c r="AF2489" s="126"/>
      <c r="AJ2489" s="6"/>
      <c r="AL2489" s="110"/>
      <c r="AM2489" s="110"/>
      <c r="AN2489" s="110"/>
      <c r="AP2489" s="6"/>
      <c r="AW2489" s="6"/>
      <c r="AX2489" s="6"/>
      <c r="AZ2489" s="110"/>
      <c r="BB2489" s="6"/>
      <c r="BD2489" s="6"/>
      <c r="BE2489" s="6"/>
      <c r="BV2489" s="17"/>
      <c r="BX2489" s="17"/>
      <c r="BZ2489" s="17"/>
    </row>
    <row r="2490" spans="4:78" x14ac:dyDescent="0.3">
      <c r="D2490" s="153"/>
      <c r="E2490" s="6"/>
      <c r="G2490" s="6"/>
      <c r="J2490" s="6"/>
      <c r="N2490" s="154"/>
      <c r="O2490" s="6"/>
      <c r="S2490" s="6"/>
      <c r="V2490" s="6"/>
      <c r="X2490" s="6"/>
      <c r="Z2490" s="110"/>
      <c r="AB2490" s="6"/>
      <c r="AD2490" s="6"/>
      <c r="AE2490" s="6"/>
      <c r="AF2490" s="126"/>
      <c r="AJ2490" s="6"/>
      <c r="AL2490" s="110"/>
      <c r="AM2490" s="110"/>
      <c r="AN2490" s="110"/>
      <c r="AP2490" s="6"/>
      <c r="AW2490" s="6"/>
      <c r="AX2490" s="6"/>
      <c r="AZ2490" s="110"/>
      <c r="BB2490" s="6"/>
      <c r="BD2490" s="6"/>
      <c r="BE2490" s="6"/>
      <c r="BV2490" s="17"/>
      <c r="BX2490" s="17"/>
      <c r="BZ2490" s="17"/>
    </row>
    <row r="2491" spans="4:78" x14ac:dyDescent="0.3">
      <c r="D2491" s="153"/>
      <c r="E2491" s="6"/>
      <c r="G2491" s="6"/>
      <c r="J2491" s="6"/>
      <c r="N2491" s="154"/>
      <c r="O2491" s="6"/>
      <c r="S2491" s="6"/>
      <c r="V2491" s="6"/>
      <c r="X2491" s="6"/>
      <c r="Z2491" s="110"/>
      <c r="AB2491" s="6"/>
      <c r="AD2491" s="6"/>
      <c r="AE2491" s="6"/>
      <c r="AF2491" s="126"/>
      <c r="AJ2491" s="6"/>
      <c r="AL2491" s="110"/>
      <c r="AM2491" s="110"/>
      <c r="AN2491" s="110"/>
      <c r="AP2491" s="6"/>
      <c r="AW2491" s="6"/>
      <c r="AX2491" s="6"/>
      <c r="AZ2491" s="110"/>
      <c r="BB2491" s="6"/>
      <c r="BD2491" s="6"/>
      <c r="BE2491" s="6"/>
      <c r="BV2491" s="17"/>
      <c r="BX2491" s="17"/>
      <c r="BZ2491" s="17"/>
    </row>
    <row r="2492" spans="4:78" x14ac:dyDescent="0.3">
      <c r="D2492" s="153"/>
      <c r="E2492" s="6"/>
      <c r="G2492" s="6"/>
      <c r="J2492" s="6"/>
      <c r="N2492" s="154"/>
      <c r="O2492" s="6"/>
      <c r="S2492" s="6"/>
      <c r="V2492" s="6"/>
      <c r="X2492" s="6"/>
      <c r="Z2492" s="110"/>
      <c r="AB2492" s="6"/>
      <c r="AD2492" s="6"/>
      <c r="AE2492" s="6"/>
      <c r="AF2492" s="126"/>
      <c r="AJ2492" s="6"/>
      <c r="AL2492" s="110"/>
      <c r="AM2492" s="110"/>
      <c r="AN2492" s="110"/>
      <c r="AP2492" s="6"/>
      <c r="AW2492" s="6"/>
      <c r="AX2492" s="6"/>
      <c r="AZ2492" s="110"/>
      <c r="BB2492" s="6"/>
      <c r="BD2492" s="6"/>
      <c r="BE2492" s="6"/>
      <c r="BV2492" s="17"/>
      <c r="BX2492" s="17"/>
      <c r="BZ2492" s="17"/>
    </row>
    <row r="2493" spans="4:78" x14ac:dyDescent="0.3">
      <c r="D2493" s="153"/>
      <c r="E2493" s="6"/>
      <c r="G2493" s="6"/>
      <c r="J2493" s="6"/>
      <c r="N2493" s="154"/>
      <c r="O2493" s="6"/>
      <c r="S2493" s="6"/>
      <c r="V2493" s="6"/>
      <c r="X2493" s="6"/>
      <c r="Z2493" s="110"/>
      <c r="AB2493" s="6"/>
      <c r="AD2493" s="6"/>
      <c r="AE2493" s="6"/>
      <c r="AF2493" s="126"/>
      <c r="AJ2493" s="6"/>
      <c r="AL2493" s="110"/>
      <c r="AM2493" s="110"/>
      <c r="AN2493" s="110"/>
      <c r="AP2493" s="6"/>
      <c r="AW2493" s="6"/>
      <c r="AX2493" s="6"/>
      <c r="AZ2493" s="110"/>
      <c r="BB2493" s="6"/>
      <c r="BD2493" s="6"/>
      <c r="BE2493" s="6"/>
      <c r="BV2493" s="17"/>
      <c r="BX2493" s="17"/>
      <c r="BZ2493" s="17"/>
    </row>
    <row r="2494" spans="4:78" x14ac:dyDescent="0.3">
      <c r="D2494" s="153"/>
      <c r="E2494" s="6"/>
      <c r="G2494" s="6"/>
      <c r="J2494" s="6"/>
      <c r="N2494" s="154"/>
      <c r="O2494" s="6"/>
      <c r="S2494" s="6"/>
      <c r="V2494" s="6"/>
      <c r="X2494" s="6"/>
      <c r="Z2494" s="110"/>
      <c r="AB2494" s="6"/>
      <c r="AD2494" s="6"/>
      <c r="AE2494" s="6"/>
      <c r="AF2494" s="126"/>
      <c r="AJ2494" s="6"/>
      <c r="AL2494" s="110"/>
      <c r="AM2494" s="110"/>
      <c r="AN2494" s="110"/>
      <c r="AP2494" s="6"/>
      <c r="AW2494" s="6"/>
      <c r="AX2494" s="6"/>
      <c r="AZ2494" s="110"/>
      <c r="BB2494" s="6"/>
      <c r="BD2494" s="6"/>
      <c r="BE2494" s="6"/>
      <c r="BV2494" s="17"/>
      <c r="BX2494" s="17"/>
      <c r="BZ2494" s="17"/>
    </row>
    <row r="2495" spans="4:78" x14ac:dyDescent="0.3">
      <c r="D2495" s="153"/>
      <c r="E2495" s="6"/>
      <c r="G2495" s="6"/>
      <c r="J2495" s="6"/>
      <c r="N2495" s="154"/>
      <c r="O2495" s="6"/>
      <c r="S2495" s="6"/>
      <c r="V2495" s="6"/>
      <c r="X2495" s="6"/>
      <c r="Z2495" s="110"/>
      <c r="AB2495" s="6"/>
      <c r="AD2495" s="6"/>
      <c r="AE2495" s="6"/>
      <c r="AF2495" s="126"/>
      <c r="AJ2495" s="6"/>
      <c r="AL2495" s="110"/>
      <c r="AM2495" s="110"/>
      <c r="AN2495" s="110"/>
      <c r="AP2495" s="6"/>
      <c r="AW2495" s="6"/>
      <c r="AX2495" s="6"/>
      <c r="AZ2495" s="110"/>
      <c r="BB2495" s="6"/>
      <c r="BD2495" s="6"/>
      <c r="BE2495" s="6"/>
      <c r="BV2495" s="17"/>
      <c r="BX2495" s="17"/>
      <c r="BZ2495" s="17"/>
    </row>
    <row r="2496" spans="4:78" x14ac:dyDescent="0.3">
      <c r="D2496" s="153"/>
      <c r="E2496" s="6"/>
      <c r="G2496" s="6"/>
      <c r="J2496" s="6"/>
      <c r="N2496" s="154"/>
      <c r="O2496" s="6"/>
      <c r="S2496" s="6"/>
      <c r="V2496" s="6"/>
      <c r="X2496" s="6"/>
      <c r="Z2496" s="110"/>
      <c r="AB2496" s="6"/>
      <c r="AD2496" s="6"/>
      <c r="AE2496" s="6"/>
      <c r="AF2496" s="126"/>
      <c r="AJ2496" s="6"/>
      <c r="AL2496" s="110"/>
      <c r="AM2496" s="110"/>
      <c r="AN2496" s="110"/>
      <c r="AP2496" s="6"/>
      <c r="AW2496" s="6"/>
      <c r="AX2496" s="6"/>
      <c r="AZ2496" s="110"/>
      <c r="BB2496" s="6"/>
      <c r="BD2496" s="6"/>
      <c r="BE2496" s="6"/>
      <c r="BV2496" s="17"/>
      <c r="BX2496" s="17"/>
      <c r="BZ2496" s="17"/>
    </row>
    <row r="2497" spans="4:78" x14ac:dyDescent="0.3">
      <c r="D2497" s="153"/>
      <c r="E2497" s="6"/>
      <c r="G2497" s="6"/>
      <c r="J2497" s="6"/>
      <c r="N2497" s="154"/>
      <c r="O2497" s="6"/>
      <c r="S2497" s="6"/>
      <c r="V2497" s="6"/>
      <c r="X2497" s="6"/>
      <c r="Z2497" s="110"/>
      <c r="AB2497" s="6"/>
      <c r="AD2497" s="6"/>
      <c r="AE2497" s="6"/>
      <c r="AF2497" s="126"/>
      <c r="AJ2497" s="6"/>
      <c r="AL2497" s="110"/>
      <c r="AM2497" s="110"/>
      <c r="AN2497" s="110"/>
      <c r="AP2497" s="6"/>
      <c r="AW2497" s="6"/>
      <c r="AX2497" s="6"/>
      <c r="AZ2497" s="110"/>
      <c r="BB2497" s="6"/>
      <c r="BD2497" s="6"/>
      <c r="BE2497" s="6"/>
      <c r="BV2497" s="17"/>
      <c r="BX2497" s="17"/>
      <c r="BZ2497" s="17"/>
    </row>
    <row r="2498" spans="4:78" x14ac:dyDescent="0.3">
      <c r="D2498" s="153"/>
      <c r="E2498" s="6"/>
      <c r="G2498" s="6"/>
      <c r="J2498" s="6"/>
      <c r="N2498" s="154"/>
      <c r="O2498" s="6"/>
      <c r="S2498" s="6"/>
      <c r="V2498" s="6"/>
      <c r="X2498" s="6"/>
      <c r="Z2498" s="110"/>
      <c r="AB2498" s="6"/>
      <c r="AD2498" s="6"/>
      <c r="AE2498" s="6"/>
      <c r="AF2498" s="126"/>
      <c r="AJ2498" s="6"/>
      <c r="AL2498" s="110"/>
      <c r="AM2498" s="110"/>
      <c r="AN2498" s="110"/>
      <c r="AP2498" s="6"/>
      <c r="AW2498" s="6"/>
      <c r="AX2498" s="6"/>
      <c r="AZ2498" s="110"/>
      <c r="BB2498" s="6"/>
      <c r="BD2498" s="6"/>
      <c r="BE2498" s="6"/>
      <c r="BV2498" s="17"/>
      <c r="BX2498" s="17"/>
      <c r="BZ2498" s="17"/>
    </row>
    <row r="2499" spans="4:78" x14ac:dyDescent="0.3">
      <c r="D2499" s="153"/>
      <c r="E2499" s="6"/>
      <c r="G2499" s="6"/>
      <c r="J2499" s="6"/>
      <c r="N2499" s="154"/>
      <c r="O2499" s="6"/>
      <c r="S2499" s="6"/>
      <c r="V2499" s="6"/>
      <c r="X2499" s="6"/>
      <c r="Z2499" s="110"/>
      <c r="AB2499" s="6"/>
      <c r="AD2499" s="6"/>
      <c r="AE2499" s="6"/>
      <c r="AF2499" s="126"/>
      <c r="AJ2499" s="6"/>
      <c r="AL2499" s="110"/>
      <c r="AM2499" s="110"/>
      <c r="AN2499" s="110"/>
      <c r="AP2499" s="6"/>
      <c r="AW2499" s="6"/>
      <c r="AX2499" s="6"/>
      <c r="AZ2499" s="110"/>
      <c r="BB2499" s="6"/>
      <c r="BD2499" s="6"/>
      <c r="BE2499" s="6"/>
      <c r="BV2499" s="17"/>
      <c r="BX2499" s="17"/>
      <c r="BZ2499" s="17"/>
    </row>
    <row r="2500" spans="4:78" x14ac:dyDescent="0.3">
      <c r="D2500" s="153"/>
      <c r="E2500" s="6"/>
      <c r="G2500" s="6"/>
      <c r="J2500" s="6"/>
      <c r="N2500" s="154"/>
      <c r="O2500" s="6"/>
      <c r="S2500" s="6"/>
      <c r="V2500" s="6"/>
      <c r="X2500" s="6"/>
      <c r="Z2500" s="110"/>
      <c r="AB2500" s="6"/>
      <c r="AD2500" s="6"/>
      <c r="AE2500" s="6"/>
      <c r="AF2500" s="126"/>
      <c r="AJ2500" s="6"/>
      <c r="AL2500" s="110"/>
      <c r="AM2500" s="110"/>
      <c r="AN2500" s="110"/>
      <c r="AP2500" s="6"/>
      <c r="AW2500" s="6"/>
      <c r="AX2500" s="6"/>
      <c r="AZ2500" s="110"/>
      <c r="BB2500" s="6"/>
      <c r="BD2500" s="6"/>
      <c r="BE2500" s="6"/>
      <c r="BV2500" s="17"/>
      <c r="BX2500" s="17"/>
      <c r="BZ2500" s="17"/>
    </row>
    <row r="2501" spans="4:78" x14ac:dyDescent="0.3">
      <c r="D2501" s="153"/>
      <c r="E2501" s="6"/>
      <c r="G2501" s="6"/>
      <c r="J2501" s="6"/>
      <c r="N2501" s="154"/>
      <c r="O2501" s="6"/>
      <c r="S2501" s="6"/>
      <c r="V2501" s="6"/>
      <c r="X2501" s="6"/>
      <c r="Z2501" s="110"/>
      <c r="AB2501" s="6"/>
      <c r="AD2501" s="6"/>
      <c r="AE2501" s="6"/>
      <c r="AF2501" s="126"/>
      <c r="AJ2501" s="6"/>
      <c r="AL2501" s="110"/>
      <c r="AM2501" s="110"/>
      <c r="AN2501" s="110"/>
      <c r="AP2501" s="6"/>
      <c r="AW2501" s="6"/>
      <c r="AX2501" s="6"/>
      <c r="AZ2501" s="110"/>
      <c r="BB2501" s="6"/>
      <c r="BD2501" s="6"/>
      <c r="BE2501" s="6"/>
      <c r="BV2501" s="17"/>
      <c r="BX2501" s="17"/>
      <c r="BZ2501" s="17"/>
    </row>
    <row r="2502" spans="4:78" x14ac:dyDescent="0.3">
      <c r="D2502" s="153"/>
      <c r="E2502" s="6"/>
      <c r="G2502" s="6"/>
      <c r="J2502" s="6"/>
      <c r="N2502" s="154"/>
      <c r="O2502" s="6"/>
      <c r="S2502" s="6"/>
      <c r="V2502" s="6"/>
      <c r="X2502" s="6"/>
      <c r="Z2502" s="110"/>
      <c r="AB2502" s="6"/>
      <c r="AD2502" s="6"/>
      <c r="AE2502" s="6"/>
      <c r="AF2502" s="126"/>
      <c r="AJ2502" s="6"/>
      <c r="AL2502" s="110"/>
      <c r="AM2502" s="110"/>
      <c r="AN2502" s="110"/>
      <c r="AP2502" s="6"/>
      <c r="AW2502" s="6"/>
      <c r="AX2502" s="6"/>
      <c r="AZ2502" s="110"/>
      <c r="BB2502" s="6"/>
      <c r="BD2502" s="6"/>
      <c r="BE2502" s="6"/>
      <c r="BV2502" s="17"/>
      <c r="BX2502" s="17"/>
      <c r="BZ2502" s="17"/>
    </row>
    <row r="2503" spans="4:78" x14ac:dyDescent="0.3">
      <c r="D2503" s="153"/>
      <c r="E2503" s="6"/>
      <c r="G2503" s="6"/>
      <c r="J2503" s="6"/>
      <c r="N2503" s="154"/>
      <c r="O2503" s="6"/>
      <c r="S2503" s="6"/>
      <c r="V2503" s="6"/>
      <c r="X2503" s="6"/>
      <c r="Z2503" s="110"/>
      <c r="AB2503" s="6"/>
      <c r="AD2503" s="6"/>
      <c r="AE2503" s="6"/>
      <c r="AF2503" s="126"/>
      <c r="AJ2503" s="6"/>
      <c r="AL2503" s="110"/>
      <c r="AM2503" s="110"/>
      <c r="AN2503" s="110"/>
      <c r="AP2503" s="6"/>
      <c r="AW2503" s="6"/>
      <c r="AX2503" s="6"/>
      <c r="AZ2503" s="110"/>
      <c r="BB2503" s="6"/>
      <c r="BD2503" s="6"/>
      <c r="BE2503" s="6"/>
      <c r="BV2503" s="17"/>
      <c r="BX2503" s="17"/>
      <c r="BZ2503" s="17"/>
    </row>
    <row r="2504" spans="4:78" x14ac:dyDescent="0.3">
      <c r="D2504" s="153"/>
      <c r="E2504" s="6"/>
      <c r="G2504" s="6"/>
      <c r="J2504" s="6"/>
      <c r="N2504" s="154"/>
      <c r="O2504" s="6"/>
      <c r="S2504" s="6"/>
      <c r="V2504" s="6"/>
      <c r="X2504" s="6"/>
      <c r="Z2504" s="110"/>
      <c r="AB2504" s="6"/>
      <c r="AD2504" s="6"/>
      <c r="AE2504" s="6"/>
      <c r="AF2504" s="126"/>
      <c r="AJ2504" s="6"/>
      <c r="AL2504" s="110"/>
      <c r="AM2504" s="110"/>
      <c r="AN2504" s="110"/>
      <c r="AP2504" s="6"/>
      <c r="AW2504" s="6"/>
      <c r="AX2504" s="6"/>
      <c r="AZ2504" s="110"/>
      <c r="BB2504" s="6"/>
      <c r="BD2504" s="6"/>
      <c r="BE2504" s="6"/>
      <c r="BV2504" s="17"/>
      <c r="BX2504" s="17"/>
      <c r="BZ2504" s="17"/>
    </row>
    <row r="2505" spans="4:78" x14ac:dyDescent="0.3">
      <c r="D2505" s="153"/>
      <c r="E2505" s="6"/>
      <c r="G2505" s="6"/>
      <c r="J2505" s="6"/>
      <c r="N2505" s="154"/>
      <c r="O2505" s="6"/>
      <c r="S2505" s="6"/>
      <c r="V2505" s="6"/>
      <c r="X2505" s="6"/>
      <c r="Z2505" s="110"/>
      <c r="AB2505" s="6"/>
      <c r="AD2505" s="6"/>
      <c r="AE2505" s="6"/>
      <c r="AF2505" s="126"/>
      <c r="AJ2505" s="6"/>
      <c r="AL2505" s="110"/>
      <c r="AM2505" s="110"/>
      <c r="AN2505" s="110"/>
      <c r="AP2505" s="6"/>
      <c r="AW2505" s="6"/>
      <c r="AX2505" s="6"/>
      <c r="AZ2505" s="110"/>
      <c r="BB2505" s="6"/>
      <c r="BD2505" s="6"/>
      <c r="BE2505" s="6"/>
      <c r="BV2505" s="17"/>
      <c r="BX2505" s="17"/>
      <c r="BZ2505" s="17"/>
    </row>
    <row r="2506" spans="4:78" x14ac:dyDescent="0.3">
      <c r="D2506" s="153"/>
      <c r="E2506" s="6"/>
      <c r="G2506" s="6"/>
      <c r="J2506" s="6"/>
      <c r="N2506" s="154"/>
      <c r="O2506" s="6"/>
      <c r="S2506" s="6"/>
      <c r="V2506" s="6"/>
      <c r="X2506" s="6"/>
      <c r="Z2506" s="110"/>
      <c r="AB2506" s="6"/>
      <c r="AD2506" s="6"/>
      <c r="AE2506" s="6"/>
      <c r="AF2506" s="126"/>
      <c r="AJ2506" s="6"/>
      <c r="AL2506" s="110"/>
      <c r="AM2506" s="110"/>
      <c r="AN2506" s="110"/>
      <c r="AP2506" s="6"/>
      <c r="AW2506" s="6"/>
      <c r="AX2506" s="6"/>
      <c r="AZ2506" s="110"/>
      <c r="BB2506" s="6"/>
      <c r="BD2506" s="6"/>
      <c r="BE2506" s="6"/>
      <c r="BV2506" s="17"/>
      <c r="BX2506" s="17"/>
      <c r="BZ2506" s="17"/>
    </row>
    <row r="2507" spans="4:78" x14ac:dyDescent="0.3">
      <c r="D2507" s="153"/>
      <c r="E2507" s="6"/>
      <c r="G2507" s="6"/>
      <c r="J2507" s="6"/>
      <c r="N2507" s="154"/>
      <c r="O2507" s="6"/>
      <c r="S2507" s="6"/>
      <c r="V2507" s="6"/>
      <c r="X2507" s="6"/>
      <c r="Z2507" s="110"/>
      <c r="AB2507" s="6"/>
      <c r="AD2507" s="6"/>
      <c r="AE2507" s="6"/>
      <c r="AF2507" s="126"/>
      <c r="AJ2507" s="6"/>
      <c r="AL2507" s="110"/>
      <c r="AM2507" s="110"/>
      <c r="AN2507" s="110"/>
      <c r="AP2507" s="6"/>
      <c r="AW2507" s="6"/>
      <c r="AX2507" s="6"/>
      <c r="AZ2507" s="110"/>
      <c r="BB2507" s="6"/>
      <c r="BD2507" s="6"/>
      <c r="BE2507" s="6"/>
      <c r="BV2507" s="17"/>
      <c r="BX2507" s="17"/>
      <c r="BZ2507" s="17"/>
    </row>
    <row r="2508" spans="4:78" x14ac:dyDescent="0.3">
      <c r="D2508" s="153"/>
      <c r="E2508" s="6"/>
      <c r="G2508" s="6"/>
      <c r="J2508" s="6"/>
      <c r="N2508" s="154"/>
      <c r="O2508" s="6"/>
      <c r="S2508" s="6"/>
      <c r="V2508" s="6"/>
      <c r="X2508" s="6"/>
      <c r="Z2508" s="110"/>
      <c r="AB2508" s="6"/>
      <c r="AD2508" s="6"/>
      <c r="AE2508" s="6"/>
      <c r="AF2508" s="126"/>
      <c r="AJ2508" s="6"/>
      <c r="AL2508" s="110"/>
      <c r="AM2508" s="110"/>
      <c r="AN2508" s="110"/>
      <c r="AP2508" s="6"/>
      <c r="AW2508" s="6"/>
      <c r="AX2508" s="6"/>
      <c r="AZ2508" s="110"/>
      <c r="BB2508" s="6"/>
      <c r="BD2508" s="6"/>
      <c r="BE2508" s="6"/>
      <c r="BV2508" s="17"/>
      <c r="BX2508" s="17"/>
      <c r="BZ2508" s="17"/>
    </row>
    <row r="2509" spans="4:78" x14ac:dyDescent="0.3">
      <c r="D2509" s="153"/>
      <c r="E2509" s="6"/>
      <c r="G2509" s="6"/>
      <c r="J2509" s="6"/>
      <c r="N2509" s="154"/>
      <c r="O2509" s="6"/>
      <c r="S2509" s="6"/>
      <c r="V2509" s="6"/>
      <c r="X2509" s="6"/>
      <c r="Z2509" s="110"/>
      <c r="AB2509" s="6"/>
      <c r="AD2509" s="6"/>
      <c r="AE2509" s="6"/>
      <c r="AF2509" s="126"/>
      <c r="AJ2509" s="6"/>
      <c r="AL2509" s="110"/>
      <c r="AM2509" s="110"/>
      <c r="AN2509" s="110"/>
      <c r="AP2509" s="6"/>
      <c r="AW2509" s="6"/>
      <c r="AX2509" s="6"/>
      <c r="AZ2509" s="110"/>
      <c r="BB2509" s="6"/>
      <c r="BD2509" s="6"/>
      <c r="BE2509" s="6"/>
      <c r="BV2509" s="17"/>
      <c r="BX2509" s="17"/>
      <c r="BZ2509" s="17"/>
    </row>
    <row r="2510" spans="4:78" x14ac:dyDescent="0.3">
      <c r="D2510" s="153"/>
      <c r="E2510" s="6"/>
      <c r="G2510" s="6"/>
      <c r="J2510" s="6"/>
      <c r="N2510" s="154"/>
      <c r="O2510" s="6"/>
      <c r="S2510" s="6"/>
      <c r="V2510" s="6"/>
      <c r="X2510" s="6"/>
      <c r="Z2510" s="110"/>
      <c r="AB2510" s="6"/>
      <c r="AD2510" s="6"/>
      <c r="AE2510" s="6"/>
      <c r="AF2510" s="126"/>
      <c r="AJ2510" s="6"/>
      <c r="AL2510" s="110"/>
      <c r="AM2510" s="110"/>
      <c r="AN2510" s="110"/>
      <c r="AP2510" s="6"/>
      <c r="AW2510" s="6"/>
      <c r="AX2510" s="6"/>
      <c r="AZ2510" s="110"/>
      <c r="BB2510" s="6"/>
      <c r="BD2510" s="6"/>
      <c r="BE2510" s="6"/>
      <c r="BV2510" s="17"/>
      <c r="BX2510" s="17"/>
      <c r="BZ2510" s="17"/>
    </row>
    <row r="2511" spans="4:78" x14ac:dyDescent="0.3">
      <c r="D2511" s="153"/>
      <c r="E2511" s="6"/>
      <c r="G2511" s="6"/>
      <c r="J2511" s="6"/>
      <c r="N2511" s="154"/>
      <c r="O2511" s="6"/>
      <c r="S2511" s="6"/>
      <c r="V2511" s="6"/>
      <c r="X2511" s="6"/>
      <c r="Z2511" s="110"/>
      <c r="AB2511" s="6"/>
      <c r="AD2511" s="6"/>
      <c r="AE2511" s="6"/>
      <c r="AF2511" s="126"/>
      <c r="AJ2511" s="6"/>
      <c r="AL2511" s="110"/>
      <c r="AM2511" s="110"/>
      <c r="AN2511" s="110"/>
      <c r="AP2511" s="6"/>
      <c r="AW2511" s="6"/>
      <c r="AX2511" s="6"/>
      <c r="AZ2511" s="110"/>
      <c r="BB2511" s="6"/>
      <c r="BD2511" s="6"/>
      <c r="BE2511" s="6"/>
      <c r="BV2511" s="17"/>
      <c r="BX2511" s="17"/>
      <c r="BZ2511" s="17"/>
    </row>
    <row r="2512" spans="4:78" x14ac:dyDescent="0.3">
      <c r="D2512" s="153"/>
      <c r="E2512" s="6"/>
      <c r="G2512" s="6"/>
      <c r="J2512" s="6"/>
      <c r="N2512" s="154"/>
      <c r="O2512" s="6"/>
      <c r="S2512" s="6"/>
      <c r="V2512" s="6"/>
      <c r="X2512" s="6"/>
      <c r="Z2512" s="110"/>
      <c r="AB2512" s="6"/>
      <c r="AD2512" s="6"/>
      <c r="AE2512" s="6"/>
      <c r="AF2512" s="126"/>
      <c r="AJ2512" s="6"/>
      <c r="AL2512" s="110"/>
      <c r="AM2512" s="110"/>
      <c r="AN2512" s="110"/>
      <c r="AP2512" s="6"/>
      <c r="AW2512" s="6"/>
      <c r="AX2512" s="6"/>
      <c r="AZ2512" s="110"/>
      <c r="BB2512" s="6"/>
      <c r="BD2512" s="6"/>
      <c r="BE2512" s="6"/>
      <c r="BV2512" s="17"/>
      <c r="BX2512" s="17"/>
      <c r="BZ2512" s="17"/>
    </row>
    <row r="2513" spans="4:78" x14ac:dyDescent="0.3">
      <c r="D2513" s="153"/>
      <c r="E2513" s="6"/>
      <c r="G2513" s="6"/>
      <c r="J2513" s="6"/>
      <c r="N2513" s="154"/>
      <c r="O2513" s="6"/>
      <c r="S2513" s="6"/>
      <c r="V2513" s="6"/>
      <c r="X2513" s="6"/>
      <c r="Z2513" s="110"/>
      <c r="AB2513" s="6"/>
      <c r="AD2513" s="6"/>
      <c r="AE2513" s="6"/>
      <c r="AF2513" s="126"/>
      <c r="AJ2513" s="6"/>
      <c r="AL2513" s="110"/>
      <c r="AM2513" s="110"/>
      <c r="AN2513" s="110"/>
      <c r="AP2513" s="6"/>
      <c r="AW2513" s="6"/>
      <c r="AX2513" s="6"/>
      <c r="AZ2513" s="110"/>
      <c r="BB2513" s="6"/>
      <c r="BD2513" s="6"/>
      <c r="BE2513" s="6"/>
      <c r="BV2513" s="17"/>
      <c r="BX2513" s="17"/>
      <c r="BZ2513" s="17"/>
    </row>
    <row r="2514" spans="4:78" x14ac:dyDescent="0.3">
      <c r="D2514" s="153"/>
      <c r="E2514" s="6"/>
      <c r="G2514" s="6"/>
      <c r="J2514" s="6"/>
      <c r="N2514" s="154"/>
      <c r="O2514" s="6"/>
      <c r="S2514" s="6"/>
      <c r="V2514" s="6"/>
      <c r="X2514" s="6"/>
      <c r="Z2514" s="110"/>
      <c r="AB2514" s="6"/>
      <c r="AD2514" s="6"/>
      <c r="AE2514" s="6"/>
      <c r="AF2514" s="126"/>
      <c r="AJ2514" s="6"/>
      <c r="AL2514" s="110"/>
      <c r="AM2514" s="110"/>
      <c r="AN2514" s="110"/>
      <c r="AP2514" s="6"/>
      <c r="AW2514" s="6"/>
      <c r="AX2514" s="6"/>
      <c r="AZ2514" s="110"/>
      <c r="BB2514" s="6"/>
      <c r="BD2514" s="6"/>
      <c r="BE2514" s="6"/>
      <c r="BV2514" s="17"/>
      <c r="BX2514" s="17"/>
      <c r="BZ2514" s="17"/>
    </row>
    <row r="2515" spans="4:78" x14ac:dyDescent="0.3">
      <c r="D2515" s="153"/>
      <c r="E2515" s="6"/>
      <c r="G2515" s="6"/>
      <c r="J2515" s="6"/>
      <c r="N2515" s="154"/>
      <c r="O2515" s="6"/>
      <c r="S2515" s="6"/>
      <c r="V2515" s="6"/>
      <c r="X2515" s="6"/>
      <c r="Z2515" s="110"/>
      <c r="AB2515" s="6"/>
      <c r="AD2515" s="6"/>
      <c r="AE2515" s="6"/>
      <c r="AF2515" s="126"/>
      <c r="AJ2515" s="6"/>
      <c r="AL2515" s="110"/>
      <c r="AM2515" s="110"/>
      <c r="AN2515" s="110"/>
      <c r="AP2515" s="6"/>
      <c r="AW2515" s="6"/>
      <c r="AX2515" s="6"/>
      <c r="AZ2515" s="110"/>
      <c r="BB2515" s="6"/>
      <c r="BD2515" s="6"/>
      <c r="BE2515" s="6"/>
      <c r="BV2515" s="17"/>
      <c r="BX2515" s="17"/>
      <c r="BZ2515" s="17"/>
    </row>
    <row r="2516" spans="4:78" x14ac:dyDescent="0.3">
      <c r="D2516" s="153"/>
      <c r="E2516" s="6"/>
      <c r="G2516" s="6"/>
      <c r="J2516" s="6"/>
      <c r="N2516" s="154"/>
      <c r="O2516" s="6"/>
      <c r="S2516" s="6"/>
      <c r="V2516" s="6"/>
      <c r="X2516" s="6"/>
      <c r="Z2516" s="110"/>
      <c r="AB2516" s="6"/>
      <c r="AD2516" s="6"/>
      <c r="AE2516" s="6"/>
      <c r="AF2516" s="126"/>
      <c r="AJ2516" s="6"/>
      <c r="AL2516" s="110"/>
      <c r="AM2516" s="110"/>
      <c r="AN2516" s="110"/>
      <c r="AP2516" s="6"/>
      <c r="AW2516" s="6"/>
      <c r="AX2516" s="6"/>
      <c r="AZ2516" s="110"/>
      <c r="BB2516" s="6"/>
      <c r="BD2516" s="6"/>
      <c r="BE2516" s="6"/>
      <c r="BV2516" s="17"/>
      <c r="BX2516" s="17"/>
      <c r="BZ2516" s="17"/>
    </row>
    <row r="2517" spans="4:78" x14ac:dyDescent="0.3">
      <c r="D2517" s="153"/>
      <c r="E2517" s="6"/>
      <c r="G2517" s="6"/>
      <c r="J2517" s="6"/>
      <c r="N2517" s="154"/>
      <c r="O2517" s="6"/>
      <c r="S2517" s="6"/>
      <c r="V2517" s="6"/>
      <c r="X2517" s="6"/>
      <c r="Z2517" s="110"/>
      <c r="AB2517" s="6"/>
      <c r="AD2517" s="6"/>
      <c r="AE2517" s="6"/>
      <c r="AF2517" s="126"/>
      <c r="AJ2517" s="6"/>
      <c r="AL2517" s="110"/>
      <c r="AM2517" s="110"/>
      <c r="AN2517" s="110"/>
      <c r="AP2517" s="6"/>
      <c r="AW2517" s="6"/>
      <c r="AX2517" s="6"/>
      <c r="AZ2517" s="110"/>
      <c r="BB2517" s="6"/>
      <c r="BD2517" s="6"/>
      <c r="BE2517" s="6"/>
      <c r="BV2517" s="17"/>
      <c r="BX2517" s="17"/>
      <c r="BZ2517" s="17"/>
    </row>
    <row r="2518" spans="4:78" x14ac:dyDescent="0.3">
      <c r="D2518" s="153"/>
      <c r="E2518" s="6"/>
      <c r="G2518" s="6"/>
      <c r="J2518" s="6"/>
      <c r="N2518" s="154"/>
      <c r="O2518" s="6"/>
      <c r="S2518" s="6"/>
      <c r="V2518" s="6"/>
      <c r="X2518" s="6"/>
      <c r="Z2518" s="110"/>
      <c r="AB2518" s="6"/>
      <c r="AD2518" s="6"/>
      <c r="AE2518" s="6"/>
      <c r="AF2518" s="126"/>
      <c r="AJ2518" s="6"/>
      <c r="AL2518" s="110"/>
      <c r="AM2518" s="110"/>
      <c r="AN2518" s="110"/>
      <c r="AP2518" s="6"/>
      <c r="AW2518" s="6"/>
      <c r="AX2518" s="6"/>
      <c r="AZ2518" s="110"/>
      <c r="BB2518" s="6"/>
      <c r="BD2518" s="6"/>
      <c r="BE2518" s="6"/>
      <c r="BV2518" s="17"/>
      <c r="BX2518" s="17"/>
      <c r="BZ2518" s="17"/>
    </row>
    <row r="2519" spans="4:78" x14ac:dyDescent="0.3">
      <c r="D2519" s="153"/>
      <c r="E2519" s="6"/>
      <c r="G2519" s="6"/>
      <c r="J2519" s="6"/>
      <c r="N2519" s="154"/>
      <c r="O2519" s="6"/>
      <c r="S2519" s="6"/>
      <c r="V2519" s="6"/>
      <c r="X2519" s="6"/>
      <c r="Z2519" s="110"/>
      <c r="AB2519" s="6"/>
      <c r="AD2519" s="6"/>
      <c r="AE2519" s="6"/>
      <c r="AF2519" s="126"/>
      <c r="AJ2519" s="6"/>
      <c r="AL2519" s="110"/>
      <c r="AM2519" s="110"/>
      <c r="AN2519" s="110"/>
      <c r="AP2519" s="6"/>
      <c r="AW2519" s="6"/>
      <c r="AX2519" s="6"/>
      <c r="AZ2519" s="110"/>
      <c r="BB2519" s="6"/>
      <c r="BD2519" s="6"/>
      <c r="BE2519" s="6"/>
      <c r="BV2519" s="17"/>
      <c r="BX2519" s="17"/>
      <c r="BZ2519" s="17"/>
    </row>
    <row r="2520" spans="4:78" x14ac:dyDescent="0.3">
      <c r="D2520" s="153"/>
      <c r="E2520" s="6"/>
      <c r="G2520" s="6"/>
      <c r="J2520" s="6"/>
      <c r="N2520" s="154"/>
      <c r="O2520" s="6"/>
      <c r="S2520" s="6"/>
      <c r="V2520" s="6"/>
      <c r="X2520" s="6"/>
      <c r="Z2520" s="110"/>
      <c r="AB2520" s="6"/>
      <c r="AD2520" s="6"/>
      <c r="AE2520" s="6"/>
      <c r="AF2520" s="126"/>
      <c r="AJ2520" s="6"/>
      <c r="AL2520" s="110"/>
      <c r="AM2520" s="110"/>
      <c r="AN2520" s="110"/>
      <c r="AP2520" s="6"/>
      <c r="AW2520" s="6"/>
      <c r="AX2520" s="6"/>
      <c r="AZ2520" s="110"/>
      <c r="BB2520" s="6"/>
      <c r="BD2520" s="6"/>
      <c r="BE2520" s="6"/>
      <c r="BV2520" s="17"/>
      <c r="BX2520" s="17"/>
      <c r="BZ2520" s="17"/>
    </row>
    <row r="2521" spans="4:78" x14ac:dyDescent="0.3">
      <c r="D2521" s="153"/>
      <c r="E2521" s="6"/>
      <c r="G2521" s="6"/>
      <c r="J2521" s="6"/>
      <c r="N2521" s="154"/>
      <c r="O2521" s="6"/>
      <c r="S2521" s="6"/>
      <c r="V2521" s="6"/>
      <c r="X2521" s="6"/>
      <c r="Z2521" s="110"/>
      <c r="AB2521" s="6"/>
      <c r="AD2521" s="6"/>
      <c r="AE2521" s="6"/>
      <c r="AF2521" s="126"/>
      <c r="AJ2521" s="6"/>
      <c r="AL2521" s="110"/>
      <c r="AM2521" s="110"/>
      <c r="AN2521" s="110"/>
      <c r="AP2521" s="6"/>
      <c r="AW2521" s="6"/>
      <c r="AX2521" s="6"/>
      <c r="AZ2521" s="110"/>
      <c r="BB2521" s="6"/>
      <c r="BD2521" s="6"/>
      <c r="BE2521" s="6"/>
      <c r="BV2521" s="17"/>
      <c r="BX2521" s="17"/>
      <c r="BZ2521" s="17"/>
    </row>
    <row r="2522" spans="4:78" x14ac:dyDescent="0.3">
      <c r="D2522" s="153"/>
      <c r="E2522" s="6"/>
      <c r="G2522" s="6"/>
      <c r="J2522" s="6"/>
      <c r="N2522" s="154"/>
      <c r="O2522" s="6"/>
      <c r="S2522" s="6"/>
      <c r="V2522" s="6"/>
      <c r="X2522" s="6"/>
      <c r="Z2522" s="110"/>
      <c r="AB2522" s="6"/>
      <c r="AD2522" s="6"/>
      <c r="AE2522" s="6"/>
      <c r="AF2522" s="126"/>
      <c r="AJ2522" s="6"/>
      <c r="AL2522" s="110"/>
      <c r="AM2522" s="110"/>
      <c r="AN2522" s="110"/>
      <c r="AP2522" s="6"/>
      <c r="AW2522" s="6"/>
      <c r="AX2522" s="6"/>
      <c r="AZ2522" s="110"/>
      <c r="BB2522" s="6"/>
      <c r="BD2522" s="6"/>
      <c r="BE2522" s="6"/>
      <c r="BV2522" s="17"/>
      <c r="BX2522" s="17"/>
      <c r="BZ2522" s="17"/>
    </row>
    <row r="2523" spans="4:78" x14ac:dyDescent="0.3">
      <c r="D2523" s="153"/>
      <c r="E2523" s="6"/>
      <c r="G2523" s="6"/>
      <c r="J2523" s="6"/>
      <c r="N2523" s="154"/>
      <c r="O2523" s="6"/>
      <c r="S2523" s="6"/>
      <c r="V2523" s="6"/>
      <c r="X2523" s="6"/>
      <c r="Z2523" s="110"/>
      <c r="AB2523" s="6"/>
      <c r="AD2523" s="6"/>
      <c r="AE2523" s="6"/>
      <c r="AF2523" s="126"/>
      <c r="AJ2523" s="6"/>
      <c r="AL2523" s="110"/>
      <c r="AM2523" s="110"/>
      <c r="AN2523" s="110"/>
      <c r="AP2523" s="6"/>
      <c r="AW2523" s="6"/>
      <c r="AX2523" s="6"/>
      <c r="AZ2523" s="110"/>
      <c r="BB2523" s="6"/>
      <c r="BD2523" s="6"/>
      <c r="BE2523" s="6"/>
      <c r="BV2523" s="17"/>
      <c r="BX2523" s="17"/>
      <c r="BZ2523" s="17"/>
    </row>
    <row r="2524" spans="4:78" x14ac:dyDescent="0.3">
      <c r="D2524" s="153"/>
      <c r="E2524" s="6"/>
      <c r="G2524" s="6"/>
      <c r="J2524" s="6"/>
      <c r="N2524" s="154"/>
      <c r="O2524" s="6"/>
      <c r="S2524" s="6"/>
      <c r="V2524" s="6"/>
      <c r="X2524" s="6"/>
      <c r="Z2524" s="110"/>
      <c r="AB2524" s="6"/>
      <c r="AD2524" s="6"/>
      <c r="AE2524" s="6"/>
      <c r="AF2524" s="126"/>
      <c r="AJ2524" s="6"/>
      <c r="AL2524" s="110"/>
      <c r="AM2524" s="110"/>
      <c r="AN2524" s="110"/>
      <c r="AP2524" s="6"/>
      <c r="AW2524" s="6"/>
      <c r="AX2524" s="6"/>
      <c r="AZ2524" s="110"/>
      <c r="BB2524" s="6"/>
      <c r="BD2524" s="6"/>
      <c r="BE2524" s="6"/>
      <c r="BV2524" s="17"/>
      <c r="BX2524" s="17"/>
      <c r="BZ2524" s="17"/>
    </row>
    <row r="2525" spans="4:78" x14ac:dyDescent="0.3">
      <c r="D2525" s="153"/>
      <c r="E2525" s="6"/>
      <c r="G2525" s="6"/>
      <c r="J2525" s="6"/>
      <c r="N2525" s="154"/>
      <c r="O2525" s="6"/>
      <c r="S2525" s="6"/>
      <c r="V2525" s="6"/>
      <c r="X2525" s="6"/>
      <c r="Z2525" s="110"/>
      <c r="AB2525" s="6"/>
      <c r="AD2525" s="6"/>
      <c r="AE2525" s="6"/>
      <c r="AF2525" s="126"/>
      <c r="AJ2525" s="6"/>
      <c r="AL2525" s="110"/>
      <c r="AM2525" s="110"/>
      <c r="AN2525" s="110"/>
      <c r="AP2525" s="6"/>
      <c r="AW2525" s="6"/>
      <c r="AX2525" s="6"/>
      <c r="AZ2525" s="110"/>
      <c r="BB2525" s="6"/>
      <c r="BD2525" s="6"/>
      <c r="BE2525" s="6"/>
      <c r="BV2525" s="17"/>
      <c r="BX2525" s="17"/>
      <c r="BZ2525" s="17"/>
    </row>
    <row r="2526" spans="4:78" x14ac:dyDescent="0.3">
      <c r="D2526" s="153"/>
      <c r="E2526" s="6"/>
      <c r="G2526" s="6"/>
      <c r="J2526" s="6"/>
      <c r="N2526" s="154"/>
      <c r="O2526" s="6"/>
      <c r="S2526" s="6"/>
      <c r="V2526" s="6"/>
      <c r="X2526" s="6"/>
      <c r="Z2526" s="110"/>
      <c r="AB2526" s="6"/>
      <c r="AD2526" s="6"/>
      <c r="AE2526" s="6"/>
      <c r="AF2526" s="126"/>
      <c r="AJ2526" s="6"/>
      <c r="AL2526" s="110"/>
      <c r="AM2526" s="110"/>
      <c r="AN2526" s="110"/>
      <c r="AP2526" s="6"/>
      <c r="AW2526" s="6"/>
      <c r="AX2526" s="6"/>
      <c r="AZ2526" s="110"/>
      <c r="BB2526" s="6"/>
      <c r="BD2526" s="6"/>
      <c r="BE2526" s="6"/>
      <c r="BV2526" s="17"/>
      <c r="BX2526" s="17"/>
      <c r="BZ2526" s="17"/>
    </row>
    <row r="2527" spans="4:78" x14ac:dyDescent="0.3">
      <c r="D2527" s="153"/>
      <c r="E2527" s="6"/>
      <c r="G2527" s="6"/>
      <c r="J2527" s="6"/>
      <c r="N2527" s="154"/>
      <c r="O2527" s="6"/>
      <c r="S2527" s="6"/>
      <c r="V2527" s="6"/>
      <c r="X2527" s="6"/>
      <c r="Z2527" s="110"/>
      <c r="AB2527" s="6"/>
      <c r="AD2527" s="6"/>
      <c r="AE2527" s="6"/>
      <c r="AF2527" s="126"/>
      <c r="AJ2527" s="6"/>
      <c r="AL2527" s="110"/>
      <c r="AM2527" s="110"/>
      <c r="AN2527" s="110"/>
      <c r="AP2527" s="6"/>
      <c r="AW2527" s="6"/>
      <c r="AX2527" s="6"/>
      <c r="AZ2527" s="110"/>
      <c r="BB2527" s="6"/>
      <c r="BD2527" s="6"/>
      <c r="BE2527" s="6"/>
      <c r="BV2527" s="17"/>
      <c r="BX2527" s="17"/>
      <c r="BZ2527" s="17"/>
    </row>
    <row r="2528" spans="4:78" x14ac:dyDescent="0.3">
      <c r="D2528" s="153"/>
      <c r="E2528" s="6"/>
      <c r="G2528" s="6"/>
      <c r="J2528" s="6"/>
      <c r="N2528" s="154"/>
      <c r="O2528" s="6"/>
      <c r="S2528" s="6"/>
      <c r="V2528" s="6"/>
      <c r="X2528" s="6"/>
      <c r="Z2528" s="110"/>
      <c r="AB2528" s="6"/>
      <c r="AD2528" s="6"/>
      <c r="AE2528" s="6"/>
      <c r="AF2528" s="126"/>
      <c r="AJ2528" s="6"/>
      <c r="AL2528" s="110"/>
      <c r="AM2528" s="110"/>
      <c r="AN2528" s="110"/>
      <c r="AP2528" s="6"/>
      <c r="AW2528" s="6"/>
      <c r="AX2528" s="6"/>
      <c r="AZ2528" s="110"/>
      <c r="BB2528" s="6"/>
      <c r="BD2528" s="6"/>
      <c r="BE2528" s="6"/>
      <c r="BV2528" s="17"/>
      <c r="BX2528" s="17"/>
      <c r="BZ2528" s="17"/>
    </row>
    <row r="2529" spans="4:78" x14ac:dyDescent="0.3">
      <c r="D2529" s="153"/>
      <c r="E2529" s="6"/>
      <c r="G2529" s="6"/>
      <c r="J2529" s="6"/>
      <c r="N2529" s="154"/>
      <c r="O2529" s="6"/>
      <c r="S2529" s="6"/>
      <c r="V2529" s="6"/>
      <c r="X2529" s="6"/>
      <c r="Z2529" s="110"/>
      <c r="AB2529" s="6"/>
      <c r="AD2529" s="6"/>
      <c r="AE2529" s="6"/>
      <c r="AF2529" s="126"/>
      <c r="AJ2529" s="6"/>
      <c r="AL2529" s="110"/>
      <c r="AM2529" s="110"/>
      <c r="AN2529" s="110"/>
      <c r="AP2529" s="6"/>
      <c r="AW2529" s="6"/>
      <c r="AX2529" s="6"/>
      <c r="AZ2529" s="110"/>
      <c r="BB2529" s="6"/>
      <c r="BD2529" s="6"/>
      <c r="BE2529" s="6"/>
      <c r="BV2529" s="17"/>
      <c r="BX2529" s="17"/>
      <c r="BZ2529" s="17"/>
    </row>
    <row r="2530" spans="4:78" x14ac:dyDescent="0.3">
      <c r="D2530" s="153"/>
      <c r="E2530" s="6"/>
      <c r="G2530" s="6"/>
      <c r="J2530" s="6"/>
      <c r="N2530" s="154"/>
      <c r="O2530" s="6"/>
      <c r="S2530" s="6"/>
      <c r="V2530" s="6"/>
      <c r="X2530" s="6"/>
      <c r="Z2530" s="110"/>
      <c r="AB2530" s="6"/>
      <c r="AD2530" s="6"/>
      <c r="AE2530" s="6"/>
      <c r="AF2530" s="126"/>
      <c r="AJ2530" s="6"/>
      <c r="AL2530" s="110"/>
      <c r="AM2530" s="110"/>
      <c r="AN2530" s="110"/>
      <c r="AP2530" s="6"/>
      <c r="AW2530" s="6"/>
      <c r="AX2530" s="6"/>
      <c r="AZ2530" s="110"/>
      <c r="BB2530" s="6"/>
      <c r="BD2530" s="6"/>
      <c r="BE2530" s="6"/>
      <c r="BV2530" s="17"/>
      <c r="BX2530" s="17"/>
      <c r="BZ2530" s="17"/>
    </row>
    <row r="2531" spans="4:78" x14ac:dyDescent="0.3">
      <c r="D2531" s="153"/>
      <c r="E2531" s="6"/>
      <c r="G2531" s="6"/>
      <c r="J2531" s="6"/>
      <c r="N2531" s="154"/>
      <c r="O2531" s="6"/>
      <c r="S2531" s="6"/>
      <c r="V2531" s="6"/>
      <c r="X2531" s="6"/>
      <c r="Z2531" s="110"/>
      <c r="AB2531" s="6"/>
      <c r="AD2531" s="6"/>
      <c r="AE2531" s="6"/>
      <c r="AF2531" s="126"/>
      <c r="AJ2531" s="6"/>
      <c r="AL2531" s="110"/>
      <c r="AM2531" s="110"/>
      <c r="AN2531" s="110"/>
      <c r="AP2531" s="6"/>
      <c r="AW2531" s="6"/>
      <c r="AX2531" s="6"/>
      <c r="AZ2531" s="110"/>
      <c r="BB2531" s="6"/>
      <c r="BD2531" s="6"/>
      <c r="BE2531" s="6"/>
      <c r="BV2531" s="17"/>
      <c r="BX2531" s="17"/>
      <c r="BZ2531" s="17"/>
    </row>
    <row r="2532" spans="4:78" x14ac:dyDescent="0.3">
      <c r="D2532" s="153"/>
      <c r="E2532" s="6"/>
      <c r="G2532" s="6"/>
      <c r="J2532" s="6"/>
      <c r="N2532" s="154"/>
      <c r="O2532" s="6"/>
      <c r="S2532" s="6"/>
      <c r="V2532" s="6"/>
      <c r="X2532" s="6"/>
      <c r="Z2532" s="110"/>
      <c r="AB2532" s="6"/>
      <c r="AD2532" s="6"/>
      <c r="AE2532" s="6"/>
      <c r="AF2532" s="126"/>
      <c r="AJ2532" s="6"/>
      <c r="AL2532" s="110"/>
      <c r="AM2532" s="110"/>
      <c r="AN2532" s="110"/>
      <c r="AP2532" s="6"/>
      <c r="AW2532" s="6"/>
      <c r="AX2532" s="6"/>
      <c r="AZ2532" s="110"/>
      <c r="BB2532" s="6"/>
      <c r="BD2532" s="6"/>
      <c r="BE2532" s="6"/>
      <c r="BV2532" s="17"/>
      <c r="BX2532" s="17"/>
      <c r="BZ2532" s="17"/>
    </row>
    <row r="2533" spans="4:78" x14ac:dyDescent="0.3">
      <c r="D2533" s="153"/>
      <c r="E2533" s="6"/>
      <c r="G2533" s="6"/>
      <c r="J2533" s="6"/>
      <c r="N2533" s="154"/>
      <c r="O2533" s="6"/>
      <c r="S2533" s="6"/>
      <c r="V2533" s="6"/>
      <c r="X2533" s="6"/>
      <c r="Z2533" s="110"/>
      <c r="AB2533" s="6"/>
      <c r="AD2533" s="6"/>
      <c r="AE2533" s="6"/>
      <c r="AF2533" s="126"/>
      <c r="AJ2533" s="6"/>
      <c r="AL2533" s="110"/>
      <c r="AM2533" s="110"/>
      <c r="AN2533" s="110"/>
      <c r="AP2533" s="6"/>
      <c r="AW2533" s="6"/>
      <c r="AX2533" s="6"/>
      <c r="AZ2533" s="110"/>
      <c r="BB2533" s="6"/>
      <c r="BD2533" s="6"/>
      <c r="BE2533" s="6"/>
      <c r="BV2533" s="17"/>
      <c r="BX2533" s="17"/>
      <c r="BZ2533" s="17"/>
    </row>
    <row r="2534" spans="4:78" x14ac:dyDescent="0.3">
      <c r="D2534" s="153"/>
      <c r="E2534" s="6"/>
      <c r="G2534" s="6"/>
      <c r="J2534" s="6"/>
      <c r="N2534" s="154"/>
      <c r="O2534" s="6"/>
      <c r="S2534" s="6"/>
      <c r="V2534" s="6"/>
      <c r="X2534" s="6"/>
      <c r="Z2534" s="110"/>
      <c r="AB2534" s="6"/>
      <c r="AD2534" s="6"/>
      <c r="AE2534" s="6"/>
      <c r="AF2534" s="126"/>
      <c r="AJ2534" s="6"/>
      <c r="AL2534" s="110"/>
      <c r="AM2534" s="110"/>
      <c r="AN2534" s="110"/>
      <c r="AP2534" s="6"/>
      <c r="AW2534" s="6"/>
      <c r="AX2534" s="6"/>
      <c r="AZ2534" s="110"/>
      <c r="BB2534" s="6"/>
      <c r="BD2534" s="6"/>
      <c r="BE2534" s="6"/>
      <c r="BV2534" s="17"/>
      <c r="BX2534" s="17"/>
      <c r="BZ2534" s="17"/>
    </row>
    <row r="2535" spans="4:78" x14ac:dyDescent="0.3">
      <c r="D2535" s="153"/>
      <c r="E2535" s="6"/>
      <c r="G2535" s="6"/>
      <c r="J2535" s="6"/>
      <c r="N2535" s="154"/>
      <c r="O2535" s="6"/>
      <c r="S2535" s="6"/>
      <c r="V2535" s="6"/>
      <c r="X2535" s="6"/>
      <c r="Z2535" s="110"/>
      <c r="AB2535" s="6"/>
      <c r="AD2535" s="6"/>
      <c r="AE2535" s="6"/>
      <c r="AF2535" s="126"/>
      <c r="AJ2535" s="6"/>
      <c r="AL2535" s="110"/>
      <c r="AM2535" s="110"/>
      <c r="AN2535" s="110"/>
      <c r="AP2535" s="6"/>
      <c r="AW2535" s="6"/>
      <c r="AX2535" s="6"/>
      <c r="AZ2535" s="110"/>
      <c r="BB2535" s="6"/>
      <c r="BD2535" s="6"/>
      <c r="BE2535" s="6"/>
      <c r="BV2535" s="17"/>
      <c r="BX2535" s="17"/>
      <c r="BZ2535" s="17"/>
    </row>
    <row r="2536" spans="4:78" x14ac:dyDescent="0.3">
      <c r="D2536" s="153"/>
      <c r="E2536" s="6"/>
      <c r="G2536" s="6"/>
      <c r="J2536" s="6"/>
      <c r="N2536" s="154"/>
      <c r="O2536" s="6"/>
      <c r="S2536" s="6"/>
      <c r="V2536" s="6"/>
      <c r="X2536" s="6"/>
      <c r="Z2536" s="110"/>
      <c r="AB2536" s="6"/>
      <c r="AD2536" s="6"/>
      <c r="AE2536" s="6"/>
      <c r="AF2536" s="126"/>
      <c r="AJ2536" s="6"/>
      <c r="AL2536" s="110"/>
      <c r="AM2536" s="110"/>
      <c r="AN2536" s="110"/>
      <c r="AP2536" s="6"/>
      <c r="AW2536" s="6"/>
      <c r="AX2536" s="6"/>
      <c r="AZ2536" s="110"/>
      <c r="BB2536" s="6"/>
      <c r="BD2536" s="6"/>
      <c r="BE2536" s="6"/>
      <c r="BV2536" s="17"/>
      <c r="BX2536" s="17"/>
      <c r="BZ2536" s="17"/>
    </row>
    <row r="2537" spans="4:78" x14ac:dyDescent="0.3">
      <c r="D2537" s="153"/>
      <c r="E2537" s="6"/>
      <c r="G2537" s="6"/>
      <c r="J2537" s="6"/>
      <c r="N2537" s="154"/>
      <c r="O2537" s="6"/>
      <c r="S2537" s="6"/>
      <c r="V2537" s="6"/>
      <c r="X2537" s="6"/>
      <c r="Z2537" s="110"/>
      <c r="AB2537" s="6"/>
      <c r="AD2537" s="6"/>
      <c r="AE2537" s="6"/>
      <c r="AF2537" s="126"/>
      <c r="AJ2537" s="6"/>
      <c r="AL2537" s="110"/>
      <c r="AM2537" s="110"/>
      <c r="AN2537" s="110"/>
      <c r="AP2537" s="6"/>
      <c r="AW2537" s="6"/>
      <c r="AX2537" s="6"/>
      <c r="AZ2537" s="110"/>
      <c r="BB2537" s="6"/>
      <c r="BD2537" s="6"/>
      <c r="BE2537" s="6"/>
      <c r="BV2537" s="17"/>
      <c r="BX2537" s="17"/>
      <c r="BZ2537" s="17"/>
    </row>
    <row r="2538" spans="4:78" x14ac:dyDescent="0.3">
      <c r="D2538" s="153"/>
      <c r="E2538" s="6"/>
      <c r="G2538" s="6"/>
      <c r="J2538" s="6"/>
      <c r="N2538" s="154"/>
      <c r="O2538" s="6"/>
      <c r="S2538" s="6"/>
      <c r="V2538" s="6"/>
      <c r="X2538" s="6"/>
      <c r="Z2538" s="110"/>
      <c r="AB2538" s="6"/>
      <c r="AD2538" s="6"/>
      <c r="AE2538" s="6"/>
      <c r="AF2538" s="126"/>
      <c r="AJ2538" s="6"/>
      <c r="AL2538" s="110"/>
      <c r="AM2538" s="110"/>
      <c r="AN2538" s="110"/>
      <c r="AP2538" s="6"/>
      <c r="AW2538" s="6"/>
      <c r="AX2538" s="6"/>
      <c r="AZ2538" s="110"/>
      <c r="BB2538" s="6"/>
      <c r="BD2538" s="6"/>
      <c r="BE2538" s="6"/>
      <c r="BV2538" s="17"/>
      <c r="BX2538" s="17"/>
      <c r="BZ2538" s="17"/>
    </row>
    <row r="2539" spans="4:78" x14ac:dyDescent="0.3">
      <c r="D2539" s="153"/>
      <c r="E2539" s="6"/>
      <c r="G2539" s="6"/>
      <c r="J2539" s="6"/>
      <c r="N2539" s="154"/>
      <c r="O2539" s="6"/>
      <c r="S2539" s="6"/>
      <c r="V2539" s="6"/>
      <c r="X2539" s="6"/>
      <c r="Z2539" s="110"/>
      <c r="AB2539" s="6"/>
      <c r="AD2539" s="6"/>
      <c r="AE2539" s="6"/>
      <c r="AF2539" s="126"/>
      <c r="AJ2539" s="6"/>
      <c r="AL2539" s="110"/>
      <c r="AM2539" s="110"/>
      <c r="AN2539" s="110"/>
      <c r="AP2539" s="6"/>
      <c r="AW2539" s="6"/>
      <c r="AX2539" s="6"/>
      <c r="AZ2539" s="110"/>
      <c r="BB2539" s="6"/>
      <c r="BD2539" s="6"/>
      <c r="BE2539" s="6"/>
      <c r="BV2539" s="17"/>
      <c r="BX2539" s="17"/>
      <c r="BZ2539" s="17"/>
    </row>
    <row r="2540" spans="4:78" x14ac:dyDescent="0.3">
      <c r="D2540" s="153"/>
      <c r="E2540" s="6"/>
      <c r="G2540" s="6"/>
      <c r="J2540" s="6"/>
      <c r="N2540" s="154"/>
      <c r="O2540" s="6"/>
      <c r="S2540" s="6"/>
      <c r="V2540" s="6"/>
      <c r="X2540" s="6"/>
      <c r="Z2540" s="110"/>
      <c r="AB2540" s="6"/>
      <c r="AD2540" s="6"/>
      <c r="AE2540" s="6"/>
      <c r="AF2540" s="126"/>
      <c r="AJ2540" s="6"/>
      <c r="AL2540" s="110"/>
      <c r="AM2540" s="110"/>
      <c r="AN2540" s="110"/>
      <c r="AP2540" s="6"/>
      <c r="AW2540" s="6"/>
      <c r="AX2540" s="6"/>
      <c r="AZ2540" s="110"/>
      <c r="BB2540" s="6"/>
      <c r="BD2540" s="6"/>
      <c r="BE2540" s="6"/>
      <c r="BV2540" s="17"/>
      <c r="BX2540" s="17"/>
      <c r="BZ2540" s="17"/>
    </row>
    <row r="2541" spans="4:78" x14ac:dyDescent="0.3">
      <c r="D2541" s="153"/>
      <c r="E2541" s="6"/>
      <c r="G2541" s="6"/>
      <c r="J2541" s="6"/>
      <c r="N2541" s="154"/>
      <c r="O2541" s="6"/>
      <c r="S2541" s="6"/>
      <c r="V2541" s="6"/>
      <c r="X2541" s="6"/>
      <c r="Z2541" s="110"/>
      <c r="AB2541" s="6"/>
      <c r="AD2541" s="6"/>
      <c r="AE2541" s="6"/>
      <c r="AF2541" s="126"/>
      <c r="AJ2541" s="6"/>
      <c r="AL2541" s="110"/>
      <c r="AM2541" s="110"/>
      <c r="AN2541" s="110"/>
      <c r="AP2541" s="6"/>
      <c r="AW2541" s="6"/>
      <c r="AX2541" s="6"/>
      <c r="AZ2541" s="110"/>
      <c r="BB2541" s="6"/>
      <c r="BD2541" s="6"/>
      <c r="BE2541" s="6"/>
      <c r="BV2541" s="17"/>
      <c r="BX2541" s="17"/>
      <c r="BZ2541" s="17"/>
    </row>
    <row r="2542" spans="4:78" x14ac:dyDescent="0.3">
      <c r="D2542" s="153"/>
      <c r="E2542" s="6"/>
      <c r="G2542" s="6"/>
      <c r="J2542" s="6"/>
      <c r="N2542" s="154"/>
      <c r="O2542" s="6"/>
      <c r="S2542" s="6"/>
      <c r="V2542" s="6"/>
      <c r="X2542" s="6"/>
      <c r="Z2542" s="110"/>
      <c r="AB2542" s="6"/>
      <c r="AD2542" s="6"/>
      <c r="AE2542" s="6"/>
      <c r="AF2542" s="126"/>
      <c r="AJ2542" s="6"/>
      <c r="AL2542" s="110"/>
      <c r="AM2542" s="110"/>
      <c r="AN2542" s="110"/>
      <c r="AP2542" s="6"/>
      <c r="AW2542" s="6"/>
      <c r="AX2542" s="6"/>
      <c r="AZ2542" s="110"/>
      <c r="BB2542" s="6"/>
      <c r="BD2542" s="6"/>
      <c r="BE2542" s="6"/>
      <c r="BV2542" s="17"/>
      <c r="BX2542" s="17"/>
      <c r="BZ2542" s="17"/>
    </row>
    <row r="2543" spans="4:78" x14ac:dyDescent="0.3">
      <c r="D2543" s="153"/>
      <c r="E2543" s="6"/>
      <c r="G2543" s="6"/>
      <c r="J2543" s="6"/>
      <c r="N2543" s="154"/>
      <c r="O2543" s="6"/>
      <c r="S2543" s="6"/>
      <c r="V2543" s="6"/>
      <c r="X2543" s="6"/>
      <c r="Z2543" s="110"/>
      <c r="AB2543" s="6"/>
      <c r="AD2543" s="6"/>
      <c r="AE2543" s="6"/>
      <c r="AF2543" s="126"/>
      <c r="AJ2543" s="6"/>
      <c r="AL2543" s="110"/>
      <c r="AM2543" s="110"/>
      <c r="AN2543" s="110"/>
      <c r="AP2543" s="6"/>
      <c r="AW2543" s="6"/>
      <c r="AX2543" s="6"/>
      <c r="AZ2543" s="110"/>
      <c r="BB2543" s="6"/>
      <c r="BD2543" s="6"/>
      <c r="BE2543" s="6"/>
      <c r="BV2543" s="17"/>
      <c r="BX2543" s="17"/>
      <c r="BZ2543" s="17"/>
    </row>
    <row r="2544" spans="4:78" x14ac:dyDescent="0.3">
      <c r="D2544" s="153"/>
      <c r="E2544" s="6"/>
      <c r="G2544" s="6"/>
      <c r="J2544" s="6"/>
      <c r="N2544" s="154"/>
      <c r="O2544" s="6"/>
      <c r="S2544" s="6"/>
      <c r="V2544" s="6"/>
      <c r="X2544" s="6"/>
      <c r="Z2544" s="110"/>
      <c r="AB2544" s="6"/>
      <c r="AD2544" s="6"/>
      <c r="AE2544" s="6"/>
      <c r="AF2544" s="126"/>
      <c r="AJ2544" s="6"/>
      <c r="AL2544" s="110"/>
      <c r="AM2544" s="110"/>
      <c r="AN2544" s="110"/>
      <c r="AP2544" s="6"/>
      <c r="AW2544" s="6"/>
      <c r="AX2544" s="6"/>
      <c r="AZ2544" s="110"/>
      <c r="BB2544" s="6"/>
      <c r="BD2544" s="6"/>
      <c r="BE2544" s="6"/>
      <c r="BV2544" s="17"/>
      <c r="BX2544" s="17"/>
      <c r="BZ2544" s="17"/>
    </row>
    <row r="2545" spans="4:78" x14ac:dyDescent="0.3">
      <c r="D2545" s="153"/>
      <c r="E2545" s="6"/>
      <c r="G2545" s="6"/>
      <c r="J2545" s="6"/>
      <c r="N2545" s="154"/>
      <c r="O2545" s="6"/>
      <c r="S2545" s="6"/>
      <c r="V2545" s="6"/>
      <c r="X2545" s="6"/>
      <c r="Z2545" s="110"/>
      <c r="AB2545" s="6"/>
      <c r="AD2545" s="6"/>
      <c r="AE2545" s="6"/>
      <c r="AF2545" s="126"/>
      <c r="AJ2545" s="6"/>
      <c r="AL2545" s="110"/>
      <c r="AM2545" s="110"/>
      <c r="AN2545" s="110"/>
      <c r="AP2545" s="6"/>
      <c r="AW2545" s="6"/>
      <c r="AX2545" s="6"/>
      <c r="AZ2545" s="110"/>
      <c r="BB2545" s="6"/>
      <c r="BD2545" s="6"/>
      <c r="BE2545" s="6"/>
      <c r="BV2545" s="17"/>
      <c r="BX2545" s="17"/>
      <c r="BZ2545" s="17"/>
    </row>
    <row r="2546" spans="4:78" x14ac:dyDescent="0.3">
      <c r="D2546" s="153"/>
      <c r="E2546" s="6"/>
      <c r="G2546" s="6"/>
      <c r="J2546" s="6"/>
      <c r="N2546" s="154"/>
      <c r="O2546" s="6"/>
      <c r="S2546" s="6"/>
      <c r="V2546" s="6"/>
      <c r="X2546" s="6"/>
      <c r="Z2546" s="110"/>
      <c r="AB2546" s="6"/>
      <c r="AD2546" s="6"/>
      <c r="AE2546" s="6"/>
      <c r="AF2546" s="126"/>
      <c r="AJ2546" s="6"/>
      <c r="AL2546" s="110"/>
      <c r="AM2546" s="110"/>
      <c r="AN2546" s="110"/>
      <c r="AP2546" s="6"/>
      <c r="AW2546" s="6"/>
      <c r="AX2546" s="6"/>
      <c r="AZ2546" s="110"/>
      <c r="BB2546" s="6"/>
      <c r="BD2546" s="6"/>
      <c r="BE2546" s="6"/>
      <c r="BV2546" s="17"/>
      <c r="BX2546" s="17"/>
      <c r="BZ2546" s="17"/>
    </row>
    <row r="2547" spans="4:78" x14ac:dyDescent="0.3">
      <c r="D2547" s="153"/>
      <c r="E2547" s="6"/>
      <c r="G2547" s="6"/>
      <c r="J2547" s="6"/>
      <c r="N2547" s="154"/>
      <c r="O2547" s="6"/>
      <c r="S2547" s="6"/>
      <c r="V2547" s="6"/>
      <c r="X2547" s="6"/>
      <c r="Z2547" s="110"/>
      <c r="AB2547" s="6"/>
      <c r="AD2547" s="6"/>
      <c r="AE2547" s="6"/>
      <c r="AF2547" s="126"/>
      <c r="AJ2547" s="6"/>
      <c r="AL2547" s="110"/>
      <c r="AM2547" s="110"/>
      <c r="AN2547" s="110"/>
      <c r="AP2547" s="6"/>
      <c r="AW2547" s="6"/>
      <c r="AX2547" s="6"/>
      <c r="AZ2547" s="110"/>
      <c r="BB2547" s="6"/>
      <c r="BD2547" s="6"/>
      <c r="BE2547" s="6"/>
      <c r="BV2547" s="17"/>
      <c r="BX2547" s="17"/>
      <c r="BZ2547" s="17"/>
    </row>
    <row r="2548" spans="4:78" x14ac:dyDescent="0.3">
      <c r="D2548" s="153"/>
      <c r="E2548" s="6"/>
      <c r="G2548" s="6"/>
      <c r="J2548" s="6"/>
      <c r="N2548" s="154"/>
      <c r="O2548" s="6"/>
      <c r="S2548" s="6"/>
      <c r="V2548" s="6"/>
      <c r="X2548" s="6"/>
      <c r="Z2548" s="110"/>
      <c r="AB2548" s="6"/>
      <c r="AD2548" s="6"/>
      <c r="AE2548" s="6"/>
      <c r="AF2548" s="126"/>
      <c r="AJ2548" s="6"/>
      <c r="AL2548" s="110"/>
      <c r="AM2548" s="110"/>
      <c r="AN2548" s="110"/>
      <c r="AP2548" s="6"/>
      <c r="AW2548" s="6"/>
      <c r="AX2548" s="6"/>
      <c r="AZ2548" s="110"/>
      <c r="BB2548" s="6"/>
      <c r="BD2548" s="6"/>
      <c r="BE2548" s="6"/>
      <c r="BV2548" s="17"/>
      <c r="BX2548" s="17"/>
      <c r="BZ2548" s="17"/>
    </row>
    <row r="2549" spans="4:78" x14ac:dyDescent="0.3">
      <c r="D2549" s="153"/>
      <c r="E2549" s="6"/>
      <c r="G2549" s="6"/>
      <c r="J2549" s="6"/>
      <c r="N2549" s="154"/>
      <c r="O2549" s="6"/>
      <c r="S2549" s="6"/>
      <c r="V2549" s="6"/>
      <c r="X2549" s="6"/>
      <c r="Z2549" s="110"/>
      <c r="AB2549" s="6"/>
      <c r="AD2549" s="6"/>
      <c r="AE2549" s="6"/>
      <c r="AF2549" s="126"/>
      <c r="AJ2549" s="6"/>
      <c r="AL2549" s="110"/>
      <c r="AM2549" s="110"/>
      <c r="AN2549" s="110"/>
      <c r="AP2549" s="6"/>
      <c r="AW2549" s="6"/>
      <c r="AX2549" s="6"/>
      <c r="AZ2549" s="110"/>
      <c r="BB2549" s="6"/>
      <c r="BD2549" s="6"/>
      <c r="BE2549" s="6"/>
      <c r="BV2549" s="17"/>
      <c r="BX2549" s="17"/>
      <c r="BZ2549" s="17"/>
    </row>
    <row r="2550" spans="4:78" x14ac:dyDescent="0.3">
      <c r="D2550" s="153"/>
      <c r="E2550" s="6"/>
      <c r="G2550" s="6"/>
      <c r="J2550" s="6"/>
      <c r="N2550" s="154"/>
      <c r="O2550" s="6"/>
      <c r="S2550" s="6"/>
      <c r="V2550" s="6"/>
      <c r="X2550" s="6"/>
      <c r="Z2550" s="110"/>
      <c r="AB2550" s="6"/>
      <c r="AD2550" s="6"/>
      <c r="AE2550" s="6"/>
      <c r="AF2550" s="126"/>
      <c r="AJ2550" s="6"/>
      <c r="AL2550" s="110"/>
      <c r="AM2550" s="110"/>
      <c r="AN2550" s="110"/>
      <c r="AP2550" s="6"/>
      <c r="AW2550" s="6"/>
      <c r="AX2550" s="6"/>
      <c r="AZ2550" s="110"/>
      <c r="BB2550" s="6"/>
      <c r="BD2550" s="6"/>
      <c r="BE2550" s="6"/>
      <c r="BV2550" s="17"/>
      <c r="BX2550" s="17"/>
      <c r="BZ2550" s="17"/>
    </row>
    <row r="2551" spans="4:78" x14ac:dyDescent="0.3">
      <c r="D2551" s="153"/>
      <c r="E2551" s="6"/>
      <c r="G2551" s="6"/>
      <c r="J2551" s="6"/>
      <c r="N2551" s="154"/>
      <c r="O2551" s="6"/>
      <c r="S2551" s="6"/>
      <c r="V2551" s="6"/>
      <c r="X2551" s="6"/>
      <c r="Z2551" s="110"/>
      <c r="AB2551" s="6"/>
      <c r="AD2551" s="6"/>
      <c r="AE2551" s="6"/>
      <c r="AF2551" s="126"/>
      <c r="AJ2551" s="6"/>
      <c r="AL2551" s="110"/>
      <c r="AM2551" s="110"/>
      <c r="AN2551" s="110"/>
      <c r="AP2551" s="6"/>
      <c r="AW2551" s="6"/>
      <c r="AX2551" s="6"/>
      <c r="AZ2551" s="110"/>
      <c r="BB2551" s="6"/>
      <c r="BD2551" s="6"/>
      <c r="BE2551" s="6"/>
      <c r="BV2551" s="17"/>
      <c r="BX2551" s="17"/>
      <c r="BZ2551" s="17"/>
    </row>
    <row r="2552" spans="4:78" x14ac:dyDescent="0.3">
      <c r="D2552" s="153"/>
      <c r="E2552" s="6"/>
      <c r="G2552" s="6"/>
      <c r="J2552" s="6"/>
      <c r="N2552" s="154"/>
      <c r="O2552" s="6"/>
      <c r="S2552" s="6"/>
      <c r="V2552" s="6"/>
      <c r="X2552" s="6"/>
      <c r="Z2552" s="110"/>
      <c r="AB2552" s="6"/>
      <c r="AD2552" s="6"/>
      <c r="AE2552" s="6"/>
      <c r="AF2552" s="126"/>
      <c r="AJ2552" s="6"/>
      <c r="AL2552" s="110"/>
      <c r="AM2552" s="110"/>
      <c r="AN2552" s="110"/>
      <c r="AP2552" s="6"/>
      <c r="AW2552" s="6"/>
      <c r="AX2552" s="6"/>
      <c r="AZ2552" s="110"/>
      <c r="BB2552" s="6"/>
      <c r="BD2552" s="6"/>
      <c r="BE2552" s="6"/>
      <c r="BV2552" s="17"/>
      <c r="BX2552" s="17"/>
      <c r="BZ2552" s="17"/>
    </row>
    <row r="2553" spans="4:78" x14ac:dyDescent="0.3">
      <c r="D2553" s="153"/>
      <c r="E2553" s="6"/>
      <c r="G2553" s="6"/>
      <c r="J2553" s="6"/>
      <c r="N2553" s="154"/>
      <c r="O2553" s="6"/>
      <c r="S2553" s="6"/>
      <c r="V2553" s="6"/>
      <c r="X2553" s="6"/>
      <c r="Z2553" s="110"/>
      <c r="AB2553" s="6"/>
      <c r="AD2553" s="6"/>
      <c r="AE2553" s="6"/>
      <c r="AF2553" s="126"/>
      <c r="AJ2553" s="6"/>
      <c r="AL2553" s="110"/>
      <c r="AM2553" s="110"/>
      <c r="AN2553" s="110"/>
      <c r="AP2553" s="6"/>
      <c r="AW2553" s="6"/>
      <c r="AX2553" s="6"/>
      <c r="AZ2553" s="110"/>
      <c r="BB2553" s="6"/>
      <c r="BD2553" s="6"/>
      <c r="BE2553" s="6"/>
      <c r="BV2553" s="17"/>
      <c r="BX2553" s="17"/>
      <c r="BZ2553" s="17"/>
    </row>
    <row r="2554" spans="4:78" x14ac:dyDescent="0.3">
      <c r="D2554" s="153"/>
      <c r="E2554" s="6"/>
      <c r="G2554" s="6"/>
      <c r="J2554" s="6"/>
      <c r="N2554" s="154"/>
      <c r="O2554" s="6"/>
      <c r="S2554" s="6"/>
      <c r="V2554" s="6"/>
      <c r="X2554" s="6"/>
      <c r="Z2554" s="110"/>
      <c r="AB2554" s="6"/>
      <c r="AD2554" s="6"/>
      <c r="AE2554" s="6"/>
      <c r="AF2554" s="126"/>
      <c r="AJ2554" s="6"/>
      <c r="AL2554" s="110"/>
      <c r="AM2554" s="110"/>
      <c r="AN2554" s="110"/>
      <c r="AP2554" s="6"/>
      <c r="AW2554" s="6"/>
      <c r="AX2554" s="6"/>
      <c r="AZ2554" s="110"/>
      <c r="BB2554" s="6"/>
      <c r="BD2554" s="6"/>
      <c r="BE2554" s="6"/>
      <c r="BV2554" s="17"/>
      <c r="BX2554" s="17"/>
      <c r="BZ2554" s="17"/>
    </row>
    <row r="2555" spans="4:78" x14ac:dyDescent="0.3">
      <c r="D2555" s="153"/>
      <c r="E2555" s="6"/>
      <c r="G2555" s="6"/>
      <c r="J2555" s="6"/>
      <c r="N2555" s="154"/>
      <c r="O2555" s="6"/>
      <c r="S2555" s="6"/>
      <c r="V2555" s="6"/>
      <c r="X2555" s="6"/>
      <c r="Z2555" s="110"/>
      <c r="AB2555" s="6"/>
      <c r="AD2555" s="6"/>
      <c r="AE2555" s="6"/>
      <c r="AF2555" s="126"/>
      <c r="AJ2555" s="6"/>
      <c r="AL2555" s="110"/>
      <c r="AM2555" s="110"/>
      <c r="AN2555" s="110"/>
      <c r="AP2555" s="6"/>
      <c r="AW2555" s="6"/>
      <c r="AX2555" s="6"/>
      <c r="AZ2555" s="110"/>
      <c r="BB2555" s="6"/>
      <c r="BD2555" s="6"/>
      <c r="BE2555" s="6"/>
      <c r="BV2555" s="17"/>
      <c r="BX2555" s="17"/>
      <c r="BZ2555" s="17"/>
    </row>
    <row r="2556" spans="4:78" x14ac:dyDescent="0.3">
      <c r="D2556" s="153"/>
      <c r="E2556" s="6"/>
      <c r="G2556" s="6"/>
      <c r="J2556" s="6"/>
      <c r="N2556" s="154"/>
      <c r="O2556" s="6"/>
      <c r="S2556" s="6"/>
      <c r="V2556" s="6"/>
      <c r="X2556" s="6"/>
      <c r="Z2556" s="110"/>
      <c r="AB2556" s="6"/>
      <c r="AD2556" s="6"/>
      <c r="AE2556" s="6"/>
      <c r="AF2556" s="126"/>
      <c r="AJ2556" s="6"/>
      <c r="AL2556" s="110"/>
      <c r="AM2556" s="110"/>
      <c r="AN2556" s="110"/>
      <c r="AP2556" s="6"/>
      <c r="AW2556" s="6"/>
      <c r="AX2556" s="6"/>
      <c r="AZ2556" s="110"/>
      <c r="BB2556" s="6"/>
      <c r="BD2556" s="6"/>
      <c r="BE2556" s="6"/>
      <c r="BV2556" s="17"/>
      <c r="BX2556" s="17"/>
      <c r="BZ2556" s="17"/>
    </row>
    <row r="2557" spans="4:78" x14ac:dyDescent="0.3">
      <c r="D2557" s="153"/>
      <c r="E2557" s="6"/>
      <c r="G2557" s="6"/>
      <c r="J2557" s="6"/>
      <c r="N2557" s="154"/>
      <c r="O2557" s="6"/>
      <c r="S2557" s="6"/>
      <c r="V2557" s="6"/>
      <c r="X2557" s="6"/>
      <c r="Z2557" s="110"/>
      <c r="AB2557" s="6"/>
      <c r="AD2557" s="6"/>
      <c r="AE2557" s="6"/>
      <c r="AF2557" s="126"/>
      <c r="AJ2557" s="6"/>
      <c r="AL2557" s="110"/>
      <c r="AM2557" s="110"/>
      <c r="AN2557" s="110"/>
      <c r="AP2557" s="6"/>
      <c r="AW2557" s="6"/>
      <c r="AX2557" s="6"/>
      <c r="AZ2557" s="110"/>
      <c r="BB2557" s="6"/>
      <c r="BD2557" s="6"/>
      <c r="BE2557" s="6"/>
      <c r="BV2557" s="17"/>
      <c r="BX2557" s="17"/>
      <c r="BZ2557" s="17"/>
    </row>
    <row r="2558" spans="4:78" x14ac:dyDescent="0.3">
      <c r="D2558" s="153"/>
      <c r="E2558" s="6"/>
      <c r="G2558" s="6"/>
      <c r="J2558" s="6"/>
      <c r="N2558" s="154"/>
      <c r="O2558" s="6"/>
      <c r="S2558" s="6"/>
      <c r="V2558" s="6"/>
      <c r="X2558" s="6"/>
      <c r="Z2558" s="110"/>
      <c r="AB2558" s="6"/>
      <c r="AD2558" s="6"/>
      <c r="AE2558" s="6"/>
      <c r="AF2558" s="126"/>
      <c r="AJ2558" s="6"/>
      <c r="AL2558" s="110"/>
      <c r="AM2558" s="110"/>
      <c r="AN2558" s="110"/>
      <c r="AP2558" s="6"/>
      <c r="AW2558" s="6"/>
      <c r="AX2558" s="6"/>
      <c r="AZ2558" s="110"/>
      <c r="BB2558" s="6"/>
      <c r="BD2558" s="6"/>
      <c r="BE2558" s="6"/>
      <c r="BV2558" s="17"/>
      <c r="BX2558" s="17"/>
      <c r="BZ2558" s="17"/>
    </row>
    <row r="2559" spans="4:78" x14ac:dyDescent="0.3">
      <c r="D2559" s="153"/>
      <c r="E2559" s="6"/>
      <c r="G2559" s="6"/>
      <c r="J2559" s="6"/>
      <c r="N2559" s="154"/>
      <c r="O2559" s="6"/>
      <c r="S2559" s="6"/>
      <c r="V2559" s="6"/>
      <c r="X2559" s="6"/>
      <c r="Z2559" s="110"/>
      <c r="AB2559" s="6"/>
      <c r="AD2559" s="6"/>
      <c r="AE2559" s="6"/>
      <c r="AF2559" s="126"/>
      <c r="AJ2559" s="6"/>
      <c r="AL2559" s="110"/>
      <c r="AM2559" s="110"/>
      <c r="AN2559" s="110"/>
      <c r="AP2559" s="6"/>
      <c r="AW2559" s="6"/>
      <c r="AX2559" s="6"/>
      <c r="AZ2559" s="110"/>
      <c r="BB2559" s="6"/>
      <c r="BD2559" s="6"/>
      <c r="BE2559" s="6"/>
      <c r="BV2559" s="17"/>
      <c r="BX2559" s="17"/>
      <c r="BZ2559" s="17"/>
    </row>
    <row r="2560" spans="4:78" x14ac:dyDescent="0.3">
      <c r="D2560" s="153"/>
      <c r="E2560" s="6"/>
      <c r="G2560" s="6"/>
      <c r="J2560" s="6"/>
      <c r="N2560" s="154"/>
      <c r="O2560" s="6"/>
      <c r="S2560" s="6"/>
      <c r="V2560" s="6"/>
      <c r="X2560" s="6"/>
      <c r="Z2560" s="110"/>
      <c r="AB2560" s="6"/>
      <c r="AD2560" s="6"/>
      <c r="AE2560" s="6"/>
      <c r="AF2560" s="126"/>
      <c r="AJ2560" s="6"/>
      <c r="AL2560" s="110"/>
      <c r="AM2560" s="110"/>
      <c r="AN2560" s="110"/>
      <c r="AP2560" s="6"/>
      <c r="AW2560" s="6"/>
      <c r="AX2560" s="6"/>
      <c r="AZ2560" s="110"/>
      <c r="BB2560" s="6"/>
      <c r="BD2560" s="6"/>
      <c r="BE2560" s="6"/>
      <c r="BV2560" s="17"/>
      <c r="BX2560" s="17"/>
      <c r="BZ2560" s="17"/>
    </row>
    <row r="2561" spans="4:78" x14ac:dyDescent="0.3">
      <c r="D2561" s="153"/>
      <c r="E2561" s="6"/>
      <c r="G2561" s="6"/>
      <c r="J2561" s="6"/>
      <c r="N2561" s="154"/>
      <c r="O2561" s="6"/>
      <c r="S2561" s="6"/>
      <c r="V2561" s="6"/>
      <c r="X2561" s="6"/>
      <c r="Z2561" s="110"/>
      <c r="AB2561" s="6"/>
      <c r="AD2561" s="6"/>
      <c r="AE2561" s="6"/>
      <c r="AF2561" s="126"/>
      <c r="AJ2561" s="6"/>
      <c r="AL2561" s="110"/>
      <c r="AM2561" s="110"/>
      <c r="AN2561" s="110"/>
      <c r="AP2561" s="6"/>
      <c r="AW2561" s="6"/>
      <c r="AX2561" s="6"/>
      <c r="AZ2561" s="110"/>
      <c r="BB2561" s="6"/>
      <c r="BD2561" s="6"/>
      <c r="BE2561" s="6"/>
      <c r="BV2561" s="17"/>
      <c r="BX2561" s="17"/>
      <c r="BZ2561" s="17"/>
    </row>
    <row r="2562" spans="4:78" x14ac:dyDescent="0.3">
      <c r="D2562" s="153"/>
      <c r="E2562" s="6"/>
      <c r="G2562" s="6"/>
      <c r="J2562" s="6"/>
      <c r="N2562" s="154"/>
      <c r="O2562" s="6"/>
      <c r="S2562" s="6"/>
      <c r="V2562" s="6"/>
      <c r="X2562" s="6"/>
      <c r="Z2562" s="110"/>
      <c r="AB2562" s="6"/>
      <c r="AD2562" s="6"/>
      <c r="AE2562" s="6"/>
      <c r="AF2562" s="126"/>
      <c r="AJ2562" s="6"/>
      <c r="AL2562" s="110"/>
      <c r="AM2562" s="110"/>
      <c r="AN2562" s="110"/>
      <c r="AP2562" s="6"/>
      <c r="AW2562" s="6"/>
      <c r="AX2562" s="6"/>
      <c r="AZ2562" s="110"/>
      <c r="BB2562" s="6"/>
      <c r="BD2562" s="6"/>
      <c r="BE2562" s="6"/>
      <c r="BV2562" s="17"/>
      <c r="BX2562" s="17"/>
      <c r="BZ2562" s="17"/>
    </row>
    <row r="2563" spans="4:78" x14ac:dyDescent="0.3">
      <c r="D2563" s="153"/>
      <c r="E2563" s="6"/>
      <c r="G2563" s="6"/>
      <c r="J2563" s="6"/>
      <c r="N2563" s="154"/>
      <c r="O2563" s="6"/>
      <c r="S2563" s="6"/>
      <c r="V2563" s="6"/>
      <c r="X2563" s="6"/>
      <c r="Z2563" s="110"/>
      <c r="AB2563" s="6"/>
      <c r="AD2563" s="6"/>
      <c r="AE2563" s="6"/>
      <c r="AF2563" s="126"/>
      <c r="AJ2563" s="6"/>
      <c r="AL2563" s="110"/>
      <c r="AM2563" s="110"/>
      <c r="AN2563" s="110"/>
      <c r="AP2563" s="6"/>
      <c r="AW2563" s="6"/>
      <c r="AX2563" s="6"/>
      <c r="AZ2563" s="110"/>
      <c r="BB2563" s="6"/>
      <c r="BD2563" s="6"/>
      <c r="BE2563" s="6"/>
      <c r="BV2563" s="17"/>
      <c r="BX2563" s="17"/>
      <c r="BZ2563" s="17"/>
    </row>
    <row r="2564" spans="4:78" x14ac:dyDescent="0.3">
      <c r="D2564" s="153"/>
      <c r="E2564" s="6"/>
      <c r="G2564" s="6"/>
      <c r="J2564" s="6"/>
      <c r="N2564" s="154"/>
      <c r="O2564" s="6"/>
      <c r="S2564" s="6"/>
      <c r="V2564" s="6"/>
      <c r="X2564" s="6"/>
      <c r="Z2564" s="110"/>
      <c r="AB2564" s="6"/>
      <c r="AD2564" s="6"/>
      <c r="AE2564" s="6"/>
      <c r="AF2564" s="126"/>
      <c r="AJ2564" s="6"/>
      <c r="AL2564" s="110"/>
      <c r="AM2564" s="110"/>
      <c r="AN2564" s="110"/>
      <c r="AP2564" s="6"/>
      <c r="AW2564" s="6"/>
      <c r="AX2564" s="6"/>
      <c r="AZ2564" s="110"/>
      <c r="BB2564" s="6"/>
      <c r="BD2564" s="6"/>
      <c r="BE2564" s="6"/>
      <c r="BV2564" s="17"/>
      <c r="BX2564" s="17"/>
      <c r="BZ2564" s="17"/>
    </row>
    <row r="2565" spans="4:78" x14ac:dyDescent="0.3">
      <c r="D2565" s="153"/>
      <c r="E2565" s="6"/>
      <c r="G2565" s="6"/>
      <c r="J2565" s="6"/>
      <c r="N2565" s="154"/>
      <c r="O2565" s="6"/>
      <c r="S2565" s="6"/>
      <c r="V2565" s="6"/>
      <c r="X2565" s="6"/>
      <c r="Z2565" s="110"/>
      <c r="AB2565" s="6"/>
      <c r="AD2565" s="6"/>
      <c r="AE2565" s="6"/>
      <c r="AF2565" s="126"/>
      <c r="AJ2565" s="6"/>
      <c r="AL2565" s="110"/>
      <c r="AM2565" s="110"/>
      <c r="AN2565" s="110"/>
      <c r="AP2565" s="6"/>
      <c r="AW2565" s="6"/>
      <c r="AX2565" s="6"/>
      <c r="AZ2565" s="110"/>
      <c r="BB2565" s="6"/>
      <c r="BD2565" s="6"/>
      <c r="BE2565" s="6"/>
      <c r="BV2565" s="17"/>
      <c r="BX2565" s="17"/>
      <c r="BZ2565" s="17"/>
    </row>
    <row r="2566" spans="4:78" x14ac:dyDescent="0.3">
      <c r="D2566" s="153"/>
      <c r="E2566" s="6"/>
      <c r="G2566" s="6"/>
      <c r="J2566" s="6"/>
      <c r="N2566" s="154"/>
      <c r="O2566" s="6"/>
      <c r="S2566" s="6"/>
      <c r="V2566" s="6"/>
      <c r="X2566" s="6"/>
      <c r="Z2566" s="110"/>
      <c r="AB2566" s="6"/>
      <c r="AD2566" s="6"/>
      <c r="AE2566" s="6"/>
      <c r="AF2566" s="126"/>
      <c r="AJ2566" s="6"/>
      <c r="AL2566" s="110"/>
      <c r="AM2566" s="110"/>
      <c r="AN2566" s="110"/>
      <c r="AP2566" s="6"/>
      <c r="AW2566" s="6"/>
      <c r="AX2566" s="6"/>
      <c r="AZ2566" s="110"/>
      <c r="BB2566" s="6"/>
      <c r="BD2566" s="6"/>
      <c r="BE2566" s="6"/>
      <c r="BV2566" s="17"/>
      <c r="BX2566" s="17"/>
      <c r="BZ2566" s="17"/>
    </row>
    <row r="2567" spans="4:78" x14ac:dyDescent="0.3">
      <c r="D2567" s="153"/>
      <c r="E2567" s="6"/>
      <c r="G2567" s="6"/>
      <c r="J2567" s="6"/>
      <c r="N2567" s="154"/>
      <c r="O2567" s="6"/>
      <c r="S2567" s="6"/>
      <c r="V2567" s="6"/>
      <c r="X2567" s="6"/>
      <c r="Z2567" s="110"/>
      <c r="AB2567" s="6"/>
      <c r="AD2567" s="6"/>
      <c r="AE2567" s="6"/>
      <c r="AF2567" s="126"/>
      <c r="AJ2567" s="6"/>
      <c r="AL2567" s="110"/>
      <c r="AM2567" s="110"/>
      <c r="AN2567" s="110"/>
      <c r="AP2567" s="6"/>
      <c r="AW2567" s="6"/>
      <c r="AX2567" s="6"/>
      <c r="AZ2567" s="110"/>
      <c r="BB2567" s="6"/>
      <c r="BD2567" s="6"/>
      <c r="BE2567" s="6"/>
      <c r="BV2567" s="17"/>
      <c r="BX2567" s="17"/>
      <c r="BZ2567" s="17"/>
    </row>
    <row r="2568" spans="4:78" x14ac:dyDescent="0.3">
      <c r="D2568" s="153"/>
      <c r="E2568" s="6"/>
      <c r="G2568" s="6"/>
      <c r="J2568" s="6"/>
      <c r="N2568" s="154"/>
      <c r="O2568" s="6"/>
      <c r="S2568" s="6"/>
      <c r="V2568" s="6"/>
      <c r="X2568" s="6"/>
      <c r="Z2568" s="110"/>
      <c r="AB2568" s="6"/>
      <c r="AD2568" s="6"/>
      <c r="AE2568" s="6"/>
      <c r="AF2568" s="126"/>
      <c r="AJ2568" s="6"/>
      <c r="AL2568" s="110"/>
      <c r="AM2568" s="110"/>
      <c r="AN2568" s="110"/>
      <c r="AP2568" s="6"/>
      <c r="AW2568" s="6"/>
      <c r="AX2568" s="6"/>
      <c r="AZ2568" s="110"/>
      <c r="BB2568" s="6"/>
      <c r="BD2568" s="6"/>
      <c r="BE2568" s="6"/>
      <c r="BV2568" s="17"/>
      <c r="BX2568" s="17"/>
      <c r="BZ2568" s="17"/>
    </row>
    <row r="2569" spans="4:78" x14ac:dyDescent="0.3">
      <c r="D2569" s="153"/>
      <c r="E2569" s="6"/>
      <c r="G2569" s="6"/>
      <c r="J2569" s="6"/>
      <c r="N2569" s="154"/>
      <c r="O2569" s="6"/>
      <c r="S2569" s="6"/>
      <c r="V2569" s="6"/>
      <c r="X2569" s="6"/>
      <c r="Z2569" s="110"/>
      <c r="AB2569" s="6"/>
      <c r="AD2569" s="6"/>
      <c r="AE2569" s="6"/>
      <c r="AF2569" s="126"/>
      <c r="AJ2569" s="6"/>
      <c r="AL2569" s="110"/>
      <c r="AM2569" s="110"/>
      <c r="AN2569" s="110"/>
      <c r="AP2569" s="6"/>
      <c r="AW2569" s="6"/>
      <c r="AX2569" s="6"/>
      <c r="AZ2569" s="110"/>
      <c r="BB2569" s="6"/>
      <c r="BD2569" s="6"/>
      <c r="BE2569" s="6"/>
      <c r="BV2569" s="17"/>
      <c r="BX2569" s="17"/>
      <c r="BZ2569" s="17"/>
    </row>
    <row r="2570" spans="4:78" x14ac:dyDescent="0.3">
      <c r="D2570" s="153"/>
      <c r="E2570" s="6"/>
      <c r="G2570" s="6"/>
      <c r="J2570" s="6"/>
      <c r="N2570" s="154"/>
      <c r="O2570" s="6"/>
      <c r="S2570" s="6"/>
      <c r="V2570" s="6"/>
      <c r="X2570" s="6"/>
      <c r="Z2570" s="110"/>
      <c r="AB2570" s="6"/>
      <c r="AD2570" s="6"/>
      <c r="AE2570" s="6"/>
      <c r="AF2570" s="126"/>
      <c r="AJ2570" s="6"/>
      <c r="AL2570" s="110"/>
      <c r="AM2570" s="110"/>
      <c r="AN2570" s="110"/>
      <c r="AP2570" s="6"/>
      <c r="AW2570" s="6"/>
      <c r="AX2570" s="6"/>
      <c r="AZ2570" s="110"/>
      <c r="BB2570" s="6"/>
      <c r="BD2570" s="6"/>
      <c r="BE2570" s="6"/>
      <c r="BV2570" s="17"/>
      <c r="BX2570" s="17"/>
      <c r="BZ2570" s="17"/>
    </row>
    <row r="2571" spans="4:78" x14ac:dyDescent="0.3">
      <c r="D2571" s="153"/>
      <c r="E2571" s="6"/>
      <c r="G2571" s="6"/>
      <c r="J2571" s="6"/>
      <c r="N2571" s="154"/>
      <c r="O2571" s="6"/>
      <c r="S2571" s="6"/>
      <c r="V2571" s="6"/>
      <c r="X2571" s="6"/>
      <c r="Z2571" s="110"/>
      <c r="AB2571" s="6"/>
      <c r="AD2571" s="6"/>
      <c r="AE2571" s="6"/>
      <c r="AF2571" s="126"/>
      <c r="AJ2571" s="6"/>
      <c r="AL2571" s="110"/>
      <c r="AM2571" s="110"/>
      <c r="AN2571" s="110"/>
      <c r="AP2571" s="6"/>
      <c r="AW2571" s="6"/>
      <c r="AX2571" s="6"/>
      <c r="AZ2571" s="110"/>
      <c r="BB2571" s="6"/>
      <c r="BD2571" s="6"/>
      <c r="BE2571" s="6"/>
      <c r="BV2571" s="17"/>
      <c r="BX2571" s="17"/>
      <c r="BZ2571" s="17"/>
    </row>
    <row r="2572" spans="4:78" x14ac:dyDescent="0.3">
      <c r="D2572" s="153"/>
      <c r="E2572" s="6"/>
      <c r="G2572" s="6"/>
      <c r="J2572" s="6"/>
      <c r="N2572" s="154"/>
      <c r="O2572" s="6"/>
      <c r="S2572" s="6"/>
      <c r="V2572" s="6"/>
      <c r="X2572" s="6"/>
      <c r="Z2572" s="110"/>
      <c r="AB2572" s="6"/>
      <c r="AD2572" s="6"/>
      <c r="AE2572" s="6"/>
      <c r="AF2572" s="126"/>
      <c r="AJ2572" s="6"/>
      <c r="AL2572" s="110"/>
      <c r="AM2572" s="110"/>
      <c r="AN2572" s="110"/>
      <c r="AP2572" s="6"/>
      <c r="AW2572" s="6"/>
      <c r="AX2572" s="6"/>
      <c r="AZ2572" s="110"/>
      <c r="BB2572" s="6"/>
      <c r="BD2572" s="6"/>
      <c r="BE2572" s="6"/>
      <c r="BV2572" s="17"/>
      <c r="BX2572" s="17"/>
      <c r="BZ2572" s="17"/>
    </row>
    <row r="2573" spans="4:78" x14ac:dyDescent="0.3">
      <c r="D2573" s="153"/>
      <c r="E2573" s="6"/>
      <c r="G2573" s="6"/>
      <c r="J2573" s="6"/>
      <c r="N2573" s="154"/>
      <c r="O2573" s="6"/>
      <c r="S2573" s="6"/>
      <c r="V2573" s="6"/>
      <c r="X2573" s="6"/>
      <c r="Z2573" s="110"/>
      <c r="AB2573" s="6"/>
      <c r="AD2573" s="6"/>
      <c r="AE2573" s="6"/>
      <c r="AF2573" s="126"/>
      <c r="AJ2573" s="6"/>
      <c r="AL2573" s="110"/>
      <c r="AM2573" s="110"/>
      <c r="AN2573" s="110"/>
      <c r="AP2573" s="6"/>
      <c r="AW2573" s="6"/>
      <c r="AX2573" s="6"/>
      <c r="AZ2573" s="110"/>
      <c r="BB2573" s="6"/>
      <c r="BD2573" s="6"/>
      <c r="BE2573" s="6"/>
      <c r="BV2573" s="17"/>
      <c r="BX2573" s="17"/>
      <c r="BZ2573" s="17"/>
    </row>
    <row r="2574" spans="4:78" x14ac:dyDescent="0.3">
      <c r="D2574" s="153"/>
      <c r="E2574" s="6"/>
      <c r="G2574" s="6"/>
      <c r="J2574" s="6"/>
      <c r="N2574" s="154"/>
      <c r="O2574" s="6"/>
      <c r="S2574" s="6"/>
      <c r="V2574" s="6"/>
      <c r="X2574" s="6"/>
      <c r="Z2574" s="110"/>
      <c r="AB2574" s="6"/>
      <c r="AD2574" s="6"/>
      <c r="AE2574" s="6"/>
      <c r="AF2574" s="126"/>
      <c r="AJ2574" s="6"/>
      <c r="AL2574" s="110"/>
      <c r="AM2574" s="110"/>
      <c r="AN2574" s="110"/>
      <c r="AP2574" s="6"/>
      <c r="AW2574" s="6"/>
      <c r="AX2574" s="6"/>
      <c r="AZ2574" s="110"/>
      <c r="BB2574" s="6"/>
      <c r="BD2574" s="6"/>
      <c r="BE2574" s="6"/>
      <c r="BV2574" s="17"/>
      <c r="BX2574" s="17"/>
      <c r="BZ2574" s="17"/>
    </row>
    <row r="2575" spans="4:78" x14ac:dyDescent="0.3">
      <c r="D2575" s="153"/>
      <c r="E2575" s="6"/>
      <c r="G2575" s="6"/>
      <c r="J2575" s="6"/>
      <c r="N2575" s="154"/>
      <c r="O2575" s="6"/>
      <c r="S2575" s="6"/>
      <c r="V2575" s="6"/>
      <c r="X2575" s="6"/>
      <c r="Z2575" s="110"/>
      <c r="AB2575" s="6"/>
      <c r="AD2575" s="6"/>
      <c r="AE2575" s="6"/>
      <c r="AF2575" s="126"/>
      <c r="AJ2575" s="6"/>
      <c r="AL2575" s="110"/>
      <c r="AM2575" s="110"/>
      <c r="AN2575" s="110"/>
      <c r="AP2575" s="6"/>
      <c r="AW2575" s="6"/>
      <c r="AX2575" s="6"/>
      <c r="AZ2575" s="110"/>
      <c r="BB2575" s="6"/>
      <c r="BD2575" s="6"/>
      <c r="BE2575" s="6"/>
      <c r="BV2575" s="17"/>
      <c r="BX2575" s="17"/>
      <c r="BZ2575" s="17"/>
    </row>
    <row r="2576" spans="4:78" x14ac:dyDescent="0.3">
      <c r="D2576" s="153"/>
      <c r="E2576" s="6"/>
      <c r="G2576" s="6"/>
      <c r="J2576" s="6"/>
      <c r="N2576" s="154"/>
      <c r="O2576" s="6"/>
      <c r="S2576" s="6"/>
      <c r="V2576" s="6"/>
      <c r="X2576" s="6"/>
      <c r="Z2576" s="110"/>
      <c r="AB2576" s="6"/>
      <c r="AD2576" s="6"/>
      <c r="AE2576" s="6"/>
      <c r="AF2576" s="126"/>
      <c r="AJ2576" s="6"/>
      <c r="AL2576" s="110"/>
      <c r="AM2576" s="110"/>
      <c r="AN2576" s="110"/>
      <c r="AP2576" s="6"/>
      <c r="AW2576" s="6"/>
      <c r="AX2576" s="6"/>
      <c r="AZ2576" s="110"/>
      <c r="BB2576" s="6"/>
      <c r="BD2576" s="6"/>
      <c r="BE2576" s="6"/>
      <c r="BV2576" s="17"/>
      <c r="BX2576" s="17"/>
      <c r="BZ2576" s="17"/>
    </row>
    <row r="2577" spans="4:78" x14ac:dyDescent="0.3">
      <c r="D2577" s="153"/>
      <c r="E2577" s="6"/>
      <c r="G2577" s="6"/>
      <c r="J2577" s="6"/>
      <c r="N2577" s="154"/>
      <c r="O2577" s="6"/>
      <c r="S2577" s="6"/>
      <c r="V2577" s="6"/>
      <c r="X2577" s="6"/>
      <c r="Z2577" s="110"/>
      <c r="AB2577" s="6"/>
      <c r="AD2577" s="6"/>
      <c r="AE2577" s="6"/>
      <c r="AF2577" s="126"/>
      <c r="AJ2577" s="6"/>
      <c r="AL2577" s="110"/>
      <c r="AM2577" s="110"/>
      <c r="AN2577" s="110"/>
      <c r="AP2577" s="6"/>
      <c r="AW2577" s="6"/>
      <c r="AX2577" s="6"/>
      <c r="AZ2577" s="110"/>
      <c r="BB2577" s="6"/>
      <c r="BD2577" s="6"/>
      <c r="BE2577" s="6"/>
      <c r="BV2577" s="17"/>
      <c r="BX2577" s="17"/>
      <c r="BZ2577" s="17"/>
    </row>
    <row r="2578" spans="4:78" x14ac:dyDescent="0.3">
      <c r="D2578" s="153"/>
      <c r="E2578" s="6"/>
      <c r="G2578" s="6"/>
      <c r="J2578" s="6"/>
      <c r="N2578" s="154"/>
      <c r="O2578" s="6"/>
      <c r="S2578" s="6"/>
      <c r="V2578" s="6"/>
      <c r="X2578" s="6"/>
      <c r="Z2578" s="110"/>
      <c r="AB2578" s="6"/>
      <c r="AD2578" s="6"/>
      <c r="AE2578" s="6"/>
      <c r="AF2578" s="126"/>
      <c r="AJ2578" s="6"/>
      <c r="AL2578" s="110"/>
      <c r="AM2578" s="110"/>
      <c r="AN2578" s="110"/>
      <c r="AP2578" s="6"/>
      <c r="AW2578" s="6"/>
      <c r="AX2578" s="6"/>
      <c r="AZ2578" s="110"/>
      <c r="BB2578" s="6"/>
      <c r="BD2578" s="6"/>
      <c r="BE2578" s="6"/>
      <c r="BV2578" s="17"/>
      <c r="BX2578" s="17"/>
      <c r="BZ2578" s="17"/>
    </row>
    <row r="2579" spans="4:78" x14ac:dyDescent="0.3">
      <c r="D2579" s="153"/>
      <c r="E2579" s="6"/>
      <c r="G2579" s="6"/>
      <c r="J2579" s="6"/>
      <c r="N2579" s="154"/>
      <c r="O2579" s="6"/>
      <c r="S2579" s="6"/>
      <c r="V2579" s="6"/>
      <c r="X2579" s="6"/>
      <c r="Z2579" s="110"/>
      <c r="AB2579" s="6"/>
      <c r="AD2579" s="6"/>
      <c r="AE2579" s="6"/>
      <c r="AF2579" s="126"/>
      <c r="AJ2579" s="6"/>
      <c r="AL2579" s="110"/>
      <c r="AM2579" s="110"/>
      <c r="AN2579" s="110"/>
      <c r="AP2579" s="6"/>
      <c r="AW2579" s="6"/>
      <c r="AX2579" s="6"/>
      <c r="AZ2579" s="110"/>
      <c r="BB2579" s="6"/>
      <c r="BD2579" s="6"/>
      <c r="BE2579" s="6"/>
      <c r="BV2579" s="17"/>
      <c r="BX2579" s="17"/>
      <c r="BZ2579" s="17"/>
    </row>
    <row r="2580" spans="4:78" x14ac:dyDescent="0.3">
      <c r="D2580" s="153"/>
      <c r="E2580" s="6"/>
      <c r="G2580" s="6"/>
      <c r="J2580" s="6"/>
      <c r="N2580" s="154"/>
      <c r="O2580" s="6"/>
      <c r="S2580" s="6"/>
      <c r="V2580" s="6"/>
      <c r="X2580" s="6"/>
      <c r="Z2580" s="110"/>
      <c r="AB2580" s="6"/>
      <c r="AD2580" s="6"/>
      <c r="AE2580" s="6"/>
      <c r="AF2580" s="126"/>
      <c r="AJ2580" s="6"/>
      <c r="AL2580" s="110"/>
      <c r="AM2580" s="110"/>
      <c r="AN2580" s="110"/>
      <c r="AP2580" s="6"/>
      <c r="AW2580" s="6"/>
      <c r="AX2580" s="6"/>
      <c r="AZ2580" s="110"/>
      <c r="BB2580" s="6"/>
      <c r="BD2580" s="6"/>
      <c r="BE2580" s="6"/>
      <c r="BV2580" s="17"/>
      <c r="BX2580" s="17"/>
      <c r="BZ2580" s="17"/>
    </row>
    <row r="2581" spans="4:78" x14ac:dyDescent="0.3">
      <c r="D2581" s="153"/>
      <c r="E2581" s="6"/>
      <c r="G2581" s="6"/>
      <c r="J2581" s="6"/>
      <c r="N2581" s="154"/>
      <c r="O2581" s="6"/>
      <c r="S2581" s="6"/>
      <c r="V2581" s="6"/>
      <c r="X2581" s="6"/>
      <c r="Z2581" s="110"/>
      <c r="AB2581" s="6"/>
      <c r="AD2581" s="6"/>
      <c r="AE2581" s="6"/>
      <c r="AF2581" s="126"/>
      <c r="AJ2581" s="6"/>
      <c r="AL2581" s="110"/>
      <c r="AM2581" s="110"/>
      <c r="AN2581" s="110"/>
      <c r="AP2581" s="6"/>
      <c r="AW2581" s="6"/>
      <c r="AX2581" s="6"/>
      <c r="AZ2581" s="110"/>
      <c r="BB2581" s="6"/>
      <c r="BD2581" s="6"/>
      <c r="BE2581" s="6"/>
      <c r="BV2581" s="17"/>
      <c r="BX2581" s="17"/>
      <c r="BZ2581" s="17"/>
    </row>
    <row r="2582" spans="4:78" x14ac:dyDescent="0.3">
      <c r="D2582" s="153"/>
      <c r="E2582" s="6"/>
      <c r="G2582" s="6"/>
      <c r="J2582" s="6"/>
      <c r="N2582" s="154"/>
      <c r="O2582" s="6"/>
      <c r="S2582" s="6"/>
      <c r="V2582" s="6"/>
      <c r="X2582" s="6"/>
      <c r="Z2582" s="110"/>
      <c r="AB2582" s="6"/>
      <c r="AD2582" s="6"/>
      <c r="AE2582" s="6"/>
      <c r="AF2582" s="126"/>
      <c r="AJ2582" s="6"/>
      <c r="AL2582" s="110"/>
      <c r="AM2582" s="110"/>
      <c r="AN2582" s="110"/>
      <c r="AP2582" s="6"/>
      <c r="AW2582" s="6"/>
      <c r="AX2582" s="6"/>
      <c r="AZ2582" s="110"/>
      <c r="BB2582" s="6"/>
      <c r="BD2582" s="6"/>
      <c r="BE2582" s="6"/>
      <c r="BV2582" s="17"/>
      <c r="BX2582" s="17"/>
      <c r="BZ2582" s="17"/>
    </row>
    <row r="2583" spans="4:78" x14ac:dyDescent="0.3">
      <c r="D2583" s="153"/>
      <c r="E2583" s="6"/>
      <c r="G2583" s="6"/>
      <c r="J2583" s="6"/>
      <c r="N2583" s="154"/>
      <c r="O2583" s="6"/>
      <c r="S2583" s="6"/>
      <c r="V2583" s="6"/>
      <c r="X2583" s="6"/>
      <c r="Z2583" s="110"/>
      <c r="AB2583" s="6"/>
      <c r="AD2583" s="6"/>
      <c r="AE2583" s="6"/>
      <c r="AF2583" s="126"/>
      <c r="AJ2583" s="6"/>
      <c r="AL2583" s="110"/>
      <c r="AM2583" s="110"/>
      <c r="AN2583" s="110"/>
      <c r="AP2583" s="6"/>
      <c r="AW2583" s="6"/>
      <c r="AX2583" s="6"/>
      <c r="AZ2583" s="110"/>
      <c r="BB2583" s="6"/>
      <c r="BD2583" s="6"/>
      <c r="BE2583" s="6"/>
      <c r="BV2583" s="17"/>
      <c r="BX2583" s="17"/>
      <c r="BZ2583" s="17"/>
    </row>
    <row r="2584" spans="4:78" x14ac:dyDescent="0.3">
      <c r="D2584" s="153"/>
      <c r="E2584" s="6"/>
      <c r="G2584" s="6"/>
      <c r="J2584" s="6"/>
      <c r="N2584" s="154"/>
      <c r="O2584" s="6"/>
      <c r="S2584" s="6"/>
      <c r="V2584" s="6"/>
      <c r="X2584" s="6"/>
      <c r="Z2584" s="110"/>
      <c r="AB2584" s="6"/>
      <c r="AD2584" s="6"/>
      <c r="AE2584" s="6"/>
      <c r="AF2584" s="126"/>
      <c r="AJ2584" s="6"/>
      <c r="AL2584" s="110"/>
      <c r="AM2584" s="110"/>
      <c r="AN2584" s="110"/>
      <c r="AP2584" s="6"/>
      <c r="AW2584" s="6"/>
      <c r="AX2584" s="6"/>
      <c r="AZ2584" s="110"/>
      <c r="BB2584" s="6"/>
      <c r="BD2584" s="6"/>
      <c r="BE2584" s="6"/>
      <c r="BV2584" s="17"/>
      <c r="BX2584" s="17"/>
      <c r="BZ2584" s="17"/>
    </row>
    <row r="2585" spans="4:78" x14ac:dyDescent="0.3">
      <c r="D2585" s="153"/>
      <c r="E2585" s="6"/>
      <c r="G2585" s="6"/>
      <c r="J2585" s="6"/>
      <c r="N2585" s="154"/>
      <c r="O2585" s="6"/>
      <c r="S2585" s="6"/>
      <c r="V2585" s="6"/>
      <c r="X2585" s="6"/>
      <c r="Z2585" s="110"/>
      <c r="AB2585" s="6"/>
      <c r="AD2585" s="6"/>
      <c r="AE2585" s="6"/>
      <c r="AF2585" s="126"/>
      <c r="AJ2585" s="6"/>
      <c r="AL2585" s="110"/>
      <c r="AM2585" s="110"/>
      <c r="AN2585" s="110"/>
      <c r="AP2585" s="6"/>
      <c r="AW2585" s="6"/>
      <c r="AX2585" s="6"/>
      <c r="AZ2585" s="110"/>
      <c r="BB2585" s="6"/>
      <c r="BD2585" s="6"/>
      <c r="BE2585" s="6"/>
      <c r="BV2585" s="17"/>
      <c r="BX2585" s="17"/>
      <c r="BZ2585" s="17"/>
    </row>
    <row r="2586" spans="4:78" x14ac:dyDescent="0.3">
      <c r="D2586" s="153"/>
      <c r="E2586" s="6"/>
      <c r="G2586" s="6"/>
      <c r="J2586" s="6"/>
      <c r="N2586" s="154"/>
      <c r="O2586" s="6"/>
      <c r="S2586" s="6"/>
      <c r="V2586" s="6"/>
      <c r="X2586" s="6"/>
      <c r="Z2586" s="110"/>
      <c r="AB2586" s="6"/>
      <c r="AD2586" s="6"/>
      <c r="AE2586" s="6"/>
      <c r="AF2586" s="126"/>
      <c r="AJ2586" s="6"/>
      <c r="AL2586" s="110"/>
      <c r="AM2586" s="110"/>
      <c r="AN2586" s="110"/>
      <c r="AP2586" s="6"/>
      <c r="AW2586" s="6"/>
      <c r="AX2586" s="6"/>
      <c r="AZ2586" s="110"/>
      <c r="BB2586" s="6"/>
      <c r="BD2586" s="6"/>
      <c r="BE2586" s="6"/>
      <c r="BV2586" s="17"/>
      <c r="BX2586" s="17"/>
      <c r="BZ2586" s="17"/>
    </row>
    <row r="2587" spans="4:78" x14ac:dyDescent="0.3">
      <c r="D2587" s="153"/>
      <c r="E2587" s="6"/>
      <c r="G2587" s="6"/>
      <c r="J2587" s="6"/>
      <c r="N2587" s="154"/>
      <c r="O2587" s="6"/>
      <c r="S2587" s="6"/>
      <c r="V2587" s="6"/>
      <c r="X2587" s="6"/>
      <c r="Z2587" s="110"/>
      <c r="AB2587" s="6"/>
      <c r="AD2587" s="6"/>
      <c r="AE2587" s="6"/>
      <c r="AF2587" s="126"/>
      <c r="AJ2587" s="6"/>
      <c r="AL2587" s="110"/>
      <c r="AM2587" s="110"/>
      <c r="AN2587" s="110"/>
      <c r="AP2587" s="6"/>
      <c r="AW2587" s="6"/>
      <c r="AX2587" s="6"/>
      <c r="AZ2587" s="110"/>
      <c r="BB2587" s="6"/>
      <c r="BD2587" s="6"/>
      <c r="BE2587" s="6"/>
      <c r="BV2587" s="17"/>
      <c r="BX2587" s="17"/>
      <c r="BZ2587" s="17"/>
    </row>
    <row r="2588" spans="4:78" x14ac:dyDescent="0.3">
      <c r="D2588" s="153"/>
      <c r="E2588" s="6"/>
      <c r="G2588" s="6"/>
      <c r="J2588" s="6"/>
      <c r="N2588" s="154"/>
      <c r="O2588" s="6"/>
      <c r="S2588" s="6"/>
      <c r="V2588" s="6"/>
      <c r="X2588" s="6"/>
      <c r="Z2588" s="110"/>
      <c r="AB2588" s="6"/>
      <c r="AD2588" s="6"/>
      <c r="AE2588" s="6"/>
      <c r="AF2588" s="126"/>
      <c r="AJ2588" s="6"/>
      <c r="AL2588" s="110"/>
      <c r="AM2588" s="110"/>
      <c r="AN2588" s="110"/>
      <c r="AP2588" s="6"/>
      <c r="AW2588" s="6"/>
      <c r="AX2588" s="6"/>
      <c r="AZ2588" s="110"/>
      <c r="BB2588" s="6"/>
      <c r="BD2588" s="6"/>
      <c r="BE2588" s="6"/>
      <c r="BV2588" s="17"/>
      <c r="BX2588" s="17"/>
      <c r="BZ2588" s="17"/>
    </row>
    <row r="2589" spans="4:78" x14ac:dyDescent="0.3">
      <c r="D2589" s="153"/>
      <c r="E2589" s="6"/>
      <c r="G2589" s="6"/>
      <c r="J2589" s="6"/>
      <c r="N2589" s="154"/>
      <c r="O2589" s="6"/>
      <c r="S2589" s="6"/>
      <c r="V2589" s="6"/>
      <c r="X2589" s="6"/>
      <c r="Z2589" s="110"/>
      <c r="AB2589" s="6"/>
      <c r="AD2589" s="6"/>
      <c r="AE2589" s="6"/>
      <c r="AF2589" s="126"/>
      <c r="AJ2589" s="6"/>
      <c r="AL2589" s="110"/>
      <c r="AM2589" s="110"/>
      <c r="AN2589" s="110"/>
      <c r="AP2589" s="6"/>
      <c r="AW2589" s="6"/>
      <c r="AX2589" s="6"/>
      <c r="AZ2589" s="110"/>
      <c r="BB2589" s="6"/>
      <c r="BD2589" s="6"/>
      <c r="BE2589" s="6"/>
      <c r="BV2589" s="17"/>
      <c r="BX2589" s="17"/>
      <c r="BZ2589" s="17"/>
    </row>
    <row r="2590" spans="4:78" x14ac:dyDescent="0.3">
      <c r="D2590" s="153"/>
      <c r="E2590" s="6"/>
      <c r="G2590" s="6"/>
      <c r="J2590" s="6"/>
      <c r="N2590" s="154"/>
      <c r="O2590" s="6"/>
      <c r="S2590" s="6"/>
      <c r="V2590" s="6"/>
      <c r="X2590" s="6"/>
      <c r="Z2590" s="110"/>
      <c r="AB2590" s="6"/>
      <c r="AD2590" s="6"/>
      <c r="AE2590" s="6"/>
      <c r="AF2590" s="126"/>
      <c r="AJ2590" s="6"/>
      <c r="AL2590" s="110"/>
      <c r="AM2590" s="110"/>
      <c r="AN2590" s="110"/>
      <c r="AP2590" s="6"/>
      <c r="AW2590" s="6"/>
      <c r="AX2590" s="6"/>
      <c r="AZ2590" s="110"/>
      <c r="BB2590" s="6"/>
      <c r="BD2590" s="6"/>
      <c r="BE2590" s="6"/>
      <c r="BV2590" s="17"/>
      <c r="BX2590" s="17"/>
      <c r="BZ2590" s="17"/>
    </row>
    <row r="2591" spans="4:78" x14ac:dyDescent="0.3">
      <c r="D2591" s="153"/>
      <c r="E2591" s="6"/>
      <c r="G2591" s="6"/>
      <c r="J2591" s="6"/>
      <c r="N2591" s="154"/>
      <c r="O2591" s="6"/>
      <c r="S2591" s="6"/>
      <c r="V2591" s="6"/>
      <c r="X2591" s="6"/>
      <c r="Z2591" s="110"/>
      <c r="AB2591" s="6"/>
      <c r="AD2591" s="6"/>
      <c r="AE2591" s="6"/>
      <c r="AF2591" s="126"/>
      <c r="AJ2591" s="6"/>
      <c r="AL2591" s="110"/>
      <c r="AM2591" s="110"/>
      <c r="AN2591" s="110"/>
      <c r="AP2591" s="6"/>
      <c r="AW2591" s="6"/>
      <c r="AX2591" s="6"/>
      <c r="AZ2591" s="110"/>
      <c r="BB2591" s="6"/>
      <c r="BD2591" s="6"/>
      <c r="BE2591" s="6"/>
      <c r="BV2591" s="17"/>
      <c r="BX2591" s="17"/>
      <c r="BZ2591" s="17"/>
    </row>
    <row r="2592" spans="4:78" x14ac:dyDescent="0.3">
      <c r="D2592" s="153"/>
      <c r="E2592" s="6"/>
      <c r="G2592" s="6"/>
      <c r="J2592" s="6"/>
      <c r="N2592" s="154"/>
      <c r="O2592" s="6"/>
      <c r="S2592" s="6"/>
      <c r="V2592" s="6"/>
      <c r="X2592" s="6"/>
      <c r="Z2592" s="110"/>
      <c r="AB2592" s="6"/>
      <c r="AD2592" s="6"/>
      <c r="AE2592" s="6"/>
      <c r="AF2592" s="126"/>
      <c r="AJ2592" s="6"/>
      <c r="AL2592" s="110"/>
      <c r="AM2592" s="110"/>
      <c r="AN2592" s="110"/>
      <c r="AP2592" s="6"/>
      <c r="AW2592" s="6"/>
      <c r="AX2592" s="6"/>
      <c r="AZ2592" s="110"/>
      <c r="BB2592" s="6"/>
      <c r="BD2592" s="6"/>
      <c r="BE2592" s="6"/>
      <c r="BV2592" s="17"/>
      <c r="BX2592" s="17"/>
      <c r="BZ2592" s="17"/>
    </row>
    <row r="2593" spans="4:78" x14ac:dyDescent="0.3">
      <c r="D2593" s="153"/>
      <c r="E2593" s="6"/>
      <c r="G2593" s="6"/>
      <c r="J2593" s="6"/>
      <c r="N2593" s="154"/>
      <c r="O2593" s="6"/>
      <c r="S2593" s="6"/>
      <c r="V2593" s="6"/>
      <c r="X2593" s="6"/>
      <c r="Z2593" s="110"/>
      <c r="AB2593" s="6"/>
      <c r="AD2593" s="6"/>
      <c r="AE2593" s="6"/>
      <c r="AF2593" s="126"/>
      <c r="AJ2593" s="6"/>
      <c r="AL2593" s="110"/>
      <c r="AM2593" s="110"/>
      <c r="AN2593" s="110"/>
      <c r="AP2593" s="6"/>
      <c r="AW2593" s="6"/>
      <c r="AX2593" s="6"/>
      <c r="AZ2593" s="110"/>
      <c r="BB2593" s="6"/>
      <c r="BD2593" s="6"/>
      <c r="BE2593" s="6"/>
      <c r="BV2593" s="17"/>
      <c r="BX2593" s="17"/>
      <c r="BZ2593" s="17"/>
    </row>
    <row r="2594" spans="4:78" x14ac:dyDescent="0.3">
      <c r="D2594" s="153"/>
      <c r="E2594" s="6"/>
      <c r="G2594" s="6"/>
      <c r="J2594" s="6"/>
      <c r="N2594" s="154"/>
      <c r="O2594" s="6"/>
      <c r="S2594" s="6"/>
      <c r="V2594" s="6"/>
      <c r="X2594" s="6"/>
      <c r="Z2594" s="110"/>
      <c r="AB2594" s="6"/>
      <c r="AD2594" s="6"/>
      <c r="AE2594" s="6"/>
      <c r="AF2594" s="126"/>
      <c r="AJ2594" s="6"/>
      <c r="AL2594" s="110"/>
      <c r="AM2594" s="110"/>
      <c r="AN2594" s="110"/>
      <c r="AP2594" s="6"/>
      <c r="AW2594" s="6"/>
      <c r="AX2594" s="6"/>
      <c r="AZ2594" s="110"/>
      <c r="BB2594" s="6"/>
      <c r="BD2594" s="6"/>
      <c r="BE2594" s="6"/>
      <c r="BV2594" s="17"/>
      <c r="BX2594" s="17"/>
      <c r="BZ2594" s="17"/>
    </row>
    <row r="2595" spans="4:78" x14ac:dyDescent="0.3">
      <c r="D2595" s="153"/>
      <c r="E2595" s="6"/>
      <c r="G2595" s="6"/>
      <c r="J2595" s="6"/>
      <c r="N2595" s="154"/>
      <c r="O2595" s="6"/>
      <c r="S2595" s="6"/>
      <c r="V2595" s="6"/>
      <c r="X2595" s="6"/>
      <c r="Z2595" s="110"/>
      <c r="AB2595" s="6"/>
      <c r="AD2595" s="6"/>
      <c r="AE2595" s="6"/>
      <c r="AF2595" s="126"/>
      <c r="AJ2595" s="6"/>
      <c r="AL2595" s="110"/>
      <c r="AM2595" s="110"/>
      <c r="AN2595" s="110"/>
      <c r="AP2595" s="6"/>
      <c r="AW2595" s="6"/>
      <c r="AX2595" s="6"/>
      <c r="AZ2595" s="110"/>
      <c r="BB2595" s="6"/>
      <c r="BD2595" s="6"/>
      <c r="BE2595" s="6"/>
      <c r="BV2595" s="17"/>
      <c r="BX2595" s="17"/>
      <c r="BZ2595" s="17"/>
    </row>
    <row r="2596" spans="4:78" x14ac:dyDescent="0.3">
      <c r="D2596" s="153"/>
      <c r="E2596" s="6"/>
      <c r="G2596" s="6"/>
      <c r="J2596" s="6"/>
      <c r="N2596" s="154"/>
      <c r="O2596" s="6"/>
      <c r="S2596" s="6"/>
      <c r="V2596" s="6"/>
      <c r="X2596" s="6"/>
      <c r="Z2596" s="110"/>
      <c r="AB2596" s="6"/>
      <c r="AD2596" s="6"/>
      <c r="AE2596" s="6"/>
      <c r="AF2596" s="126"/>
      <c r="AJ2596" s="6"/>
      <c r="AL2596" s="110"/>
      <c r="AM2596" s="110"/>
      <c r="AN2596" s="110"/>
      <c r="AP2596" s="6"/>
      <c r="AW2596" s="6"/>
      <c r="AX2596" s="6"/>
      <c r="AZ2596" s="110"/>
      <c r="BB2596" s="6"/>
      <c r="BD2596" s="6"/>
      <c r="BE2596" s="6"/>
      <c r="BV2596" s="17"/>
      <c r="BX2596" s="17"/>
      <c r="BZ2596" s="17"/>
    </row>
    <row r="2597" spans="4:78" x14ac:dyDescent="0.3">
      <c r="D2597" s="153"/>
      <c r="E2597" s="6"/>
      <c r="G2597" s="6"/>
      <c r="J2597" s="6"/>
      <c r="N2597" s="154"/>
      <c r="O2597" s="6"/>
      <c r="S2597" s="6"/>
      <c r="V2597" s="6"/>
      <c r="X2597" s="6"/>
      <c r="Z2597" s="110"/>
      <c r="AB2597" s="6"/>
      <c r="AD2597" s="6"/>
      <c r="AE2597" s="6"/>
      <c r="AF2597" s="126"/>
      <c r="AJ2597" s="6"/>
      <c r="AL2597" s="110"/>
      <c r="AM2597" s="110"/>
      <c r="AN2597" s="110"/>
      <c r="AP2597" s="6"/>
      <c r="AW2597" s="6"/>
      <c r="AX2597" s="6"/>
      <c r="AZ2597" s="110"/>
      <c r="BB2597" s="6"/>
      <c r="BD2597" s="6"/>
      <c r="BE2597" s="6"/>
      <c r="BV2597" s="17"/>
      <c r="BX2597" s="17"/>
      <c r="BZ2597" s="17"/>
    </row>
    <row r="2598" spans="4:78" x14ac:dyDescent="0.3">
      <c r="D2598" s="153"/>
      <c r="E2598" s="6"/>
      <c r="G2598" s="6"/>
      <c r="J2598" s="6"/>
      <c r="N2598" s="154"/>
      <c r="O2598" s="6"/>
      <c r="S2598" s="6"/>
      <c r="V2598" s="6"/>
      <c r="X2598" s="6"/>
      <c r="Z2598" s="110"/>
      <c r="AB2598" s="6"/>
      <c r="AD2598" s="6"/>
      <c r="AE2598" s="6"/>
      <c r="AF2598" s="126"/>
      <c r="AJ2598" s="6"/>
      <c r="AL2598" s="110"/>
      <c r="AM2598" s="110"/>
      <c r="AN2598" s="110"/>
      <c r="AP2598" s="6"/>
      <c r="AW2598" s="6"/>
      <c r="AX2598" s="6"/>
      <c r="AZ2598" s="110"/>
      <c r="BB2598" s="6"/>
      <c r="BD2598" s="6"/>
      <c r="BE2598" s="6"/>
      <c r="BV2598" s="17"/>
      <c r="BX2598" s="17"/>
      <c r="BZ2598" s="17"/>
    </row>
    <row r="2599" spans="4:78" x14ac:dyDescent="0.3">
      <c r="D2599" s="153"/>
      <c r="E2599" s="6"/>
      <c r="G2599" s="6"/>
      <c r="J2599" s="6"/>
      <c r="N2599" s="154"/>
      <c r="O2599" s="6"/>
      <c r="S2599" s="6"/>
      <c r="V2599" s="6"/>
      <c r="X2599" s="6"/>
      <c r="Z2599" s="110"/>
      <c r="AB2599" s="6"/>
      <c r="AD2599" s="6"/>
      <c r="AE2599" s="6"/>
      <c r="AF2599" s="126"/>
      <c r="AJ2599" s="6"/>
      <c r="AL2599" s="110"/>
      <c r="AM2599" s="110"/>
      <c r="AN2599" s="110"/>
      <c r="AP2599" s="6"/>
      <c r="AW2599" s="6"/>
      <c r="AX2599" s="6"/>
      <c r="AZ2599" s="110"/>
      <c r="BB2599" s="6"/>
      <c r="BD2599" s="6"/>
      <c r="BE2599" s="6"/>
      <c r="BV2599" s="17"/>
      <c r="BX2599" s="17"/>
      <c r="BZ2599" s="17"/>
    </row>
    <row r="2600" spans="4:78" x14ac:dyDescent="0.3">
      <c r="D2600" s="153"/>
      <c r="E2600" s="6"/>
      <c r="G2600" s="6"/>
      <c r="J2600" s="6"/>
      <c r="N2600" s="154"/>
      <c r="O2600" s="6"/>
      <c r="S2600" s="6"/>
      <c r="V2600" s="6"/>
      <c r="X2600" s="6"/>
      <c r="Z2600" s="110"/>
      <c r="AB2600" s="6"/>
      <c r="AD2600" s="6"/>
      <c r="AE2600" s="6"/>
      <c r="AF2600" s="126"/>
      <c r="AJ2600" s="6"/>
      <c r="AL2600" s="110"/>
      <c r="AM2600" s="110"/>
      <c r="AN2600" s="110"/>
      <c r="AP2600" s="6"/>
      <c r="AW2600" s="6"/>
      <c r="AX2600" s="6"/>
      <c r="AZ2600" s="110"/>
      <c r="BB2600" s="6"/>
      <c r="BD2600" s="6"/>
      <c r="BE2600" s="6"/>
      <c r="BV2600" s="17"/>
      <c r="BX2600" s="17"/>
      <c r="BZ2600" s="17"/>
    </row>
    <row r="2601" spans="4:78" x14ac:dyDescent="0.3">
      <c r="D2601" s="153"/>
      <c r="E2601" s="6"/>
      <c r="G2601" s="6"/>
      <c r="J2601" s="6"/>
      <c r="N2601" s="154"/>
      <c r="O2601" s="6"/>
      <c r="S2601" s="6"/>
      <c r="V2601" s="6"/>
      <c r="X2601" s="6"/>
      <c r="Z2601" s="110"/>
      <c r="AB2601" s="6"/>
      <c r="AD2601" s="6"/>
      <c r="AE2601" s="6"/>
      <c r="AF2601" s="126"/>
      <c r="AJ2601" s="6"/>
      <c r="AL2601" s="110"/>
      <c r="AM2601" s="110"/>
      <c r="AN2601" s="110"/>
      <c r="AP2601" s="6"/>
      <c r="AW2601" s="6"/>
      <c r="AX2601" s="6"/>
      <c r="AZ2601" s="110"/>
      <c r="BB2601" s="6"/>
      <c r="BD2601" s="6"/>
      <c r="BE2601" s="6"/>
      <c r="BV2601" s="17"/>
      <c r="BX2601" s="17"/>
      <c r="BZ2601" s="17"/>
    </row>
    <row r="2602" spans="4:78" x14ac:dyDescent="0.3">
      <c r="D2602" s="153"/>
      <c r="E2602" s="6"/>
      <c r="G2602" s="6"/>
      <c r="J2602" s="6"/>
      <c r="N2602" s="154"/>
      <c r="O2602" s="6"/>
      <c r="S2602" s="6"/>
      <c r="V2602" s="6"/>
      <c r="X2602" s="6"/>
      <c r="Z2602" s="110"/>
      <c r="AB2602" s="6"/>
      <c r="AD2602" s="6"/>
      <c r="AE2602" s="6"/>
      <c r="AF2602" s="126"/>
      <c r="AJ2602" s="6"/>
      <c r="AL2602" s="110"/>
      <c r="AM2602" s="110"/>
      <c r="AN2602" s="110"/>
      <c r="AP2602" s="6"/>
      <c r="AW2602" s="6"/>
      <c r="AX2602" s="6"/>
      <c r="AZ2602" s="110"/>
      <c r="BB2602" s="6"/>
      <c r="BD2602" s="6"/>
      <c r="BE2602" s="6"/>
      <c r="BV2602" s="17"/>
      <c r="BX2602" s="17"/>
      <c r="BZ2602" s="17"/>
    </row>
    <row r="2603" spans="4:78" x14ac:dyDescent="0.3">
      <c r="D2603" s="153"/>
      <c r="E2603" s="6"/>
      <c r="G2603" s="6"/>
      <c r="J2603" s="6"/>
      <c r="N2603" s="154"/>
      <c r="O2603" s="6"/>
      <c r="S2603" s="6"/>
      <c r="V2603" s="6"/>
      <c r="X2603" s="6"/>
      <c r="Z2603" s="110"/>
      <c r="AB2603" s="6"/>
      <c r="AD2603" s="6"/>
      <c r="AE2603" s="6"/>
      <c r="AF2603" s="126"/>
      <c r="AJ2603" s="6"/>
      <c r="AL2603" s="110"/>
      <c r="AM2603" s="110"/>
      <c r="AN2603" s="110"/>
      <c r="AP2603" s="6"/>
      <c r="AW2603" s="6"/>
      <c r="AX2603" s="6"/>
      <c r="AZ2603" s="110"/>
      <c r="BB2603" s="6"/>
      <c r="BD2603" s="6"/>
      <c r="BE2603" s="6"/>
      <c r="BV2603" s="17"/>
      <c r="BX2603" s="17"/>
      <c r="BZ2603" s="17"/>
    </row>
    <row r="2604" spans="4:78" x14ac:dyDescent="0.3">
      <c r="D2604" s="153"/>
      <c r="E2604" s="6"/>
      <c r="G2604" s="6"/>
      <c r="J2604" s="6"/>
      <c r="N2604" s="154"/>
      <c r="O2604" s="6"/>
      <c r="S2604" s="6"/>
      <c r="V2604" s="6"/>
      <c r="X2604" s="6"/>
      <c r="Z2604" s="110"/>
      <c r="AB2604" s="6"/>
      <c r="AD2604" s="6"/>
      <c r="AE2604" s="6"/>
      <c r="AF2604" s="126"/>
      <c r="AJ2604" s="6"/>
      <c r="AL2604" s="110"/>
      <c r="AM2604" s="110"/>
      <c r="AN2604" s="110"/>
      <c r="AP2604" s="6"/>
      <c r="AW2604" s="6"/>
      <c r="AX2604" s="6"/>
      <c r="AZ2604" s="110"/>
      <c r="BB2604" s="6"/>
      <c r="BD2604" s="6"/>
      <c r="BE2604" s="6"/>
      <c r="BV2604" s="17"/>
      <c r="BX2604" s="17"/>
      <c r="BZ2604" s="17"/>
    </row>
    <row r="2605" spans="4:78" x14ac:dyDescent="0.3">
      <c r="D2605" s="153"/>
      <c r="E2605" s="6"/>
      <c r="G2605" s="6"/>
      <c r="J2605" s="6"/>
      <c r="N2605" s="154"/>
      <c r="O2605" s="6"/>
      <c r="S2605" s="6"/>
      <c r="V2605" s="6"/>
      <c r="X2605" s="6"/>
      <c r="Z2605" s="110"/>
      <c r="AB2605" s="6"/>
      <c r="AD2605" s="6"/>
      <c r="AE2605" s="6"/>
      <c r="AF2605" s="126"/>
      <c r="AJ2605" s="6"/>
      <c r="AL2605" s="110"/>
      <c r="AM2605" s="110"/>
      <c r="AN2605" s="110"/>
      <c r="AP2605" s="6"/>
      <c r="AW2605" s="6"/>
      <c r="AX2605" s="6"/>
      <c r="AZ2605" s="110"/>
      <c r="BB2605" s="6"/>
      <c r="BD2605" s="6"/>
      <c r="BE2605" s="6"/>
      <c r="BV2605" s="17"/>
      <c r="BX2605" s="17"/>
      <c r="BZ2605" s="17"/>
    </row>
    <row r="2606" spans="4:78" x14ac:dyDescent="0.3">
      <c r="D2606" s="153"/>
      <c r="E2606" s="6"/>
      <c r="G2606" s="6"/>
      <c r="J2606" s="6"/>
      <c r="N2606" s="154"/>
      <c r="O2606" s="6"/>
      <c r="S2606" s="6"/>
      <c r="V2606" s="6"/>
      <c r="X2606" s="6"/>
      <c r="Z2606" s="110"/>
      <c r="AB2606" s="6"/>
      <c r="AD2606" s="6"/>
      <c r="AE2606" s="6"/>
      <c r="AF2606" s="126"/>
      <c r="AJ2606" s="6"/>
      <c r="AL2606" s="110"/>
      <c r="AM2606" s="110"/>
      <c r="AN2606" s="110"/>
      <c r="AP2606" s="6"/>
      <c r="AW2606" s="6"/>
      <c r="AX2606" s="6"/>
      <c r="AZ2606" s="110"/>
      <c r="BB2606" s="6"/>
      <c r="BD2606" s="6"/>
      <c r="BE2606" s="6"/>
      <c r="BV2606" s="17"/>
      <c r="BX2606" s="17"/>
      <c r="BZ2606" s="17"/>
    </row>
    <row r="2607" spans="4:78" x14ac:dyDescent="0.3">
      <c r="D2607" s="153"/>
      <c r="E2607" s="6"/>
      <c r="G2607" s="6"/>
      <c r="J2607" s="6"/>
      <c r="N2607" s="154"/>
      <c r="O2607" s="6"/>
      <c r="S2607" s="6"/>
      <c r="V2607" s="6"/>
      <c r="X2607" s="6"/>
      <c r="Z2607" s="110"/>
      <c r="AB2607" s="6"/>
      <c r="AD2607" s="6"/>
      <c r="AE2607" s="6"/>
      <c r="AF2607" s="126"/>
      <c r="AJ2607" s="6"/>
      <c r="AL2607" s="110"/>
      <c r="AM2607" s="110"/>
      <c r="AN2607" s="110"/>
      <c r="AP2607" s="6"/>
      <c r="AW2607" s="6"/>
      <c r="AX2607" s="6"/>
      <c r="AZ2607" s="110"/>
      <c r="BB2607" s="6"/>
      <c r="BD2607" s="6"/>
      <c r="BE2607" s="6"/>
      <c r="BV2607" s="17"/>
      <c r="BX2607" s="17"/>
      <c r="BZ2607" s="17"/>
    </row>
    <row r="2608" spans="4:78" x14ac:dyDescent="0.3">
      <c r="D2608" s="153"/>
      <c r="E2608" s="6"/>
      <c r="G2608" s="6"/>
      <c r="J2608" s="6"/>
      <c r="N2608" s="154"/>
      <c r="O2608" s="6"/>
      <c r="S2608" s="6"/>
      <c r="V2608" s="6"/>
      <c r="X2608" s="6"/>
      <c r="Z2608" s="110"/>
      <c r="AB2608" s="6"/>
      <c r="AD2608" s="6"/>
      <c r="AE2608" s="6"/>
      <c r="AF2608" s="126"/>
      <c r="AJ2608" s="6"/>
      <c r="AL2608" s="110"/>
      <c r="AM2608" s="110"/>
      <c r="AN2608" s="110"/>
      <c r="AP2608" s="6"/>
      <c r="AW2608" s="6"/>
      <c r="AX2608" s="6"/>
      <c r="AZ2608" s="110"/>
      <c r="BB2608" s="6"/>
      <c r="BD2608" s="6"/>
      <c r="BE2608" s="6"/>
      <c r="BV2608" s="17"/>
      <c r="BX2608" s="17"/>
      <c r="BZ2608" s="17"/>
    </row>
    <row r="2609" spans="4:78" x14ac:dyDescent="0.3">
      <c r="D2609" s="153"/>
      <c r="E2609" s="6"/>
      <c r="G2609" s="6"/>
      <c r="J2609" s="6"/>
      <c r="N2609" s="154"/>
      <c r="O2609" s="6"/>
      <c r="S2609" s="6"/>
      <c r="V2609" s="6"/>
      <c r="X2609" s="6"/>
      <c r="Z2609" s="110"/>
      <c r="AB2609" s="6"/>
      <c r="AD2609" s="6"/>
      <c r="AE2609" s="6"/>
      <c r="AF2609" s="126"/>
      <c r="AJ2609" s="6"/>
      <c r="AL2609" s="110"/>
      <c r="AM2609" s="110"/>
      <c r="AN2609" s="110"/>
      <c r="AP2609" s="6"/>
      <c r="AW2609" s="6"/>
      <c r="AX2609" s="6"/>
      <c r="AZ2609" s="110"/>
      <c r="BB2609" s="6"/>
      <c r="BD2609" s="6"/>
      <c r="BE2609" s="6"/>
      <c r="BV2609" s="17"/>
      <c r="BX2609" s="17"/>
      <c r="BZ2609" s="17"/>
    </row>
    <row r="2610" spans="4:78" x14ac:dyDescent="0.3">
      <c r="D2610" s="153"/>
      <c r="E2610" s="6"/>
      <c r="G2610" s="6"/>
      <c r="J2610" s="6"/>
      <c r="N2610" s="154"/>
      <c r="O2610" s="6"/>
      <c r="S2610" s="6"/>
      <c r="V2610" s="6"/>
      <c r="X2610" s="6"/>
      <c r="Z2610" s="110"/>
      <c r="AB2610" s="6"/>
      <c r="AD2610" s="6"/>
      <c r="AE2610" s="6"/>
      <c r="AF2610" s="126"/>
      <c r="AJ2610" s="6"/>
      <c r="AL2610" s="110"/>
      <c r="AM2610" s="110"/>
      <c r="AN2610" s="110"/>
      <c r="AP2610" s="6"/>
      <c r="AW2610" s="6"/>
      <c r="AX2610" s="6"/>
      <c r="AZ2610" s="110"/>
      <c r="BB2610" s="6"/>
      <c r="BD2610" s="6"/>
      <c r="BE2610" s="6"/>
      <c r="BV2610" s="17"/>
      <c r="BX2610" s="17"/>
      <c r="BZ2610" s="17"/>
    </row>
    <row r="2611" spans="4:78" x14ac:dyDescent="0.3">
      <c r="D2611" s="153"/>
      <c r="E2611" s="6"/>
      <c r="G2611" s="6"/>
      <c r="J2611" s="6"/>
      <c r="N2611" s="154"/>
      <c r="O2611" s="6"/>
      <c r="S2611" s="6"/>
      <c r="V2611" s="6"/>
      <c r="X2611" s="6"/>
      <c r="Z2611" s="110"/>
      <c r="AB2611" s="6"/>
      <c r="AD2611" s="6"/>
      <c r="AE2611" s="6"/>
      <c r="AF2611" s="126"/>
      <c r="AJ2611" s="6"/>
      <c r="AL2611" s="110"/>
      <c r="AM2611" s="110"/>
      <c r="AN2611" s="110"/>
      <c r="AP2611" s="6"/>
      <c r="AW2611" s="6"/>
      <c r="AX2611" s="6"/>
      <c r="AZ2611" s="110"/>
      <c r="BB2611" s="6"/>
      <c r="BD2611" s="6"/>
      <c r="BE2611" s="6"/>
      <c r="BV2611" s="17"/>
      <c r="BX2611" s="17"/>
      <c r="BZ2611" s="17"/>
    </row>
    <row r="2612" spans="4:78" x14ac:dyDescent="0.3">
      <c r="D2612" s="153"/>
      <c r="E2612" s="6"/>
      <c r="G2612" s="6"/>
      <c r="J2612" s="6"/>
      <c r="N2612" s="154"/>
      <c r="O2612" s="6"/>
      <c r="S2612" s="6"/>
      <c r="V2612" s="6"/>
      <c r="X2612" s="6"/>
      <c r="Z2612" s="110"/>
      <c r="AB2612" s="6"/>
      <c r="AD2612" s="6"/>
      <c r="AE2612" s="6"/>
      <c r="AF2612" s="126"/>
      <c r="AJ2612" s="6"/>
      <c r="AL2612" s="110"/>
      <c r="AM2612" s="110"/>
      <c r="AN2612" s="110"/>
      <c r="AP2612" s="6"/>
      <c r="AW2612" s="6"/>
      <c r="AX2612" s="6"/>
      <c r="AZ2612" s="110"/>
      <c r="BB2612" s="6"/>
      <c r="BD2612" s="6"/>
      <c r="BE2612" s="6"/>
      <c r="BV2612" s="17"/>
      <c r="BX2612" s="17"/>
      <c r="BZ2612" s="17"/>
    </row>
    <row r="2613" spans="4:78" x14ac:dyDescent="0.3">
      <c r="D2613" s="153"/>
      <c r="E2613" s="6"/>
      <c r="G2613" s="6"/>
      <c r="J2613" s="6"/>
      <c r="N2613" s="154"/>
      <c r="O2613" s="6"/>
      <c r="S2613" s="6"/>
      <c r="V2613" s="6"/>
      <c r="X2613" s="6"/>
      <c r="Z2613" s="110"/>
      <c r="AB2613" s="6"/>
      <c r="AD2613" s="6"/>
      <c r="AE2613" s="6"/>
      <c r="AF2613" s="126"/>
      <c r="AJ2613" s="6"/>
      <c r="AL2613" s="110"/>
      <c r="AM2613" s="110"/>
      <c r="AN2613" s="110"/>
      <c r="AP2613" s="6"/>
      <c r="AW2613" s="6"/>
      <c r="AX2613" s="6"/>
      <c r="AZ2613" s="110"/>
      <c r="BB2613" s="6"/>
      <c r="BD2613" s="6"/>
      <c r="BE2613" s="6"/>
      <c r="BV2613" s="17"/>
      <c r="BX2613" s="17"/>
      <c r="BZ2613" s="17"/>
    </row>
    <row r="2614" spans="4:78" x14ac:dyDescent="0.3">
      <c r="D2614" s="153"/>
      <c r="E2614" s="6"/>
      <c r="G2614" s="6"/>
      <c r="J2614" s="6"/>
      <c r="N2614" s="154"/>
      <c r="O2614" s="6"/>
      <c r="S2614" s="6"/>
      <c r="V2614" s="6"/>
      <c r="X2614" s="6"/>
      <c r="Z2614" s="110"/>
      <c r="AB2614" s="6"/>
      <c r="AD2614" s="6"/>
      <c r="AE2614" s="6"/>
      <c r="AF2614" s="126"/>
      <c r="AJ2614" s="6"/>
      <c r="AL2614" s="110"/>
      <c r="AM2614" s="110"/>
      <c r="AN2614" s="110"/>
      <c r="AP2614" s="6"/>
      <c r="AW2614" s="6"/>
      <c r="AX2614" s="6"/>
      <c r="AZ2614" s="110"/>
      <c r="BB2614" s="6"/>
      <c r="BD2614" s="6"/>
      <c r="BE2614" s="6"/>
      <c r="BV2614" s="17"/>
      <c r="BX2614" s="17"/>
      <c r="BZ2614" s="17"/>
    </row>
    <row r="2615" spans="4:78" x14ac:dyDescent="0.3">
      <c r="D2615" s="153"/>
      <c r="E2615" s="6"/>
      <c r="G2615" s="6"/>
      <c r="J2615" s="6"/>
      <c r="N2615" s="154"/>
      <c r="O2615" s="6"/>
      <c r="S2615" s="6"/>
      <c r="V2615" s="6"/>
      <c r="X2615" s="6"/>
      <c r="Z2615" s="110"/>
      <c r="AB2615" s="6"/>
      <c r="AD2615" s="6"/>
      <c r="AE2615" s="6"/>
      <c r="AF2615" s="126"/>
      <c r="AJ2615" s="6"/>
      <c r="AL2615" s="110"/>
      <c r="AM2615" s="110"/>
      <c r="AN2615" s="110"/>
      <c r="AP2615" s="6"/>
      <c r="AW2615" s="6"/>
      <c r="AX2615" s="6"/>
      <c r="AZ2615" s="110"/>
      <c r="BB2615" s="6"/>
      <c r="BD2615" s="6"/>
      <c r="BE2615" s="6"/>
      <c r="BV2615" s="17"/>
      <c r="BX2615" s="17"/>
      <c r="BZ2615" s="17"/>
    </row>
    <row r="2616" spans="4:78" x14ac:dyDescent="0.3">
      <c r="D2616" s="153"/>
      <c r="E2616" s="6"/>
      <c r="G2616" s="6"/>
      <c r="J2616" s="6"/>
      <c r="N2616" s="154"/>
      <c r="O2616" s="6"/>
      <c r="S2616" s="6"/>
      <c r="V2616" s="6"/>
      <c r="X2616" s="6"/>
      <c r="Z2616" s="110"/>
      <c r="AB2616" s="6"/>
      <c r="AD2616" s="6"/>
      <c r="AE2616" s="6"/>
      <c r="AF2616" s="126"/>
      <c r="AJ2616" s="6"/>
      <c r="AL2616" s="110"/>
      <c r="AM2616" s="110"/>
      <c r="AN2616" s="110"/>
      <c r="AP2616" s="6"/>
      <c r="AW2616" s="6"/>
      <c r="AX2616" s="6"/>
      <c r="AZ2616" s="110"/>
      <c r="BB2616" s="6"/>
      <c r="BD2616" s="6"/>
      <c r="BE2616" s="6"/>
      <c r="BV2616" s="17"/>
      <c r="BX2616" s="17"/>
      <c r="BZ2616" s="17"/>
    </row>
    <row r="2617" spans="4:78" x14ac:dyDescent="0.3">
      <c r="D2617" s="153"/>
      <c r="E2617" s="6"/>
      <c r="G2617" s="6"/>
      <c r="J2617" s="6"/>
      <c r="N2617" s="154"/>
      <c r="O2617" s="6"/>
      <c r="S2617" s="6"/>
      <c r="V2617" s="6"/>
      <c r="X2617" s="6"/>
      <c r="Z2617" s="110"/>
      <c r="AB2617" s="6"/>
      <c r="AD2617" s="6"/>
      <c r="AE2617" s="6"/>
      <c r="AF2617" s="126"/>
      <c r="AJ2617" s="6"/>
      <c r="AL2617" s="110"/>
      <c r="AM2617" s="110"/>
      <c r="AN2617" s="110"/>
      <c r="AP2617" s="6"/>
      <c r="AW2617" s="6"/>
      <c r="AX2617" s="6"/>
      <c r="AZ2617" s="110"/>
      <c r="BB2617" s="6"/>
      <c r="BD2617" s="6"/>
      <c r="BE2617" s="6"/>
      <c r="BV2617" s="17"/>
      <c r="BX2617" s="17"/>
      <c r="BZ2617" s="17"/>
    </row>
    <row r="2618" spans="4:78" x14ac:dyDescent="0.3">
      <c r="D2618" s="153"/>
      <c r="E2618" s="6"/>
      <c r="G2618" s="6"/>
      <c r="J2618" s="6"/>
      <c r="N2618" s="154"/>
      <c r="O2618" s="6"/>
      <c r="S2618" s="6"/>
      <c r="V2618" s="6"/>
      <c r="X2618" s="6"/>
      <c r="Z2618" s="110"/>
      <c r="AB2618" s="6"/>
      <c r="AD2618" s="6"/>
      <c r="AE2618" s="6"/>
      <c r="AF2618" s="126"/>
      <c r="AJ2618" s="6"/>
      <c r="AL2618" s="110"/>
      <c r="AM2618" s="110"/>
      <c r="AN2618" s="110"/>
      <c r="AP2618" s="6"/>
      <c r="AW2618" s="6"/>
      <c r="AX2618" s="6"/>
      <c r="AZ2618" s="110"/>
      <c r="BB2618" s="6"/>
      <c r="BD2618" s="6"/>
      <c r="BE2618" s="6"/>
      <c r="BV2618" s="17"/>
      <c r="BX2618" s="17"/>
      <c r="BZ2618" s="17"/>
    </row>
    <row r="2619" spans="4:78" x14ac:dyDescent="0.3">
      <c r="D2619" s="153"/>
      <c r="E2619" s="6"/>
      <c r="G2619" s="6"/>
      <c r="J2619" s="6"/>
      <c r="N2619" s="154"/>
      <c r="O2619" s="6"/>
      <c r="S2619" s="6"/>
      <c r="V2619" s="6"/>
      <c r="X2619" s="6"/>
      <c r="Z2619" s="110"/>
      <c r="AB2619" s="6"/>
      <c r="AD2619" s="6"/>
      <c r="AE2619" s="6"/>
      <c r="AF2619" s="126"/>
      <c r="AJ2619" s="6"/>
      <c r="AL2619" s="110"/>
      <c r="AM2619" s="110"/>
      <c r="AN2619" s="110"/>
      <c r="AP2619" s="6"/>
      <c r="AW2619" s="6"/>
      <c r="AX2619" s="6"/>
      <c r="AZ2619" s="110"/>
      <c r="BB2619" s="6"/>
      <c r="BD2619" s="6"/>
      <c r="BE2619" s="6"/>
      <c r="BV2619" s="17"/>
      <c r="BX2619" s="17"/>
      <c r="BZ2619" s="17"/>
    </row>
    <row r="2620" spans="4:78" x14ac:dyDescent="0.3">
      <c r="D2620" s="153"/>
      <c r="E2620" s="6"/>
      <c r="G2620" s="6"/>
      <c r="J2620" s="6"/>
      <c r="N2620" s="154"/>
      <c r="O2620" s="6"/>
      <c r="S2620" s="6"/>
      <c r="V2620" s="6"/>
      <c r="X2620" s="6"/>
      <c r="Z2620" s="110"/>
      <c r="AB2620" s="6"/>
      <c r="AD2620" s="6"/>
      <c r="AE2620" s="6"/>
      <c r="AF2620" s="126"/>
      <c r="AJ2620" s="6"/>
      <c r="AL2620" s="110"/>
      <c r="AM2620" s="110"/>
      <c r="AN2620" s="110"/>
      <c r="AP2620" s="6"/>
      <c r="AW2620" s="6"/>
      <c r="AX2620" s="6"/>
      <c r="AZ2620" s="110"/>
      <c r="BB2620" s="6"/>
      <c r="BD2620" s="6"/>
      <c r="BE2620" s="6"/>
      <c r="BV2620" s="17"/>
      <c r="BX2620" s="17"/>
      <c r="BZ2620" s="17"/>
    </row>
    <row r="2621" spans="4:78" x14ac:dyDescent="0.3">
      <c r="D2621" s="153"/>
      <c r="E2621" s="6"/>
      <c r="G2621" s="6"/>
      <c r="J2621" s="6"/>
      <c r="N2621" s="154"/>
      <c r="O2621" s="6"/>
      <c r="S2621" s="6"/>
      <c r="V2621" s="6"/>
      <c r="X2621" s="6"/>
      <c r="Z2621" s="110"/>
      <c r="AB2621" s="6"/>
      <c r="AD2621" s="6"/>
      <c r="AE2621" s="6"/>
      <c r="AF2621" s="126"/>
      <c r="AJ2621" s="6"/>
      <c r="AL2621" s="110"/>
      <c r="AM2621" s="110"/>
      <c r="AN2621" s="110"/>
      <c r="AP2621" s="6"/>
      <c r="AW2621" s="6"/>
      <c r="AX2621" s="6"/>
      <c r="AZ2621" s="110"/>
      <c r="BB2621" s="6"/>
      <c r="BD2621" s="6"/>
      <c r="BE2621" s="6"/>
      <c r="BV2621" s="17"/>
      <c r="BX2621" s="17"/>
      <c r="BZ2621" s="17"/>
    </row>
    <row r="2622" spans="4:78" x14ac:dyDescent="0.3">
      <c r="D2622" s="153"/>
      <c r="E2622" s="6"/>
      <c r="G2622" s="6"/>
      <c r="J2622" s="6"/>
      <c r="N2622" s="154"/>
      <c r="O2622" s="6"/>
      <c r="S2622" s="6"/>
      <c r="V2622" s="6"/>
      <c r="X2622" s="6"/>
      <c r="Z2622" s="110"/>
      <c r="AB2622" s="6"/>
      <c r="AD2622" s="6"/>
      <c r="AE2622" s="6"/>
      <c r="AF2622" s="126"/>
      <c r="AJ2622" s="6"/>
      <c r="AL2622" s="110"/>
      <c r="AM2622" s="110"/>
      <c r="AN2622" s="110"/>
      <c r="AP2622" s="6"/>
      <c r="AW2622" s="6"/>
      <c r="AX2622" s="6"/>
      <c r="AZ2622" s="110"/>
      <c r="BB2622" s="6"/>
      <c r="BD2622" s="6"/>
      <c r="BE2622" s="6"/>
      <c r="BV2622" s="17"/>
      <c r="BX2622" s="17"/>
      <c r="BZ2622" s="17"/>
    </row>
    <row r="2623" spans="4:78" x14ac:dyDescent="0.3">
      <c r="D2623" s="153"/>
      <c r="E2623" s="6"/>
      <c r="G2623" s="6"/>
      <c r="J2623" s="6"/>
      <c r="N2623" s="154"/>
      <c r="O2623" s="6"/>
      <c r="S2623" s="6"/>
      <c r="V2623" s="6"/>
      <c r="X2623" s="6"/>
      <c r="Z2623" s="110"/>
      <c r="AB2623" s="6"/>
      <c r="AD2623" s="6"/>
      <c r="AE2623" s="6"/>
      <c r="AF2623" s="126"/>
      <c r="AJ2623" s="6"/>
      <c r="AL2623" s="110"/>
      <c r="AM2623" s="110"/>
      <c r="AN2623" s="110"/>
      <c r="AP2623" s="6"/>
      <c r="AW2623" s="6"/>
      <c r="AX2623" s="6"/>
      <c r="AZ2623" s="110"/>
      <c r="BB2623" s="6"/>
      <c r="BD2623" s="6"/>
      <c r="BE2623" s="6"/>
      <c r="BV2623" s="17"/>
      <c r="BX2623" s="17"/>
      <c r="BZ2623" s="17"/>
    </row>
    <row r="2624" spans="4:78" x14ac:dyDescent="0.3">
      <c r="D2624" s="153"/>
      <c r="E2624" s="6"/>
      <c r="G2624" s="6"/>
      <c r="J2624" s="6"/>
      <c r="N2624" s="154"/>
      <c r="O2624" s="6"/>
      <c r="S2624" s="6"/>
      <c r="V2624" s="6"/>
      <c r="X2624" s="6"/>
      <c r="Z2624" s="110"/>
      <c r="AB2624" s="6"/>
      <c r="AD2624" s="6"/>
      <c r="AE2624" s="6"/>
      <c r="AF2624" s="126"/>
      <c r="AJ2624" s="6"/>
      <c r="AL2624" s="110"/>
      <c r="AM2624" s="110"/>
      <c r="AN2624" s="110"/>
      <c r="AP2624" s="6"/>
      <c r="AW2624" s="6"/>
      <c r="AX2624" s="6"/>
      <c r="AZ2624" s="110"/>
      <c r="BB2624" s="6"/>
      <c r="BD2624" s="6"/>
      <c r="BE2624" s="6"/>
      <c r="BV2624" s="17"/>
      <c r="BX2624" s="17"/>
      <c r="BZ2624" s="17"/>
    </row>
    <row r="2625" spans="4:78" x14ac:dyDescent="0.3">
      <c r="D2625" s="153"/>
      <c r="E2625" s="6"/>
      <c r="G2625" s="6"/>
      <c r="J2625" s="6"/>
      <c r="N2625" s="154"/>
      <c r="O2625" s="6"/>
      <c r="S2625" s="6"/>
      <c r="V2625" s="6"/>
      <c r="X2625" s="6"/>
      <c r="Z2625" s="110"/>
      <c r="AB2625" s="6"/>
      <c r="AD2625" s="6"/>
      <c r="AE2625" s="6"/>
      <c r="AF2625" s="126"/>
      <c r="AJ2625" s="6"/>
      <c r="AL2625" s="110"/>
      <c r="AM2625" s="110"/>
      <c r="AN2625" s="110"/>
      <c r="AP2625" s="6"/>
      <c r="AW2625" s="6"/>
      <c r="AX2625" s="6"/>
      <c r="AZ2625" s="110"/>
      <c r="BB2625" s="6"/>
      <c r="BD2625" s="6"/>
      <c r="BE2625" s="6"/>
      <c r="BV2625" s="17"/>
      <c r="BX2625" s="17"/>
      <c r="BZ2625" s="17"/>
    </row>
    <row r="2626" spans="4:78" x14ac:dyDescent="0.3">
      <c r="D2626" s="153"/>
      <c r="E2626" s="6"/>
      <c r="G2626" s="6"/>
      <c r="J2626" s="6"/>
      <c r="N2626" s="154"/>
      <c r="O2626" s="6"/>
      <c r="S2626" s="6"/>
      <c r="V2626" s="6"/>
      <c r="X2626" s="6"/>
      <c r="Z2626" s="110"/>
      <c r="AB2626" s="6"/>
      <c r="AD2626" s="6"/>
      <c r="AE2626" s="6"/>
      <c r="AF2626" s="126"/>
      <c r="AJ2626" s="6"/>
      <c r="AL2626" s="110"/>
      <c r="AM2626" s="110"/>
      <c r="AN2626" s="110"/>
      <c r="AP2626" s="6"/>
      <c r="AW2626" s="6"/>
      <c r="AX2626" s="6"/>
      <c r="AZ2626" s="110"/>
      <c r="BB2626" s="6"/>
      <c r="BD2626" s="6"/>
      <c r="BE2626" s="6"/>
      <c r="BV2626" s="17"/>
      <c r="BX2626" s="17"/>
      <c r="BZ2626" s="17"/>
    </row>
    <row r="2627" spans="4:78" x14ac:dyDescent="0.3">
      <c r="D2627" s="153"/>
      <c r="E2627" s="6"/>
      <c r="G2627" s="6"/>
      <c r="J2627" s="6"/>
      <c r="N2627" s="154"/>
      <c r="O2627" s="6"/>
      <c r="S2627" s="6"/>
      <c r="V2627" s="6"/>
      <c r="X2627" s="6"/>
      <c r="Z2627" s="110"/>
      <c r="AB2627" s="6"/>
      <c r="AD2627" s="6"/>
      <c r="AE2627" s="6"/>
      <c r="AF2627" s="126"/>
      <c r="AJ2627" s="6"/>
      <c r="AL2627" s="110"/>
      <c r="AM2627" s="110"/>
      <c r="AN2627" s="110"/>
      <c r="AP2627" s="6"/>
      <c r="AW2627" s="6"/>
      <c r="AX2627" s="6"/>
      <c r="AZ2627" s="110"/>
      <c r="BB2627" s="6"/>
      <c r="BD2627" s="6"/>
      <c r="BE2627" s="6"/>
      <c r="BV2627" s="17"/>
      <c r="BX2627" s="17"/>
      <c r="BZ2627" s="17"/>
    </row>
    <row r="2628" spans="4:78" x14ac:dyDescent="0.3">
      <c r="D2628" s="153"/>
      <c r="E2628" s="6"/>
      <c r="G2628" s="6"/>
      <c r="J2628" s="6"/>
      <c r="N2628" s="154"/>
      <c r="O2628" s="6"/>
      <c r="S2628" s="6"/>
      <c r="V2628" s="6"/>
      <c r="X2628" s="6"/>
      <c r="Z2628" s="110"/>
      <c r="AB2628" s="6"/>
      <c r="AD2628" s="6"/>
      <c r="AE2628" s="6"/>
      <c r="AF2628" s="126"/>
      <c r="AJ2628" s="6"/>
      <c r="AL2628" s="110"/>
      <c r="AM2628" s="110"/>
      <c r="AN2628" s="110"/>
      <c r="AP2628" s="6"/>
      <c r="AW2628" s="6"/>
      <c r="AX2628" s="6"/>
      <c r="AZ2628" s="110"/>
      <c r="BB2628" s="6"/>
      <c r="BD2628" s="6"/>
      <c r="BE2628" s="6"/>
      <c r="BV2628" s="17"/>
      <c r="BX2628" s="17"/>
      <c r="BZ2628" s="17"/>
    </row>
    <row r="2629" spans="4:78" x14ac:dyDescent="0.3">
      <c r="D2629" s="153"/>
      <c r="E2629" s="6"/>
      <c r="G2629" s="6"/>
      <c r="J2629" s="6"/>
      <c r="N2629" s="154"/>
      <c r="O2629" s="6"/>
      <c r="S2629" s="6"/>
      <c r="V2629" s="6"/>
      <c r="X2629" s="6"/>
      <c r="Z2629" s="110"/>
      <c r="AB2629" s="6"/>
      <c r="AD2629" s="6"/>
      <c r="AE2629" s="6"/>
      <c r="AF2629" s="126"/>
      <c r="AJ2629" s="6"/>
      <c r="AL2629" s="110"/>
      <c r="AM2629" s="110"/>
      <c r="AN2629" s="110"/>
      <c r="AP2629" s="6"/>
      <c r="AW2629" s="6"/>
      <c r="AX2629" s="6"/>
      <c r="AZ2629" s="110"/>
      <c r="BB2629" s="6"/>
      <c r="BD2629" s="6"/>
      <c r="BE2629" s="6"/>
      <c r="BV2629" s="17"/>
      <c r="BX2629" s="17"/>
      <c r="BZ2629" s="17"/>
    </row>
    <row r="2630" spans="4:78" x14ac:dyDescent="0.3">
      <c r="D2630" s="153"/>
      <c r="E2630" s="6"/>
      <c r="G2630" s="6"/>
      <c r="J2630" s="6"/>
      <c r="N2630" s="154"/>
      <c r="O2630" s="6"/>
      <c r="S2630" s="6"/>
      <c r="V2630" s="6"/>
      <c r="X2630" s="6"/>
      <c r="Z2630" s="110"/>
      <c r="AB2630" s="6"/>
      <c r="AD2630" s="6"/>
      <c r="AE2630" s="6"/>
      <c r="AF2630" s="126"/>
      <c r="AJ2630" s="6"/>
      <c r="AL2630" s="110"/>
      <c r="AM2630" s="110"/>
      <c r="AN2630" s="110"/>
      <c r="AP2630" s="6"/>
      <c r="AW2630" s="6"/>
      <c r="AX2630" s="6"/>
      <c r="AZ2630" s="110"/>
      <c r="BB2630" s="6"/>
      <c r="BD2630" s="6"/>
      <c r="BE2630" s="6"/>
      <c r="BV2630" s="17"/>
      <c r="BX2630" s="17"/>
      <c r="BZ2630" s="17"/>
    </row>
    <row r="2631" spans="4:78" x14ac:dyDescent="0.3">
      <c r="D2631" s="153"/>
      <c r="E2631" s="6"/>
      <c r="G2631" s="6"/>
      <c r="J2631" s="6"/>
      <c r="N2631" s="154"/>
      <c r="O2631" s="6"/>
      <c r="S2631" s="6"/>
      <c r="V2631" s="6"/>
      <c r="X2631" s="6"/>
      <c r="Z2631" s="110"/>
      <c r="AB2631" s="6"/>
      <c r="AD2631" s="6"/>
      <c r="AE2631" s="6"/>
      <c r="AF2631" s="126"/>
      <c r="AJ2631" s="6"/>
      <c r="AL2631" s="110"/>
      <c r="AM2631" s="110"/>
      <c r="AN2631" s="110"/>
      <c r="AP2631" s="6"/>
      <c r="AW2631" s="6"/>
      <c r="AX2631" s="6"/>
      <c r="AZ2631" s="110"/>
      <c r="BB2631" s="6"/>
      <c r="BD2631" s="6"/>
      <c r="BE2631" s="6"/>
      <c r="BV2631" s="17"/>
      <c r="BX2631" s="17"/>
      <c r="BZ2631" s="17"/>
    </row>
    <row r="2632" spans="4:78" x14ac:dyDescent="0.3">
      <c r="D2632" s="153"/>
      <c r="E2632" s="6"/>
      <c r="G2632" s="6"/>
      <c r="J2632" s="6"/>
      <c r="N2632" s="154"/>
      <c r="O2632" s="6"/>
      <c r="S2632" s="6"/>
      <c r="V2632" s="6"/>
      <c r="X2632" s="6"/>
      <c r="Z2632" s="110"/>
      <c r="AB2632" s="6"/>
      <c r="AD2632" s="6"/>
      <c r="AE2632" s="6"/>
      <c r="AF2632" s="126"/>
      <c r="AJ2632" s="6"/>
      <c r="AL2632" s="110"/>
      <c r="AM2632" s="110"/>
      <c r="AN2632" s="110"/>
      <c r="AP2632" s="6"/>
      <c r="AW2632" s="6"/>
      <c r="AX2632" s="6"/>
      <c r="AZ2632" s="110"/>
      <c r="BB2632" s="6"/>
      <c r="BD2632" s="6"/>
      <c r="BE2632" s="6"/>
      <c r="BV2632" s="17"/>
      <c r="BX2632" s="17"/>
      <c r="BZ2632" s="17"/>
    </row>
    <row r="2633" spans="4:78" x14ac:dyDescent="0.3">
      <c r="D2633" s="153"/>
      <c r="E2633" s="6"/>
      <c r="G2633" s="6"/>
      <c r="J2633" s="6"/>
      <c r="N2633" s="154"/>
      <c r="O2633" s="6"/>
      <c r="S2633" s="6"/>
      <c r="V2633" s="6"/>
      <c r="X2633" s="6"/>
      <c r="Z2633" s="110"/>
      <c r="AB2633" s="6"/>
      <c r="AD2633" s="6"/>
      <c r="AE2633" s="6"/>
      <c r="AF2633" s="126"/>
      <c r="AJ2633" s="6"/>
      <c r="AL2633" s="110"/>
      <c r="AM2633" s="110"/>
      <c r="AN2633" s="110"/>
      <c r="AP2633" s="6"/>
      <c r="AW2633" s="6"/>
      <c r="AX2633" s="6"/>
      <c r="AZ2633" s="110"/>
      <c r="BB2633" s="6"/>
      <c r="BD2633" s="6"/>
      <c r="BE2633" s="6"/>
      <c r="BV2633" s="17"/>
      <c r="BX2633" s="17"/>
      <c r="BZ2633" s="17"/>
    </row>
    <row r="2634" spans="4:78" x14ac:dyDescent="0.3">
      <c r="D2634" s="153"/>
      <c r="E2634" s="6"/>
      <c r="G2634" s="6"/>
      <c r="J2634" s="6"/>
      <c r="N2634" s="154"/>
      <c r="O2634" s="6"/>
      <c r="S2634" s="6"/>
      <c r="V2634" s="6"/>
      <c r="X2634" s="6"/>
      <c r="Z2634" s="110"/>
      <c r="AB2634" s="6"/>
      <c r="AD2634" s="6"/>
      <c r="AE2634" s="6"/>
      <c r="AF2634" s="126"/>
      <c r="AJ2634" s="6"/>
      <c r="AL2634" s="110"/>
      <c r="AM2634" s="110"/>
      <c r="AN2634" s="110"/>
      <c r="AP2634" s="6"/>
      <c r="AW2634" s="6"/>
      <c r="AX2634" s="6"/>
      <c r="AZ2634" s="110"/>
      <c r="BB2634" s="6"/>
      <c r="BD2634" s="6"/>
      <c r="BE2634" s="6"/>
      <c r="BV2634" s="17"/>
      <c r="BX2634" s="17"/>
      <c r="BZ2634" s="17"/>
    </row>
    <row r="2635" spans="4:78" x14ac:dyDescent="0.3">
      <c r="D2635" s="153"/>
      <c r="E2635" s="6"/>
      <c r="G2635" s="6"/>
      <c r="J2635" s="6"/>
      <c r="N2635" s="154"/>
      <c r="O2635" s="6"/>
      <c r="S2635" s="6"/>
      <c r="V2635" s="6"/>
      <c r="X2635" s="6"/>
      <c r="Z2635" s="110"/>
      <c r="AB2635" s="6"/>
      <c r="AD2635" s="6"/>
      <c r="AE2635" s="6"/>
      <c r="AF2635" s="126"/>
      <c r="AJ2635" s="6"/>
      <c r="AL2635" s="110"/>
      <c r="AM2635" s="110"/>
      <c r="AN2635" s="110"/>
      <c r="AP2635" s="6"/>
      <c r="AW2635" s="6"/>
      <c r="AX2635" s="6"/>
      <c r="AZ2635" s="110"/>
      <c r="BB2635" s="6"/>
      <c r="BD2635" s="6"/>
      <c r="BE2635" s="6"/>
      <c r="BV2635" s="17"/>
      <c r="BX2635" s="17"/>
      <c r="BZ2635" s="17"/>
    </row>
    <row r="2636" spans="4:78" x14ac:dyDescent="0.3">
      <c r="D2636" s="153"/>
      <c r="E2636" s="6"/>
      <c r="G2636" s="6"/>
      <c r="J2636" s="6"/>
      <c r="N2636" s="154"/>
      <c r="O2636" s="6"/>
      <c r="S2636" s="6"/>
      <c r="V2636" s="6"/>
      <c r="X2636" s="6"/>
      <c r="Z2636" s="110"/>
      <c r="AB2636" s="6"/>
      <c r="AD2636" s="6"/>
      <c r="AE2636" s="6"/>
      <c r="AF2636" s="126"/>
      <c r="AJ2636" s="6"/>
      <c r="AL2636" s="110"/>
      <c r="AM2636" s="110"/>
      <c r="AN2636" s="110"/>
      <c r="AP2636" s="6"/>
      <c r="AW2636" s="6"/>
      <c r="AX2636" s="6"/>
      <c r="AZ2636" s="110"/>
      <c r="BB2636" s="6"/>
      <c r="BD2636" s="6"/>
      <c r="BE2636" s="6"/>
      <c r="BV2636" s="17"/>
      <c r="BX2636" s="17"/>
      <c r="BZ2636" s="17"/>
    </row>
    <row r="2637" spans="4:78" x14ac:dyDescent="0.3">
      <c r="D2637" s="153"/>
      <c r="E2637" s="6"/>
      <c r="G2637" s="6"/>
      <c r="J2637" s="6"/>
      <c r="N2637" s="154"/>
      <c r="O2637" s="6"/>
      <c r="S2637" s="6"/>
      <c r="V2637" s="6"/>
      <c r="X2637" s="6"/>
      <c r="Z2637" s="110"/>
      <c r="AB2637" s="6"/>
      <c r="AD2637" s="6"/>
      <c r="AE2637" s="6"/>
      <c r="AF2637" s="126"/>
      <c r="AJ2637" s="6"/>
      <c r="AL2637" s="110"/>
      <c r="AM2637" s="110"/>
      <c r="AN2637" s="110"/>
      <c r="AP2637" s="6"/>
      <c r="AW2637" s="6"/>
      <c r="AX2637" s="6"/>
      <c r="AZ2637" s="110"/>
      <c r="BB2637" s="6"/>
      <c r="BD2637" s="6"/>
      <c r="BE2637" s="6"/>
      <c r="BV2637" s="17"/>
      <c r="BX2637" s="17"/>
      <c r="BZ2637" s="17"/>
    </row>
    <row r="2638" spans="4:78" x14ac:dyDescent="0.3">
      <c r="D2638" s="153"/>
      <c r="E2638" s="6"/>
      <c r="G2638" s="6"/>
      <c r="J2638" s="6"/>
      <c r="N2638" s="154"/>
      <c r="O2638" s="6"/>
      <c r="S2638" s="6"/>
      <c r="V2638" s="6"/>
      <c r="X2638" s="6"/>
      <c r="Z2638" s="110"/>
      <c r="AB2638" s="6"/>
      <c r="AD2638" s="6"/>
      <c r="AE2638" s="6"/>
      <c r="AF2638" s="126"/>
      <c r="AJ2638" s="6"/>
      <c r="AL2638" s="110"/>
      <c r="AM2638" s="110"/>
      <c r="AN2638" s="110"/>
      <c r="AP2638" s="6"/>
      <c r="AW2638" s="6"/>
      <c r="AX2638" s="6"/>
      <c r="AZ2638" s="110"/>
      <c r="BB2638" s="6"/>
      <c r="BD2638" s="6"/>
      <c r="BE2638" s="6"/>
      <c r="BV2638" s="17"/>
      <c r="BX2638" s="17"/>
      <c r="BZ2638" s="17"/>
    </row>
    <row r="2639" spans="4:78" x14ac:dyDescent="0.3">
      <c r="D2639" s="153"/>
      <c r="E2639" s="6"/>
      <c r="G2639" s="6"/>
      <c r="J2639" s="6"/>
      <c r="N2639" s="154"/>
      <c r="O2639" s="6"/>
      <c r="S2639" s="6"/>
      <c r="V2639" s="6"/>
      <c r="X2639" s="6"/>
      <c r="Z2639" s="110"/>
      <c r="AB2639" s="6"/>
      <c r="AD2639" s="6"/>
      <c r="AE2639" s="6"/>
      <c r="AF2639" s="126"/>
      <c r="AJ2639" s="6"/>
      <c r="AL2639" s="110"/>
      <c r="AM2639" s="110"/>
      <c r="AN2639" s="110"/>
      <c r="AP2639" s="6"/>
      <c r="AW2639" s="6"/>
      <c r="AX2639" s="6"/>
      <c r="AZ2639" s="110"/>
      <c r="BB2639" s="6"/>
      <c r="BD2639" s="6"/>
      <c r="BE2639" s="6"/>
      <c r="BV2639" s="17"/>
      <c r="BX2639" s="17"/>
      <c r="BZ2639" s="17"/>
    </row>
    <row r="2640" spans="4:78" x14ac:dyDescent="0.3">
      <c r="D2640" s="153"/>
      <c r="E2640" s="6"/>
      <c r="G2640" s="6"/>
      <c r="J2640" s="6"/>
      <c r="N2640" s="154"/>
      <c r="O2640" s="6"/>
      <c r="S2640" s="6"/>
      <c r="V2640" s="6"/>
      <c r="X2640" s="6"/>
      <c r="Z2640" s="110"/>
      <c r="AB2640" s="6"/>
      <c r="AD2640" s="6"/>
      <c r="AE2640" s="6"/>
      <c r="AF2640" s="126"/>
      <c r="AJ2640" s="6"/>
      <c r="AL2640" s="110"/>
      <c r="AM2640" s="110"/>
      <c r="AN2640" s="110"/>
      <c r="AP2640" s="6"/>
      <c r="AW2640" s="6"/>
      <c r="AX2640" s="6"/>
      <c r="AZ2640" s="110"/>
      <c r="BB2640" s="6"/>
      <c r="BD2640" s="6"/>
      <c r="BE2640" s="6"/>
      <c r="BV2640" s="17"/>
      <c r="BX2640" s="17"/>
      <c r="BZ2640" s="17"/>
    </row>
    <row r="2641" spans="4:78" x14ac:dyDescent="0.3">
      <c r="D2641" s="153"/>
      <c r="E2641" s="6"/>
      <c r="G2641" s="6"/>
      <c r="J2641" s="6"/>
      <c r="N2641" s="154"/>
      <c r="O2641" s="6"/>
      <c r="S2641" s="6"/>
      <c r="V2641" s="6"/>
      <c r="X2641" s="6"/>
      <c r="Z2641" s="110"/>
      <c r="AB2641" s="6"/>
      <c r="AD2641" s="6"/>
      <c r="AE2641" s="6"/>
      <c r="AF2641" s="126"/>
      <c r="AJ2641" s="6"/>
      <c r="AL2641" s="110"/>
      <c r="AM2641" s="110"/>
      <c r="AN2641" s="110"/>
      <c r="AP2641" s="6"/>
      <c r="AW2641" s="6"/>
      <c r="AX2641" s="6"/>
      <c r="AZ2641" s="110"/>
      <c r="BB2641" s="6"/>
      <c r="BD2641" s="6"/>
      <c r="BE2641" s="6"/>
      <c r="BV2641" s="17"/>
      <c r="BX2641" s="17"/>
      <c r="BZ2641" s="17"/>
    </row>
    <row r="2642" spans="4:78" x14ac:dyDescent="0.3">
      <c r="D2642" s="153"/>
      <c r="E2642" s="6"/>
      <c r="G2642" s="6"/>
      <c r="J2642" s="6"/>
      <c r="N2642" s="154"/>
      <c r="O2642" s="6"/>
      <c r="S2642" s="6"/>
      <c r="V2642" s="6"/>
      <c r="X2642" s="6"/>
      <c r="Z2642" s="110"/>
      <c r="AB2642" s="6"/>
      <c r="AD2642" s="6"/>
      <c r="AE2642" s="6"/>
      <c r="AF2642" s="126"/>
      <c r="AJ2642" s="6"/>
      <c r="AL2642" s="110"/>
      <c r="AM2642" s="110"/>
      <c r="AN2642" s="110"/>
      <c r="AP2642" s="6"/>
      <c r="AW2642" s="6"/>
      <c r="AX2642" s="6"/>
      <c r="AZ2642" s="110"/>
      <c r="BB2642" s="6"/>
      <c r="BD2642" s="6"/>
      <c r="BE2642" s="6"/>
      <c r="BV2642" s="17"/>
      <c r="BX2642" s="17"/>
      <c r="BZ2642" s="17"/>
    </row>
    <row r="2643" spans="4:78" x14ac:dyDescent="0.3">
      <c r="D2643" s="153"/>
      <c r="E2643" s="6"/>
      <c r="G2643" s="6"/>
      <c r="J2643" s="6"/>
      <c r="N2643" s="154"/>
      <c r="O2643" s="6"/>
      <c r="S2643" s="6"/>
      <c r="V2643" s="6"/>
      <c r="X2643" s="6"/>
      <c r="Z2643" s="110"/>
      <c r="AB2643" s="6"/>
      <c r="AD2643" s="6"/>
      <c r="AE2643" s="6"/>
      <c r="AF2643" s="126"/>
      <c r="AJ2643" s="6"/>
      <c r="AL2643" s="110"/>
      <c r="AM2643" s="110"/>
      <c r="AN2643" s="110"/>
      <c r="AP2643" s="6"/>
      <c r="AW2643" s="6"/>
      <c r="AX2643" s="6"/>
      <c r="AZ2643" s="110"/>
      <c r="BB2643" s="6"/>
      <c r="BD2643" s="6"/>
      <c r="BE2643" s="6"/>
      <c r="BV2643" s="17"/>
      <c r="BX2643" s="17"/>
      <c r="BZ2643" s="17"/>
    </row>
    <row r="2644" spans="4:78" x14ac:dyDescent="0.3">
      <c r="D2644" s="153"/>
      <c r="E2644" s="6"/>
      <c r="G2644" s="6"/>
      <c r="J2644" s="6"/>
      <c r="N2644" s="154"/>
      <c r="O2644" s="6"/>
      <c r="S2644" s="6"/>
      <c r="V2644" s="6"/>
      <c r="X2644" s="6"/>
      <c r="Z2644" s="110"/>
      <c r="AB2644" s="6"/>
      <c r="AD2644" s="6"/>
      <c r="AE2644" s="6"/>
      <c r="AF2644" s="126"/>
      <c r="AJ2644" s="6"/>
      <c r="AL2644" s="110"/>
      <c r="AM2644" s="110"/>
      <c r="AN2644" s="110"/>
      <c r="AP2644" s="6"/>
      <c r="AW2644" s="6"/>
      <c r="AX2644" s="6"/>
      <c r="AZ2644" s="110"/>
      <c r="BB2644" s="6"/>
      <c r="BD2644" s="6"/>
      <c r="BE2644" s="6"/>
      <c r="BV2644" s="17"/>
      <c r="BX2644" s="17"/>
      <c r="BZ2644" s="17"/>
    </row>
    <row r="2645" spans="4:78" x14ac:dyDescent="0.3">
      <c r="D2645" s="153"/>
      <c r="E2645" s="6"/>
      <c r="G2645" s="6"/>
      <c r="J2645" s="6"/>
      <c r="N2645" s="154"/>
      <c r="O2645" s="6"/>
      <c r="S2645" s="6"/>
      <c r="V2645" s="6"/>
      <c r="X2645" s="6"/>
      <c r="Z2645" s="110"/>
      <c r="AB2645" s="6"/>
      <c r="AD2645" s="6"/>
      <c r="AE2645" s="6"/>
      <c r="AF2645" s="126"/>
      <c r="AJ2645" s="6"/>
      <c r="AL2645" s="110"/>
      <c r="AM2645" s="110"/>
      <c r="AN2645" s="110"/>
      <c r="AP2645" s="6"/>
      <c r="AW2645" s="6"/>
      <c r="AX2645" s="6"/>
      <c r="AZ2645" s="110"/>
      <c r="BB2645" s="6"/>
      <c r="BD2645" s="6"/>
      <c r="BE2645" s="6"/>
      <c r="BV2645" s="17"/>
      <c r="BX2645" s="17"/>
      <c r="BZ2645" s="17"/>
    </row>
    <row r="2646" spans="4:78" x14ac:dyDescent="0.3">
      <c r="D2646" s="153"/>
      <c r="E2646" s="6"/>
      <c r="G2646" s="6"/>
      <c r="J2646" s="6"/>
      <c r="N2646" s="154"/>
      <c r="O2646" s="6"/>
      <c r="S2646" s="6"/>
      <c r="V2646" s="6"/>
      <c r="X2646" s="6"/>
      <c r="Z2646" s="110"/>
      <c r="AB2646" s="6"/>
      <c r="AD2646" s="6"/>
      <c r="AE2646" s="6"/>
      <c r="AF2646" s="126"/>
      <c r="AJ2646" s="6"/>
      <c r="AL2646" s="110"/>
      <c r="AM2646" s="110"/>
      <c r="AN2646" s="110"/>
      <c r="AP2646" s="6"/>
      <c r="AW2646" s="6"/>
      <c r="AX2646" s="6"/>
      <c r="AZ2646" s="110"/>
      <c r="BB2646" s="6"/>
      <c r="BD2646" s="6"/>
      <c r="BE2646" s="6"/>
      <c r="BV2646" s="17"/>
      <c r="BX2646" s="17"/>
      <c r="BZ2646" s="17"/>
    </row>
    <row r="2647" spans="4:78" x14ac:dyDescent="0.3">
      <c r="D2647" s="153"/>
      <c r="E2647" s="6"/>
      <c r="G2647" s="6"/>
      <c r="J2647" s="6"/>
      <c r="N2647" s="154"/>
      <c r="O2647" s="6"/>
      <c r="S2647" s="6"/>
      <c r="V2647" s="6"/>
      <c r="X2647" s="6"/>
      <c r="Z2647" s="110"/>
      <c r="AB2647" s="6"/>
      <c r="AD2647" s="6"/>
      <c r="AE2647" s="6"/>
      <c r="AF2647" s="126"/>
      <c r="AJ2647" s="6"/>
      <c r="AL2647" s="110"/>
      <c r="AM2647" s="110"/>
      <c r="AN2647" s="110"/>
      <c r="AP2647" s="6"/>
      <c r="AW2647" s="6"/>
      <c r="AX2647" s="6"/>
      <c r="AZ2647" s="110"/>
      <c r="BB2647" s="6"/>
      <c r="BD2647" s="6"/>
      <c r="BE2647" s="6"/>
      <c r="BV2647" s="17"/>
      <c r="BX2647" s="17"/>
      <c r="BZ2647" s="17"/>
    </row>
    <row r="2648" spans="4:78" x14ac:dyDescent="0.3">
      <c r="D2648" s="153"/>
      <c r="E2648" s="6"/>
      <c r="G2648" s="6"/>
      <c r="J2648" s="6"/>
      <c r="N2648" s="154"/>
      <c r="O2648" s="6"/>
      <c r="S2648" s="6"/>
      <c r="V2648" s="6"/>
      <c r="X2648" s="6"/>
      <c r="Z2648" s="110"/>
      <c r="AB2648" s="6"/>
      <c r="AD2648" s="6"/>
      <c r="AE2648" s="6"/>
      <c r="AF2648" s="126"/>
      <c r="AJ2648" s="6"/>
      <c r="AL2648" s="110"/>
      <c r="AM2648" s="110"/>
      <c r="AN2648" s="110"/>
      <c r="AP2648" s="6"/>
      <c r="AW2648" s="6"/>
      <c r="AX2648" s="6"/>
      <c r="AZ2648" s="110"/>
      <c r="BB2648" s="6"/>
      <c r="BD2648" s="6"/>
      <c r="BE2648" s="6"/>
      <c r="BV2648" s="17"/>
      <c r="BX2648" s="17"/>
      <c r="BZ2648" s="17"/>
    </row>
    <row r="2649" spans="4:78" x14ac:dyDescent="0.3">
      <c r="D2649" s="153"/>
      <c r="E2649" s="6"/>
      <c r="G2649" s="6"/>
      <c r="J2649" s="6"/>
      <c r="N2649" s="154"/>
      <c r="O2649" s="6"/>
      <c r="S2649" s="6"/>
      <c r="V2649" s="6"/>
      <c r="X2649" s="6"/>
      <c r="Z2649" s="110"/>
      <c r="AB2649" s="6"/>
      <c r="AD2649" s="6"/>
      <c r="AE2649" s="6"/>
      <c r="AF2649" s="126"/>
      <c r="AJ2649" s="6"/>
      <c r="AL2649" s="110"/>
      <c r="AM2649" s="110"/>
      <c r="AN2649" s="110"/>
      <c r="AP2649" s="6"/>
      <c r="AW2649" s="6"/>
      <c r="AX2649" s="6"/>
      <c r="AZ2649" s="110"/>
      <c r="BB2649" s="6"/>
      <c r="BD2649" s="6"/>
      <c r="BE2649" s="6"/>
      <c r="BV2649" s="17"/>
      <c r="BX2649" s="17"/>
      <c r="BZ2649" s="17"/>
    </row>
    <row r="2650" spans="4:78" x14ac:dyDescent="0.3">
      <c r="D2650" s="153"/>
      <c r="E2650" s="6"/>
      <c r="G2650" s="6"/>
      <c r="J2650" s="6"/>
      <c r="N2650" s="154"/>
      <c r="O2650" s="6"/>
      <c r="S2650" s="6"/>
      <c r="V2650" s="6"/>
      <c r="X2650" s="6"/>
      <c r="Z2650" s="110"/>
      <c r="AB2650" s="6"/>
      <c r="AD2650" s="6"/>
      <c r="AE2650" s="6"/>
      <c r="AF2650" s="126"/>
      <c r="AJ2650" s="6"/>
      <c r="AL2650" s="110"/>
      <c r="AM2650" s="110"/>
      <c r="AN2650" s="110"/>
      <c r="AP2650" s="6"/>
      <c r="AW2650" s="6"/>
      <c r="AX2650" s="6"/>
      <c r="AZ2650" s="110"/>
      <c r="BB2650" s="6"/>
      <c r="BD2650" s="6"/>
      <c r="BE2650" s="6"/>
      <c r="BV2650" s="17"/>
      <c r="BX2650" s="17"/>
      <c r="BZ2650" s="17"/>
    </row>
    <row r="2651" spans="4:78" x14ac:dyDescent="0.3">
      <c r="D2651" s="153"/>
      <c r="E2651" s="6"/>
      <c r="G2651" s="6"/>
      <c r="J2651" s="6"/>
      <c r="N2651" s="154"/>
      <c r="O2651" s="6"/>
      <c r="S2651" s="6"/>
      <c r="V2651" s="6"/>
      <c r="X2651" s="6"/>
      <c r="Z2651" s="110"/>
      <c r="AB2651" s="6"/>
      <c r="AD2651" s="6"/>
      <c r="AE2651" s="6"/>
      <c r="AF2651" s="126"/>
      <c r="AJ2651" s="6"/>
      <c r="AL2651" s="110"/>
      <c r="AM2651" s="110"/>
      <c r="AN2651" s="110"/>
      <c r="AP2651" s="6"/>
      <c r="AW2651" s="6"/>
      <c r="AX2651" s="6"/>
      <c r="AZ2651" s="110"/>
      <c r="BB2651" s="6"/>
      <c r="BD2651" s="6"/>
      <c r="BE2651" s="6"/>
      <c r="BV2651" s="17"/>
      <c r="BX2651" s="17"/>
      <c r="BZ2651" s="17"/>
    </row>
    <row r="2652" spans="4:78" x14ac:dyDescent="0.3">
      <c r="D2652" s="153"/>
      <c r="E2652" s="6"/>
      <c r="G2652" s="6"/>
      <c r="J2652" s="6"/>
      <c r="N2652" s="154"/>
      <c r="O2652" s="6"/>
      <c r="S2652" s="6"/>
      <c r="V2652" s="6"/>
      <c r="X2652" s="6"/>
      <c r="Z2652" s="110"/>
      <c r="AB2652" s="6"/>
      <c r="AD2652" s="6"/>
      <c r="AE2652" s="6"/>
      <c r="AF2652" s="126"/>
      <c r="AJ2652" s="6"/>
      <c r="AL2652" s="110"/>
      <c r="AM2652" s="110"/>
      <c r="AN2652" s="110"/>
      <c r="AP2652" s="6"/>
      <c r="AW2652" s="6"/>
      <c r="AX2652" s="6"/>
      <c r="AZ2652" s="110"/>
      <c r="BB2652" s="6"/>
      <c r="BD2652" s="6"/>
      <c r="BE2652" s="6"/>
      <c r="BV2652" s="17"/>
      <c r="BX2652" s="17"/>
      <c r="BZ2652" s="17"/>
    </row>
    <row r="2653" spans="4:78" x14ac:dyDescent="0.3">
      <c r="D2653" s="153"/>
      <c r="E2653" s="6"/>
      <c r="G2653" s="6"/>
      <c r="J2653" s="6"/>
      <c r="N2653" s="154"/>
      <c r="O2653" s="6"/>
      <c r="S2653" s="6"/>
      <c r="V2653" s="6"/>
      <c r="X2653" s="6"/>
      <c r="Z2653" s="110"/>
      <c r="AB2653" s="6"/>
      <c r="AD2653" s="6"/>
      <c r="AE2653" s="6"/>
      <c r="AF2653" s="126"/>
      <c r="AJ2653" s="6"/>
      <c r="AL2653" s="110"/>
      <c r="AM2653" s="110"/>
      <c r="AN2653" s="110"/>
      <c r="AP2653" s="6"/>
      <c r="AW2653" s="6"/>
      <c r="AX2653" s="6"/>
      <c r="AZ2653" s="110"/>
      <c r="BB2653" s="6"/>
      <c r="BD2653" s="6"/>
      <c r="BE2653" s="6"/>
      <c r="BV2653" s="17"/>
      <c r="BX2653" s="17"/>
      <c r="BZ2653" s="17"/>
    </row>
    <row r="2654" spans="4:78" x14ac:dyDescent="0.3">
      <c r="D2654" s="153"/>
      <c r="E2654" s="6"/>
      <c r="G2654" s="6"/>
      <c r="J2654" s="6"/>
      <c r="N2654" s="154"/>
      <c r="O2654" s="6"/>
      <c r="S2654" s="6"/>
      <c r="V2654" s="6"/>
      <c r="X2654" s="6"/>
      <c r="Z2654" s="110"/>
      <c r="AB2654" s="6"/>
      <c r="AD2654" s="6"/>
      <c r="AE2654" s="6"/>
      <c r="AF2654" s="126"/>
      <c r="AJ2654" s="6"/>
      <c r="AL2654" s="110"/>
      <c r="AM2654" s="110"/>
      <c r="AN2654" s="110"/>
      <c r="AP2654" s="6"/>
      <c r="AW2654" s="6"/>
      <c r="AX2654" s="6"/>
      <c r="AZ2654" s="110"/>
      <c r="BB2654" s="6"/>
      <c r="BD2654" s="6"/>
      <c r="BE2654" s="6"/>
      <c r="BV2654" s="17"/>
      <c r="BX2654" s="17"/>
      <c r="BZ2654" s="17"/>
    </row>
    <row r="2655" spans="4:78" x14ac:dyDescent="0.3">
      <c r="D2655" s="153"/>
      <c r="E2655" s="6"/>
      <c r="G2655" s="6"/>
      <c r="J2655" s="6"/>
      <c r="N2655" s="154"/>
      <c r="O2655" s="6"/>
      <c r="S2655" s="6"/>
      <c r="V2655" s="6"/>
      <c r="X2655" s="6"/>
      <c r="Z2655" s="110"/>
      <c r="AB2655" s="6"/>
      <c r="AD2655" s="6"/>
      <c r="AE2655" s="6"/>
      <c r="AF2655" s="126"/>
      <c r="AJ2655" s="6"/>
      <c r="AL2655" s="110"/>
      <c r="AM2655" s="110"/>
      <c r="AN2655" s="110"/>
      <c r="AP2655" s="6"/>
      <c r="AW2655" s="6"/>
      <c r="AX2655" s="6"/>
      <c r="AZ2655" s="110"/>
      <c r="BB2655" s="6"/>
      <c r="BD2655" s="6"/>
      <c r="BE2655" s="6"/>
      <c r="BV2655" s="17"/>
      <c r="BX2655" s="17"/>
      <c r="BZ2655" s="17"/>
    </row>
    <row r="2656" spans="4:78" x14ac:dyDescent="0.3">
      <c r="D2656" s="153"/>
      <c r="E2656" s="6"/>
      <c r="G2656" s="6"/>
      <c r="J2656" s="6"/>
      <c r="N2656" s="154"/>
      <c r="O2656" s="6"/>
      <c r="S2656" s="6"/>
      <c r="V2656" s="6"/>
      <c r="X2656" s="6"/>
      <c r="Z2656" s="110"/>
      <c r="AB2656" s="6"/>
      <c r="AD2656" s="6"/>
      <c r="AE2656" s="6"/>
      <c r="AF2656" s="126"/>
      <c r="AJ2656" s="6"/>
      <c r="AL2656" s="110"/>
      <c r="AM2656" s="110"/>
      <c r="AN2656" s="110"/>
      <c r="AP2656" s="6"/>
      <c r="AW2656" s="6"/>
      <c r="AX2656" s="6"/>
      <c r="AZ2656" s="110"/>
      <c r="BB2656" s="6"/>
      <c r="BD2656" s="6"/>
      <c r="BE2656" s="6"/>
      <c r="BV2656" s="17"/>
      <c r="BX2656" s="17"/>
      <c r="BZ2656" s="17"/>
    </row>
    <row r="2657" spans="4:78" x14ac:dyDescent="0.3">
      <c r="D2657" s="153"/>
      <c r="E2657" s="6"/>
      <c r="G2657" s="6"/>
      <c r="J2657" s="6"/>
      <c r="N2657" s="154"/>
      <c r="O2657" s="6"/>
      <c r="S2657" s="6"/>
      <c r="V2657" s="6"/>
      <c r="X2657" s="6"/>
      <c r="Z2657" s="110"/>
      <c r="AB2657" s="6"/>
      <c r="AD2657" s="6"/>
      <c r="AE2657" s="6"/>
      <c r="AF2657" s="126"/>
      <c r="AJ2657" s="6"/>
      <c r="AL2657" s="110"/>
      <c r="AM2657" s="110"/>
      <c r="AN2657" s="110"/>
      <c r="AP2657" s="6"/>
      <c r="AW2657" s="6"/>
      <c r="AX2657" s="6"/>
      <c r="AZ2657" s="110"/>
      <c r="BB2657" s="6"/>
      <c r="BD2657" s="6"/>
      <c r="BE2657" s="6"/>
      <c r="BV2657" s="17"/>
      <c r="BX2657" s="17"/>
      <c r="BZ2657" s="17"/>
    </row>
    <row r="2658" spans="4:78" x14ac:dyDescent="0.3">
      <c r="D2658" s="153"/>
      <c r="E2658" s="6"/>
      <c r="G2658" s="6"/>
      <c r="J2658" s="6"/>
      <c r="N2658" s="154"/>
      <c r="O2658" s="6"/>
      <c r="S2658" s="6"/>
      <c r="V2658" s="6"/>
      <c r="X2658" s="6"/>
      <c r="Z2658" s="110"/>
      <c r="AB2658" s="6"/>
      <c r="AD2658" s="6"/>
      <c r="AE2658" s="6"/>
      <c r="AF2658" s="126"/>
      <c r="AJ2658" s="6"/>
      <c r="AL2658" s="110"/>
      <c r="AM2658" s="110"/>
      <c r="AN2658" s="110"/>
      <c r="AP2658" s="6"/>
      <c r="AW2658" s="6"/>
      <c r="AX2658" s="6"/>
      <c r="AZ2658" s="110"/>
      <c r="BB2658" s="6"/>
      <c r="BD2658" s="6"/>
      <c r="BE2658" s="6"/>
      <c r="BV2658" s="17"/>
      <c r="BX2658" s="17"/>
      <c r="BZ2658" s="17"/>
    </row>
    <row r="2659" spans="4:78" x14ac:dyDescent="0.3">
      <c r="D2659" s="153"/>
      <c r="E2659" s="6"/>
      <c r="G2659" s="6"/>
      <c r="J2659" s="6"/>
      <c r="N2659" s="154"/>
      <c r="O2659" s="6"/>
      <c r="S2659" s="6"/>
      <c r="V2659" s="6"/>
      <c r="X2659" s="6"/>
      <c r="Z2659" s="110"/>
      <c r="AB2659" s="6"/>
      <c r="AD2659" s="6"/>
      <c r="AE2659" s="6"/>
      <c r="AF2659" s="126"/>
      <c r="AJ2659" s="6"/>
      <c r="AL2659" s="110"/>
      <c r="AM2659" s="110"/>
      <c r="AN2659" s="110"/>
      <c r="AP2659" s="6"/>
      <c r="AW2659" s="6"/>
      <c r="AX2659" s="6"/>
      <c r="AZ2659" s="110"/>
      <c r="BB2659" s="6"/>
      <c r="BD2659" s="6"/>
      <c r="BE2659" s="6"/>
      <c r="BV2659" s="17"/>
      <c r="BX2659" s="17"/>
      <c r="BZ2659" s="17"/>
    </row>
    <row r="2660" spans="4:78" x14ac:dyDescent="0.3">
      <c r="D2660" s="153"/>
      <c r="E2660" s="6"/>
      <c r="G2660" s="6"/>
      <c r="J2660" s="6"/>
      <c r="N2660" s="154"/>
      <c r="O2660" s="6"/>
      <c r="S2660" s="6"/>
      <c r="V2660" s="6"/>
      <c r="X2660" s="6"/>
      <c r="Z2660" s="110"/>
      <c r="AB2660" s="6"/>
      <c r="AD2660" s="6"/>
      <c r="AE2660" s="6"/>
      <c r="AF2660" s="126"/>
      <c r="AJ2660" s="6"/>
      <c r="AL2660" s="110"/>
      <c r="AM2660" s="110"/>
      <c r="AN2660" s="110"/>
      <c r="AP2660" s="6"/>
      <c r="AW2660" s="6"/>
      <c r="AX2660" s="6"/>
      <c r="AZ2660" s="110"/>
      <c r="BB2660" s="6"/>
      <c r="BD2660" s="6"/>
      <c r="BE2660" s="6"/>
      <c r="BV2660" s="17"/>
      <c r="BX2660" s="17"/>
      <c r="BZ2660" s="17"/>
    </row>
    <row r="2661" spans="4:78" x14ac:dyDescent="0.3">
      <c r="D2661" s="153"/>
      <c r="E2661" s="6"/>
      <c r="G2661" s="6"/>
      <c r="J2661" s="6"/>
      <c r="N2661" s="154"/>
      <c r="O2661" s="6"/>
      <c r="S2661" s="6"/>
      <c r="V2661" s="6"/>
      <c r="X2661" s="6"/>
      <c r="Z2661" s="110"/>
      <c r="AB2661" s="6"/>
      <c r="AD2661" s="6"/>
      <c r="AE2661" s="6"/>
      <c r="AF2661" s="126"/>
      <c r="AJ2661" s="6"/>
      <c r="AL2661" s="110"/>
      <c r="AM2661" s="110"/>
      <c r="AN2661" s="110"/>
      <c r="AP2661" s="6"/>
      <c r="AW2661" s="6"/>
      <c r="AX2661" s="6"/>
      <c r="AZ2661" s="110"/>
      <c r="BB2661" s="6"/>
      <c r="BD2661" s="6"/>
      <c r="BE2661" s="6"/>
      <c r="BV2661" s="17"/>
      <c r="BX2661" s="17"/>
      <c r="BZ2661" s="17"/>
    </row>
    <row r="2662" spans="4:78" x14ac:dyDescent="0.3">
      <c r="D2662" s="153"/>
      <c r="E2662" s="6"/>
      <c r="G2662" s="6"/>
      <c r="J2662" s="6"/>
      <c r="N2662" s="154"/>
      <c r="O2662" s="6"/>
      <c r="S2662" s="6"/>
      <c r="V2662" s="6"/>
      <c r="X2662" s="6"/>
      <c r="Z2662" s="110"/>
      <c r="AB2662" s="6"/>
      <c r="AD2662" s="6"/>
      <c r="AE2662" s="6"/>
      <c r="AF2662" s="126"/>
      <c r="AJ2662" s="6"/>
      <c r="AL2662" s="110"/>
      <c r="AM2662" s="110"/>
      <c r="AN2662" s="110"/>
      <c r="AP2662" s="6"/>
      <c r="AW2662" s="6"/>
      <c r="AX2662" s="6"/>
      <c r="AZ2662" s="110"/>
      <c r="BB2662" s="6"/>
      <c r="BD2662" s="6"/>
      <c r="BE2662" s="6"/>
      <c r="BV2662" s="17"/>
      <c r="BX2662" s="17"/>
      <c r="BZ2662" s="17"/>
    </row>
    <row r="2663" spans="4:78" x14ac:dyDescent="0.3">
      <c r="D2663" s="153"/>
      <c r="E2663" s="6"/>
      <c r="G2663" s="6"/>
      <c r="J2663" s="6"/>
      <c r="N2663" s="154"/>
      <c r="O2663" s="6"/>
      <c r="S2663" s="6"/>
      <c r="V2663" s="6"/>
      <c r="X2663" s="6"/>
      <c r="Z2663" s="110"/>
      <c r="AB2663" s="6"/>
      <c r="AD2663" s="6"/>
      <c r="AE2663" s="6"/>
      <c r="AF2663" s="126"/>
      <c r="AJ2663" s="6"/>
      <c r="AL2663" s="110"/>
      <c r="AM2663" s="110"/>
      <c r="AN2663" s="110"/>
      <c r="AP2663" s="6"/>
      <c r="AW2663" s="6"/>
      <c r="AX2663" s="6"/>
      <c r="AZ2663" s="110"/>
      <c r="BB2663" s="6"/>
      <c r="BD2663" s="6"/>
      <c r="BE2663" s="6"/>
      <c r="BV2663" s="17"/>
      <c r="BX2663" s="17"/>
      <c r="BZ2663" s="17"/>
    </row>
    <row r="2664" spans="4:78" x14ac:dyDescent="0.3">
      <c r="D2664" s="153"/>
      <c r="E2664" s="6"/>
      <c r="G2664" s="6"/>
      <c r="J2664" s="6"/>
      <c r="N2664" s="154"/>
      <c r="O2664" s="6"/>
      <c r="S2664" s="6"/>
      <c r="V2664" s="6"/>
      <c r="X2664" s="6"/>
      <c r="Z2664" s="110"/>
      <c r="AB2664" s="6"/>
      <c r="AD2664" s="6"/>
      <c r="AE2664" s="6"/>
      <c r="AF2664" s="126"/>
      <c r="AJ2664" s="6"/>
      <c r="AL2664" s="110"/>
      <c r="AM2664" s="110"/>
      <c r="AN2664" s="110"/>
      <c r="AP2664" s="6"/>
      <c r="AW2664" s="6"/>
      <c r="AX2664" s="6"/>
      <c r="AZ2664" s="110"/>
      <c r="BB2664" s="6"/>
      <c r="BD2664" s="6"/>
      <c r="BE2664" s="6"/>
      <c r="BV2664" s="17"/>
      <c r="BX2664" s="17"/>
      <c r="BZ2664" s="17"/>
    </row>
    <row r="2665" spans="4:78" x14ac:dyDescent="0.3">
      <c r="D2665" s="153"/>
      <c r="E2665" s="6"/>
      <c r="G2665" s="6"/>
      <c r="J2665" s="6"/>
      <c r="N2665" s="154"/>
      <c r="O2665" s="6"/>
      <c r="S2665" s="6"/>
      <c r="V2665" s="6"/>
      <c r="X2665" s="6"/>
      <c r="Z2665" s="110"/>
      <c r="AB2665" s="6"/>
      <c r="AD2665" s="6"/>
      <c r="AE2665" s="6"/>
      <c r="AF2665" s="126"/>
      <c r="AJ2665" s="6"/>
      <c r="AL2665" s="110"/>
      <c r="AM2665" s="110"/>
      <c r="AN2665" s="110"/>
      <c r="AP2665" s="6"/>
      <c r="AW2665" s="6"/>
      <c r="AX2665" s="6"/>
      <c r="AZ2665" s="110"/>
      <c r="BB2665" s="6"/>
      <c r="BD2665" s="6"/>
      <c r="BE2665" s="6"/>
      <c r="BV2665" s="17"/>
      <c r="BX2665" s="17"/>
      <c r="BZ2665" s="17"/>
    </row>
    <row r="2666" spans="4:78" x14ac:dyDescent="0.3">
      <c r="D2666" s="153"/>
      <c r="E2666" s="6"/>
      <c r="G2666" s="6"/>
      <c r="J2666" s="6"/>
      <c r="N2666" s="154"/>
      <c r="O2666" s="6"/>
      <c r="S2666" s="6"/>
      <c r="V2666" s="6"/>
      <c r="X2666" s="6"/>
      <c r="Z2666" s="110"/>
      <c r="AB2666" s="6"/>
      <c r="AD2666" s="6"/>
      <c r="AE2666" s="6"/>
      <c r="AF2666" s="126"/>
      <c r="AJ2666" s="6"/>
      <c r="AL2666" s="110"/>
      <c r="AM2666" s="110"/>
      <c r="AN2666" s="110"/>
      <c r="AP2666" s="6"/>
      <c r="AW2666" s="6"/>
      <c r="AX2666" s="6"/>
      <c r="AZ2666" s="110"/>
      <c r="BB2666" s="6"/>
      <c r="BD2666" s="6"/>
      <c r="BE2666" s="6"/>
      <c r="BV2666" s="17"/>
      <c r="BX2666" s="17"/>
      <c r="BZ2666" s="17"/>
    </row>
    <row r="2667" spans="4:78" x14ac:dyDescent="0.3">
      <c r="D2667" s="153"/>
      <c r="E2667" s="6"/>
      <c r="G2667" s="6"/>
      <c r="J2667" s="6"/>
      <c r="N2667" s="154"/>
      <c r="O2667" s="6"/>
      <c r="S2667" s="6"/>
      <c r="V2667" s="6"/>
      <c r="X2667" s="6"/>
      <c r="Z2667" s="110"/>
      <c r="AB2667" s="6"/>
      <c r="AD2667" s="6"/>
      <c r="AE2667" s="6"/>
      <c r="AF2667" s="126"/>
      <c r="AJ2667" s="6"/>
      <c r="AL2667" s="110"/>
      <c r="AM2667" s="110"/>
      <c r="AN2667" s="110"/>
      <c r="AP2667" s="6"/>
      <c r="AW2667" s="6"/>
      <c r="AX2667" s="6"/>
      <c r="AZ2667" s="110"/>
      <c r="BB2667" s="6"/>
      <c r="BD2667" s="6"/>
      <c r="BE2667" s="6"/>
      <c r="BV2667" s="17"/>
      <c r="BX2667" s="17"/>
      <c r="BZ2667" s="17"/>
    </row>
    <row r="2668" spans="4:78" x14ac:dyDescent="0.3">
      <c r="D2668" s="153"/>
      <c r="E2668" s="6"/>
      <c r="G2668" s="6"/>
      <c r="J2668" s="6"/>
      <c r="N2668" s="154"/>
      <c r="O2668" s="6"/>
      <c r="S2668" s="6"/>
      <c r="V2668" s="6"/>
      <c r="X2668" s="6"/>
      <c r="Z2668" s="110"/>
      <c r="AB2668" s="6"/>
      <c r="AD2668" s="6"/>
      <c r="AE2668" s="6"/>
      <c r="AF2668" s="126"/>
      <c r="AJ2668" s="6"/>
      <c r="AL2668" s="110"/>
      <c r="AM2668" s="110"/>
      <c r="AN2668" s="110"/>
      <c r="AP2668" s="6"/>
      <c r="AW2668" s="6"/>
      <c r="AX2668" s="6"/>
      <c r="AZ2668" s="110"/>
      <c r="BB2668" s="6"/>
      <c r="BD2668" s="6"/>
      <c r="BE2668" s="6"/>
      <c r="BV2668" s="17"/>
      <c r="BX2668" s="17"/>
      <c r="BZ2668" s="17"/>
    </row>
    <row r="2669" spans="4:78" x14ac:dyDescent="0.3">
      <c r="D2669" s="153"/>
      <c r="E2669" s="6"/>
      <c r="G2669" s="6"/>
      <c r="J2669" s="6"/>
      <c r="N2669" s="154"/>
      <c r="O2669" s="6"/>
      <c r="S2669" s="6"/>
      <c r="V2669" s="6"/>
      <c r="X2669" s="6"/>
      <c r="Z2669" s="110"/>
      <c r="AB2669" s="6"/>
      <c r="AD2669" s="6"/>
      <c r="AE2669" s="6"/>
      <c r="AF2669" s="126"/>
      <c r="AJ2669" s="6"/>
      <c r="AL2669" s="110"/>
      <c r="AM2669" s="110"/>
      <c r="AN2669" s="110"/>
      <c r="AP2669" s="6"/>
      <c r="AW2669" s="6"/>
      <c r="AX2669" s="6"/>
      <c r="AZ2669" s="110"/>
      <c r="BB2669" s="6"/>
      <c r="BD2669" s="6"/>
      <c r="BE2669" s="6"/>
      <c r="BV2669" s="17"/>
      <c r="BX2669" s="17"/>
      <c r="BZ2669" s="17"/>
    </row>
    <row r="2670" spans="4:78" x14ac:dyDescent="0.3">
      <c r="D2670" s="153"/>
      <c r="E2670" s="6"/>
      <c r="G2670" s="6"/>
      <c r="J2670" s="6"/>
      <c r="N2670" s="154"/>
      <c r="O2670" s="6"/>
      <c r="S2670" s="6"/>
      <c r="V2670" s="6"/>
      <c r="X2670" s="6"/>
      <c r="Z2670" s="110"/>
      <c r="AB2670" s="6"/>
      <c r="AD2670" s="6"/>
      <c r="AE2670" s="6"/>
      <c r="AF2670" s="126"/>
      <c r="AJ2670" s="6"/>
      <c r="AL2670" s="110"/>
      <c r="AM2670" s="110"/>
      <c r="AN2670" s="110"/>
      <c r="AP2670" s="6"/>
      <c r="AW2670" s="6"/>
      <c r="AX2670" s="6"/>
      <c r="AZ2670" s="110"/>
      <c r="BB2670" s="6"/>
      <c r="BD2670" s="6"/>
      <c r="BE2670" s="6"/>
      <c r="BV2670" s="17"/>
      <c r="BX2670" s="17"/>
      <c r="BZ2670" s="17"/>
    </row>
    <row r="2671" spans="4:78" x14ac:dyDescent="0.3">
      <c r="D2671" s="153"/>
      <c r="E2671" s="6"/>
      <c r="G2671" s="6"/>
      <c r="J2671" s="6"/>
      <c r="N2671" s="154"/>
      <c r="O2671" s="6"/>
      <c r="S2671" s="6"/>
      <c r="V2671" s="6"/>
      <c r="X2671" s="6"/>
      <c r="Z2671" s="110"/>
      <c r="AB2671" s="6"/>
      <c r="AD2671" s="6"/>
      <c r="AE2671" s="6"/>
      <c r="AF2671" s="126"/>
      <c r="AJ2671" s="6"/>
      <c r="AL2671" s="110"/>
      <c r="AM2671" s="110"/>
      <c r="AN2671" s="110"/>
      <c r="AP2671" s="6"/>
      <c r="AW2671" s="6"/>
      <c r="AX2671" s="6"/>
      <c r="AZ2671" s="110"/>
      <c r="BB2671" s="6"/>
      <c r="BD2671" s="6"/>
      <c r="BE2671" s="6"/>
      <c r="BV2671" s="17"/>
      <c r="BX2671" s="17"/>
      <c r="BZ2671" s="17"/>
    </row>
    <row r="2672" spans="4:78" x14ac:dyDescent="0.3">
      <c r="D2672" s="153"/>
      <c r="E2672" s="6"/>
      <c r="G2672" s="6"/>
      <c r="J2672" s="6"/>
      <c r="N2672" s="154"/>
      <c r="O2672" s="6"/>
      <c r="S2672" s="6"/>
      <c r="V2672" s="6"/>
      <c r="X2672" s="6"/>
      <c r="Z2672" s="110"/>
      <c r="AB2672" s="6"/>
      <c r="AD2672" s="6"/>
      <c r="AE2672" s="6"/>
      <c r="AF2672" s="126"/>
      <c r="AJ2672" s="6"/>
      <c r="AL2672" s="110"/>
      <c r="AM2672" s="110"/>
      <c r="AN2672" s="110"/>
      <c r="AP2672" s="6"/>
      <c r="AW2672" s="6"/>
      <c r="AX2672" s="6"/>
      <c r="AZ2672" s="110"/>
      <c r="BB2672" s="6"/>
      <c r="BD2672" s="6"/>
      <c r="BE2672" s="6"/>
      <c r="BV2672" s="17"/>
      <c r="BX2672" s="17"/>
      <c r="BZ2672" s="17"/>
    </row>
    <row r="2673" spans="4:78" x14ac:dyDescent="0.3">
      <c r="D2673" s="153"/>
      <c r="E2673" s="6"/>
      <c r="G2673" s="6"/>
      <c r="J2673" s="6"/>
      <c r="N2673" s="154"/>
      <c r="O2673" s="6"/>
      <c r="S2673" s="6"/>
      <c r="V2673" s="6"/>
      <c r="X2673" s="6"/>
      <c r="Z2673" s="110"/>
      <c r="AB2673" s="6"/>
      <c r="AD2673" s="6"/>
      <c r="AE2673" s="6"/>
      <c r="AF2673" s="126"/>
      <c r="AJ2673" s="6"/>
      <c r="AL2673" s="110"/>
      <c r="AM2673" s="110"/>
      <c r="AN2673" s="110"/>
      <c r="AP2673" s="6"/>
      <c r="AW2673" s="6"/>
      <c r="AX2673" s="6"/>
      <c r="AZ2673" s="110"/>
      <c r="BB2673" s="6"/>
      <c r="BD2673" s="6"/>
      <c r="BE2673" s="6"/>
      <c r="BV2673" s="17"/>
      <c r="BX2673" s="17"/>
      <c r="BZ2673" s="17"/>
    </row>
    <row r="2674" spans="4:78" x14ac:dyDescent="0.3">
      <c r="D2674" s="153"/>
      <c r="E2674" s="6"/>
      <c r="G2674" s="6"/>
      <c r="J2674" s="6"/>
      <c r="N2674" s="154"/>
      <c r="O2674" s="6"/>
      <c r="S2674" s="6"/>
      <c r="V2674" s="6"/>
      <c r="X2674" s="6"/>
      <c r="Z2674" s="110"/>
      <c r="AB2674" s="6"/>
      <c r="AD2674" s="6"/>
      <c r="AE2674" s="6"/>
      <c r="AF2674" s="126"/>
      <c r="AJ2674" s="6"/>
      <c r="AL2674" s="110"/>
      <c r="AM2674" s="110"/>
      <c r="AN2674" s="110"/>
      <c r="AP2674" s="6"/>
      <c r="AW2674" s="6"/>
      <c r="AX2674" s="6"/>
      <c r="AZ2674" s="110"/>
      <c r="BB2674" s="6"/>
      <c r="BD2674" s="6"/>
      <c r="BE2674" s="6"/>
      <c r="BV2674" s="17"/>
      <c r="BX2674" s="17"/>
      <c r="BZ2674" s="17"/>
    </row>
    <row r="2675" spans="4:78" x14ac:dyDescent="0.3">
      <c r="D2675" s="153"/>
      <c r="E2675" s="6"/>
      <c r="G2675" s="6"/>
      <c r="J2675" s="6"/>
      <c r="N2675" s="154"/>
      <c r="O2675" s="6"/>
      <c r="S2675" s="6"/>
      <c r="V2675" s="6"/>
      <c r="X2675" s="6"/>
      <c r="Z2675" s="110"/>
      <c r="AB2675" s="6"/>
      <c r="AD2675" s="6"/>
      <c r="AE2675" s="6"/>
      <c r="AF2675" s="126"/>
      <c r="AJ2675" s="6"/>
      <c r="AL2675" s="110"/>
      <c r="AM2675" s="110"/>
      <c r="AN2675" s="110"/>
      <c r="AP2675" s="6"/>
      <c r="AW2675" s="6"/>
      <c r="AX2675" s="6"/>
      <c r="AZ2675" s="110"/>
      <c r="BB2675" s="6"/>
      <c r="BD2675" s="6"/>
      <c r="BE2675" s="6"/>
      <c r="BV2675" s="17"/>
      <c r="BX2675" s="17"/>
      <c r="BZ2675" s="17"/>
    </row>
    <row r="2676" spans="4:78" x14ac:dyDescent="0.3">
      <c r="D2676" s="153"/>
      <c r="E2676" s="6"/>
      <c r="G2676" s="6"/>
      <c r="J2676" s="6"/>
      <c r="N2676" s="154"/>
      <c r="O2676" s="6"/>
      <c r="S2676" s="6"/>
      <c r="V2676" s="6"/>
      <c r="X2676" s="6"/>
      <c r="Z2676" s="110"/>
      <c r="AB2676" s="6"/>
      <c r="AD2676" s="6"/>
      <c r="AE2676" s="6"/>
      <c r="AF2676" s="126"/>
      <c r="AJ2676" s="6"/>
      <c r="AL2676" s="110"/>
      <c r="AM2676" s="110"/>
      <c r="AN2676" s="110"/>
      <c r="AP2676" s="6"/>
      <c r="AW2676" s="6"/>
      <c r="AX2676" s="6"/>
      <c r="AZ2676" s="110"/>
      <c r="BB2676" s="6"/>
      <c r="BD2676" s="6"/>
      <c r="BE2676" s="6"/>
      <c r="BV2676" s="17"/>
      <c r="BX2676" s="17"/>
      <c r="BZ2676" s="17"/>
    </row>
    <row r="2677" spans="4:78" x14ac:dyDescent="0.3">
      <c r="D2677" s="153"/>
      <c r="E2677" s="6"/>
      <c r="G2677" s="6"/>
      <c r="J2677" s="6"/>
      <c r="N2677" s="154"/>
      <c r="O2677" s="6"/>
      <c r="S2677" s="6"/>
      <c r="V2677" s="6"/>
      <c r="X2677" s="6"/>
      <c r="Z2677" s="110"/>
      <c r="AB2677" s="6"/>
      <c r="AD2677" s="6"/>
      <c r="AE2677" s="6"/>
      <c r="AF2677" s="126"/>
      <c r="AJ2677" s="6"/>
      <c r="AL2677" s="110"/>
      <c r="AM2677" s="110"/>
      <c r="AN2677" s="110"/>
      <c r="AP2677" s="6"/>
      <c r="AW2677" s="6"/>
      <c r="AX2677" s="6"/>
      <c r="AZ2677" s="110"/>
      <c r="BB2677" s="6"/>
      <c r="BD2677" s="6"/>
      <c r="BE2677" s="6"/>
      <c r="BV2677" s="17"/>
      <c r="BX2677" s="17"/>
      <c r="BZ2677" s="17"/>
    </row>
    <row r="2678" spans="4:78" x14ac:dyDescent="0.3">
      <c r="D2678" s="153"/>
      <c r="E2678" s="6"/>
      <c r="G2678" s="6"/>
      <c r="J2678" s="6"/>
      <c r="N2678" s="154"/>
      <c r="O2678" s="6"/>
      <c r="S2678" s="6"/>
      <c r="V2678" s="6"/>
      <c r="X2678" s="6"/>
      <c r="Z2678" s="110"/>
      <c r="AB2678" s="6"/>
      <c r="AD2678" s="6"/>
      <c r="AE2678" s="6"/>
      <c r="AF2678" s="126"/>
      <c r="AJ2678" s="6"/>
      <c r="AL2678" s="110"/>
      <c r="AM2678" s="110"/>
      <c r="AN2678" s="110"/>
      <c r="AP2678" s="6"/>
      <c r="AW2678" s="6"/>
      <c r="AX2678" s="6"/>
      <c r="AZ2678" s="110"/>
      <c r="BB2678" s="6"/>
      <c r="BD2678" s="6"/>
      <c r="BE2678" s="6"/>
      <c r="BV2678" s="17"/>
      <c r="BX2678" s="17"/>
      <c r="BZ2678" s="17"/>
    </row>
    <row r="2679" spans="4:78" x14ac:dyDescent="0.3">
      <c r="D2679" s="153"/>
      <c r="E2679" s="6"/>
      <c r="G2679" s="6"/>
      <c r="J2679" s="6"/>
      <c r="N2679" s="154"/>
      <c r="O2679" s="6"/>
      <c r="S2679" s="6"/>
      <c r="V2679" s="6"/>
      <c r="X2679" s="6"/>
      <c r="Z2679" s="110"/>
      <c r="AB2679" s="6"/>
      <c r="AD2679" s="6"/>
      <c r="AE2679" s="6"/>
      <c r="AF2679" s="126"/>
      <c r="AJ2679" s="6"/>
      <c r="AL2679" s="110"/>
      <c r="AM2679" s="110"/>
      <c r="AN2679" s="110"/>
      <c r="AP2679" s="6"/>
      <c r="AW2679" s="6"/>
      <c r="AX2679" s="6"/>
      <c r="AZ2679" s="110"/>
      <c r="BB2679" s="6"/>
      <c r="BD2679" s="6"/>
      <c r="BE2679" s="6"/>
      <c r="BV2679" s="17"/>
      <c r="BX2679" s="17"/>
      <c r="BZ2679" s="17"/>
    </row>
    <row r="2680" spans="4:78" x14ac:dyDescent="0.3">
      <c r="D2680" s="153"/>
      <c r="E2680" s="6"/>
      <c r="G2680" s="6"/>
      <c r="J2680" s="6"/>
      <c r="N2680" s="154"/>
      <c r="O2680" s="6"/>
      <c r="S2680" s="6"/>
      <c r="V2680" s="6"/>
      <c r="X2680" s="6"/>
      <c r="Z2680" s="110"/>
      <c r="AB2680" s="6"/>
      <c r="AD2680" s="6"/>
      <c r="AE2680" s="6"/>
      <c r="AF2680" s="126"/>
      <c r="AJ2680" s="6"/>
      <c r="AL2680" s="110"/>
      <c r="AM2680" s="110"/>
      <c r="AN2680" s="110"/>
      <c r="AP2680" s="6"/>
      <c r="AW2680" s="6"/>
      <c r="AX2680" s="6"/>
      <c r="AZ2680" s="110"/>
      <c r="BB2680" s="6"/>
      <c r="BD2680" s="6"/>
      <c r="BE2680" s="6"/>
      <c r="BV2680" s="17"/>
      <c r="BX2680" s="17"/>
      <c r="BZ2680" s="17"/>
    </row>
    <row r="2681" spans="4:78" x14ac:dyDescent="0.3">
      <c r="D2681" s="153"/>
      <c r="E2681" s="6"/>
      <c r="G2681" s="6"/>
      <c r="J2681" s="6"/>
      <c r="N2681" s="154"/>
      <c r="O2681" s="6"/>
      <c r="S2681" s="6"/>
      <c r="V2681" s="6"/>
      <c r="X2681" s="6"/>
      <c r="Z2681" s="110"/>
      <c r="AB2681" s="6"/>
      <c r="AD2681" s="6"/>
      <c r="AE2681" s="6"/>
      <c r="AF2681" s="126"/>
      <c r="AJ2681" s="6"/>
      <c r="AL2681" s="110"/>
      <c r="AM2681" s="110"/>
      <c r="AN2681" s="110"/>
      <c r="AP2681" s="6"/>
      <c r="AW2681" s="6"/>
      <c r="AX2681" s="6"/>
      <c r="AZ2681" s="110"/>
      <c r="BB2681" s="6"/>
      <c r="BD2681" s="6"/>
      <c r="BE2681" s="6"/>
      <c r="BV2681" s="17"/>
      <c r="BX2681" s="17"/>
      <c r="BZ2681" s="17"/>
    </row>
    <row r="2682" spans="4:78" x14ac:dyDescent="0.3">
      <c r="D2682" s="153"/>
      <c r="E2682" s="6"/>
      <c r="G2682" s="6"/>
      <c r="J2682" s="6"/>
      <c r="N2682" s="154"/>
      <c r="O2682" s="6"/>
      <c r="S2682" s="6"/>
      <c r="V2682" s="6"/>
      <c r="X2682" s="6"/>
      <c r="Z2682" s="110"/>
      <c r="AB2682" s="6"/>
      <c r="AD2682" s="6"/>
      <c r="AE2682" s="6"/>
      <c r="AF2682" s="126"/>
      <c r="AJ2682" s="6"/>
      <c r="AL2682" s="110"/>
      <c r="AM2682" s="110"/>
      <c r="AN2682" s="110"/>
      <c r="AP2682" s="6"/>
      <c r="AW2682" s="6"/>
      <c r="AX2682" s="6"/>
      <c r="AZ2682" s="110"/>
      <c r="BB2682" s="6"/>
      <c r="BD2682" s="6"/>
      <c r="BE2682" s="6"/>
      <c r="BV2682" s="17"/>
      <c r="BX2682" s="17"/>
      <c r="BZ2682" s="17"/>
    </row>
    <row r="2683" spans="4:78" x14ac:dyDescent="0.3">
      <c r="D2683" s="153"/>
      <c r="E2683" s="6"/>
      <c r="G2683" s="6"/>
      <c r="J2683" s="6"/>
      <c r="N2683" s="154"/>
      <c r="O2683" s="6"/>
      <c r="S2683" s="6"/>
      <c r="V2683" s="6"/>
      <c r="X2683" s="6"/>
      <c r="Z2683" s="110"/>
      <c r="AB2683" s="6"/>
      <c r="AD2683" s="6"/>
      <c r="AE2683" s="6"/>
      <c r="AF2683" s="126"/>
      <c r="AJ2683" s="6"/>
      <c r="AL2683" s="110"/>
      <c r="AM2683" s="110"/>
      <c r="AN2683" s="110"/>
      <c r="AP2683" s="6"/>
      <c r="AW2683" s="6"/>
      <c r="AX2683" s="6"/>
      <c r="AZ2683" s="110"/>
      <c r="BB2683" s="6"/>
      <c r="BD2683" s="6"/>
      <c r="BE2683" s="6"/>
      <c r="BV2683" s="17"/>
      <c r="BX2683" s="17"/>
      <c r="BZ2683" s="17"/>
    </row>
    <row r="2684" spans="4:78" x14ac:dyDescent="0.3">
      <c r="D2684" s="153"/>
      <c r="E2684" s="6"/>
      <c r="G2684" s="6"/>
      <c r="J2684" s="6"/>
      <c r="N2684" s="154"/>
      <c r="O2684" s="6"/>
      <c r="S2684" s="6"/>
      <c r="V2684" s="6"/>
      <c r="X2684" s="6"/>
      <c r="Z2684" s="110"/>
      <c r="AB2684" s="6"/>
      <c r="AD2684" s="6"/>
      <c r="AE2684" s="6"/>
      <c r="AF2684" s="126"/>
      <c r="AJ2684" s="6"/>
      <c r="AL2684" s="110"/>
      <c r="AM2684" s="110"/>
      <c r="AN2684" s="110"/>
      <c r="AP2684" s="6"/>
      <c r="AW2684" s="6"/>
      <c r="AX2684" s="6"/>
      <c r="AZ2684" s="110"/>
      <c r="BB2684" s="6"/>
      <c r="BD2684" s="6"/>
      <c r="BE2684" s="6"/>
      <c r="BV2684" s="17"/>
      <c r="BX2684" s="17"/>
      <c r="BZ2684" s="17"/>
    </row>
    <row r="2685" spans="4:78" x14ac:dyDescent="0.3">
      <c r="D2685" s="153"/>
      <c r="E2685" s="6"/>
      <c r="G2685" s="6"/>
      <c r="J2685" s="6"/>
      <c r="N2685" s="154"/>
      <c r="O2685" s="6"/>
      <c r="S2685" s="6"/>
      <c r="V2685" s="6"/>
      <c r="X2685" s="6"/>
      <c r="Z2685" s="110"/>
      <c r="AB2685" s="6"/>
      <c r="AD2685" s="6"/>
      <c r="AE2685" s="6"/>
      <c r="AF2685" s="126"/>
      <c r="AJ2685" s="6"/>
      <c r="AL2685" s="110"/>
      <c r="AM2685" s="110"/>
      <c r="AN2685" s="110"/>
      <c r="AP2685" s="6"/>
      <c r="AW2685" s="6"/>
      <c r="AX2685" s="6"/>
      <c r="AZ2685" s="110"/>
      <c r="BB2685" s="6"/>
      <c r="BD2685" s="6"/>
      <c r="BE2685" s="6"/>
      <c r="BV2685" s="17"/>
      <c r="BX2685" s="17"/>
      <c r="BZ2685" s="17"/>
    </row>
    <row r="2686" spans="4:78" x14ac:dyDescent="0.3">
      <c r="D2686" s="153"/>
      <c r="E2686" s="6"/>
      <c r="G2686" s="6"/>
      <c r="J2686" s="6"/>
      <c r="N2686" s="154"/>
      <c r="O2686" s="6"/>
      <c r="S2686" s="6"/>
      <c r="V2686" s="6"/>
      <c r="X2686" s="6"/>
      <c r="Z2686" s="110"/>
      <c r="AB2686" s="6"/>
      <c r="AD2686" s="6"/>
      <c r="AE2686" s="6"/>
      <c r="AF2686" s="126"/>
      <c r="AJ2686" s="6"/>
      <c r="AL2686" s="110"/>
      <c r="AM2686" s="110"/>
      <c r="AN2686" s="110"/>
      <c r="AP2686" s="6"/>
      <c r="AW2686" s="6"/>
      <c r="AX2686" s="6"/>
      <c r="AZ2686" s="110"/>
      <c r="BB2686" s="6"/>
      <c r="BD2686" s="6"/>
      <c r="BE2686" s="6"/>
      <c r="BV2686" s="17"/>
      <c r="BX2686" s="17"/>
      <c r="BZ2686" s="17"/>
    </row>
    <row r="2687" spans="4:78" x14ac:dyDescent="0.3">
      <c r="D2687" s="153"/>
      <c r="E2687" s="6"/>
      <c r="G2687" s="6"/>
      <c r="J2687" s="6"/>
      <c r="N2687" s="154"/>
      <c r="O2687" s="6"/>
      <c r="S2687" s="6"/>
      <c r="V2687" s="6"/>
      <c r="X2687" s="6"/>
      <c r="Z2687" s="110"/>
      <c r="AB2687" s="6"/>
      <c r="AD2687" s="6"/>
      <c r="AE2687" s="6"/>
      <c r="AF2687" s="126"/>
      <c r="AJ2687" s="6"/>
      <c r="AL2687" s="110"/>
      <c r="AM2687" s="110"/>
      <c r="AN2687" s="110"/>
      <c r="AP2687" s="6"/>
      <c r="AW2687" s="6"/>
      <c r="AX2687" s="6"/>
      <c r="AZ2687" s="110"/>
      <c r="BB2687" s="6"/>
      <c r="BD2687" s="6"/>
      <c r="BE2687" s="6"/>
      <c r="BV2687" s="17"/>
      <c r="BX2687" s="17"/>
      <c r="BZ2687" s="17"/>
    </row>
    <row r="2688" spans="4:78" x14ac:dyDescent="0.3">
      <c r="D2688" s="153"/>
      <c r="E2688" s="6"/>
      <c r="G2688" s="6"/>
      <c r="J2688" s="6"/>
      <c r="N2688" s="154"/>
      <c r="O2688" s="6"/>
      <c r="S2688" s="6"/>
      <c r="V2688" s="6"/>
      <c r="X2688" s="6"/>
      <c r="Z2688" s="110"/>
      <c r="AB2688" s="6"/>
      <c r="AD2688" s="6"/>
      <c r="AE2688" s="6"/>
      <c r="AF2688" s="126"/>
      <c r="AJ2688" s="6"/>
      <c r="AL2688" s="110"/>
      <c r="AM2688" s="110"/>
      <c r="AN2688" s="110"/>
      <c r="AP2688" s="6"/>
      <c r="AW2688" s="6"/>
      <c r="AX2688" s="6"/>
      <c r="AZ2688" s="110"/>
      <c r="BB2688" s="6"/>
      <c r="BD2688" s="6"/>
      <c r="BE2688" s="6"/>
      <c r="BV2688" s="17"/>
      <c r="BX2688" s="17"/>
      <c r="BZ2688" s="17"/>
    </row>
    <row r="2689" spans="4:78" x14ac:dyDescent="0.3">
      <c r="D2689" s="153"/>
      <c r="E2689" s="6"/>
      <c r="G2689" s="6"/>
      <c r="J2689" s="6"/>
      <c r="N2689" s="154"/>
      <c r="O2689" s="6"/>
      <c r="S2689" s="6"/>
      <c r="V2689" s="6"/>
      <c r="X2689" s="6"/>
      <c r="Z2689" s="110"/>
      <c r="AB2689" s="6"/>
      <c r="AD2689" s="6"/>
      <c r="AE2689" s="6"/>
      <c r="AF2689" s="126"/>
      <c r="AJ2689" s="6"/>
      <c r="AL2689" s="110"/>
      <c r="AM2689" s="110"/>
      <c r="AN2689" s="110"/>
      <c r="AP2689" s="6"/>
      <c r="AW2689" s="6"/>
      <c r="AX2689" s="6"/>
      <c r="AZ2689" s="110"/>
      <c r="BB2689" s="6"/>
      <c r="BD2689" s="6"/>
      <c r="BE2689" s="6"/>
      <c r="BV2689" s="17"/>
      <c r="BX2689" s="17"/>
      <c r="BZ2689" s="17"/>
    </row>
    <row r="2690" spans="4:78" x14ac:dyDescent="0.3">
      <c r="D2690" s="153"/>
      <c r="E2690" s="6"/>
      <c r="G2690" s="6"/>
      <c r="J2690" s="6"/>
      <c r="N2690" s="154"/>
      <c r="O2690" s="6"/>
      <c r="S2690" s="6"/>
      <c r="V2690" s="6"/>
      <c r="X2690" s="6"/>
      <c r="Z2690" s="110"/>
      <c r="AB2690" s="6"/>
      <c r="AD2690" s="6"/>
      <c r="AE2690" s="6"/>
      <c r="AF2690" s="126"/>
      <c r="AJ2690" s="6"/>
      <c r="AL2690" s="110"/>
      <c r="AM2690" s="110"/>
      <c r="AN2690" s="110"/>
      <c r="AP2690" s="6"/>
      <c r="AW2690" s="6"/>
      <c r="AX2690" s="6"/>
      <c r="AZ2690" s="110"/>
      <c r="BB2690" s="6"/>
      <c r="BD2690" s="6"/>
      <c r="BE2690" s="6"/>
      <c r="BV2690" s="17"/>
      <c r="BX2690" s="17"/>
      <c r="BZ2690" s="17"/>
    </row>
    <row r="2691" spans="4:78" x14ac:dyDescent="0.3">
      <c r="D2691" s="153"/>
      <c r="E2691" s="6"/>
      <c r="G2691" s="6"/>
      <c r="J2691" s="6"/>
      <c r="N2691" s="154"/>
      <c r="O2691" s="6"/>
      <c r="S2691" s="6"/>
      <c r="V2691" s="6"/>
      <c r="X2691" s="6"/>
      <c r="Z2691" s="110"/>
      <c r="AB2691" s="6"/>
      <c r="AD2691" s="6"/>
      <c r="AE2691" s="6"/>
      <c r="AF2691" s="126"/>
      <c r="AJ2691" s="6"/>
      <c r="AL2691" s="110"/>
      <c r="AM2691" s="110"/>
      <c r="AN2691" s="110"/>
      <c r="AP2691" s="6"/>
      <c r="AW2691" s="6"/>
      <c r="AX2691" s="6"/>
      <c r="AZ2691" s="110"/>
      <c r="BB2691" s="6"/>
      <c r="BD2691" s="6"/>
      <c r="BE2691" s="6"/>
      <c r="BV2691" s="17"/>
      <c r="BX2691" s="17"/>
      <c r="BZ2691" s="17"/>
    </row>
    <row r="2692" spans="4:78" x14ac:dyDescent="0.3">
      <c r="D2692" s="153"/>
      <c r="E2692" s="6"/>
      <c r="G2692" s="6"/>
      <c r="J2692" s="6"/>
      <c r="N2692" s="154"/>
      <c r="O2692" s="6"/>
      <c r="S2692" s="6"/>
      <c r="V2692" s="6"/>
      <c r="X2692" s="6"/>
      <c r="Z2692" s="110"/>
      <c r="AB2692" s="6"/>
      <c r="AD2692" s="6"/>
      <c r="AE2692" s="6"/>
      <c r="AF2692" s="126"/>
      <c r="AJ2692" s="6"/>
      <c r="AL2692" s="110"/>
      <c r="AM2692" s="110"/>
      <c r="AN2692" s="110"/>
      <c r="AP2692" s="6"/>
      <c r="AW2692" s="6"/>
      <c r="AX2692" s="6"/>
      <c r="AZ2692" s="110"/>
      <c r="BB2692" s="6"/>
      <c r="BD2692" s="6"/>
      <c r="BE2692" s="6"/>
      <c r="BV2692" s="17"/>
      <c r="BX2692" s="17"/>
      <c r="BZ2692" s="17"/>
    </row>
    <row r="2693" spans="4:78" x14ac:dyDescent="0.3">
      <c r="D2693" s="153"/>
      <c r="E2693" s="6"/>
      <c r="G2693" s="6"/>
      <c r="J2693" s="6"/>
      <c r="N2693" s="154"/>
      <c r="O2693" s="6"/>
      <c r="S2693" s="6"/>
      <c r="V2693" s="6"/>
      <c r="X2693" s="6"/>
      <c r="Z2693" s="110"/>
      <c r="AB2693" s="6"/>
      <c r="AD2693" s="6"/>
      <c r="AE2693" s="6"/>
      <c r="AF2693" s="126"/>
      <c r="AJ2693" s="6"/>
      <c r="AL2693" s="110"/>
      <c r="AM2693" s="110"/>
      <c r="AN2693" s="110"/>
      <c r="AP2693" s="6"/>
      <c r="AW2693" s="6"/>
      <c r="AX2693" s="6"/>
      <c r="AZ2693" s="110"/>
      <c r="BB2693" s="6"/>
      <c r="BD2693" s="6"/>
      <c r="BE2693" s="6"/>
      <c r="BV2693" s="17"/>
      <c r="BX2693" s="17"/>
      <c r="BZ2693" s="17"/>
    </row>
    <row r="2694" spans="4:78" x14ac:dyDescent="0.3">
      <c r="D2694" s="153"/>
      <c r="E2694" s="6"/>
      <c r="G2694" s="6"/>
      <c r="J2694" s="6"/>
      <c r="N2694" s="154"/>
      <c r="O2694" s="6"/>
      <c r="S2694" s="6"/>
      <c r="V2694" s="6"/>
      <c r="X2694" s="6"/>
      <c r="Z2694" s="110"/>
      <c r="AB2694" s="6"/>
      <c r="AD2694" s="6"/>
      <c r="AE2694" s="6"/>
      <c r="AF2694" s="126"/>
      <c r="AJ2694" s="6"/>
      <c r="AL2694" s="110"/>
      <c r="AM2694" s="110"/>
      <c r="AN2694" s="110"/>
      <c r="AP2694" s="6"/>
      <c r="AW2694" s="6"/>
      <c r="AX2694" s="6"/>
      <c r="AZ2694" s="110"/>
      <c r="BB2694" s="6"/>
      <c r="BD2694" s="6"/>
      <c r="BE2694" s="6"/>
      <c r="BV2694" s="17"/>
      <c r="BX2694" s="17"/>
      <c r="BZ2694" s="17"/>
    </row>
    <row r="2695" spans="4:78" x14ac:dyDescent="0.3">
      <c r="D2695" s="153"/>
      <c r="E2695" s="6"/>
      <c r="G2695" s="6"/>
      <c r="J2695" s="6"/>
      <c r="N2695" s="154"/>
      <c r="O2695" s="6"/>
      <c r="S2695" s="6"/>
      <c r="V2695" s="6"/>
      <c r="X2695" s="6"/>
      <c r="Z2695" s="110"/>
      <c r="AB2695" s="6"/>
      <c r="AD2695" s="6"/>
      <c r="AE2695" s="6"/>
      <c r="AF2695" s="126"/>
      <c r="AJ2695" s="6"/>
      <c r="AL2695" s="110"/>
      <c r="AM2695" s="110"/>
      <c r="AN2695" s="110"/>
      <c r="AP2695" s="6"/>
      <c r="AW2695" s="6"/>
      <c r="AX2695" s="6"/>
      <c r="AZ2695" s="110"/>
      <c r="BB2695" s="6"/>
      <c r="BD2695" s="6"/>
      <c r="BE2695" s="6"/>
      <c r="BV2695" s="17"/>
      <c r="BX2695" s="17"/>
      <c r="BZ2695" s="17"/>
    </row>
    <row r="2696" spans="4:78" x14ac:dyDescent="0.3">
      <c r="D2696" s="153"/>
      <c r="E2696" s="6"/>
      <c r="G2696" s="6"/>
      <c r="J2696" s="6"/>
      <c r="N2696" s="154"/>
      <c r="O2696" s="6"/>
      <c r="S2696" s="6"/>
      <c r="V2696" s="6"/>
      <c r="X2696" s="6"/>
      <c r="Z2696" s="110"/>
      <c r="AB2696" s="6"/>
      <c r="AD2696" s="6"/>
      <c r="AE2696" s="6"/>
      <c r="AF2696" s="126"/>
      <c r="AJ2696" s="6"/>
      <c r="AL2696" s="110"/>
      <c r="AM2696" s="110"/>
      <c r="AN2696" s="110"/>
      <c r="AP2696" s="6"/>
      <c r="AW2696" s="6"/>
      <c r="AX2696" s="6"/>
      <c r="AZ2696" s="110"/>
      <c r="BB2696" s="6"/>
      <c r="BD2696" s="6"/>
      <c r="BE2696" s="6"/>
      <c r="BV2696" s="17"/>
      <c r="BX2696" s="17"/>
      <c r="BZ2696" s="17"/>
    </row>
    <row r="2697" spans="4:78" x14ac:dyDescent="0.3">
      <c r="D2697" s="153"/>
      <c r="E2697" s="6"/>
      <c r="G2697" s="6"/>
      <c r="J2697" s="6"/>
      <c r="N2697" s="154"/>
      <c r="O2697" s="6"/>
      <c r="S2697" s="6"/>
      <c r="V2697" s="6"/>
      <c r="X2697" s="6"/>
      <c r="Z2697" s="110"/>
      <c r="AB2697" s="6"/>
      <c r="AD2697" s="6"/>
      <c r="AE2697" s="6"/>
      <c r="AF2697" s="126"/>
      <c r="AJ2697" s="6"/>
      <c r="AL2697" s="110"/>
      <c r="AM2697" s="110"/>
      <c r="AN2697" s="110"/>
      <c r="AP2697" s="6"/>
      <c r="AW2697" s="6"/>
      <c r="AX2697" s="6"/>
      <c r="AZ2697" s="110"/>
      <c r="BB2697" s="6"/>
      <c r="BD2697" s="6"/>
      <c r="BE2697" s="6"/>
      <c r="BV2697" s="17"/>
      <c r="BX2697" s="17"/>
      <c r="BZ2697" s="17"/>
    </row>
    <row r="2698" spans="4:78" x14ac:dyDescent="0.3">
      <c r="D2698" s="153"/>
      <c r="E2698" s="6"/>
      <c r="G2698" s="6"/>
      <c r="J2698" s="6"/>
      <c r="N2698" s="154"/>
      <c r="O2698" s="6"/>
      <c r="S2698" s="6"/>
      <c r="V2698" s="6"/>
      <c r="X2698" s="6"/>
      <c r="Z2698" s="110"/>
      <c r="AB2698" s="6"/>
      <c r="AD2698" s="6"/>
      <c r="AE2698" s="6"/>
      <c r="AF2698" s="126"/>
      <c r="AJ2698" s="6"/>
      <c r="AL2698" s="110"/>
      <c r="AM2698" s="110"/>
      <c r="AN2698" s="110"/>
      <c r="AP2698" s="6"/>
      <c r="AW2698" s="6"/>
      <c r="AX2698" s="6"/>
      <c r="AZ2698" s="110"/>
      <c r="BB2698" s="6"/>
      <c r="BD2698" s="6"/>
      <c r="BE2698" s="6"/>
      <c r="BV2698" s="17"/>
      <c r="BX2698" s="17"/>
      <c r="BZ2698" s="17"/>
    </row>
    <row r="2699" spans="4:78" x14ac:dyDescent="0.3">
      <c r="D2699" s="153"/>
      <c r="E2699" s="6"/>
      <c r="G2699" s="6"/>
      <c r="J2699" s="6"/>
      <c r="N2699" s="154"/>
      <c r="O2699" s="6"/>
      <c r="S2699" s="6"/>
      <c r="V2699" s="6"/>
      <c r="X2699" s="6"/>
      <c r="Z2699" s="110"/>
      <c r="AB2699" s="6"/>
      <c r="AD2699" s="6"/>
      <c r="AE2699" s="6"/>
      <c r="AF2699" s="126"/>
      <c r="AJ2699" s="6"/>
      <c r="AL2699" s="110"/>
      <c r="AM2699" s="110"/>
      <c r="AN2699" s="110"/>
      <c r="AP2699" s="6"/>
      <c r="AW2699" s="6"/>
      <c r="AX2699" s="6"/>
      <c r="AZ2699" s="110"/>
      <c r="BB2699" s="6"/>
      <c r="BD2699" s="6"/>
      <c r="BE2699" s="6"/>
      <c r="BV2699" s="17"/>
      <c r="BX2699" s="17"/>
      <c r="BZ2699" s="17"/>
    </row>
    <row r="2700" spans="4:78" x14ac:dyDescent="0.3">
      <c r="D2700" s="153"/>
      <c r="E2700" s="6"/>
      <c r="G2700" s="6"/>
      <c r="J2700" s="6"/>
      <c r="N2700" s="154"/>
      <c r="O2700" s="6"/>
      <c r="S2700" s="6"/>
      <c r="V2700" s="6"/>
      <c r="X2700" s="6"/>
      <c r="Z2700" s="110"/>
      <c r="AB2700" s="6"/>
      <c r="AD2700" s="6"/>
      <c r="AE2700" s="6"/>
      <c r="AF2700" s="126"/>
      <c r="AJ2700" s="6"/>
      <c r="AL2700" s="110"/>
      <c r="AM2700" s="110"/>
      <c r="AN2700" s="110"/>
      <c r="AP2700" s="6"/>
      <c r="AW2700" s="6"/>
      <c r="AX2700" s="6"/>
      <c r="AZ2700" s="110"/>
      <c r="BB2700" s="6"/>
      <c r="BD2700" s="6"/>
      <c r="BE2700" s="6"/>
      <c r="BV2700" s="17"/>
      <c r="BX2700" s="17"/>
      <c r="BZ2700" s="17"/>
    </row>
    <row r="2701" spans="4:78" x14ac:dyDescent="0.3">
      <c r="D2701" s="153"/>
      <c r="E2701" s="6"/>
      <c r="G2701" s="6"/>
      <c r="J2701" s="6"/>
      <c r="N2701" s="154"/>
      <c r="O2701" s="6"/>
      <c r="S2701" s="6"/>
      <c r="V2701" s="6"/>
      <c r="X2701" s="6"/>
      <c r="Z2701" s="110"/>
      <c r="AB2701" s="6"/>
      <c r="AD2701" s="6"/>
      <c r="AE2701" s="6"/>
      <c r="AF2701" s="126"/>
      <c r="AJ2701" s="6"/>
      <c r="AL2701" s="110"/>
      <c r="AM2701" s="110"/>
      <c r="AN2701" s="110"/>
      <c r="AP2701" s="6"/>
      <c r="AW2701" s="6"/>
      <c r="AX2701" s="6"/>
      <c r="AZ2701" s="110"/>
      <c r="BB2701" s="6"/>
      <c r="BD2701" s="6"/>
      <c r="BE2701" s="6"/>
      <c r="BV2701" s="17"/>
      <c r="BX2701" s="17"/>
      <c r="BZ2701" s="17"/>
    </row>
    <row r="2702" spans="4:78" x14ac:dyDescent="0.3">
      <c r="D2702" s="153"/>
      <c r="E2702" s="6"/>
      <c r="G2702" s="6"/>
      <c r="J2702" s="6"/>
      <c r="N2702" s="154"/>
      <c r="O2702" s="6"/>
      <c r="S2702" s="6"/>
      <c r="V2702" s="6"/>
      <c r="X2702" s="6"/>
      <c r="Z2702" s="110"/>
      <c r="AB2702" s="6"/>
      <c r="AD2702" s="6"/>
      <c r="AE2702" s="6"/>
      <c r="AF2702" s="126"/>
      <c r="AJ2702" s="6"/>
      <c r="AL2702" s="110"/>
      <c r="AM2702" s="110"/>
      <c r="AN2702" s="110"/>
      <c r="AP2702" s="6"/>
      <c r="AW2702" s="6"/>
      <c r="AX2702" s="6"/>
      <c r="AZ2702" s="110"/>
      <c r="BB2702" s="6"/>
      <c r="BD2702" s="6"/>
      <c r="BE2702" s="6"/>
      <c r="BV2702" s="17"/>
      <c r="BX2702" s="17"/>
      <c r="BZ2702" s="17"/>
    </row>
    <row r="2703" spans="4:78" x14ac:dyDescent="0.3">
      <c r="D2703" s="153"/>
      <c r="E2703" s="6"/>
      <c r="G2703" s="6"/>
      <c r="J2703" s="6"/>
      <c r="N2703" s="154"/>
      <c r="O2703" s="6"/>
      <c r="S2703" s="6"/>
      <c r="V2703" s="6"/>
      <c r="X2703" s="6"/>
      <c r="Z2703" s="110"/>
      <c r="AB2703" s="6"/>
      <c r="AD2703" s="6"/>
      <c r="AE2703" s="6"/>
      <c r="AF2703" s="126"/>
      <c r="AJ2703" s="6"/>
      <c r="AL2703" s="110"/>
      <c r="AM2703" s="110"/>
      <c r="AN2703" s="110"/>
      <c r="AP2703" s="6"/>
      <c r="AW2703" s="6"/>
      <c r="AX2703" s="6"/>
      <c r="AZ2703" s="110"/>
      <c r="BB2703" s="6"/>
      <c r="BD2703" s="6"/>
      <c r="BE2703" s="6"/>
      <c r="BV2703" s="17"/>
      <c r="BX2703" s="17"/>
      <c r="BZ2703" s="17"/>
    </row>
    <row r="2704" spans="4:78" x14ac:dyDescent="0.3">
      <c r="D2704" s="153"/>
      <c r="E2704" s="6"/>
      <c r="G2704" s="6"/>
      <c r="J2704" s="6"/>
      <c r="N2704" s="154"/>
      <c r="O2704" s="6"/>
      <c r="S2704" s="6"/>
      <c r="V2704" s="6"/>
      <c r="X2704" s="6"/>
      <c r="Z2704" s="110"/>
      <c r="AB2704" s="6"/>
      <c r="AD2704" s="6"/>
      <c r="AE2704" s="6"/>
      <c r="AF2704" s="126"/>
      <c r="AJ2704" s="6"/>
      <c r="AL2704" s="110"/>
      <c r="AM2704" s="110"/>
      <c r="AN2704" s="110"/>
      <c r="AP2704" s="6"/>
      <c r="AW2704" s="6"/>
      <c r="AX2704" s="6"/>
      <c r="AZ2704" s="110"/>
      <c r="BB2704" s="6"/>
      <c r="BD2704" s="6"/>
      <c r="BE2704" s="6"/>
      <c r="BV2704" s="17"/>
      <c r="BX2704" s="17"/>
      <c r="BZ2704" s="17"/>
    </row>
    <row r="2705" spans="4:78" x14ac:dyDescent="0.3">
      <c r="D2705" s="153"/>
      <c r="E2705" s="6"/>
      <c r="G2705" s="6"/>
      <c r="J2705" s="6"/>
      <c r="N2705" s="154"/>
      <c r="O2705" s="6"/>
      <c r="S2705" s="6"/>
      <c r="V2705" s="6"/>
      <c r="X2705" s="6"/>
      <c r="Z2705" s="110"/>
      <c r="AB2705" s="6"/>
      <c r="AD2705" s="6"/>
      <c r="AE2705" s="6"/>
      <c r="AF2705" s="126"/>
      <c r="AJ2705" s="6"/>
      <c r="AL2705" s="110"/>
      <c r="AM2705" s="110"/>
      <c r="AN2705" s="110"/>
      <c r="AP2705" s="6"/>
      <c r="AW2705" s="6"/>
      <c r="AX2705" s="6"/>
      <c r="AZ2705" s="110"/>
      <c r="BB2705" s="6"/>
      <c r="BD2705" s="6"/>
      <c r="BE2705" s="6"/>
      <c r="BV2705" s="17"/>
      <c r="BX2705" s="17"/>
      <c r="BZ2705" s="17"/>
    </row>
    <row r="2706" spans="4:78" x14ac:dyDescent="0.3">
      <c r="D2706" s="153"/>
      <c r="E2706" s="6"/>
      <c r="G2706" s="6"/>
      <c r="J2706" s="6"/>
      <c r="N2706" s="154"/>
      <c r="O2706" s="6"/>
      <c r="S2706" s="6"/>
      <c r="V2706" s="6"/>
      <c r="X2706" s="6"/>
      <c r="Z2706" s="110"/>
      <c r="AB2706" s="6"/>
      <c r="AD2706" s="6"/>
      <c r="AE2706" s="6"/>
      <c r="AF2706" s="126"/>
      <c r="AJ2706" s="6"/>
      <c r="AL2706" s="110"/>
      <c r="AM2706" s="110"/>
      <c r="AN2706" s="110"/>
      <c r="AP2706" s="6"/>
      <c r="AW2706" s="6"/>
      <c r="AX2706" s="6"/>
      <c r="AZ2706" s="110"/>
      <c r="BB2706" s="6"/>
      <c r="BD2706" s="6"/>
      <c r="BE2706" s="6"/>
      <c r="BV2706" s="17"/>
      <c r="BX2706" s="17"/>
      <c r="BZ2706" s="17"/>
    </row>
    <row r="2707" spans="4:78" x14ac:dyDescent="0.3">
      <c r="D2707" s="153"/>
      <c r="E2707" s="6"/>
      <c r="G2707" s="6"/>
      <c r="J2707" s="6"/>
      <c r="N2707" s="154"/>
      <c r="O2707" s="6"/>
      <c r="S2707" s="6"/>
      <c r="V2707" s="6"/>
      <c r="X2707" s="6"/>
      <c r="Z2707" s="110"/>
      <c r="AB2707" s="6"/>
      <c r="AD2707" s="6"/>
      <c r="AE2707" s="6"/>
      <c r="AF2707" s="126"/>
      <c r="AJ2707" s="6"/>
      <c r="AL2707" s="110"/>
      <c r="AM2707" s="110"/>
      <c r="AN2707" s="110"/>
      <c r="AP2707" s="6"/>
      <c r="AW2707" s="6"/>
      <c r="AX2707" s="6"/>
      <c r="AZ2707" s="110"/>
      <c r="BB2707" s="6"/>
      <c r="BD2707" s="6"/>
      <c r="BE2707" s="6"/>
      <c r="BV2707" s="17"/>
      <c r="BX2707" s="17"/>
      <c r="BZ2707" s="17"/>
    </row>
    <row r="2708" spans="4:78" x14ac:dyDescent="0.3">
      <c r="D2708" s="153"/>
      <c r="E2708" s="6"/>
      <c r="G2708" s="6"/>
      <c r="J2708" s="6"/>
      <c r="N2708" s="154"/>
      <c r="O2708" s="6"/>
      <c r="S2708" s="6"/>
      <c r="V2708" s="6"/>
      <c r="X2708" s="6"/>
      <c r="Z2708" s="110"/>
      <c r="AB2708" s="6"/>
      <c r="AD2708" s="6"/>
      <c r="AE2708" s="6"/>
      <c r="AF2708" s="126"/>
      <c r="AJ2708" s="6"/>
      <c r="AL2708" s="110"/>
      <c r="AM2708" s="110"/>
      <c r="AN2708" s="110"/>
      <c r="AP2708" s="6"/>
      <c r="AW2708" s="6"/>
      <c r="AX2708" s="6"/>
      <c r="AZ2708" s="110"/>
      <c r="BB2708" s="6"/>
      <c r="BD2708" s="6"/>
      <c r="BE2708" s="6"/>
      <c r="BV2708" s="17"/>
      <c r="BX2708" s="17"/>
      <c r="BZ2708" s="17"/>
    </row>
    <row r="2709" spans="4:78" x14ac:dyDescent="0.3">
      <c r="D2709" s="153"/>
      <c r="E2709" s="6"/>
      <c r="G2709" s="6"/>
      <c r="J2709" s="6"/>
      <c r="N2709" s="154"/>
      <c r="O2709" s="6"/>
      <c r="S2709" s="6"/>
      <c r="V2709" s="6"/>
      <c r="X2709" s="6"/>
      <c r="Z2709" s="110"/>
      <c r="AB2709" s="6"/>
      <c r="AD2709" s="6"/>
      <c r="AE2709" s="6"/>
      <c r="AF2709" s="126"/>
      <c r="AJ2709" s="6"/>
      <c r="AL2709" s="110"/>
      <c r="AM2709" s="110"/>
      <c r="AN2709" s="110"/>
      <c r="AP2709" s="6"/>
      <c r="AW2709" s="6"/>
      <c r="AX2709" s="6"/>
      <c r="AZ2709" s="110"/>
      <c r="BB2709" s="6"/>
      <c r="BD2709" s="6"/>
      <c r="BE2709" s="6"/>
      <c r="BV2709" s="17"/>
      <c r="BX2709" s="17"/>
      <c r="BZ2709" s="17"/>
    </row>
    <row r="2710" spans="4:78" x14ac:dyDescent="0.3">
      <c r="D2710" s="153"/>
      <c r="E2710" s="6"/>
      <c r="G2710" s="6"/>
      <c r="J2710" s="6"/>
      <c r="N2710" s="154"/>
      <c r="O2710" s="6"/>
      <c r="S2710" s="6"/>
      <c r="V2710" s="6"/>
      <c r="X2710" s="6"/>
      <c r="Z2710" s="110"/>
      <c r="AB2710" s="6"/>
      <c r="AD2710" s="6"/>
      <c r="AE2710" s="6"/>
      <c r="AF2710" s="126"/>
      <c r="AJ2710" s="6"/>
      <c r="AL2710" s="110"/>
      <c r="AM2710" s="110"/>
      <c r="AN2710" s="110"/>
      <c r="AP2710" s="6"/>
      <c r="AW2710" s="6"/>
      <c r="AX2710" s="6"/>
      <c r="AZ2710" s="110"/>
      <c r="BB2710" s="6"/>
      <c r="BD2710" s="6"/>
      <c r="BE2710" s="6"/>
      <c r="BV2710" s="17"/>
      <c r="BX2710" s="17"/>
      <c r="BZ2710" s="17"/>
    </row>
    <row r="2711" spans="4:78" x14ac:dyDescent="0.3">
      <c r="D2711" s="153"/>
      <c r="E2711" s="6"/>
      <c r="G2711" s="6"/>
      <c r="J2711" s="6"/>
      <c r="N2711" s="154"/>
      <c r="O2711" s="6"/>
      <c r="S2711" s="6"/>
      <c r="V2711" s="6"/>
      <c r="X2711" s="6"/>
      <c r="Z2711" s="110"/>
      <c r="AB2711" s="6"/>
      <c r="AD2711" s="6"/>
      <c r="AE2711" s="6"/>
      <c r="AF2711" s="126"/>
      <c r="AJ2711" s="6"/>
      <c r="AL2711" s="110"/>
      <c r="AM2711" s="110"/>
      <c r="AN2711" s="110"/>
      <c r="AP2711" s="6"/>
      <c r="AW2711" s="6"/>
      <c r="AX2711" s="6"/>
      <c r="AZ2711" s="110"/>
      <c r="BB2711" s="6"/>
      <c r="BD2711" s="6"/>
      <c r="BE2711" s="6"/>
      <c r="BV2711" s="17"/>
      <c r="BX2711" s="17"/>
      <c r="BZ2711" s="17"/>
    </row>
    <row r="2712" spans="4:78" x14ac:dyDescent="0.3">
      <c r="D2712" s="153"/>
      <c r="E2712" s="6"/>
      <c r="G2712" s="6"/>
      <c r="J2712" s="6"/>
      <c r="N2712" s="154"/>
      <c r="O2712" s="6"/>
      <c r="S2712" s="6"/>
      <c r="V2712" s="6"/>
      <c r="X2712" s="6"/>
      <c r="Z2712" s="110"/>
      <c r="AB2712" s="6"/>
      <c r="AD2712" s="6"/>
      <c r="AE2712" s="6"/>
      <c r="AF2712" s="126"/>
      <c r="AJ2712" s="6"/>
      <c r="AL2712" s="110"/>
      <c r="AM2712" s="110"/>
      <c r="AN2712" s="110"/>
      <c r="AP2712" s="6"/>
      <c r="AW2712" s="6"/>
      <c r="AX2712" s="6"/>
      <c r="AZ2712" s="110"/>
      <c r="BB2712" s="6"/>
      <c r="BD2712" s="6"/>
      <c r="BE2712" s="6"/>
      <c r="BV2712" s="17"/>
      <c r="BX2712" s="17"/>
      <c r="BZ2712" s="17"/>
    </row>
    <row r="2713" spans="4:78" x14ac:dyDescent="0.3">
      <c r="D2713" s="153"/>
      <c r="E2713" s="6"/>
      <c r="G2713" s="6"/>
      <c r="J2713" s="6"/>
      <c r="N2713" s="154"/>
      <c r="O2713" s="6"/>
      <c r="S2713" s="6"/>
      <c r="V2713" s="6"/>
      <c r="X2713" s="6"/>
      <c r="Z2713" s="110"/>
      <c r="AB2713" s="6"/>
      <c r="AD2713" s="6"/>
      <c r="AE2713" s="6"/>
      <c r="AF2713" s="126"/>
      <c r="AJ2713" s="6"/>
      <c r="AL2713" s="110"/>
      <c r="AM2713" s="110"/>
      <c r="AN2713" s="110"/>
      <c r="AP2713" s="6"/>
      <c r="AW2713" s="6"/>
      <c r="AX2713" s="6"/>
      <c r="AZ2713" s="110"/>
      <c r="BB2713" s="6"/>
      <c r="BD2713" s="6"/>
      <c r="BE2713" s="6"/>
      <c r="BV2713" s="17"/>
      <c r="BX2713" s="17"/>
      <c r="BZ2713" s="17"/>
    </row>
    <row r="2714" spans="4:78" x14ac:dyDescent="0.3">
      <c r="D2714" s="153"/>
      <c r="E2714" s="6"/>
      <c r="G2714" s="6"/>
      <c r="J2714" s="6"/>
      <c r="N2714" s="154"/>
      <c r="O2714" s="6"/>
      <c r="S2714" s="6"/>
      <c r="V2714" s="6"/>
      <c r="X2714" s="6"/>
      <c r="Z2714" s="110"/>
      <c r="AB2714" s="6"/>
      <c r="AD2714" s="6"/>
      <c r="AE2714" s="6"/>
      <c r="AF2714" s="126"/>
      <c r="AJ2714" s="6"/>
      <c r="AL2714" s="110"/>
      <c r="AM2714" s="110"/>
      <c r="AN2714" s="110"/>
      <c r="AP2714" s="6"/>
      <c r="AW2714" s="6"/>
      <c r="AX2714" s="6"/>
      <c r="AZ2714" s="110"/>
      <c r="BB2714" s="6"/>
      <c r="BD2714" s="6"/>
      <c r="BE2714" s="6"/>
      <c r="BV2714" s="17"/>
      <c r="BX2714" s="17"/>
      <c r="BZ2714" s="17"/>
    </row>
    <row r="2715" spans="4:78" x14ac:dyDescent="0.3">
      <c r="D2715" s="153"/>
      <c r="E2715" s="6"/>
      <c r="G2715" s="6"/>
      <c r="J2715" s="6"/>
      <c r="N2715" s="154"/>
      <c r="O2715" s="6"/>
      <c r="S2715" s="6"/>
      <c r="V2715" s="6"/>
      <c r="X2715" s="6"/>
      <c r="Z2715" s="110"/>
      <c r="AB2715" s="6"/>
      <c r="AD2715" s="6"/>
      <c r="AE2715" s="6"/>
      <c r="AF2715" s="126"/>
      <c r="AJ2715" s="6"/>
      <c r="AL2715" s="110"/>
      <c r="AM2715" s="110"/>
      <c r="AN2715" s="110"/>
      <c r="AP2715" s="6"/>
      <c r="AW2715" s="6"/>
      <c r="AX2715" s="6"/>
      <c r="AZ2715" s="110"/>
      <c r="BB2715" s="6"/>
      <c r="BD2715" s="6"/>
      <c r="BE2715" s="6"/>
      <c r="BV2715" s="17"/>
      <c r="BX2715" s="17"/>
      <c r="BZ2715" s="17"/>
    </row>
    <row r="2716" spans="4:78" x14ac:dyDescent="0.3">
      <c r="D2716" s="153"/>
      <c r="E2716" s="6"/>
      <c r="G2716" s="6"/>
      <c r="J2716" s="6"/>
      <c r="N2716" s="154"/>
      <c r="O2716" s="6"/>
      <c r="S2716" s="6"/>
      <c r="V2716" s="6"/>
      <c r="X2716" s="6"/>
      <c r="Z2716" s="110"/>
      <c r="AB2716" s="6"/>
      <c r="AD2716" s="6"/>
      <c r="AE2716" s="6"/>
      <c r="AF2716" s="126"/>
      <c r="AJ2716" s="6"/>
      <c r="AL2716" s="110"/>
      <c r="AM2716" s="110"/>
      <c r="AN2716" s="110"/>
      <c r="AP2716" s="6"/>
      <c r="AW2716" s="6"/>
      <c r="AX2716" s="6"/>
      <c r="AZ2716" s="110"/>
      <c r="BB2716" s="6"/>
      <c r="BD2716" s="6"/>
      <c r="BE2716" s="6"/>
      <c r="BV2716" s="17"/>
      <c r="BX2716" s="17"/>
      <c r="BZ2716" s="17"/>
    </row>
    <row r="2717" spans="4:78" x14ac:dyDescent="0.3">
      <c r="D2717" s="153"/>
      <c r="E2717" s="6"/>
      <c r="G2717" s="6"/>
      <c r="J2717" s="6"/>
      <c r="N2717" s="154"/>
      <c r="O2717" s="6"/>
      <c r="S2717" s="6"/>
      <c r="V2717" s="6"/>
      <c r="X2717" s="6"/>
      <c r="Z2717" s="110"/>
      <c r="AB2717" s="6"/>
      <c r="AD2717" s="6"/>
      <c r="AE2717" s="6"/>
      <c r="AF2717" s="126"/>
      <c r="AJ2717" s="6"/>
      <c r="AL2717" s="110"/>
      <c r="AM2717" s="110"/>
      <c r="AN2717" s="110"/>
      <c r="AP2717" s="6"/>
      <c r="AW2717" s="6"/>
      <c r="AX2717" s="6"/>
      <c r="AZ2717" s="110"/>
      <c r="BB2717" s="6"/>
      <c r="BD2717" s="6"/>
      <c r="BE2717" s="6"/>
      <c r="BV2717" s="17"/>
      <c r="BX2717" s="17"/>
      <c r="BZ2717" s="17"/>
    </row>
    <row r="2718" spans="4:78" x14ac:dyDescent="0.3">
      <c r="D2718" s="153"/>
      <c r="E2718" s="6"/>
      <c r="G2718" s="6"/>
      <c r="J2718" s="6"/>
      <c r="N2718" s="154"/>
      <c r="O2718" s="6"/>
      <c r="S2718" s="6"/>
      <c r="V2718" s="6"/>
      <c r="X2718" s="6"/>
      <c r="Z2718" s="110"/>
      <c r="AB2718" s="6"/>
      <c r="AD2718" s="6"/>
      <c r="AE2718" s="6"/>
      <c r="AF2718" s="126"/>
      <c r="AJ2718" s="6"/>
      <c r="AL2718" s="110"/>
      <c r="AM2718" s="110"/>
      <c r="AN2718" s="110"/>
      <c r="AP2718" s="6"/>
      <c r="AW2718" s="6"/>
      <c r="AX2718" s="6"/>
      <c r="AZ2718" s="110"/>
      <c r="BB2718" s="6"/>
      <c r="BD2718" s="6"/>
      <c r="BE2718" s="6"/>
      <c r="BV2718" s="17"/>
      <c r="BX2718" s="17"/>
      <c r="BZ2718" s="17"/>
    </row>
    <row r="2719" spans="4:78" x14ac:dyDescent="0.3">
      <c r="D2719" s="153"/>
      <c r="E2719" s="6"/>
      <c r="G2719" s="6"/>
      <c r="J2719" s="6"/>
      <c r="N2719" s="154"/>
      <c r="O2719" s="6"/>
      <c r="S2719" s="6"/>
      <c r="V2719" s="6"/>
      <c r="X2719" s="6"/>
      <c r="Z2719" s="110"/>
      <c r="AB2719" s="6"/>
      <c r="AD2719" s="6"/>
      <c r="AE2719" s="6"/>
      <c r="AF2719" s="126"/>
      <c r="AJ2719" s="6"/>
      <c r="AL2719" s="110"/>
      <c r="AM2719" s="110"/>
      <c r="AN2719" s="110"/>
      <c r="AP2719" s="6"/>
      <c r="AW2719" s="6"/>
      <c r="AX2719" s="6"/>
      <c r="AZ2719" s="110"/>
      <c r="BB2719" s="6"/>
      <c r="BD2719" s="6"/>
      <c r="BE2719" s="6"/>
      <c r="BV2719" s="17"/>
      <c r="BX2719" s="17"/>
      <c r="BZ2719" s="17"/>
    </row>
    <row r="2720" spans="4:78" x14ac:dyDescent="0.3">
      <c r="D2720" s="153"/>
      <c r="E2720" s="6"/>
      <c r="G2720" s="6"/>
      <c r="J2720" s="6"/>
      <c r="N2720" s="154"/>
      <c r="O2720" s="6"/>
      <c r="S2720" s="6"/>
      <c r="V2720" s="6"/>
      <c r="X2720" s="6"/>
      <c r="Z2720" s="110"/>
      <c r="AB2720" s="6"/>
      <c r="AD2720" s="6"/>
      <c r="AE2720" s="6"/>
      <c r="AF2720" s="126"/>
      <c r="AJ2720" s="6"/>
      <c r="AL2720" s="110"/>
      <c r="AM2720" s="110"/>
      <c r="AN2720" s="110"/>
      <c r="AP2720" s="6"/>
      <c r="AW2720" s="6"/>
      <c r="AX2720" s="6"/>
      <c r="AZ2720" s="110"/>
      <c r="BB2720" s="6"/>
      <c r="BD2720" s="6"/>
      <c r="BE2720" s="6"/>
      <c r="BV2720" s="17"/>
      <c r="BX2720" s="17"/>
      <c r="BZ2720" s="17"/>
    </row>
    <row r="2721" spans="4:78" x14ac:dyDescent="0.3">
      <c r="D2721" s="153"/>
      <c r="E2721" s="6"/>
      <c r="G2721" s="6"/>
      <c r="J2721" s="6"/>
      <c r="N2721" s="154"/>
      <c r="O2721" s="6"/>
      <c r="S2721" s="6"/>
      <c r="V2721" s="6"/>
      <c r="X2721" s="6"/>
      <c r="Z2721" s="110"/>
      <c r="AB2721" s="6"/>
      <c r="AD2721" s="6"/>
      <c r="AE2721" s="6"/>
      <c r="AF2721" s="126"/>
      <c r="AJ2721" s="6"/>
      <c r="AL2721" s="110"/>
      <c r="AM2721" s="110"/>
      <c r="AN2721" s="110"/>
      <c r="AP2721" s="6"/>
      <c r="AW2721" s="6"/>
      <c r="AX2721" s="6"/>
      <c r="AZ2721" s="110"/>
      <c r="BB2721" s="6"/>
      <c r="BD2721" s="6"/>
      <c r="BE2721" s="6"/>
      <c r="BV2721" s="17"/>
      <c r="BX2721" s="17"/>
      <c r="BZ2721" s="17"/>
    </row>
    <row r="2722" spans="4:78" x14ac:dyDescent="0.3">
      <c r="D2722" s="153"/>
      <c r="E2722" s="6"/>
      <c r="G2722" s="6"/>
      <c r="J2722" s="6"/>
      <c r="N2722" s="154"/>
      <c r="O2722" s="6"/>
      <c r="S2722" s="6"/>
      <c r="V2722" s="6"/>
      <c r="X2722" s="6"/>
      <c r="Z2722" s="110"/>
      <c r="AB2722" s="6"/>
      <c r="AD2722" s="6"/>
      <c r="AE2722" s="6"/>
      <c r="AF2722" s="126"/>
      <c r="AJ2722" s="6"/>
      <c r="AL2722" s="110"/>
      <c r="AM2722" s="110"/>
      <c r="AN2722" s="110"/>
      <c r="AP2722" s="6"/>
      <c r="AW2722" s="6"/>
      <c r="AX2722" s="6"/>
      <c r="AZ2722" s="110"/>
      <c r="BB2722" s="6"/>
      <c r="BD2722" s="6"/>
      <c r="BE2722" s="6"/>
      <c r="BV2722" s="17"/>
      <c r="BX2722" s="17"/>
      <c r="BZ2722" s="17"/>
    </row>
    <row r="2723" spans="4:78" x14ac:dyDescent="0.3">
      <c r="D2723" s="153"/>
      <c r="E2723" s="6"/>
      <c r="G2723" s="6"/>
      <c r="J2723" s="6"/>
      <c r="N2723" s="154"/>
      <c r="O2723" s="6"/>
      <c r="S2723" s="6"/>
      <c r="V2723" s="6"/>
      <c r="X2723" s="6"/>
      <c r="Z2723" s="110"/>
      <c r="AB2723" s="6"/>
      <c r="AD2723" s="6"/>
      <c r="AE2723" s="6"/>
      <c r="AF2723" s="126"/>
      <c r="AJ2723" s="6"/>
      <c r="AL2723" s="110"/>
      <c r="AM2723" s="110"/>
      <c r="AN2723" s="110"/>
      <c r="AP2723" s="6"/>
      <c r="AW2723" s="6"/>
      <c r="AX2723" s="6"/>
      <c r="AZ2723" s="110"/>
      <c r="BB2723" s="6"/>
      <c r="BD2723" s="6"/>
      <c r="BE2723" s="6"/>
      <c r="BV2723" s="17"/>
      <c r="BX2723" s="17"/>
      <c r="BZ2723" s="17"/>
    </row>
    <row r="2724" spans="4:78" x14ac:dyDescent="0.3">
      <c r="D2724" s="153"/>
      <c r="E2724" s="6"/>
      <c r="G2724" s="6"/>
      <c r="J2724" s="6"/>
      <c r="N2724" s="154"/>
      <c r="O2724" s="6"/>
      <c r="S2724" s="6"/>
      <c r="V2724" s="6"/>
      <c r="X2724" s="6"/>
      <c r="Z2724" s="110"/>
      <c r="AB2724" s="6"/>
      <c r="AD2724" s="6"/>
      <c r="AE2724" s="6"/>
      <c r="AF2724" s="126"/>
      <c r="AJ2724" s="6"/>
      <c r="AL2724" s="110"/>
      <c r="AM2724" s="110"/>
      <c r="AN2724" s="110"/>
      <c r="AP2724" s="6"/>
      <c r="AW2724" s="6"/>
      <c r="AX2724" s="6"/>
      <c r="AZ2724" s="110"/>
      <c r="BB2724" s="6"/>
      <c r="BD2724" s="6"/>
      <c r="BE2724" s="6"/>
      <c r="BV2724" s="17"/>
      <c r="BX2724" s="17"/>
      <c r="BZ2724" s="17"/>
    </row>
    <row r="2725" spans="4:78" x14ac:dyDescent="0.3">
      <c r="D2725" s="153"/>
      <c r="E2725" s="6"/>
      <c r="G2725" s="6"/>
      <c r="J2725" s="6"/>
      <c r="N2725" s="154"/>
      <c r="O2725" s="6"/>
      <c r="S2725" s="6"/>
      <c r="V2725" s="6"/>
      <c r="X2725" s="6"/>
      <c r="Z2725" s="110"/>
      <c r="AB2725" s="6"/>
      <c r="AD2725" s="6"/>
      <c r="AE2725" s="6"/>
      <c r="AF2725" s="126"/>
      <c r="AJ2725" s="6"/>
      <c r="AL2725" s="110"/>
      <c r="AM2725" s="110"/>
      <c r="AN2725" s="110"/>
      <c r="AP2725" s="6"/>
      <c r="AW2725" s="6"/>
      <c r="AX2725" s="6"/>
      <c r="AZ2725" s="110"/>
      <c r="BB2725" s="6"/>
      <c r="BD2725" s="6"/>
      <c r="BE2725" s="6"/>
      <c r="BV2725" s="17"/>
      <c r="BX2725" s="17"/>
      <c r="BZ2725" s="17"/>
    </row>
    <row r="2726" spans="4:78" x14ac:dyDescent="0.3">
      <c r="D2726" s="153"/>
      <c r="E2726" s="6"/>
      <c r="G2726" s="6"/>
      <c r="J2726" s="6"/>
      <c r="N2726" s="154"/>
      <c r="O2726" s="6"/>
      <c r="S2726" s="6"/>
      <c r="V2726" s="6"/>
      <c r="X2726" s="6"/>
      <c r="Z2726" s="110"/>
      <c r="AB2726" s="6"/>
      <c r="AD2726" s="6"/>
      <c r="AE2726" s="6"/>
      <c r="AF2726" s="126"/>
      <c r="AJ2726" s="6"/>
      <c r="AL2726" s="110"/>
      <c r="AM2726" s="110"/>
      <c r="AN2726" s="110"/>
      <c r="AP2726" s="6"/>
      <c r="AW2726" s="6"/>
      <c r="AX2726" s="6"/>
      <c r="AZ2726" s="110"/>
      <c r="BB2726" s="6"/>
      <c r="BD2726" s="6"/>
      <c r="BE2726" s="6"/>
      <c r="BV2726" s="17"/>
      <c r="BX2726" s="17"/>
      <c r="BZ2726" s="17"/>
    </row>
    <row r="2727" spans="4:78" x14ac:dyDescent="0.3">
      <c r="D2727" s="153"/>
      <c r="E2727" s="6"/>
      <c r="G2727" s="6"/>
      <c r="J2727" s="6"/>
      <c r="N2727" s="154"/>
      <c r="O2727" s="6"/>
      <c r="S2727" s="6"/>
      <c r="V2727" s="6"/>
      <c r="X2727" s="6"/>
      <c r="Z2727" s="110"/>
      <c r="AB2727" s="6"/>
      <c r="AD2727" s="6"/>
      <c r="AE2727" s="6"/>
      <c r="AF2727" s="126"/>
      <c r="AJ2727" s="6"/>
      <c r="AL2727" s="110"/>
      <c r="AM2727" s="110"/>
      <c r="AN2727" s="110"/>
      <c r="AP2727" s="6"/>
      <c r="AW2727" s="6"/>
      <c r="AX2727" s="6"/>
      <c r="AZ2727" s="110"/>
      <c r="BB2727" s="6"/>
      <c r="BD2727" s="6"/>
      <c r="BE2727" s="6"/>
      <c r="BV2727" s="17"/>
      <c r="BX2727" s="17"/>
      <c r="BZ2727" s="17"/>
    </row>
    <row r="2728" spans="4:78" x14ac:dyDescent="0.3">
      <c r="D2728" s="153"/>
      <c r="E2728" s="6"/>
      <c r="G2728" s="6"/>
      <c r="J2728" s="6"/>
      <c r="N2728" s="154"/>
      <c r="O2728" s="6"/>
      <c r="S2728" s="6"/>
      <c r="V2728" s="6"/>
      <c r="X2728" s="6"/>
      <c r="Z2728" s="110"/>
      <c r="AB2728" s="6"/>
      <c r="AD2728" s="6"/>
      <c r="AE2728" s="6"/>
      <c r="AF2728" s="126"/>
      <c r="AJ2728" s="6"/>
      <c r="AL2728" s="110"/>
      <c r="AM2728" s="110"/>
      <c r="AN2728" s="110"/>
      <c r="AP2728" s="6"/>
      <c r="AW2728" s="6"/>
      <c r="AX2728" s="6"/>
      <c r="AZ2728" s="110"/>
      <c r="BB2728" s="6"/>
      <c r="BD2728" s="6"/>
      <c r="BE2728" s="6"/>
      <c r="BV2728" s="17"/>
      <c r="BX2728" s="17"/>
      <c r="BZ2728" s="17"/>
    </row>
    <row r="2729" spans="4:78" x14ac:dyDescent="0.3">
      <c r="D2729" s="153"/>
      <c r="E2729" s="6"/>
      <c r="G2729" s="6"/>
      <c r="J2729" s="6"/>
      <c r="N2729" s="154"/>
      <c r="O2729" s="6"/>
      <c r="S2729" s="6"/>
      <c r="V2729" s="6"/>
      <c r="X2729" s="6"/>
      <c r="Z2729" s="110"/>
      <c r="AB2729" s="6"/>
      <c r="AD2729" s="6"/>
      <c r="AE2729" s="6"/>
      <c r="AF2729" s="126"/>
      <c r="AJ2729" s="6"/>
      <c r="AL2729" s="110"/>
      <c r="AM2729" s="110"/>
      <c r="AN2729" s="110"/>
      <c r="AP2729" s="6"/>
      <c r="AW2729" s="6"/>
      <c r="AX2729" s="6"/>
      <c r="AZ2729" s="110"/>
      <c r="BB2729" s="6"/>
      <c r="BD2729" s="6"/>
      <c r="BE2729" s="6"/>
      <c r="BV2729" s="17"/>
      <c r="BX2729" s="17"/>
      <c r="BZ2729" s="17"/>
    </row>
    <row r="2730" spans="4:78" x14ac:dyDescent="0.3">
      <c r="D2730" s="153"/>
      <c r="E2730" s="6"/>
      <c r="G2730" s="6"/>
      <c r="J2730" s="6"/>
      <c r="N2730" s="154"/>
      <c r="O2730" s="6"/>
      <c r="S2730" s="6"/>
      <c r="V2730" s="6"/>
      <c r="X2730" s="6"/>
      <c r="Z2730" s="110"/>
      <c r="AB2730" s="6"/>
      <c r="AD2730" s="6"/>
      <c r="AE2730" s="6"/>
      <c r="AF2730" s="126"/>
      <c r="AJ2730" s="6"/>
      <c r="AL2730" s="110"/>
      <c r="AM2730" s="110"/>
      <c r="AN2730" s="110"/>
      <c r="AP2730" s="6"/>
      <c r="AW2730" s="6"/>
      <c r="AX2730" s="6"/>
      <c r="AZ2730" s="110"/>
      <c r="BB2730" s="6"/>
      <c r="BD2730" s="6"/>
      <c r="BE2730" s="6"/>
      <c r="BV2730" s="17"/>
      <c r="BX2730" s="17"/>
      <c r="BZ2730" s="17"/>
    </row>
    <row r="2731" spans="4:78" x14ac:dyDescent="0.3">
      <c r="D2731" s="153"/>
      <c r="E2731" s="6"/>
      <c r="G2731" s="6"/>
      <c r="J2731" s="6"/>
      <c r="N2731" s="154"/>
      <c r="O2731" s="6"/>
      <c r="S2731" s="6"/>
      <c r="V2731" s="6"/>
      <c r="X2731" s="6"/>
      <c r="Z2731" s="110"/>
      <c r="AB2731" s="6"/>
      <c r="AD2731" s="6"/>
      <c r="AE2731" s="6"/>
      <c r="AF2731" s="126"/>
      <c r="AJ2731" s="6"/>
      <c r="AL2731" s="110"/>
      <c r="AM2731" s="110"/>
      <c r="AN2731" s="110"/>
      <c r="AP2731" s="6"/>
      <c r="AW2731" s="6"/>
      <c r="AX2731" s="6"/>
      <c r="AZ2731" s="110"/>
      <c r="BB2731" s="6"/>
      <c r="BD2731" s="6"/>
      <c r="BE2731" s="6"/>
      <c r="BV2731" s="17"/>
      <c r="BX2731" s="17"/>
      <c r="BZ2731" s="17"/>
    </row>
    <row r="2732" spans="4:78" x14ac:dyDescent="0.3">
      <c r="D2732" s="153"/>
      <c r="E2732" s="6"/>
      <c r="G2732" s="6"/>
      <c r="J2732" s="6"/>
      <c r="N2732" s="154"/>
      <c r="O2732" s="6"/>
      <c r="S2732" s="6"/>
      <c r="V2732" s="6"/>
      <c r="X2732" s="6"/>
      <c r="Z2732" s="110"/>
      <c r="AB2732" s="6"/>
      <c r="AD2732" s="6"/>
      <c r="AE2732" s="6"/>
      <c r="AF2732" s="126"/>
      <c r="AJ2732" s="6"/>
      <c r="AL2732" s="110"/>
      <c r="AM2732" s="110"/>
      <c r="AN2732" s="110"/>
      <c r="AP2732" s="6"/>
      <c r="AW2732" s="6"/>
      <c r="AX2732" s="6"/>
      <c r="AZ2732" s="110"/>
      <c r="BB2732" s="6"/>
      <c r="BD2732" s="6"/>
      <c r="BE2732" s="6"/>
      <c r="BV2732" s="17"/>
      <c r="BX2732" s="17"/>
      <c r="BZ2732" s="17"/>
    </row>
    <row r="2733" spans="4:78" x14ac:dyDescent="0.3">
      <c r="D2733" s="153"/>
      <c r="E2733" s="6"/>
      <c r="G2733" s="6"/>
      <c r="J2733" s="6"/>
      <c r="N2733" s="154"/>
      <c r="O2733" s="6"/>
      <c r="S2733" s="6"/>
      <c r="V2733" s="6"/>
      <c r="X2733" s="6"/>
      <c r="Z2733" s="110"/>
      <c r="AB2733" s="6"/>
      <c r="AD2733" s="6"/>
      <c r="AE2733" s="6"/>
      <c r="AF2733" s="126"/>
      <c r="AJ2733" s="6"/>
      <c r="AL2733" s="110"/>
      <c r="AM2733" s="110"/>
      <c r="AN2733" s="110"/>
      <c r="AP2733" s="6"/>
      <c r="AW2733" s="6"/>
      <c r="AX2733" s="6"/>
      <c r="AZ2733" s="110"/>
      <c r="BB2733" s="6"/>
      <c r="BD2733" s="6"/>
      <c r="BE2733" s="6"/>
      <c r="BV2733" s="17"/>
      <c r="BX2733" s="17"/>
      <c r="BZ2733" s="17"/>
    </row>
    <row r="2734" spans="4:78" x14ac:dyDescent="0.3">
      <c r="D2734" s="153"/>
      <c r="E2734" s="6"/>
      <c r="G2734" s="6"/>
      <c r="J2734" s="6"/>
      <c r="N2734" s="154"/>
      <c r="O2734" s="6"/>
      <c r="S2734" s="6"/>
      <c r="V2734" s="6"/>
      <c r="X2734" s="6"/>
      <c r="Z2734" s="110"/>
      <c r="AB2734" s="6"/>
      <c r="AD2734" s="6"/>
      <c r="AE2734" s="6"/>
      <c r="AF2734" s="126"/>
      <c r="AJ2734" s="6"/>
      <c r="AL2734" s="110"/>
      <c r="AM2734" s="110"/>
      <c r="AN2734" s="110"/>
      <c r="AP2734" s="6"/>
      <c r="AW2734" s="6"/>
      <c r="AX2734" s="6"/>
      <c r="AZ2734" s="110"/>
      <c r="BB2734" s="6"/>
      <c r="BD2734" s="6"/>
      <c r="BE2734" s="6"/>
      <c r="BV2734" s="17"/>
      <c r="BX2734" s="17"/>
      <c r="BZ2734" s="17"/>
    </row>
    <row r="2735" spans="4:78" x14ac:dyDescent="0.3">
      <c r="D2735" s="153"/>
      <c r="E2735" s="6"/>
      <c r="G2735" s="6"/>
      <c r="J2735" s="6"/>
      <c r="N2735" s="154"/>
      <c r="O2735" s="6"/>
      <c r="S2735" s="6"/>
      <c r="V2735" s="6"/>
      <c r="X2735" s="6"/>
      <c r="Z2735" s="110"/>
      <c r="AB2735" s="6"/>
      <c r="AD2735" s="6"/>
      <c r="AE2735" s="6"/>
      <c r="AF2735" s="126"/>
      <c r="AJ2735" s="6"/>
      <c r="AL2735" s="110"/>
      <c r="AM2735" s="110"/>
      <c r="AN2735" s="110"/>
      <c r="AP2735" s="6"/>
      <c r="AW2735" s="6"/>
      <c r="AX2735" s="6"/>
      <c r="AZ2735" s="110"/>
      <c r="BB2735" s="6"/>
      <c r="BD2735" s="6"/>
      <c r="BE2735" s="6"/>
      <c r="BV2735" s="17"/>
      <c r="BX2735" s="17"/>
      <c r="BZ2735" s="17"/>
    </row>
    <row r="2736" spans="4:78" x14ac:dyDescent="0.3">
      <c r="D2736" s="153"/>
      <c r="E2736" s="6"/>
      <c r="G2736" s="6"/>
      <c r="J2736" s="6"/>
      <c r="N2736" s="154"/>
      <c r="O2736" s="6"/>
      <c r="S2736" s="6"/>
      <c r="V2736" s="6"/>
      <c r="X2736" s="6"/>
      <c r="Z2736" s="110"/>
      <c r="AB2736" s="6"/>
      <c r="AD2736" s="6"/>
      <c r="AE2736" s="6"/>
      <c r="AF2736" s="126"/>
      <c r="AJ2736" s="6"/>
      <c r="AL2736" s="110"/>
      <c r="AM2736" s="110"/>
      <c r="AN2736" s="110"/>
      <c r="AP2736" s="6"/>
      <c r="AW2736" s="6"/>
      <c r="AX2736" s="6"/>
      <c r="AZ2736" s="110"/>
      <c r="BB2736" s="6"/>
      <c r="BD2736" s="6"/>
      <c r="BE2736" s="6"/>
      <c r="BV2736" s="17"/>
      <c r="BX2736" s="17"/>
      <c r="BZ2736" s="17"/>
    </row>
    <row r="2737" spans="4:78" x14ac:dyDescent="0.3">
      <c r="D2737" s="153"/>
      <c r="E2737" s="6"/>
      <c r="G2737" s="6"/>
      <c r="J2737" s="6"/>
      <c r="N2737" s="154"/>
      <c r="O2737" s="6"/>
      <c r="S2737" s="6"/>
      <c r="V2737" s="6"/>
      <c r="X2737" s="6"/>
      <c r="Z2737" s="110"/>
      <c r="AB2737" s="6"/>
      <c r="AD2737" s="6"/>
      <c r="AE2737" s="6"/>
      <c r="AF2737" s="126"/>
      <c r="AJ2737" s="6"/>
      <c r="AL2737" s="110"/>
      <c r="AM2737" s="110"/>
      <c r="AN2737" s="110"/>
      <c r="AP2737" s="6"/>
      <c r="AW2737" s="6"/>
      <c r="AX2737" s="6"/>
      <c r="AZ2737" s="110"/>
      <c r="BB2737" s="6"/>
      <c r="BD2737" s="6"/>
      <c r="BE2737" s="6"/>
      <c r="BV2737" s="17"/>
      <c r="BX2737" s="17"/>
      <c r="BZ2737" s="17"/>
    </row>
    <row r="2738" spans="4:78" x14ac:dyDescent="0.3">
      <c r="D2738" s="153"/>
      <c r="E2738" s="6"/>
      <c r="G2738" s="6"/>
      <c r="J2738" s="6"/>
      <c r="N2738" s="154"/>
      <c r="O2738" s="6"/>
      <c r="S2738" s="6"/>
      <c r="V2738" s="6"/>
      <c r="X2738" s="6"/>
      <c r="Z2738" s="110"/>
      <c r="AB2738" s="6"/>
      <c r="AD2738" s="6"/>
      <c r="AE2738" s="6"/>
      <c r="AF2738" s="126"/>
      <c r="AJ2738" s="6"/>
      <c r="AL2738" s="110"/>
      <c r="AM2738" s="110"/>
      <c r="AN2738" s="110"/>
      <c r="AP2738" s="6"/>
      <c r="AW2738" s="6"/>
      <c r="AX2738" s="6"/>
      <c r="AZ2738" s="110"/>
      <c r="BB2738" s="6"/>
      <c r="BD2738" s="6"/>
      <c r="BE2738" s="6"/>
      <c r="BV2738" s="17"/>
      <c r="BX2738" s="17"/>
      <c r="BZ2738" s="17"/>
    </row>
    <row r="2739" spans="4:78" x14ac:dyDescent="0.3">
      <c r="D2739" s="153"/>
      <c r="E2739" s="6"/>
      <c r="G2739" s="6"/>
      <c r="J2739" s="6"/>
      <c r="N2739" s="154"/>
      <c r="O2739" s="6"/>
      <c r="S2739" s="6"/>
      <c r="V2739" s="6"/>
      <c r="X2739" s="6"/>
      <c r="Z2739" s="110"/>
      <c r="AB2739" s="6"/>
      <c r="AD2739" s="6"/>
      <c r="AE2739" s="6"/>
      <c r="AF2739" s="126"/>
      <c r="AJ2739" s="6"/>
      <c r="AL2739" s="110"/>
      <c r="AM2739" s="110"/>
      <c r="AN2739" s="110"/>
      <c r="AP2739" s="6"/>
      <c r="AW2739" s="6"/>
      <c r="AX2739" s="6"/>
      <c r="AZ2739" s="110"/>
      <c r="BB2739" s="6"/>
      <c r="BD2739" s="6"/>
      <c r="BE2739" s="6"/>
      <c r="BV2739" s="17"/>
      <c r="BX2739" s="17"/>
      <c r="BZ2739" s="17"/>
    </row>
    <row r="2740" spans="4:78" x14ac:dyDescent="0.3">
      <c r="D2740" s="153"/>
      <c r="E2740" s="6"/>
      <c r="G2740" s="6"/>
      <c r="J2740" s="6"/>
      <c r="N2740" s="154"/>
      <c r="O2740" s="6"/>
      <c r="S2740" s="6"/>
      <c r="V2740" s="6"/>
      <c r="X2740" s="6"/>
      <c r="Z2740" s="110"/>
      <c r="AB2740" s="6"/>
      <c r="AD2740" s="6"/>
      <c r="AE2740" s="6"/>
      <c r="AF2740" s="126"/>
      <c r="AJ2740" s="6"/>
      <c r="AL2740" s="110"/>
      <c r="AM2740" s="110"/>
      <c r="AN2740" s="110"/>
      <c r="AP2740" s="6"/>
      <c r="AW2740" s="6"/>
      <c r="AX2740" s="6"/>
      <c r="AZ2740" s="110"/>
      <c r="BB2740" s="6"/>
      <c r="BD2740" s="6"/>
      <c r="BE2740" s="6"/>
      <c r="BV2740" s="17"/>
      <c r="BX2740" s="17"/>
      <c r="BZ2740" s="17"/>
    </row>
    <row r="2741" spans="4:78" x14ac:dyDescent="0.3">
      <c r="D2741" s="153"/>
      <c r="E2741" s="6"/>
      <c r="G2741" s="6"/>
      <c r="J2741" s="6"/>
      <c r="N2741" s="154"/>
      <c r="O2741" s="6"/>
      <c r="S2741" s="6"/>
      <c r="V2741" s="6"/>
      <c r="X2741" s="6"/>
      <c r="Z2741" s="110"/>
      <c r="AB2741" s="6"/>
      <c r="AD2741" s="6"/>
      <c r="AE2741" s="6"/>
      <c r="AF2741" s="126"/>
      <c r="AJ2741" s="6"/>
      <c r="AL2741" s="110"/>
      <c r="AM2741" s="110"/>
      <c r="AN2741" s="110"/>
      <c r="AP2741" s="6"/>
      <c r="AW2741" s="6"/>
      <c r="AX2741" s="6"/>
      <c r="AZ2741" s="110"/>
      <c r="BB2741" s="6"/>
      <c r="BD2741" s="6"/>
      <c r="BE2741" s="6"/>
      <c r="BV2741" s="17"/>
      <c r="BX2741" s="17"/>
      <c r="BZ2741" s="17"/>
    </row>
    <row r="2742" spans="4:78" x14ac:dyDescent="0.3">
      <c r="D2742" s="153"/>
      <c r="E2742" s="6"/>
      <c r="G2742" s="6"/>
      <c r="J2742" s="6"/>
      <c r="N2742" s="154"/>
      <c r="O2742" s="6"/>
      <c r="S2742" s="6"/>
      <c r="V2742" s="6"/>
      <c r="X2742" s="6"/>
      <c r="Z2742" s="110"/>
      <c r="AB2742" s="6"/>
      <c r="AD2742" s="6"/>
      <c r="AE2742" s="6"/>
      <c r="AF2742" s="126"/>
      <c r="AJ2742" s="6"/>
      <c r="AL2742" s="110"/>
      <c r="AM2742" s="110"/>
      <c r="AN2742" s="110"/>
      <c r="AP2742" s="6"/>
      <c r="AW2742" s="6"/>
      <c r="AX2742" s="6"/>
      <c r="AZ2742" s="110"/>
      <c r="BB2742" s="6"/>
      <c r="BD2742" s="6"/>
      <c r="BE2742" s="6"/>
      <c r="BV2742" s="17"/>
      <c r="BX2742" s="17"/>
      <c r="BZ2742" s="17"/>
    </row>
    <row r="2743" spans="4:78" x14ac:dyDescent="0.3">
      <c r="D2743" s="153"/>
      <c r="E2743" s="6"/>
      <c r="G2743" s="6"/>
      <c r="J2743" s="6"/>
      <c r="N2743" s="154"/>
      <c r="O2743" s="6"/>
      <c r="S2743" s="6"/>
      <c r="V2743" s="6"/>
      <c r="X2743" s="6"/>
      <c r="Z2743" s="110"/>
      <c r="AB2743" s="6"/>
      <c r="AD2743" s="6"/>
      <c r="AE2743" s="6"/>
      <c r="AF2743" s="126"/>
      <c r="AJ2743" s="6"/>
      <c r="AL2743" s="110"/>
      <c r="AM2743" s="110"/>
      <c r="AN2743" s="110"/>
      <c r="AP2743" s="6"/>
      <c r="AW2743" s="6"/>
      <c r="AX2743" s="6"/>
      <c r="AZ2743" s="110"/>
      <c r="BB2743" s="6"/>
      <c r="BD2743" s="6"/>
      <c r="BE2743" s="6"/>
      <c r="BV2743" s="17"/>
      <c r="BX2743" s="17"/>
      <c r="BZ2743" s="17"/>
    </row>
    <row r="2744" spans="4:78" x14ac:dyDescent="0.3">
      <c r="D2744" s="153"/>
      <c r="E2744" s="6"/>
      <c r="G2744" s="6"/>
      <c r="J2744" s="6"/>
      <c r="N2744" s="154"/>
      <c r="O2744" s="6"/>
      <c r="S2744" s="6"/>
      <c r="V2744" s="6"/>
      <c r="X2744" s="6"/>
      <c r="Z2744" s="110"/>
      <c r="AB2744" s="6"/>
      <c r="AD2744" s="6"/>
      <c r="AE2744" s="6"/>
      <c r="AF2744" s="126"/>
      <c r="AJ2744" s="6"/>
      <c r="AL2744" s="110"/>
      <c r="AM2744" s="110"/>
      <c r="AN2744" s="110"/>
      <c r="AP2744" s="6"/>
      <c r="AW2744" s="6"/>
      <c r="AX2744" s="6"/>
      <c r="AZ2744" s="110"/>
      <c r="BB2744" s="6"/>
      <c r="BD2744" s="6"/>
      <c r="BE2744" s="6"/>
      <c r="BV2744" s="17"/>
      <c r="BX2744" s="17"/>
      <c r="BZ2744" s="17"/>
    </row>
    <row r="2745" spans="4:78" x14ac:dyDescent="0.3">
      <c r="D2745" s="153"/>
      <c r="E2745" s="6"/>
      <c r="G2745" s="6"/>
      <c r="J2745" s="6"/>
      <c r="N2745" s="154"/>
      <c r="O2745" s="6"/>
      <c r="S2745" s="6"/>
      <c r="V2745" s="6"/>
      <c r="X2745" s="6"/>
      <c r="Z2745" s="110"/>
      <c r="AB2745" s="6"/>
      <c r="AD2745" s="6"/>
      <c r="AE2745" s="6"/>
      <c r="AF2745" s="126"/>
      <c r="AJ2745" s="6"/>
      <c r="AL2745" s="110"/>
      <c r="AM2745" s="110"/>
      <c r="AN2745" s="110"/>
      <c r="AP2745" s="6"/>
      <c r="AW2745" s="6"/>
      <c r="AX2745" s="6"/>
      <c r="AZ2745" s="110"/>
      <c r="BB2745" s="6"/>
      <c r="BD2745" s="6"/>
      <c r="BE2745" s="6"/>
      <c r="BV2745" s="17"/>
      <c r="BX2745" s="17"/>
      <c r="BZ2745" s="17"/>
    </row>
    <row r="2746" spans="4:78" x14ac:dyDescent="0.3">
      <c r="D2746" s="153"/>
      <c r="E2746" s="6"/>
      <c r="G2746" s="6"/>
      <c r="J2746" s="6"/>
      <c r="N2746" s="154"/>
      <c r="O2746" s="6"/>
      <c r="S2746" s="6"/>
      <c r="V2746" s="6"/>
      <c r="X2746" s="6"/>
      <c r="Z2746" s="110"/>
      <c r="AB2746" s="6"/>
      <c r="AD2746" s="6"/>
      <c r="AE2746" s="6"/>
      <c r="AF2746" s="126"/>
      <c r="AJ2746" s="6"/>
      <c r="AL2746" s="110"/>
      <c r="AM2746" s="110"/>
      <c r="AN2746" s="110"/>
      <c r="AP2746" s="6"/>
      <c r="AW2746" s="6"/>
      <c r="AX2746" s="6"/>
      <c r="AZ2746" s="110"/>
      <c r="BB2746" s="6"/>
      <c r="BD2746" s="6"/>
      <c r="BE2746" s="6"/>
      <c r="BV2746" s="17"/>
      <c r="BX2746" s="17"/>
      <c r="BZ2746" s="17"/>
    </row>
    <row r="2747" spans="4:78" x14ac:dyDescent="0.3">
      <c r="D2747" s="153"/>
      <c r="E2747" s="6"/>
      <c r="G2747" s="6"/>
      <c r="J2747" s="6"/>
      <c r="N2747" s="154"/>
      <c r="O2747" s="6"/>
      <c r="S2747" s="6"/>
      <c r="V2747" s="6"/>
      <c r="X2747" s="6"/>
      <c r="Z2747" s="110"/>
      <c r="AB2747" s="6"/>
      <c r="AD2747" s="6"/>
      <c r="AE2747" s="6"/>
      <c r="AF2747" s="126"/>
      <c r="AJ2747" s="6"/>
      <c r="AL2747" s="110"/>
      <c r="AM2747" s="110"/>
      <c r="AN2747" s="110"/>
      <c r="AP2747" s="6"/>
      <c r="AW2747" s="6"/>
      <c r="AX2747" s="6"/>
      <c r="AZ2747" s="110"/>
      <c r="BB2747" s="6"/>
      <c r="BD2747" s="6"/>
      <c r="BE2747" s="6"/>
      <c r="BV2747" s="17"/>
      <c r="BX2747" s="17"/>
      <c r="BZ2747" s="17"/>
    </row>
    <row r="2748" spans="4:78" x14ac:dyDescent="0.3">
      <c r="D2748" s="153"/>
      <c r="E2748" s="6"/>
      <c r="G2748" s="6"/>
      <c r="J2748" s="6"/>
      <c r="N2748" s="154"/>
      <c r="O2748" s="6"/>
      <c r="S2748" s="6"/>
      <c r="V2748" s="6"/>
      <c r="X2748" s="6"/>
      <c r="Z2748" s="110"/>
      <c r="AB2748" s="6"/>
      <c r="AD2748" s="6"/>
      <c r="AE2748" s="6"/>
      <c r="AF2748" s="126"/>
      <c r="AJ2748" s="6"/>
      <c r="AL2748" s="110"/>
      <c r="AM2748" s="110"/>
      <c r="AN2748" s="110"/>
      <c r="AP2748" s="6"/>
      <c r="AW2748" s="6"/>
      <c r="AX2748" s="6"/>
      <c r="AZ2748" s="110"/>
      <c r="BB2748" s="6"/>
      <c r="BD2748" s="6"/>
      <c r="BE2748" s="6"/>
      <c r="BV2748" s="17"/>
      <c r="BX2748" s="17"/>
      <c r="BZ2748" s="17"/>
    </row>
    <row r="2749" spans="4:78" x14ac:dyDescent="0.3">
      <c r="D2749" s="153"/>
      <c r="E2749" s="6"/>
      <c r="G2749" s="6"/>
      <c r="J2749" s="6"/>
      <c r="N2749" s="154"/>
      <c r="O2749" s="6"/>
      <c r="S2749" s="6"/>
      <c r="V2749" s="6"/>
      <c r="X2749" s="6"/>
      <c r="Z2749" s="110"/>
      <c r="AB2749" s="6"/>
      <c r="AD2749" s="6"/>
      <c r="AE2749" s="6"/>
      <c r="AF2749" s="126"/>
      <c r="AJ2749" s="6"/>
      <c r="AL2749" s="110"/>
      <c r="AM2749" s="110"/>
      <c r="AN2749" s="110"/>
      <c r="AP2749" s="6"/>
      <c r="AW2749" s="6"/>
      <c r="AX2749" s="6"/>
      <c r="AZ2749" s="110"/>
      <c r="BB2749" s="6"/>
      <c r="BD2749" s="6"/>
      <c r="BE2749" s="6"/>
      <c r="BV2749" s="17"/>
      <c r="BX2749" s="17"/>
      <c r="BZ2749" s="17"/>
    </row>
    <row r="2750" spans="4:78" x14ac:dyDescent="0.3">
      <c r="D2750" s="153"/>
      <c r="E2750" s="6"/>
      <c r="G2750" s="6"/>
      <c r="J2750" s="6"/>
      <c r="N2750" s="154"/>
      <c r="O2750" s="6"/>
      <c r="S2750" s="6"/>
      <c r="V2750" s="6"/>
      <c r="X2750" s="6"/>
      <c r="Z2750" s="110"/>
      <c r="AB2750" s="6"/>
      <c r="AD2750" s="6"/>
      <c r="AE2750" s="6"/>
      <c r="AF2750" s="126"/>
      <c r="AJ2750" s="6"/>
      <c r="AL2750" s="110"/>
      <c r="AM2750" s="110"/>
      <c r="AN2750" s="110"/>
      <c r="AP2750" s="6"/>
      <c r="AW2750" s="6"/>
      <c r="AX2750" s="6"/>
      <c r="AZ2750" s="110"/>
      <c r="BB2750" s="6"/>
      <c r="BD2750" s="6"/>
      <c r="BE2750" s="6"/>
      <c r="BV2750" s="17"/>
      <c r="BX2750" s="17"/>
      <c r="BZ2750" s="17"/>
    </row>
    <row r="2751" spans="4:78" x14ac:dyDescent="0.3">
      <c r="D2751" s="153"/>
      <c r="E2751" s="6"/>
      <c r="G2751" s="6"/>
      <c r="J2751" s="6"/>
      <c r="N2751" s="154"/>
      <c r="O2751" s="6"/>
      <c r="S2751" s="6"/>
      <c r="V2751" s="6"/>
      <c r="X2751" s="6"/>
      <c r="Z2751" s="110"/>
      <c r="AB2751" s="6"/>
      <c r="AD2751" s="6"/>
      <c r="AE2751" s="6"/>
      <c r="AF2751" s="126"/>
      <c r="AJ2751" s="6"/>
      <c r="AL2751" s="110"/>
      <c r="AM2751" s="110"/>
      <c r="AN2751" s="110"/>
      <c r="AP2751" s="6"/>
      <c r="AW2751" s="6"/>
      <c r="AX2751" s="6"/>
      <c r="AZ2751" s="110"/>
      <c r="BB2751" s="6"/>
      <c r="BD2751" s="6"/>
      <c r="BE2751" s="6"/>
      <c r="BV2751" s="17"/>
      <c r="BX2751" s="17"/>
      <c r="BZ2751" s="17"/>
    </row>
    <row r="2752" spans="4:78" x14ac:dyDescent="0.3">
      <c r="D2752" s="153"/>
      <c r="E2752" s="6"/>
      <c r="G2752" s="6"/>
      <c r="J2752" s="6"/>
      <c r="N2752" s="154"/>
      <c r="O2752" s="6"/>
      <c r="S2752" s="6"/>
      <c r="V2752" s="6"/>
      <c r="X2752" s="6"/>
      <c r="Z2752" s="110"/>
      <c r="AB2752" s="6"/>
      <c r="AD2752" s="6"/>
      <c r="AE2752" s="6"/>
      <c r="AF2752" s="126"/>
      <c r="AJ2752" s="6"/>
      <c r="AL2752" s="110"/>
      <c r="AM2752" s="110"/>
      <c r="AN2752" s="110"/>
      <c r="AP2752" s="6"/>
      <c r="AW2752" s="6"/>
      <c r="AX2752" s="6"/>
      <c r="AZ2752" s="110"/>
      <c r="BB2752" s="6"/>
      <c r="BD2752" s="6"/>
      <c r="BE2752" s="6"/>
      <c r="BV2752" s="17"/>
      <c r="BX2752" s="17"/>
      <c r="BZ2752" s="17"/>
    </row>
    <row r="2753" spans="4:78" x14ac:dyDescent="0.3">
      <c r="D2753" s="153"/>
      <c r="E2753" s="6"/>
      <c r="G2753" s="6"/>
      <c r="J2753" s="6"/>
      <c r="N2753" s="154"/>
      <c r="O2753" s="6"/>
      <c r="S2753" s="6"/>
      <c r="V2753" s="6"/>
      <c r="X2753" s="6"/>
      <c r="Z2753" s="110"/>
      <c r="AB2753" s="6"/>
      <c r="AD2753" s="6"/>
      <c r="AE2753" s="6"/>
      <c r="AF2753" s="126"/>
      <c r="AJ2753" s="6"/>
      <c r="AL2753" s="110"/>
      <c r="AM2753" s="110"/>
      <c r="AN2753" s="110"/>
      <c r="AP2753" s="6"/>
      <c r="AW2753" s="6"/>
      <c r="AX2753" s="6"/>
      <c r="AZ2753" s="110"/>
      <c r="BB2753" s="6"/>
      <c r="BD2753" s="6"/>
      <c r="BE2753" s="6"/>
      <c r="BV2753" s="17"/>
      <c r="BX2753" s="17"/>
      <c r="BZ2753" s="17"/>
    </row>
    <row r="2754" spans="4:78" x14ac:dyDescent="0.3">
      <c r="D2754" s="153"/>
      <c r="E2754" s="6"/>
      <c r="G2754" s="6"/>
      <c r="J2754" s="6"/>
      <c r="N2754" s="154"/>
      <c r="O2754" s="6"/>
      <c r="S2754" s="6"/>
      <c r="V2754" s="6"/>
      <c r="X2754" s="6"/>
      <c r="Z2754" s="110"/>
      <c r="AB2754" s="6"/>
      <c r="AD2754" s="6"/>
      <c r="AE2754" s="6"/>
      <c r="AF2754" s="126"/>
      <c r="AJ2754" s="6"/>
      <c r="AL2754" s="110"/>
      <c r="AM2754" s="110"/>
      <c r="AN2754" s="110"/>
      <c r="AP2754" s="6"/>
      <c r="AW2754" s="6"/>
      <c r="AX2754" s="6"/>
      <c r="AZ2754" s="110"/>
      <c r="BB2754" s="6"/>
      <c r="BD2754" s="6"/>
      <c r="BE2754" s="6"/>
      <c r="BV2754" s="17"/>
      <c r="BX2754" s="17"/>
      <c r="BZ2754" s="17"/>
    </row>
    <row r="2755" spans="4:78" x14ac:dyDescent="0.3">
      <c r="D2755" s="153"/>
      <c r="E2755" s="6"/>
      <c r="G2755" s="6"/>
      <c r="J2755" s="6"/>
      <c r="N2755" s="154"/>
      <c r="O2755" s="6"/>
      <c r="S2755" s="6"/>
      <c r="V2755" s="6"/>
      <c r="X2755" s="6"/>
      <c r="Z2755" s="110"/>
      <c r="AB2755" s="6"/>
      <c r="AD2755" s="6"/>
      <c r="AE2755" s="6"/>
      <c r="AF2755" s="126"/>
      <c r="AJ2755" s="6"/>
      <c r="AL2755" s="110"/>
      <c r="AM2755" s="110"/>
      <c r="AN2755" s="110"/>
      <c r="AP2755" s="6"/>
      <c r="AW2755" s="6"/>
      <c r="AX2755" s="6"/>
      <c r="AZ2755" s="110"/>
      <c r="BB2755" s="6"/>
      <c r="BD2755" s="6"/>
      <c r="BE2755" s="6"/>
      <c r="BV2755" s="17"/>
      <c r="BX2755" s="17"/>
      <c r="BZ2755" s="17"/>
    </row>
    <row r="2756" spans="4:78" x14ac:dyDescent="0.3">
      <c r="D2756" s="153"/>
      <c r="E2756" s="6"/>
      <c r="G2756" s="6"/>
      <c r="J2756" s="6"/>
      <c r="N2756" s="154"/>
      <c r="O2756" s="6"/>
      <c r="S2756" s="6"/>
      <c r="V2756" s="6"/>
      <c r="X2756" s="6"/>
      <c r="Z2756" s="110"/>
      <c r="AB2756" s="6"/>
      <c r="AD2756" s="6"/>
      <c r="AE2756" s="6"/>
      <c r="AF2756" s="126"/>
      <c r="AJ2756" s="6"/>
      <c r="AL2756" s="110"/>
      <c r="AM2756" s="110"/>
      <c r="AN2756" s="110"/>
      <c r="AP2756" s="6"/>
      <c r="AW2756" s="6"/>
      <c r="AX2756" s="6"/>
      <c r="AZ2756" s="110"/>
      <c r="BB2756" s="6"/>
      <c r="BD2756" s="6"/>
      <c r="BE2756" s="6"/>
      <c r="BV2756" s="17"/>
      <c r="BX2756" s="17"/>
      <c r="BZ2756" s="17"/>
    </row>
    <row r="2757" spans="4:78" x14ac:dyDescent="0.3">
      <c r="D2757" s="153"/>
      <c r="E2757" s="6"/>
      <c r="G2757" s="6"/>
      <c r="J2757" s="6"/>
      <c r="N2757" s="154"/>
      <c r="O2757" s="6"/>
      <c r="S2757" s="6"/>
      <c r="V2757" s="6"/>
      <c r="X2757" s="6"/>
      <c r="Z2757" s="110"/>
      <c r="AB2757" s="6"/>
      <c r="AD2757" s="6"/>
      <c r="AE2757" s="6"/>
      <c r="AF2757" s="126"/>
      <c r="AJ2757" s="6"/>
      <c r="AL2757" s="110"/>
      <c r="AM2757" s="110"/>
      <c r="AN2757" s="110"/>
      <c r="AP2757" s="6"/>
      <c r="AW2757" s="6"/>
      <c r="AX2757" s="6"/>
      <c r="AZ2757" s="110"/>
      <c r="BB2757" s="6"/>
      <c r="BD2757" s="6"/>
      <c r="BE2757" s="6"/>
      <c r="BV2757" s="17"/>
      <c r="BX2757" s="17"/>
      <c r="BZ2757" s="17"/>
    </row>
    <row r="2758" spans="4:78" x14ac:dyDescent="0.3">
      <c r="D2758" s="153"/>
      <c r="E2758" s="6"/>
      <c r="G2758" s="6"/>
      <c r="J2758" s="6"/>
      <c r="N2758" s="154"/>
      <c r="O2758" s="6"/>
      <c r="S2758" s="6"/>
      <c r="V2758" s="6"/>
      <c r="X2758" s="6"/>
      <c r="Z2758" s="110"/>
      <c r="AB2758" s="6"/>
      <c r="AD2758" s="6"/>
      <c r="AE2758" s="6"/>
      <c r="AF2758" s="126"/>
      <c r="AJ2758" s="6"/>
      <c r="AL2758" s="110"/>
      <c r="AM2758" s="110"/>
      <c r="AN2758" s="110"/>
      <c r="AP2758" s="6"/>
      <c r="AW2758" s="6"/>
      <c r="AX2758" s="6"/>
      <c r="AZ2758" s="110"/>
      <c r="BB2758" s="6"/>
      <c r="BD2758" s="6"/>
      <c r="BE2758" s="6"/>
      <c r="BV2758" s="17"/>
      <c r="BX2758" s="17"/>
      <c r="BZ2758" s="17"/>
    </row>
    <row r="2759" spans="4:78" x14ac:dyDescent="0.3">
      <c r="D2759" s="153"/>
      <c r="E2759" s="6"/>
      <c r="G2759" s="6"/>
      <c r="J2759" s="6"/>
      <c r="N2759" s="154"/>
      <c r="O2759" s="6"/>
      <c r="S2759" s="6"/>
      <c r="V2759" s="6"/>
      <c r="X2759" s="6"/>
      <c r="Z2759" s="110"/>
      <c r="AB2759" s="6"/>
      <c r="AD2759" s="6"/>
      <c r="AE2759" s="6"/>
      <c r="AF2759" s="126"/>
      <c r="AJ2759" s="6"/>
      <c r="AL2759" s="110"/>
      <c r="AM2759" s="110"/>
      <c r="AN2759" s="110"/>
      <c r="AP2759" s="6"/>
      <c r="AW2759" s="6"/>
      <c r="AX2759" s="6"/>
      <c r="AZ2759" s="110"/>
      <c r="BB2759" s="6"/>
      <c r="BD2759" s="6"/>
      <c r="BE2759" s="6"/>
      <c r="BV2759" s="17"/>
      <c r="BX2759" s="17"/>
      <c r="BZ2759" s="17"/>
    </row>
    <row r="2760" spans="4:78" x14ac:dyDescent="0.3">
      <c r="D2760" s="153"/>
      <c r="E2760" s="6"/>
      <c r="G2760" s="6"/>
      <c r="J2760" s="6"/>
      <c r="N2760" s="154"/>
      <c r="O2760" s="6"/>
      <c r="S2760" s="6"/>
      <c r="V2760" s="6"/>
      <c r="X2760" s="6"/>
      <c r="Z2760" s="110"/>
      <c r="AB2760" s="6"/>
      <c r="AD2760" s="6"/>
      <c r="AE2760" s="6"/>
      <c r="AF2760" s="126"/>
      <c r="AJ2760" s="6"/>
      <c r="AL2760" s="110"/>
      <c r="AM2760" s="110"/>
      <c r="AN2760" s="110"/>
      <c r="AP2760" s="6"/>
      <c r="AW2760" s="6"/>
      <c r="AX2760" s="6"/>
      <c r="AZ2760" s="110"/>
      <c r="BB2760" s="6"/>
      <c r="BD2760" s="6"/>
      <c r="BE2760" s="6"/>
      <c r="BV2760" s="17"/>
      <c r="BX2760" s="17"/>
      <c r="BZ2760" s="17"/>
    </row>
    <row r="2761" spans="4:78" x14ac:dyDescent="0.3">
      <c r="D2761" s="153"/>
      <c r="E2761" s="6"/>
      <c r="G2761" s="6"/>
      <c r="J2761" s="6"/>
      <c r="N2761" s="154"/>
      <c r="O2761" s="6"/>
      <c r="S2761" s="6"/>
      <c r="V2761" s="6"/>
      <c r="X2761" s="6"/>
      <c r="Z2761" s="110"/>
      <c r="AB2761" s="6"/>
      <c r="AD2761" s="6"/>
      <c r="AE2761" s="6"/>
      <c r="AF2761" s="126"/>
      <c r="AJ2761" s="6"/>
      <c r="AL2761" s="110"/>
      <c r="AM2761" s="110"/>
      <c r="AN2761" s="110"/>
      <c r="AP2761" s="6"/>
      <c r="AW2761" s="6"/>
      <c r="AX2761" s="6"/>
      <c r="AZ2761" s="110"/>
      <c r="BB2761" s="6"/>
      <c r="BD2761" s="6"/>
      <c r="BE2761" s="6"/>
      <c r="BV2761" s="17"/>
      <c r="BX2761" s="17"/>
      <c r="BZ2761" s="17"/>
    </row>
    <row r="2762" spans="4:78" x14ac:dyDescent="0.3">
      <c r="D2762" s="153"/>
      <c r="E2762" s="6"/>
      <c r="G2762" s="6"/>
      <c r="J2762" s="6"/>
      <c r="N2762" s="154"/>
      <c r="O2762" s="6"/>
      <c r="S2762" s="6"/>
      <c r="V2762" s="6"/>
      <c r="X2762" s="6"/>
      <c r="Z2762" s="110"/>
      <c r="AB2762" s="6"/>
      <c r="AD2762" s="6"/>
      <c r="AE2762" s="6"/>
      <c r="AF2762" s="126"/>
      <c r="AJ2762" s="6"/>
      <c r="AL2762" s="110"/>
      <c r="AM2762" s="110"/>
      <c r="AN2762" s="110"/>
      <c r="AP2762" s="6"/>
      <c r="AW2762" s="6"/>
      <c r="AX2762" s="6"/>
      <c r="AZ2762" s="110"/>
      <c r="BB2762" s="6"/>
      <c r="BD2762" s="6"/>
      <c r="BE2762" s="6"/>
      <c r="BV2762" s="17"/>
      <c r="BX2762" s="17"/>
      <c r="BZ2762" s="17"/>
    </row>
    <row r="2763" spans="4:78" x14ac:dyDescent="0.3">
      <c r="D2763" s="153"/>
      <c r="E2763" s="6"/>
      <c r="G2763" s="6"/>
      <c r="J2763" s="6"/>
      <c r="N2763" s="154"/>
      <c r="O2763" s="6"/>
      <c r="S2763" s="6"/>
      <c r="V2763" s="6"/>
      <c r="X2763" s="6"/>
      <c r="Z2763" s="110"/>
      <c r="AB2763" s="6"/>
      <c r="AD2763" s="6"/>
      <c r="AE2763" s="6"/>
      <c r="AF2763" s="126"/>
      <c r="AJ2763" s="6"/>
      <c r="AL2763" s="110"/>
      <c r="AM2763" s="110"/>
      <c r="AN2763" s="110"/>
      <c r="AP2763" s="6"/>
      <c r="AW2763" s="6"/>
      <c r="AX2763" s="6"/>
      <c r="AZ2763" s="110"/>
      <c r="BB2763" s="6"/>
      <c r="BD2763" s="6"/>
      <c r="BE2763" s="6"/>
      <c r="BV2763" s="17"/>
      <c r="BX2763" s="17"/>
      <c r="BZ2763" s="17"/>
    </row>
    <row r="2764" spans="4:78" x14ac:dyDescent="0.3">
      <c r="D2764" s="153"/>
      <c r="E2764" s="6"/>
      <c r="G2764" s="6"/>
      <c r="J2764" s="6"/>
      <c r="N2764" s="154"/>
      <c r="O2764" s="6"/>
      <c r="S2764" s="6"/>
      <c r="V2764" s="6"/>
      <c r="X2764" s="6"/>
      <c r="Z2764" s="110"/>
      <c r="AB2764" s="6"/>
      <c r="AD2764" s="6"/>
      <c r="AE2764" s="6"/>
      <c r="AF2764" s="126"/>
      <c r="AJ2764" s="6"/>
      <c r="AL2764" s="110"/>
      <c r="AM2764" s="110"/>
      <c r="AN2764" s="110"/>
      <c r="AP2764" s="6"/>
      <c r="AW2764" s="6"/>
      <c r="AX2764" s="6"/>
      <c r="AZ2764" s="110"/>
      <c r="BB2764" s="6"/>
      <c r="BD2764" s="6"/>
      <c r="BE2764" s="6"/>
      <c r="BV2764" s="17"/>
      <c r="BX2764" s="17"/>
      <c r="BZ2764" s="17"/>
    </row>
    <row r="2765" spans="4:78" x14ac:dyDescent="0.3">
      <c r="D2765" s="153"/>
      <c r="E2765" s="6"/>
      <c r="G2765" s="6"/>
      <c r="J2765" s="6"/>
      <c r="N2765" s="154"/>
      <c r="O2765" s="6"/>
      <c r="S2765" s="6"/>
      <c r="V2765" s="6"/>
      <c r="X2765" s="6"/>
      <c r="Z2765" s="110"/>
      <c r="AB2765" s="6"/>
      <c r="AD2765" s="6"/>
      <c r="AE2765" s="6"/>
      <c r="AF2765" s="126"/>
      <c r="AJ2765" s="6"/>
      <c r="AL2765" s="110"/>
      <c r="AM2765" s="110"/>
      <c r="AN2765" s="110"/>
      <c r="AP2765" s="6"/>
      <c r="AW2765" s="6"/>
      <c r="AX2765" s="6"/>
      <c r="AZ2765" s="110"/>
      <c r="BB2765" s="6"/>
      <c r="BD2765" s="6"/>
      <c r="BE2765" s="6"/>
      <c r="BV2765" s="17"/>
      <c r="BX2765" s="17"/>
      <c r="BZ2765" s="17"/>
    </row>
    <row r="2766" spans="4:78" x14ac:dyDescent="0.3">
      <c r="D2766" s="153"/>
      <c r="E2766" s="6"/>
      <c r="G2766" s="6"/>
      <c r="J2766" s="6"/>
      <c r="N2766" s="154"/>
      <c r="O2766" s="6"/>
      <c r="S2766" s="6"/>
      <c r="V2766" s="6"/>
      <c r="X2766" s="6"/>
      <c r="Z2766" s="110"/>
      <c r="AB2766" s="6"/>
      <c r="AD2766" s="6"/>
      <c r="AE2766" s="6"/>
      <c r="AF2766" s="126"/>
      <c r="AJ2766" s="6"/>
      <c r="AL2766" s="110"/>
      <c r="AM2766" s="110"/>
      <c r="AN2766" s="110"/>
      <c r="AP2766" s="6"/>
      <c r="AW2766" s="6"/>
      <c r="AX2766" s="6"/>
      <c r="AZ2766" s="110"/>
      <c r="BB2766" s="6"/>
      <c r="BD2766" s="6"/>
      <c r="BE2766" s="6"/>
      <c r="BV2766" s="17"/>
      <c r="BX2766" s="17"/>
      <c r="BZ2766" s="17"/>
    </row>
    <row r="2767" spans="4:78" x14ac:dyDescent="0.3">
      <c r="D2767" s="153"/>
      <c r="E2767" s="6"/>
      <c r="G2767" s="6"/>
      <c r="J2767" s="6"/>
      <c r="N2767" s="154"/>
      <c r="O2767" s="6"/>
      <c r="S2767" s="6"/>
      <c r="V2767" s="6"/>
      <c r="X2767" s="6"/>
      <c r="Z2767" s="110"/>
      <c r="AB2767" s="6"/>
      <c r="AD2767" s="6"/>
      <c r="AE2767" s="6"/>
      <c r="AF2767" s="126"/>
      <c r="AJ2767" s="6"/>
      <c r="AL2767" s="110"/>
      <c r="AM2767" s="110"/>
      <c r="AN2767" s="110"/>
      <c r="AP2767" s="6"/>
      <c r="AW2767" s="6"/>
      <c r="AX2767" s="6"/>
      <c r="AZ2767" s="110"/>
      <c r="BB2767" s="6"/>
      <c r="BD2767" s="6"/>
      <c r="BE2767" s="6"/>
      <c r="BV2767" s="17"/>
      <c r="BX2767" s="17"/>
      <c r="BZ2767" s="17"/>
    </row>
    <row r="2768" spans="4:78" x14ac:dyDescent="0.3">
      <c r="D2768" s="153"/>
      <c r="E2768" s="6"/>
      <c r="G2768" s="6"/>
      <c r="J2768" s="6"/>
      <c r="N2768" s="154"/>
      <c r="O2768" s="6"/>
      <c r="S2768" s="6"/>
      <c r="V2768" s="6"/>
      <c r="X2768" s="6"/>
      <c r="Z2768" s="110"/>
      <c r="AB2768" s="6"/>
      <c r="AD2768" s="6"/>
      <c r="AE2768" s="6"/>
      <c r="AF2768" s="126"/>
      <c r="AJ2768" s="6"/>
      <c r="AL2768" s="110"/>
      <c r="AM2768" s="110"/>
      <c r="AN2768" s="110"/>
      <c r="AP2768" s="6"/>
      <c r="AW2768" s="6"/>
      <c r="AX2768" s="6"/>
      <c r="AZ2768" s="110"/>
      <c r="BB2768" s="6"/>
      <c r="BD2768" s="6"/>
      <c r="BE2768" s="6"/>
      <c r="BV2768" s="17"/>
      <c r="BX2768" s="17"/>
      <c r="BZ2768" s="17"/>
    </row>
    <row r="2769" spans="4:78" x14ac:dyDescent="0.3">
      <c r="D2769" s="153"/>
      <c r="E2769" s="6"/>
      <c r="G2769" s="6"/>
      <c r="J2769" s="6"/>
      <c r="N2769" s="154"/>
      <c r="O2769" s="6"/>
      <c r="S2769" s="6"/>
      <c r="V2769" s="6"/>
      <c r="X2769" s="6"/>
      <c r="Z2769" s="110"/>
      <c r="AB2769" s="6"/>
      <c r="AD2769" s="6"/>
      <c r="AE2769" s="6"/>
      <c r="AF2769" s="126"/>
      <c r="AJ2769" s="6"/>
      <c r="AL2769" s="110"/>
      <c r="AM2769" s="110"/>
      <c r="AN2769" s="110"/>
      <c r="AP2769" s="6"/>
      <c r="AW2769" s="6"/>
      <c r="AX2769" s="6"/>
      <c r="AZ2769" s="110"/>
      <c r="BB2769" s="6"/>
      <c r="BD2769" s="6"/>
      <c r="BE2769" s="6"/>
      <c r="BV2769" s="17"/>
      <c r="BX2769" s="17"/>
      <c r="BZ2769" s="17"/>
    </row>
    <row r="2770" spans="4:78" x14ac:dyDescent="0.3">
      <c r="D2770" s="153"/>
      <c r="E2770" s="6"/>
      <c r="G2770" s="6"/>
      <c r="J2770" s="6"/>
      <c r="N2770" s="154"/>
      <c r="O2770" s="6"/>
      <c r="S2770" s="6"/>
      <c r="V2770" s="6"/>
      <c r="X2770" s="6"/>
      <c r="Z2770" s="110"/>
      <c r="AB2770" s="6"/>
      <c r="AD2770" s="6"/>
      <c r="AE2770" s="6"/>
      <c r="AF2770" s="126"/>
      <c r="AJ2770" s="6"/>
      <c r="AL2770" s="110"/>
      <c r="AM2770" s="110"/>
      <c r="AN2770" s="110"/>
      <c r="AP2770" s="6"/>
      <c r="AW2770" s="6"/>
      <c r="AX2770" s="6"/>
      <c r="AZ2770" s="110"/>
      <c r="BB2770" s="6"/>
      <c r="BD2770" s="6"/>
      <c r="BE2770" s="6"/>
      <c r="BV2770" s="17"/>
      <c r="BX2770" s="17"/>
      <c r="BZ2770" s="17"/>
    </row>
    <row r="2771" spans="4:78" x14ac:dyDescent="0.3">
      <c r="D2771" s="153"/>
      <c r="E2771" s="6"/>
      <c r="G2771" s="6"/>
      <c r="J2771" s="6"/>
      <c r="N2771" s="154"/>
      <c r="O2771" s="6"/>
      <c r="S2771" s="6"/>
      <c r="V2771" s="6"/>
      <c r="X2771" s="6"/>
      <c r="Z2771" s="110"/>
      <c r="AB2771" s="6"/>
      <c r="AD2771" s="6"/>
      <c r="AE2771" s="6"/>
      <c r="AF2771" s="126"/>
      <c r="AJ2771" s="6"/>
      <c r="AL2771" s="110"/>
      <c r="AM2771" s="110"/>
      <c r="AN2771" s="110"/>
      <c r="AP2771" s="6"/>
      <c r="AW2771" s="6"/>
      <c r="AX2771" s="6"/>
      <c r="AZ2771" s="110"/>
      <c r="BB2771" s="6"/>
      <c r="BD2771" s="6"/>
      <c r="BE2771" s="6"/>
      <c r="BV2771" s="17"/>
      <c r="BX2771" s="17"/>
      <c r="BZ2771" s="17"/>
    </row>
    <row r="2772" spans="4:78" x14ac:dyDescent="0.3">
      <c r="D2772" s="153"/>
      <c r="E2772" s="6"/>
      <c r="G2772" s="6"/>
      <c r="J2772" s="6"/>
      <c r="N2772" s="154"/>
      <c r="O2772" s="6"/>
      <c r="S2772" s="6"/>
      <c r="V2772" s="6"/>
      <c r="X2772" s="6"/>
      <c r="Z2772" s="110"/>
      <c r="AB2772" s="6"/>
      <c r="AD2772" s="6"/>
      <c r="AE2772" s="6"/>
      <c r="AF2772" s="126"/>
      <c r="AJ2772" s="6"/>
      <c r="AL2772" s="110"/>
      <c r="AM2772" s="110"/>
      <c r="AN2772" s="110"/>
      <c r="AP2772" s="6"/>
      <c r="AW2772" s="6"/>
      <c r="AX2772" s="6"/>
      <c r="AZ2772" s="110"/>
      <c r="BB2772" s="6"/>
      <c r="BD2772" s="6"/>
      <c r="BE2772" s="6"/>
      <c r="BV2772" s="17"/>
      <c r="BX2772" s="17"/>
      <c r="BZ2772" s="17"/>
    </row>
    <row r="2773" spans="4:78" x14ac:dyDescent="0.3">
      <c r="D2773" s="153"/>
      <c r="E2773" s="6"/>
      <c r="G2773" s="6"/>
      <c r="J2773" s="6"/>
      <c r="N2773" s="154"/>
      <c r="O2773" s="6"/>
      <c r="S2773" s="6"/>
      <c r="V2773" s="6"/>
      <c r="X2773" s="6"/>
      <c r="Z2773" s="110"/>
      <c r="AB2773" s="6"/>
      <c r="AD2773" s="6"/>
      <c r="AE2773" s="6"/>
      <c r="AF2773" s="126"/>
      <c r="AJ2773" s="6"/>
      <c r="AL2773" s="110"/>
      <c r="AM2773" s="110"/>
      <c r="AN2773" s="110"/>
      <c r="AP2773" s="6"/>
      <c r="AW2773" s="6"/>
      <c r="AX2773" s="6"/>
      <c r="AZ2773" s="110"/>
      <c r="BB2773" s="6"/>
      <c r="BD2773" s="6"/>
      <c r="BE2773" s="6"/>
      <c r="BV2773" s="17"/>
      <c r="BX2773" s="17"/>
      <c r="BZ2773" s="17"/>
    </row>
    <row r="2774" spans="4:78" x14ac:dyDescent="0.3">
      <c r="D2774" s="153"/>
      <c r="E2774" s="6"/>
      <c r="G2774" s="6"/>
      <c r="J2774" s="6"/>
      <c r="N2774" s="154"/>
      <c r="O2774" s="6"/>
      <c r="S2774" s="6"/>
      <c r="V2774" s="6"/>
      <c r="X2774" s="6"/>
      <c r="Z2774" s="110"/>
      <c r="AB2774" s="6"/>
      <c r="AD2774" s="6"/>
      <c r="AE2774" s="6"/>
      <c r="AF2774" s="126"/>
      <c r="AJ2774" s="6"/>
      <c r="AL2774" s="110"/>
      <c r="AM2774" s="110"/>
      <c r="AN2774" s="110"/>
      <c r="AP2774" s="6"/>
      <c r="AW2774" s="6"/>
      <c r="AX2774" s="6"/>
      <c r="AZ2774" s="110"/>
      <c r="BB2774" s="6"/>
      <c r="BD2774" s="6"/>
      <c r="BE2774" s="6"/>
      <c r="BV2774" s="17"/>
      <c r="BX2774" s="17"/>
      <c r="BZ2774" s="17"/>
    </row>
    <row r="2775" spans="4:78" x14ac:dyDescent="0.3">
      <c r="D2775" s="153"/>
      <c r="E2775" s="6"/>
      <c r="G2775" s="6"/>
      <c r="J2775" s="6"/>
      <c r="N2775" s="154"/>
      <c r="O2775" s="6"/>
      <c r="S2775" s="6"/>
      <c r="V2775" s="6"/>
      <c r="X2775" s="6"/>
      <c r="Z2775" s="110"/>
      <c r="AB2775" s="6"/>
      <c r="AD2775" s="6"/>
      <c r="AE2775" s="6"/>
      <c r="AF2775" s="126"/>
      <c r="AJ2775" s="6"/>
      <c r="AL2775" s="110"/>
      <c r="AM2775" s="110"/>
      <c r="AN2775" s="110"/>
      <c r="AP2775" s="6"/>
      <c r="AW2775" s="6"/>
      <c r="AX2775" s="6"/>
      <c r="AZ2775" s="110"/>
      <c r="BB2775" s="6"/>
      <c r="BD2775" s="6"/>
      <c r="BE2775" s="6"/>
      <c r="BV2775" s="17"/>
      <c r="BX2775" s="17"/>
      <c r="BZ2775" s="17"/>
    </row>
    <row r="2776" spans="4:78" x14ac:dyDescent="0.3">
      <c r="D2776" s="153"/>
      <c r="E2776" s="6"/>
      <c r="G2776" s="6"/>
      <c r="J2776" s="6"/>
      <c r="N2776" s="154"/>
      <c r="O2776" s="6"/>
      <c r="S2776" s="6"/>
      <c r="V2776" s="6"/>
      <c r="X2776" s="6"/>
      <c r="Z2776" s="110"/>
      <c r="AB2776" s="6"/>
      <c r="AD2776" s="6"/>
      <c r="AE2776" s="6"/>
      <c r="AF2776" s="126"/>
      <c r="AJ2776" s="6"/>
      <c r="AL2776" s="110"/>
      <c r="AM2776" s="110"/>
      <c r="AN2776" s="110"/>
      <c r="AP2776" s="6"/>
      <c r="AW2776" s="6"/>
      <c r="AX2776" s="6"/>
      <c r="AZ2776" s="110"/>
      <c r="BB2776" s="6"/>
      <c r="BD2776" s="6"/>
      <c r="BE2776" s="6"/>
      <c r="BV2776" s="17"/>
      <c r="BX2776" s="17"/>
      <c r="BZ2776" s="17"/>
    </row>
    <row r="2777" spans="4:78" x14ac:dyDescent="0.3">
      <c r="D2777" s="153"/>
      <c r="E2777" s="6"/>
      <c r="G2777" s="6"/>
      <c r="J2777" s="6"/>
      <c r="N2777" s="154"/>
      <c r="O2777" s="6"/>
      <c r="S2777" s="6"/>
      <c r="V2777" s="6"/>
      <c r="X2777" s="6"/>
      <c r="Z2777" s="110"/>
      <c r="AB2777" s="6"/>
      <c r="AD2777" s="6"/>
      <c r="AE2777" s="6"/>
      <c r="AF2777" s="126"/>
      <c r="AJ2777" s="6"/>
      <c r="AL2777" s="110"/>
      <c r="AM2777" s="110"/>
      <c r="AN2777" s="110"/>
      <c r="AP2777" s="6"/>
      <c r="AW2777" s="6"/>
      <c r="AX2777" s="6"/>
      <c r="AZ2777" s="110"/>
      <c r="BB2777" s="6"/>
      <c r="BD2777" s="6"/>
      <c r="BE2777" s="6"/>
      <c r="BV2777" s="17"/>
      <c r="BX2777" s="17"/>
      <c r="BZ2777" s="17"/>
    </row>
    <row r="2778" spans="4:78" x14ac:dyDescent="0.3">
      <c r="D2778" s="153"/>
      <c r="E2778" s="6"/>
      <c r="G2778" s="6"/>
      <c r="J2778" s="6"/>
      <c r="N2778" s="154"/>
      <c r="O2778" s="6"/>
      <c r="S2778" s="6"/>
      <c r="V2778" s="6"/>
      <c r="X2778" s="6"/>
      <c r="Z2778" s="110"/>
      <c r="AB2778" s="6"/>
      <c r="AD2778" s="6"/>
      <c r="AE2778" s="6"/>
      <c r="AF2778" s="126"/>
      <c r="AJ2778" s="6"/>
      <c r="AL2778" s="110"/>
      <c r="AM2778" s="110"/>
      <c r="AN2778" s="110"/>
      <c r="AP2778" s="6"/>
      <c r="AW2778" s="6"/>
      <c r="AX2778" s="6"/>
      <c r="AZ2778" s="110"/>
      <c r="BB2778" s="6"/>
      <c r="BD2778" s="6"/>
      <c r="BE2778" s="6"/>
      <c r="BV2778" s="17"/>
      <c r="BX2778" s="17"/>
      <c r="BZ2778" s="17"/>
    </row>
    <row r="2779" spans="4:78" x14ac:dyDescent="0.3">
      <c r="D2779" s="153"/>
      <c r="E2779" s="6"/>
      <c r="G2779" s="6"/>
      <c r="J2779" s="6"/>
      <c r="N2779" s="154"/>
      <c r="O2779" s="6"/>
      <c r="S2779" s="6"/>
      <c r="V2779" s="6"/>
      <c r="X2779" s="6"/>
      <c r="Z2779" s="110"/>
      <c r="AB2779" s="6"/>
      <c r="AD2779" s="6"/>
      <c r="AE2779" s="6"/>
      <c r="AF2779" s="126"/>
      <c r="AJ2779" s="6"/>
      <c r="AL2779" s="110"/>
      <c r="AM2779" s="110"/>
      <c r="AN2779" s="110"/>
      <c r="AP2779" s="6"/>
      <c r="AW2779" s="6"/>
      <c r="AX2779" s="6"/>
      <c r="AZ2779" s="110"/>
      <c r="BB2779" s="6"/>
      <c r="BD2779" s="6"/>
      <c r="BE2779" s="6"/>
      <c r="BV2779" s="17"/>
      <c r="BX2779" s="17"/>
      <c r="BZ2779" s="17"/>
    </row>
    <row r="2780" spans="4:78" x14ac:dyDescent="0.3">
      <c r="D2780" s="153"/>
      <c r="E2780" s="6"/>
      <c r="G2780" s="6"/>
      <c r="J2780" s="6"/>
      <c r="N2780" s="154"/>
      <c r="O2780" s="6"/>
      <c r="S2780" s="6"/>
      <c r="V2780" s="6"/>
      <c r="X2780" s="6"/>
      <c r="Z2780" s="110"/>
      <c r="AB2780" s="6"/>
      <c r="AD2780" s="6"/>
      <c r="AE2780" s="6"/>
      <c r="AF2780" s="126"/>
      <c r="AJ2780" s="6"/>
      <c r="AL2780" s="110"/>
      <c r="AM2780" s="110"/>
      <c r="AN2780" s="110"/>
      <c r="AP2780" s="6"/>
      <c r="AW2780" s="6"/>
      <c r="AX2780" s="6"/>
      <c r="AZ2780" s="110"/>
      <c r="BB2780" s="6"/>
      <c r="BD2780" s="6"/>
      <c r="BE2780" s="6"/>
      <c r="BV2780" s="17"/>
      <c r="BX2780" s="17"/>
      <c r="BZ2780" s="17"/>
    </row>
    <row r="2781" spans="4:78" x14ac:dyDescent="0.3">
      <c r="D2781" s="153"/>
      <c r="E2781" s="6"/>
      <c r="G2781" s="6"/>
      <c r="J2781" s="6"/>
      <c r="N2781" s="154"/>
      <c r="O2781" s="6"/>
      <c r="S2781" s="6"/>
      <c r="V2781" s="6"/>
      <c r="X2781" s="6"/>
      <c r="Z2781" s="110"/>
      <c r="AB2781" s="6"/>
      <c r="AD2781" s="6"/>
      <c r="AE2781" s="6"/>
      <c r="AF2781" s="126"/>
      <c r="AJ2781" s="6"/>
      <c r="AL2781" s="110"/>
      <c r="AM2781" s="110"/>
      <c r="AN2781" s="110"/>
      <c r="AP2781" s="6"/>
      <c r="AW2781" s="6"/>
      <c r="AX2781" s="6"/>
      <c r="AZ2781" s="110"/>
      <c r="BB2781" s="6"/>
      <c r="BD2781" s="6"/>
      <c r="BE2781" s="6"/>
      <c r="BV2781" s="17"/>
      <c r="BX2781" s="17"/>
      <c r="BZ2781" s="17"/>
    </row>
    <row r="2782" spans="4:78" x14ac:dyDescent="0.3">
      <c r="D2782" s="153"/>
      <c r="E2782" s="6"/>
      <c r="G2782" s="6"/>
      <c r="J2782" s="6"/>
      <c r="N2782" s="154"/>
      <c r="O2782" s="6"/>
      <c r="S2782" s="6"/>
      <c r="V2782" s="6"/>
      <c r="X2782" s="6"/>
      <c r="Z2782" s="110"/>
      <c r="AB2782" s="6"/>
      <c r="AD2782" s="6"/>
      <c r="AE2782" s="6"/>
      <c r="AF2782" s="126"/>
      <c r="AJ2782" s="6"/>
      <c r="AL2782" s="110"/>
      <c r="AM2782" s="110"/>
      <c r="AN2782" s="110"/>
      <c r="AP2782" s="6"/>
      <c r="AW2782" s="6"/>
      <c r="AX2782" s="6"/>
      <c r="AZ2782" s="110"/>
      <c r="BB2782" s="6"/>
      <c r="BD2782" s="6"/>
      <c r="BE2782" s="6"/>
      <c r="BV2782" s="17"/>
      <c r="BX2782" s="17"/>
      <c r="BZ2782" s="17"/>
    </row>
    <row r="2783" spans="4:78" x14ac:dyDescent="0.3">
      <c r="D2783" s="153"/>
      <c r="E2783" s="6"/>
      <c r="G2783" s="6"/>
      <c r="J2783" s="6"/>
      <c r="N2783" s="154"/>
      <c r="O2783" s="6"/>
      <c r="S2783" s="6"/>
      <c r="V2783" s="6"/>
      <c r="X2783" s="6"/>
      <c r="Z2783" s="110"/>
      <c r="AB2783" s="6"/>
      <c r="AD2783" s="6"/>
      <c r="AE2783" s="6"/>
      <c r="AF2783" s="126"/>
      <c r="AJ2783" s="6"/>
      <c r="AL2783" s="110"/>
      <c r="AM2783" s="110"/>
      <c r="AN2783" s="110"/>
      <c r="AP2783" s="6"/>
      <c r="AW2783" s="6"/>
      <c r="AX2783" s="6"/>
      <c r="AZ2783" s="110"/>
      <c r="BB2783" s="6"/>
      <c r="BD2783" s="6"/>
      <c r="BE2783" s="6"/>
      <c r="BV2783" s="17"/>
      <c r="BX2783" s="17"/>
      <c r="BZ2783" s="17"/>
    </row>
    <row r="2784" spans="4:78" x14ac:dyDescent="0.3">
      <c r="D2784" s="153"/>
      <c r="E2784" s="6"/>
      <c r="G2784" s="6"/>
      <c r="J2784" s="6"/>
      <c r="N2784" s="154"/>
      <c r="O2784" s="6"/>
      <c r="S2784" s="6"/>
      <c r="V2784" s="6"/>
      <c r="X2784" s="6"/>
      <c r="Z2784" s="110"/>
      <c r="AB2784" s="6"/>
      <c r="AD2784" s="6"/>
      <c r="AE2784" s="6"/>
      <c r="AF2784" s="126"/>
      <c r="AJ2784" s="6"/>
      <c r="AL2784" s="110"/>
      <c r="AM2784" s="110"/>
      <c r="AN2784" s="110"/>
      <c r="AP2784" s="6"/>
      <c r="AW2784" s="6"/>
      <c r="AX2784" s="6"/>
      <c r="AZ2784" s="110"/>
      <c r="BB2784" s="6"/>
      <c r="BD2784" s="6"/>
      <c r="BE2784" s="6"/>
      <c r="BV2784" s="17"/>
      <c r="BX2784" s="17"/>
      <c r="BZ2784" s="17"/>
    </row>
    <row r="2785" spans="4:78" x14ac:dyDescent="0.3">
      <c r="D2785" s="153"/>
      <c r="E2785" s="6"/>
      <c r="G2785" s="6"/>
      <c r="J2785" s="6"/>
      <c r="N2785" s="154"/>
      <c r="O2785" s="6"/>
      <c r="S2785" s="6"/>
      <c r="V2785" s="6"/>
      <c r="X2785" s="6"/>
      <c r="Z2785" s="110"/>
      <c r="AB2785" s="6"/>
      <c r="AD2785" s="6"/>
      <c r="AE2785" s="6"/>
      <c r="AF2785" s="126"/>
      <c r="AJ2785" s="6"/>
      <c r="AL2785" s="110"/>
      <c r="AM2785" s="110"/>
      <c r="AN2785" s="110"/>
      <c r="AP2785" s="6"/>
      <c r="AW2785" s="6"/>
      <c r="AX2785" s="6"/>
      <c r="AZ2785" s="110"/>
      <c r="BB2785" s="6"/>
      <c r="BD2785" s="6"/>
      <c r="BE2785" s="6"/>
      <c r="BV2785" s="17"/>
      <c r="BX2785" s="17"/>
      <c r="BZ2785" s="17"/>
    </row>
    <row r="2786" spans="4:78" x14ac:dyDescent="0.3">
      <c r="D2786" s="153"/>
      <c r="E2786" s="6"/>
      <c r="G2786" s="6"/>
      <c r="J2786" s="6"/>
      <c r="N2786" s="154"/>
      <c r="O2786" s="6"/>
      <c r="S2786" s="6"/>
      <c r="V2786" s="6"/>
      <c r="X2786" s="6"/>
      <c r="Z2786" s="110"/>
      <c r="AB2786" s="6"/>
      <c r="AD2786" s="6"/>
      <c r="AE2786" s="6"/>
      <c r="AF2786" s="126"/>
      <c r="AJ2786" s="6"/>
      <c r="AL2786" s="110"/>
      <c r="AM2786" s="110"/>
      <c r="AN2786" s="110"/>
      <c r="AP2786" s="6"/>
      <c r="AW2786" s="6"/>
      <c r="AX2786" s="6"/>
      <c r="AZ2786" s="110"/>
      <c r="BB2786" s="6"/>
      <c r="BD2786" s="6"/>
      <c r="BE2786" s="6"/>
      <c r="BV2786" s="17"/>
      <c r="BX2786" s="17"/>
      <c r="BZ2786" s="17"/>
    </row>
    <row r="2787" spans="4:78" x14ac:dyDescent="0.3">
      <c r="D2787" s="153"/>
      <c r="E2787" s="6"/>
      <c r="G2787" s="6"/>
      <c r="J2787" s="6"/>
      <c r="N2787" s="154"/>
      <c r="O2787" s="6"/>
      <c r="S2787" s="6"/>
      <c r="V2787" s="6"/>
      <c r="X2787" s="6"/>
      <c r="Z2787" s="110"/>
      <c r="AB2787" s="6"/>
      <c r="AD2787" s="6"/>
      <c r="AE2787" s="6"/>
      <c r="AF2787" s="126"/>
      <c r="AJ2787" s="6"/>
      <c r="AL2787" s="110"/>
      <c r="AM2787" s="110"/>
      <c r="AN2787" s="110"/>
      <c r="AP2787" s="6"/>
      <c r="AW2787" s="6"/>
      <c r="AX2787" s="6"/>
      <c r="AZ2787" s="110"/>
      <c r="BB2787" s="6"/>
      <c r="BD2787" s="6"/>
      <c r="BE2787" s="6"/>
      <c r="BV2787" s="17"/>
      <c r="BX2787" s="17"/>
      <c r="BZ2787" s="17"/>
    </row>
    <row r="2788" spans="4:78" x14ac:dyDescent="0.3">
      <c r="D2788" s="153"/>
      <c r="E2788" s="6"/>
      <c r="G2788" s="6"/>
      <c r="J2788" s="6"/>
      <c r="N2788" s="154"/>
      <c r="O2788" s="6"/>
      <c r="S2788" s="6"/>
      <c r="V2788" s="6"/>
      <c r="X2788" s="6"/>
      <c r="Z2788" s="110"/>
      <c r="AB2788" s="6"/>
      <c r="AD2788" s="6"/>
      <c r="AE2788" s="6"/>
      <c r="AF2788" s="126"/>
      <c r="AJ2788" s="6"/>
      <c r="AL2788" s="110"/>
      <c r="AM2788" s="110"/>
      <c r="AN2788" s="110"/>
      <c r="AP2788" s="6"/>
      <c r="AW2788" s="6"/>
      <c r="AX2788" s="6"/>
      <c r="AZ2788" s="110"/>
      <c r="BB2788" s="6"/>
      <c r="BD2788" s="6"/>
      <c r="BE2788" s="6"/>
      <c r="BV2788" s="17"/>
      <c r="BX2788" s="17"/>
      <c r="BZ2788" s="17"/>
    </row>
    <row r="2789" spans="4:78" x14ac:dyDescent="0.3">
      <c r="D2789" s="153"/>
      <c r="E2789" s="6"/>
      <c r="G2789" s="6"/>
      <c r="J2789" s="6"/>
      <c r="N2789" s="154"/>
      <c r="O2789" s="6"/>
      <c r="S2789" s="6"/>
      <c r="V2789" s="6"/>
      <c r="X2789" s="6"/>
      <c r="Z2789" s="110"/>
      <c r="AB2789" s="6"/>
      <c r="AD2789" s="6"/>
      <c r="AE2789" s="6"/>
      <c r="AF2789" s="126"/>
      <c r="AJ2789" s="6"/>
      <c r="AL2789" s="110"/>
      <c r="AM2789" s="110"/>
      <c r="AN2789" s="110"/>
      <c r="AP2789" s="6"/>
      <c r="AW2789" s="6"/>
      <c r="AX2789" s="6"/>
      <c r="AZ2789" s="110"/>
      <c r="BB2789" s="6"/>
      <c r="BD2789" s="6"/>
      <c r="BE2789" s="6"/>
      <c r="BV2789" s="17"/>
      <c r="BX2789" s="17"/>
      <c r="BZ2789" s="17"/>
    </row>
    <row r="2790" spans="4:78" x14ac:dyDescent="0.3">
      <c r="D2790" s="153"/>
      <c r="E2790" s="6"/>
      <c r="G2790" s="6"/>
      <c r="J2790" s="6"/>
      <c r="N2790" s="154"/>
      <c r="O2790" s="6"/>
      <c r="S2790" s="6"/>
      <c r="V2790" s="6"/>
      <c r="X2790" s="6"/>
      <c r="Z2790" s="110"/>
      <c r="AB2790" s="6"/>
      <c r="AD2790" s="6"/>
      <c r="AE2790" s="6"/>
      <c r="AF2790" s="126"/>
      <c r="AJ2790" s="6"/>
      <c r="AL2790" s="110"/>
      <c r="AM2790" s="110"/>
      <c r="AN2790" s="110"/>
      <c r="AP2790" s="6"/>
      <c r="AW2790" s="6"/>
      <c r="AX2790" s="6"/>
      <c r="AZ2790" s="110"/>
      <c r="BB2790" s="6"/>
      <c r="BD2790" s="6"/>
      <c r="BE2790" s="6"/>
      <c r="BV2790" s="17"/>
      <c r="BX2790" s="17"/>
      <c r="BZ2790" s="17"/>
    </row>
    <row r="2791" spans="4:78" x14ac:dyDescent="0.3">
      <c r="D2791" s="153"/>
      <c r="E2791" s="6"/>
      <c r="G2791" s="6"/>
      <c r="J2791" s="6"/>
      <c r="N2791" s="154"/>
      <c r="O2791" s="6"/>
      <c r="S2791" s="6"/>
      <c r="V2791" s="6"/>
      <c r="X2791" s="6"/>
      <c r="Z2791" s="110"/>
      <c r="AB2791" s="6"/>
      <c r="AD2791" s="6"/>
      <c r="AE2791" s="6"/>
      <c r="AF2791" s="126"/>
      <c r="AJ2791" s="6"/>
      <c r="AL2791" s="110"/>
      <c r="AM2791" s="110"/>
      <c r="AN2791" s="110"/>
      <c r="AP2791" s="6"/>
      <c r="AW2791" s="6"/>
      <c r="AX2791" s="6"/>
      <c r="AZ2791" s="110"/>
      <c r="BB2791" s="6"/>
      <c r="BD2791" s="6"/>
      <c r="BE2791" s="6"/>
      <c r="BV2791" s="17"/>
      <c r="BX2791" s="17"/>
      <c r="BZ2791" s="17"/>
    </row>
    <row r="2792" spans="4:78" x14ac:dyDescent="0.3">
      <c r="D2792" s="153"/>
      <c r="E2792" s="6"/>
      <c r="G2792" s="6"/>
      <c r="J2792" s="6"/>
      <c r="N2792" s="154"/>
      <c r="O2792" s="6"/>
      <c r="S2792" s="6"/>
      <c r="V2792" s="6"/>
      <c r="X2792" s="6"/>
      <c r="Z2792" s="110"/>
      <c r="AB2792" s="6"/>
      <c r="AD2792" s="6"/>
      <c r="AE2792" s="6"/>
      <c r="AF2792" s="126"/>
      <c r="AJ2792" s="6"/>
      <c r="AL2792" s="110"/>
      <c r="AM2792" s="110"/>
      <c r="AN2792" s="110"/>
      <c r="AP2792" s="6"/>
      <c r="AW2792" s="6"/>
      <c r="AX2792" s="6"/>
      <c r="AZ2792" s="110"/>
      <c r="BB2792" s="6"/>
      <c r="BD2792" s="6"/>
      <c r="BE2792" s="6"/>
      <c r="BV2792" s="17"/>
      <c r="BX2792" s="17"/>
      <c r="BZ2792" s="17"/>
    </row>
    <row r="2793" spans="4:78" x14ac:dyDescent="0.3">
      <c r="D2793" s="153"/>
      <c r="E2793" s="6"/>
      <c r="G2793" s="6"/>
      <c r="J2793" s="6"/>
      <c r="N2793" s="154"/>
      <c r="O2793" s="6"/>
      <c r="S2793" s="6"/>
      <c r="V2793" s="6"/>
      <c r="X2793" s="6"/>
      <c r="Z2793" s="110"/>
      <c r="AB2793" s="6"/>
      <c r="AD2793" s="6"/>
      <c r="AE2793" s="6"/>
      <c r="AF2793" s="126"/>
      <c r="AJ2793" s="6"/>
      <c r="AL2793" s="110"/>
      <c r="AM2793" s="110"/>
      <c r="AN2793" s="110"/>
      <c r="AP2793" s="6"/>
      <c r="AW2793" s="6"/>
      <c r="AX2793" s="6"/>
      <c r="AZ2793" s="110"/>
      <c r="BB2793" s="6"/>
      <c r="BD2793" s="6"/>
      <c r="BE2793" s="6"/>
      <c r="BV2793" s="17"/>
      <c r="BX2793" s="17"/>
      <c r="BZ2793" s="17"/>
    </row>
    <row r="2794" spans="4:78" x14ac:dyDescent="0.3">
      <c r="D2794" s="153"/>
      <c r="E2794" s="6"/>
      <c r="G2794" s="6"/>
      <c r="J2794" s="6"/>
      <c r="N2794" s="154"/>
      <c r="O2794" s="6"/>
      <c r="S2794" s="6"/>
      <c r="V2794" s="6"/>
      <c r="X2794" s="6"/>
      <c r="Z2794" s="110"/>
      <c r="AB2794" s="6"/>
      <c r="AD2794" s="6"/>
      <c r="AE2794" s="6"/>
      <c r="AF2794" s="126"/>
      <c r="AJ2794" s="6"/>
      <c r="AL2794" s="110"/>
      <c r="AM2794" s="110"/>
      <c r="AN2794" s="110"/>
      <c r="AP2794" s="6"/>
      <c r="AW2794" s="6"/>
      <c r="AX2794" s="6"/>
      <c r="AZ2794" s="110"/>
      <c r="BB2794" s="6"/>
      <c r="BD2794" s="6"/>
      <c r="BE2794" s="6"/>
      <c r="BV2794" s="17"/>
      <c r="BX2794" s="17"/>
      <c r="BZ2794" s="17"/>
    </row>
    <row r="2795" spans="4:78" x14ac:dyDescent="0.3">
      <c r="D2795" s="153"/>
      <c r="E2795" s="6"/>
      <c r="G2795" s="6"/>
      <c r="J2795" s="6"/>
      <c r="N2795" s="154"/>
      <c r="O2795" s="6"/>
      <c r="S2795" s="6"/>
      <c r="V2795" s="6"/>
      <c r="X2795" s="6"/>
      <c r="Z2795" s="110"/>
      <c r="AB2795" s="6"/>
      <c r="AD2795" s="6"/>
      <c r="AE2795" s="6"/>
      <c r="AF2795" s="126"/>
      <c r="AJ2795" s="6"/>
      <c r="AL2795" s="110"/>
      <c r="AM2795" s="110"/>
      <c r="AN2795" s="110"/>
      <c r="AP2795" s="6"/>
      <c r="AW2795" s="6"/>
      <c r="AX2795" s="6"/>
      <c r="AZ2795" s="110"/>
      <c r="BB2795" s="6"/>
      <c r="BD2795" s="6"/>
      <c r="BE2795" s="6"/>
      <c r="BV2795" s="17"/>
      <c r="BX2795" s="17"/>
      <c r="BZ2795" s="17"/>
    </row>
    <row r="2796" spans="4:78" x14ac:dyDescent="0.3">
      <c r="D2796" s="153"/>
      <c r="E2796" s="6"/>
      <c r="G2796" s="6"/>
      <c r="J2796" s="6"/>
      <c r="N2796" s="154"/>
      <c r="O2796" s="6"/>
      <c r="S2796" s="6"/>
      <c r="V2796" s="6"/>
      <c r="X2796" s="6"/>
      <c r="Z2796" s="110"/>
      <c r="AB2796" s="6"/>
      <c r="AD2796" s="6"/>
      <c r="AE2796" s="6"/>
      <c r="AF2796" s="126"/>
      <c r="AJ2796" s="6"/>
      <c r="AL2796" s="110"/>
      <c r="AM2796" s="110"/>
      <c r="AN2796" s="110"/>
      <c r="AP2796" s="6"/>
      <c r="AW2796" s="6"/>
      <c r="AX2796" s="6"/>
      <c r="AZ2796" s="110"/>
      <c r="BB2796" s="6"/>
      <c r="BD2796" s="6"/>
      <c r="BE2796" s="6"/>
      <c r="BV2796" s="17"/>
      <c r="BX2796" s="17"/>
      <c r="BZ2796" s="17"/>
    </row>
    <row r="2797" spans="4:78" x14ac:dyDescent="0.3">
      <c r="D2797" s="153"/>
      <c r="E2797" s="6"/>
      <c r="G2797" s="6"/>
      <c r="J2797" s="6"/>
      <c r="N2797" s="154"/>
      <c r="O2797" s="6"/>
      <c r="S2797" s="6"/>
      <c r="V2797" s="6"/>
      <c r="X2797" s="6"/>
      <c r="Z2797" s="110"/>
      <c r="AB2797" s="6"/>
      <c r="AD2797" s="6"/>
      <c r="AE2797" s="6"/>
      <c r="AF2797" s="126"/>
      <c r="AJ2797" s="6"/>
      <c r="AL2797" s="110"/>
      <c r="AM2797" s="110"/>
      <c r="AN2797" s="110"/>
      <c r="AP2797" s="6"/>
      <c r="AW2797" s="6"/>
      <c r="AX2797" s="6"/>
      <c r="AZ2797" s="110"/>
      <c r="BB2797" s="6"/>
      <c r="BD2797" s="6"/>
      <c r="BE2797" s="6"/>
      <c r="BV2797" s="17"/>
      <c r="BX2797" s="17"/>
      <c r="BZ2797" s="17"/>
    </row>
    <row r="2798" spans="4:78" x14ac:dyDescent="0.3">
      <c r="D2798" s="153"/>
      <c r="E2798" s="6"/>
      <c r="G2798" s="6"/>
      <c r="J2798" s="6"/>
      <c r="N2798" s="154"/>
      <c r="O2798" s="6"/>
      <c r="S2798" s="6"/>
      <c r="V2798" s="6"/>
      <c r="X2798" s="6"/>
      <c r="Z2798" s="110"/>
      <c r="AB2798" s="6"/>
      <c r="AD2798" s="6"/>
      <c r="AE2798" s="6"/>
      <c r="AF2798" s="126"/>
      <c r="AJ2798" s="6"/>
      <c r="AL2798" s="110"/>
      <c r="AM2798" s="110"/>
      <c r="AN2798" s="110"/>
      <c r="AP2798" s="6"/>
      <c r="AW2798" s="6"/>
      <c r="AX2798" s="6"/>
      <c r="AZ2798" s="110"/>
      <c r="BB2798" s="6"/>
      <c r="BD2798" s="6"/>
      <c r="BE2798" s="6"/>
      <c r="BV2798" s="17"/>
      <c r="BX2798" s="17"/>
      <c r="BZ2798" s="17"/>
    </row>
    <row r="2799" spans="4:78" x14ac:dyDescent="0.3">
      <c r="D2799" s="153"/>
      <c r="E2799" s="6"/>
      <c r="G2799" s="6"/>
      <c r="J2799" s="6"/>
      <c r="N2799" s="154"/>
      <c r="O2799" s="6"/>
      <c r="S2799" s="6"/>
      <c r="V2799" s="6"/>
      <c r="X2799" s="6"/>
      <c r="Z2799" s="110"/>
      <c r="AB2799" s="6"/>
      <c r="AD2799" s="6"/>
      <c r="AE2799" s="6"/>
      <c r="AF2799" s="126"/>
      <c r="AJ2799" s="6"/>
      <c r="AL2799" s="110"/>
      <c r="AM2799" s="110"/>
      <c r="AN2799" s="110"/>
      <c r="AP2799" s="6"/>
      <c r="AW2799" s="6"/>
      <c r="AX2799" s="6"/>
      <c r="AZ2799" s="110"/>
      <c r="BB2799" s="6"/>
      <c r="BD2799" s="6"/>
      <c r="BE2799" s="6"/>
      <c r="BV2799" s="17"/>
      <c r="BX2799" s="17"/>
      <c r="BZ2799" s="17"/>
    </row>
    <row r="2800" spans="4:78" x14ac:dyDescent="0.3">
      <c r="D2800" s="153"/>
      <c r="E2800" s="6"/>
      <c r="G2800" s="6"/>
      <c r="J2800" s="6"/>
      <c r="N2800" s="154"/>
      <c r="O2800" s="6"/>
      <c r="S2800" s="6"/>
      <c r="V2800" s="6"/>
      <c r="X2800" s="6"/>
      <c r="Z2800" s="110"/>
      <c r="AB2800" s="6"/>
      <c r="AD2800" s="6"/>
      <c r="AE2800" s="6"/>
      <c r="AF2800" s="126"/>
      <c r="AJ2800" s="6"/>
      <c r="AL2800" s="110"/>
      <c r="AM2800" s="110"/>
      <c r="AN2800" s="110"/>
      <c r="AP2800" s="6"/>
      <c r="AW2800" s="6"/>
      <c r="AX2800" s="6"/>
      <c r="AZ2800" s="110"/>
      <c r="BB2800" s="6"/>
      <c r="BD2800" s="6"/>
      <c r="BE2800" s="6"/>
      <c r="BV2800" s="17"/>
      <c r="BX2800" s="17"/>
      <c r="BZ2800" s="17"/>
    </row>
    <row r="2801" spans="4:78" x14ac:dyDescent="0.3">
      <c r="D2801" s="153"/>
      <c r="E2801" s="6"/>
      <c r="G2801" s="6"/>
      <c r="J2801" s="6"/>
      <c r="N2801" s="154"/>
      <c r="O2801" s="6"/>
      <c r="S2801" s="6"/>
      <c r="V2801" s="6"/>
      <c r="X2801" s="6"/>
      <c r="Z2801" s="110"/>
      <c r="AB2801" s="6"/>
      <c r="AD2801" s="6"/>
      <c r="AE2801" s="6"/>
      <c r="AF2801" s="126"/>
      <c r="AJ2801" s="6"/>
      <c r="AL2801" s="110"/>
      <c r="AM2801" s="110"/>
      <c r="AN2801" s="110"/>
      <c r="AP2801" s="6"/>
      <c r="AW2801" s="6"/>
      <c r="AX2801" s="6"/>
      <c r="AZ2801" s="110"/>
      <c r="BB2801" s="6"/>
      <c r="BD2801" s="6"/>
      <c r="BE2801" s="6"/>
      <c r="BV2801" s="17"/>
      <c r="BX2801" s="17"/>
      <c r="BZ2801" s="17"/>
    </row>
    <row r="2802" spans="4:78" x14ac:dyDescent="0.3">
      <c r="D2802" s="153"/>
      <c r="E2802" s="6"/>
      <c r="G2802" s="6"/>
      <c r="J2802" s="6"/>
      <c r="N2802" s="154"/>
      <c r="O2802" s="6"/>
      <c r="S2802" s="6"/>
      <c r="V2802" s="6"/>
      <c r="X2802" s="6"/>
      <c r="Z2802" s="110"/>
      <c r="AB2802" s="6"/>
      <c r="AD2802" s="6"/>
      <c r="AE2802" s="6"/>
      <c r="AF2802" s="126"/>
      <c r="AJ2802" s="6"/>
      <c r="AL2802" s="110"/>
      <c r="AM2802" s="110"/>
      <c r="AN2802" s="110"/>
      <c r="AP2802" s="6"/>
      <c r="AW2802" s="6"/>
      <c r="AX2802" s="6"/>
      <c r="AZ2802" s="110"/>
      <c r="BB2802" s="6"/>
      <c r="BD2802" s="6"/>
      <c r="BE2802" s="6"/>
      <c r="BV2802" s="17"/>
      <c r="BX2802" s="17"/>
      <c r="BZ2802" s="17"/>
    </row>
    <row r="2803" spans="4:78" x14ac:dyDescent="0.3">
      <c r="D2803" s="153"/>
      <c r="E2803" s="6"/>
      <c r="G2803" s="6"/>
      <c r="J2803" s="6"/>
      <c r="N2803" s="154"/>
      <c r="O2803" s="6"/>
      <c r="S2803" s="6"/>
      <c r="V2803" s="6"/>
      <c r="X2803" s="6"/>
      <c r="Z2803" s="110"/>
      <c r="AB2803" s="6"/>
      <c r="AD2803" s="6"/>
      <c r="AE2803" s="6"/>
      <c r="AF2803" s="126"/>
      <c r="AJ2803" s="6"/>
      <c r="AL2803" s="110"/>
      <c r="AM2803" s="110"/>
      <c r="AN2803" s="110"/>
      <c r="AP2803" s="6"/>
      <c r="AW2803" s="6"/>
      <c r="AX2803" s="6"/>
      <c r="AZ2803" s="110"/>
      <c r="BB2803" s="6"/>
      <c r="BD2803" s="6"/>
      <c r="BE2803" s="6"/>
      <c r="BV2803" s="17"/>
      <c r="BX2803" s="17"/>
      <c r="BZ2803" s="17"/>
    </row>
    <row r="2804" spans="4:78" x14ac:dyDescent="0.3">
      <c r="D2804" s="153"/>
      <c r="E2804" s="6"/>
      <c r="G2804" s="6"/>
      <c r="J2804" s="6"/>
      <c r="N2804" s="154"/>
      <c r="O2804" s="6"/>
      <c r="S2804" s="6"/>
      <c r="V2804" s="6"/>
      <c r="X2804" s="6"/>
      <c r="Z2804" s="110"/>
      <c r="AB2804" s="6"/>
      <c r="AD2804" s="6"/>
      <c r="AE2804" s="6"/>
      <c r="AF2804" s="126"/>
      <c r="AJ2804" s="6"/>
      <c r="AL2804" s="110"/>
      <c r="AM2804" s="110"/>
      <c r="AN2804" s="110"/>
      <c r="AP2804" s="6"/>
      <c r="AW2804" s="6"/>
      <c r="AX2804" s="6"/>
      <c r="AZ2804" s="110"/>
      <c r="BB2804" s="6"/>
      <c r="BD2804" s="6"/>
      <c r="BE2804" s="6"/>
      <c r="BV2804" s="17"/>
      <c r="BX2804" s="17"/>
      <c r="BZ2804" s="17"/>
    </row>
    <row r="2805" spans="4:78" x14ac:dyDescent="0.3">
      <c r="D2805" s="153"/>
      <c r="E2805" s="6"/>
      <c r="G2805" s="6"/>
      <c r="J2805" s="6"/>
      <c r="N2805" s="154"/>
      <c r="O2805" s="6"/>
      <c r="S2805" s="6"/>
      <c r="V2805" s="6"/>
      <c r="X2805" s="6"/>
      <c r="Z2805" s="110"/>
      <c r="AB2805" s="6"/>
      <c r="AD2805" s="6"/>
      <c r="AE2805" s="6"/>
      <c r="AF2805" s="126"/>
      <c r="AJ2805" s="6"/>
      <c r="AL2805" s="110"/>
      <c r="AM2805" s="110"/>
      <c r="AN2805" s="110"/>
      <c r="AP2805" s="6"/>
      <c r="AW2805" s="6"/>
      <c r="AX2805" s="6"/>
      <c r="AZ2805" s="110"/>
      <c r="BB2805" s="6"/>
      <c r="BD2805" s="6"/>
      <c r="BE2805" s="6"/>
      <c r="BV2805" s="17"/>
      <c r="BX2805" s="17"/>
      <c r="BZ2805" s="17"/>
    </row>
    <row r="2806" spans="4:78" x14ac:dyDescent="0.3">
      <c r="D2806" s="153"/>
      <c r="E2806" s="6"/>
      <c r="G2806" s="6"/>
      <c r="J2806" s="6"/>
      <c r="N2806" s="154"/>
      <c r="O2806" s="6"/>
      <c r="S2806" s="6"/>
      <c r="V2806" s="6"/>
      <c r="X2806" s="6"/>
      <c r="Z2806" s="110"/>
      <c r="AB2806" s="6"/>
      <c r="AD2806" s="6"/>
      <c r="AE2806" s="6"/>
      <c r="AF2806" s="126"/>
      <c r="AJ2806" s="6"/>
      <c r="AL2806" s="110"/>
      <c r="AM2806" s="110"/>
      <c r="AN2806" s="110"/>
      <c r="AP2806" s="6"/>
      <c r="AW2806" s="6"/>
      <c r="AX2806" s="6"/>
      <c r="AZ2806" s="110"/>
      <c r="BB2806" s="6"/>
      <c r="BD2806" s="6"/>
      <c r="BE2806" s="6"/>
      <c r="BV2806" s="17"/>
      <c r="BX2806" s="17"/>
      <c r="BZ2806" s="17"/>
    </row>
    <row r="2807" spans="4:78" x14ac:dyDescent="0.3">
      <c r="D2807" s="153"/>
      <c r="E2807" s="6"/>
      <c r="G2807" s="6"/>
      <c r="J2807" s="6"/>
      <c r="N2807" s="154"/>
      <c r="O2807" s="6"/>
      <c r="S2807" s="6"/>
      <c r="V2807" s="6"/>
      <c r="X2807" s="6"/>
      <c r="Z2807" s="110"/>
      <c r="AB2807" s="6"/>
      <c r="AD2807" s="6"/>
      <c r="AE2807" s="6"/>
      <c r="AF2807" s="126"/>
      <c r="AJ2807" s="6"/>
      <c r="AL2807" s="110"/>
      <c r="AM2807" s="110"/>
      <c r="AN2807" s="110"/>
      <c r="AP2807" s="6"/>
      <c r="AW2807" s="6"/>
      <c r="AX2807" s="6"/>
      <c r="AZ2807" s="110"/>
      <c r="BB2807" s="6"/>
      <c r="BD2807" s="6"/>
      <c r="BE2807" s="6"/>
      <c r="BV2807" s="17"/>
      <c r="BX2807" s="17"/>
      <c r="BZ2807" s="17"/>
    </row>
    <row r="2808" spans="4:78" x14ac:dyDescent="0.3">
      <c r="D2808" s="153"/>
      <c r="E2808" s="6"/>
      <c r="G2808" s="6"/>
      <c r="J2808" s="6"/>
      <c r="N2808" s="154"/>
      <c r="O2808" s="6"/>
      <c r="S2808" s="6"/>
      <c r="V2808" s="6"/>
      <c r="X2808" s="6"/>
      <c r="Z2808" s="110"/>
      <c r="AB2808" s="6"/>
      <c r="AD2808" s="6"/>
      <c r="AE2808" s="6"/>
      <c r="AF2808" s="126"/>
      <c r="AJ2808" s="6"/>
      <c r="AL2808" s="110"/>
      <c r="AM2808" s="110"/>
      <c r="AN2808" s="110"/>
      <c r="AP2808" s="6"/>
      <c r="AW2808" s="6"/>
      <c r="AX2808" s="6"/>
      <c r="AZ2808" s="110"/>
      <c r="BB2808" s="6"/>
      <c r="BD2808" s="6"/>
      <c r="BE2808" s="6"/>
      <c r="BV2808" s="17"/>
      <c r="BX2808" s="17"/>
      <c r="BZ2808" s="17"/>
    </row>
    <row r="2809" spans="4:78" x14ac:dyDescent="0.3">
      <c r="D2809" s="153"/>
      <c r="E2809" s="6"/>
      <c r="G2809" s="6"/>
      <c r="J2809" s="6"/>
      <c r="N2809" s="154"/>
      <c r="O2809" s="6"/>
      <c r="S2809" s="6"/>
      <c r="V2809" s="6"/>
      <c r="X2809" s="6"/>
      <c r="Z2809" s="110"/>
      <c r="AB2809" s="6"/>
      <c r="AD2809" s="6"/>
      <c r="AE2809" s="6"/>
      <c r="AF2809" s="126"/>
      <c r="AJ2809" s="6"/>
      <c r="AL2809" s="110"/>
      <c r="AM2809" s="110"/>
      <c r="AN2809" s="110"/>
      <c r="AP2809" s="6"/>
      <c r="AW2809" s="6"/>
      <c r="AX2809" s="6"/>
      <c r="AZ2809" s="110"/>
      <c r="BB2809" s="6"/>
      <c r="BD2809" s="6"/>
      <c r="BE2809" s="6"/>
      <c r="BV2809" s="17"/>
      <c r="BX2809" s="17"/>
      <c r="BZ2809" s="17"/>
    </row>
    <row r="2810" spans="4:78" x14ac:dyDescent="0.3">
      <c r="D2810" s="153"/>
      <c r="E2810" s="6"/>
      <c r="G2810" s="6"/>
      <c r="J2810" s="6"/>
      <c r="N2810" s="154"/>
      <c r="O2810" s="6"/>
      <c r="S2810" s="6"/>
      <c r="V2810" s="6"/>
      <c r="X2810" s="6"/>
      <c r="Z2810" s="110"/>
      <c r="AB2810" s="6"/>
      <c r="AD2810" s="6"/>
      <c r="AE2810" s="6"/>
      <c r="AF2810" s="126"/>
      <c r="AJ2810" s="6"/>
      <c r="AL2810" s="110"/>
      <c r="AM2810" s="110"/>
      <c r="AN2810" s="110"/>
      <c r="AP2810" s="6"/>
      <c r="AW2810" s="6"/>
      <c r="AX2810" s="6"/>
      <c r="AZ2810" s="110"/>
      <c r="BB2810" s="6"/>
      <c r="BD2810" s="6"/>
      <c r="BE2810" s="6"/>
      <c r="BV2810" s="17"/>
      <c r="BX2810" s="17"/>
      <c r="BZ2810" s="17"/>
    </row>
    <row r="2811" spans="4:78" x14ac:dyDescent="0.3">
      <c r="D2811" s="153"/>
      <c r="E2811" s="6"/>
      <c r="G2811" s="6"/>
      <c r="J2811" s="6"/>
      <c r="N2811" s="154"/>
      <c r="O2811" s="6"/>
      <c r="S2811" s="6"/>
      <c r="V2811" s="6"/>
      <c r="X2811" s="6"/>
      <c r="Z2811" s="110"/>
      <c r="AB2811" s="6"/>
      <c r="AD2811" s="6"/>
      <c r="AE2811" s="6"/>
      <c r="AF2811" s="126"/>
      <c r="AJ2811" s="6"/>
      <c r="AL2811" s="110"/>
      <c r="AM2811" s="110"/>
      <c r="AN2811" s="110"/>
      <c r="AP2811" s="6"/>
      <c r="AW2811" s="6"/>
      <c r="AX2811" s="6"/>
      <c r="AZ2811" s="110"/>
      <c r="BB2811" s="6"/>
      <c r="BD2811" s="6"/>
      <c r="BE2811" s="6"/>
      <c r="BV2811" s="17"/>
      <c r="BX2811" s="17"/>
      <c r="BZ2811" s="17"/>
    </row>
    <row r="2812" spans="4:78" x14ac:dyDescent="0.3">
      <c r="D2812" s="153"/>
      <c r="E2812" s="6"/>
      <c r="G2812" s="6"/>
      <c r="J2812" s="6"/>
      <c r="N2812" s="154"/>
      <c r="O2812" s="6"/>
      <c r="S2812" s="6"/>
      <c r="V2812" s="6"/>
      <c r="X2812" s="6"/>
      <c r="Z2812" s="110"/>
      <c r="AB2812" s="6"/>
      <c r="AD2812" s="6"/>
      <c r="AE2812" s="6"/>
      <c r="AF2812" s="126"/>
      <c r="AJ2812" s="6"/>
      <c r="AL2812" s="110"/>
      <c r="AM2812" s="110"/>
      <c r="AN2812" s="110"/>
      <c r="AP2812" s="6"/>
      <c r="AW2812" s="6"/>
      <c r="AX2812" s="6"/>
      <c r="AZ2812" s="110"/>
      <c r="BB2812" s="6"/>
      <c r="BD2812" s="6"/>
      <c r="BE2812" s="6"/>
      <c r="BV2812" s="17"/>
      <c r="BX2812" s="17"/>
      <c r="BZ2812" s="17"/>
    </row>
    <row r="2813" spans="4:78" x14ac:dyDescent="0.3">
      <c r="D2813" s="153"/>
      <c r="E2813" s="6"/>
      <c r="G2813" s="6"/>
      <c r="J2813" s="6"/>
      <c r="N2813" s="154"/>
      <c r="O2813" s="6"/>
      <c r="S2813" s="6"/>
      <c r="V2813" s="6"/>
      <c r="X2813" s="6"/>
      <c r="Z2813" s="110"/>
      <c r="AB2813" s="6"/>
      <c r="AD2813" s="6"/>
      <c r="AE2813" s="6"/>
      <c r="AF2813" s="126"/>
      <c r="AJ2813" s="6"/>
      <c r="AL2813" s="110"/>
      <c r="AM2813" s="110"/>
      <c r="AN2813" s="110"/>
      <c r="AP2813" s="6"/>
      <c r="AW2813" s="6"/>
      <c r="AX2813" s="6"/>
      <c r="AZ2813" s="110"/>
      <c r="BB2813" s="6"/>
      <c r="BD2813" s="6"/>
      <c r="BE2813" s="6"/>
      <c r="BV2813" s="17"/>
      <c r="BX2813" s="17"/>
      <c r="BZ2813" s="17"/>
    </row>
    <row r="2814" spans="4:78" x14ac:dyDescent="0.3">
      <c r="D2814" s="153"/>
      <c r="E2814" s="6"/>
      <c r="G2814" s="6"/>
      <c r="J2814" s="6"/>
      <c r="N2814" s="154"/>
      <c r="O2814" s="6"/>
      <c r="S2814" s="6"/>
      <c r="V2814" s="6"/>
      <c r="X2814" s="6"/>
      <c r="Z2814" s="110"/>
      <c r="AB2814" s="6"/>
      <c r="AD2814" s="6"/>
      <c r="AE2814" s="6"/>
      <c r="AF2814" s="126"/>
      <c r="AJ2814" s="6"/>
      <c r="AL2814" s="110"/>
      <c r="AM2814" s="110"/>
      <c r="AN2814" s="110"/>
      <c r="AP2814" s="6"/>
      <c r="AW2814" s="6"/>
      <c r="AX2814" s="6"/>
      <c r="AZ2814" s="110"/>
      <c r="BB2814" s="6"/>
      <c r="BD2814" s="6"/>
      <c r="BE2814" s="6"/>
      <c r="BV2814" s="17"/>
      <c r="BX2814" s="17"/>
      <c r="BZ2814" s="17"/>
    </row>
    <row r="2815" spans="4:78" x14ac:dyDescent="0.3">
      <c r="D2815" s="153"/>
      <c r="E2815" s="6"/>
      <c r="G2815" s="6"/>
      <c r="J2815" s="6"/>
      <c r="N2815" s="154"/>
      <c r="O2815" s="6"/>
      <c r="S2815" s="6"/>
      <c r="V2815" s="6"/>
      <c r="X2815" s="6"/>
      <c r="Z2815" s="110"/>
      <c r="AB2815" s="6"/>
      <c r="AD2815" s="6"/>
      <c r="AE2815" s="6"/>
      <c r="AF2815" s="126"/>
      <c r="AJ2815" s="6"/>
      <c r="AL2815" s="110"/>
      <c r="AM2815" s="110"/>
      <c r="AN2815" s="110"/>
      <c r="AP2815" s="6"/>
      <c r="AW2815" s="6"/>
      <c r="AX2815" s="6"/>
      <c r="AZ2815" s="110"/>
      <c r="BB2815" s="6"/>
      <c r="BD2815" s="6"/>
      <c r="BE2815" s="6"/>
      <c r="BV2815" s="17"/>
      <c r="BX2815" s="17"/>
      <c r="BZ2815" s="17"/>
    </row>
    <row r="2816" spans="4:78" x14ac:dyDescent="0.3">
      <c r="D2816" s="153"/>
      <c r="E2816" s="6"/>
      <c r="G2816" s="6"/>
      <c r="J2816" s="6"/>
      <c r="N2816" s="154"/>
      <c r="O2816" s="6"/>
      <c r="S2816" s="6"/>
      <c r="V2816" s="6"/>
      <c r="X2816" s="6"/>
      <c r="Z2816" s="110"/>
      <c r="AB2816" s="6"/>
      <c r="AD2816" s="6"/>
      <c r="AE2816" s="6"/>
      <c r="AF2816" s="126"/>
      <c r="AJ2816" s="6"/>
      <c r="AL2816" s="110"/>
      <c r="AM2816" s="110"/>
      <c r="AN2816" s="110"/>
      <c r="AP2816" s="6"/>
      <c r="AW2816" s="6"/>
      <c r="AX2816" s="6"/>
      <c r="AZ2816" s="110"/>
      <c r="BB2816" s="6"/>
      <c r="BD2816" s="6"/>
      <c r="BE2816" s="6"/>
      <c r="BV2816" s="17"/>
      <c r="BX2816" s="17"/>
      <c r="BZ2816" s="17"/>
    </row>
    <row r="2817" spans="4:78" x14ac:dyDescent="0.3">
      <c r="D2817" s="153"/>
      <c r="E2817" s="6"/>
      <c r="G2817" s="6"/>
      <c r="J2817" s="6"/>
      <c r="N2817" s="154"/>
      <c r="O2817" s="6"/>
      <c r="S2817" s="6"/>
      <c r="V2817" s="6"/>
      <c r="X2817" s="6"/>
      <c r="Z2817" s="110"/>
      <c r="AB2817" s="6"/>
      <c r="AD2817" s="6"/>
      <c r="AE2817" s="6"/>
      <c r="AF2817" s="126"/>
      <c r="AJ2817" s="6"/>
      <c r="AL2817" s="110"/>
      <c r="AM2817" s="110"/>
      <c r="AN2817" s="110"/>
      <c r="AP2817" s="6"/>
      <c r="AW2817" s="6"/>
      <c r="AX2817" s="6"/>
      <c r="AZ2817" s="110"/>
      <c r="BB2817" s="6"/>
      <c r="BD2817" s="6"/>
      <c r="BE2817" s="6"/>
      <c r="BV2817" s="17"/>
      <c r="BX2817" s="17"/>
      <c r="BZ2817" s="17"/>
    </row>
    <row r="2818" spans="4:78" x14ac:dyDescent="0.3">
      <c r="D2818" s="153"/>
      <c r="E2818" s="6"/>
      <c r="G2818" s="6"/>
      <c r="J2818" s="6"/>
      <c r="N2818" s="154"/>
      <c r="O2818" s="6"/>
      <c r="S2818" s="6"/>
      <c r="V2818" s="6"/>
      <c r="X2818" s="6"/>
      <c r="Z2818" s="110"/>
      <c r="AB2818" s="6"/>
      <c r="AD2818" s="6"/>
      <c r="AE2818" s="6"/>
      <c r="AF2818" s="126"/>
      <c r="AJ2818" s="6"/>
      <c r="AL2818" s="110"/>
      <c r="AM2818" s="110"/>
      <c r="AN2818" s="110"/>
      <c r="AP2818" s="6"/>
      <c r="AW2818" s="6"/>
      <c r="AX2818" s="6"/>
      <c r="AZ2818" s="110"/>
      <c r="BB2818" s="6"/>
      <c r="BD2818" s="6"/>
      <c r="BE2818" s="6"/>
      <c r="BV2818" s="17"/>
      <c r="BX2818" s="17"/>
      <c r="BZ2818" s="17"/>
    </row>
    <row r="2819" spans="4:78" x14ac:dyDescent="0.3">
      <c r="D2819" s="153"/>
      <c r="E2819" s="6"/>
      <c r="G2819" s="6"/>
      <c r="J2819" s="6"/>
      <c r="N2819" s="154"/>
      <c r="O2819" s="6"/>
      <c r="S2819" s="6"/>
      <c r="V2819" s="6"/>
      <c r="X2819" s="6"/>
      <c r="Z2819" s="110"/>
      <c r="AB2819" s="6"/>
      <c r="AD2819" s="6"/>
      <c r="AE2819" s="6"/>
      <c r="AF2819" s="126"/>
      <c r="AJ2819" s="6"/>
      <c r="AL2819" s="110"/>
      <c r="AM2819" s="110"/>
      <c r="AN2819" s="110"/>
      <c r="AP2819" s="6"/>
      <c r="AW2819" s="6"/>
      <c r="AX2819" s="6"/>
      <c r="AZ2819" s="110"/>
      <c r="BB2819" s="6"/>
      <c r="BD2819" s="6"/>
      <c r="BE2819" s="6"/>
      <c r="BV2819" s="17"/>
      <c r="BX2819" s="17"/>
      <c r="BZ2819" s="17"/>
    </row>
    <row r="2820" spans="4:78" x14ac:dyDescent="0.3">
      <c r="D2820" s="153"/>
      <c r="E2820" s="6"/>
      <c r="G2820" s="6"/>
      <c r="J2820" s="6"/>
      <c r="N2820" s="154"/>
      <c r="O2820" s="6"/>
      <c r="S2820" s="6"/>
      <c r="V2820" s="6"/>
      <c r="X2820" s="6"/>
      <c r="Z2820" s="110"/>
      <c r="AB2820" s="6"/>
      <c r="AD2820" s="6"/>
      <c r="AE2820" s="6"/>
      <c r="AF2820" s="126"/>
      <c r="AJ2820" s="6"/>
      <c r="AL2820" s="110"/>
      <c r="AM2820" s="110"/>
      <c r="AN2820" s="110"/>
      <c r="AP2820" s="6"/>
      <c r="AW2820" s="6"/>
      <c r="AX2820" s="6"/>
      <c r="AZ2820" s="110"/>
      <c r="BB2820" s="6"/>
      <c r="BD2820" s="6"/>
      <c r="BE2820" s="6"/>
      <c r="BV2820" s="17"/>
      <c r="BX2820" s="17"/>
      <c r="BZ2820" s="17"/>
    </row>
    <row r="2821" spans="4:78" x14ac:dyDescent="0.3">
      <c r="D2821" s="153"/>
      <c r="E2821" s="6"/>
      <c r="G2821" s="6"/>
      <c r="J2821" s="6"/>
      <c r="N2821" s="154"/>
      <c r="O2821" s="6"/>
      <c r="S2821" s="6"/>
      <c r="V2821" s="6"/>
      <c r="X2821" s="6"/>
      <c r="Z2821" s="110"/>
      <c r="AB2821" s="6"/>
      <c r="AD2821" s="6"/>
      <c r="AE2821" s="6"/>
      <c r="AF2821" s="126"/>
      <c r="AJ2821" s="6"/>
      <c r="AL2821" s="110"/>
      <c r="AM2821" s="110"/>
      <c r="AN2821" s="110"/>
      <c r="AP2821" s="6"/>
      <c r="AW2821" s="6"/>
      <c r="AX2821" s="6"/>
      <c r="AZ2821" s="110"/>
      <c r="BB2821" s="6"/>
      <c r="BD2821" s="6"/>
      <c r="BE2821" s="6"/>
      <c r="BV2821" s="17"/>
      <c r="BX2821" s="17"/>
      <c r="BZ2821" s="17"/>
    </row>
    <row r="2822" spans="4:78" x14ac:dyDescent="0.3">
      <c r="D2822" s="153"/>
      <c r="E2822" s="6"/>
      <c r="G2822" s="6"/>
      <c r="J2822" s="6"/>
      <c r="N2822" s="154"/>
      <c r="O2822" s="6"/>
      <c r="S2822" s="6"/>
      <c r="V2822" s="6"/>
      <c r="X2822" s="6"/>
      <c r="Z2822" s="110"/>
      <c r="AB2822" s="6"/>
      <c r="AD2822" s="6"/>
      <c r="AE2822" s="6"/>
      <c r="AF2822" s="126"/>
      <c r="AJ2822" s="6"/>
      <c r="AL2822" s="110"/>
      <c r="AM2822" s="110"/>
      <c r="AN2822" s="110"/>
      <c r="AP2822" s="6"/>
      <c r="AW2822" s="6"/>
      <c r="AX2822" s="6"/>
      <c r="AZ2822" s="110"/>
      <c r="BB2822" s="6"/>
      <c r="BD2822" s="6"/>
      <c r="BE2822" s="6"/>
      <c r="BV2822" s="17"/>
      <c r="BX2822" s="17"/>
      <c r="BZ2822" s="17"/>
    </row>
    <row r="2823" spans="4:78" x14ac:dyDescent="0.3">
      <c r="D2823" s="153"/>
      <c r="E2823" s="6"/>
      <c r="G2823" s="6"/>
      <c r="J2823" s="6"/>
      <c r="N2823" s="154"/>
      <c r="O2823" s="6"/>
      <c r="S2823" s="6"/>
      <c r="V2823" s="6"/>
      <c r="X2823" s="6"/>
      <c r="Z2823" s="110"/>
      <c r="AB2823" s="6"/>
      <c r="AD2823" s="6"/>
      <c r="AE2823" s="6"/>
      <c r="AF2823" s="126"/>
      <c r="AJ2823" s="6"/>
      <c r="AL2823" s="110"/>
      <c r="AM2823" s="110"/>
      <c r="AN2823" s="110"/>
      <c r="AP2823" s="6"/>
      <c r="AW2823" s="6"/>
      <c r="AX2823" s="6"/>
      <c r="AZ2823" s="110"/>
      <c r="BB2823" s="6"/>
      <c r="BD2823" s="6"/>
      <c r="BE2823" s="6"/>
      <c r="BV2823" s="17"/>
      <c r="BX2823" s="17"/>
      <c r="BZ2823" s="17"/>
    </row>
    <row r="2824" spans="4:78" x14ac:dyDescent="0.3">
      <c r="D2824" s="153"/>
      <c r="E2824" s="6"/>
      <c r="G2824" s="6"/>
      <c r="J2824" s="6"/>
      <c r="N2824" s="154"/>
      <c r="O2824" s="6"/>
      <c r="S2824" s="6"/>
      <c r="V2824" s="6"/>
      <c r="X2824" s="6"/>
      <c r="Z2824" s="110"/>
      <c r="AB2824" s="6"/>
      <c r="AD2824" s="6"/>
      <c r="AE2824" s="6"/>
      <c r="AF2824" s="126"/>
      <c r="AJ2824" s="6"/>
      <c r="AL2824" s="110"/>
      <c r="AM2824" s="110"/>
      <c r="AN2824" s="110"/>
      <c r="AP2824" s="6"/>
      <c r="AW2824" s="6"/>
      <c r="AX2824" s="6"/>
      <c r="AZ2824" s="110"/>
      <c r="BB2824" s="6"/>
      <c r="BD2824" s="6"/>
      <c r="BE2824" s="6"/>
      <c r="BV2824" s="17"/>
      <c r="BX2824" s="17"/>
      <c r="BZ2824" s="17"/>
    </row>
    <row r="2825" spans="4:78" x14ac:dyDescent="0.3">
      <c r="D2825" s="153"/>
      <c r="E2825" s="6"/>
      <c r="G2825" s="6"/>
      <c r="J2825" s="6"/>
      <c r="N2825" s="154"/>
      <c r="O2825" s="6"/>
      <c r="S2825" s="6"/>
      <c r="V2825" s="6"/>
      <c r="X2825" s="6"/>
      <c r="Z2825" s="110"/>
      <c r="AB2825" s="6"/>
      <c r="AD2825" s="6"/>
      <c r="AE2825" s="6"/>
      <c r="AF2825" s="126"/>
      <c r="AJ2825" s="6"/>
      <c r="AL2825" s="110"/>
      <c r="AM2825" s="110"/>
      <c r="AN2825" s="110"/>
      <c r="AP2825" s="6"/>
      <c r="AW2825" s="6"/>
      <c r="AX2825" s="6"/>
      <c r="AZ2825" s="110"/>
      <c r="BB2825" s="6"/>
      <c r="BD2825" s="6"/>
      <c r="BE2825" s="6"/>
      <c r="BV2825" s="17"/>
      <c r="BX2825" s="17"/>
      <c r="BZ2825" s="17"/>
    </row>
    <row r="2826" spans="4:78" x14ac:dyDescent="0.3">
      <c r="D2826" s="153"/>
      <c r="E2826" s="6"/>
      <c r="G2826" s="6"/>
      <c r="J2826" s="6"/>
      <c r="N2826" s="154"/>
      <c r="O2826" s="6"/>
      <c r="S2826" s="6"/>
      <c r="V2826" s="6"/>
      <c r="X2826" s="6"/>
      <c r="Z2826" s="110"/>
      <c r="AB2826" s="6"/>
      <c r="AD2826" s="6"/>
      <c r="AE2826" s="6"/>
      <c r="AF2826" s="126"/>
      <c r="AJ2826" s="6"/>
      <c r="AL2826" s="110"/>
      <c r="AM2826" s="110"/>
      <c r="AN2826" s="110"/>
      <c r="AP2826" s="6"/>
      <c r="AW2826" s="6"/>
      <c r="AX2826" s="6"/>
      <c r="AZ2826" s="110"/>
      <c r="BB2826" s="6"/>
      <c r="BD2826" s="6"/>
      <c r="BE2826" s="6"/>
      <c r="BV2826" s="17"/>
      <c r="BX2826" s="17"/>
      <c r="BZ2826" s="17"/>
    </row>
    <row r="2827" spans="4:78" x14ac:dyDescent="0.3">
      <c r="D2827" s="153"/>
      <c r="E2827" s="6"/>
      <c r="G2827" s="6"/>
      <c r="J2827" s="6"/>
      <c r="N2827" s="154"/>
      <c r="O2827" s="6"/>
      <c r="S2827" s="6"/>
      <c r="V2827" s="6"/>
      <c r="X2827" s="6"/>
      <c r="Z2827" s="110"/>
      <c r="AB2827" s="6"/>
      <c r="AD2827" s="6"/>
      <c r="AE2827" s="6"/>
      <c r="AF2827" s="126"/>
      <c r="AJ2827" s="6"/>
      <c r="AL2827" s="110"/>
      <c r="AM2827" s="110"/>
      <c r="AN2827" s="110"/>
      <c r="AP2827" s="6"/>
      <c r="AW2827" s="6"/>
      <c r="AX2827" s="6"/>
      <c r="AZ2827" s="110"/>
      <c r="BB2827" s="6"/>
      <c r="BD2827" s="6"/>
      <c r="BE2827" s="6"/>
      <c r="BV2827" s="17"/>
      <c r="BX2827" s="17"/>
      <c r="BZ2827" s="17"/>
    </row>
    <row r="2828" spans="4:78" x14ac:dyDescent="0.3">
      <c r="D2828" s="153"/>
      <c r="E2828" s="6"/>
      <c r="G2828" s="6"/>
      <c r="J2828" s="6"/>
      <c r="N2828" s="154"/>
      <c r="O2828" s="6"/>
      <c r="S2828" s="6"/>
      <c r="V2828" s="6"/>
      <c r="X2828" s="6"/>
      <c r="Z2828" s="110"/>
      <c r="AB2828" s="6"/>
      <c r="AD2828" s="6"/>
      <c r="AE2828" s="6"/>
      <c r="AF2828" s="126"/>
      <c r="AJ2828" s="6"/>
      <c r="AL2828" s="110"/>
      <c r="AM2828" s="110"/>
      <c r="AN2828" s="110"/>
      <c r="AP2828" s="6"/>
      <c r="AW2828" s="6"/>
      <c r="AX2828" s="6"/>
      <c r="AZ2828" s="110"/>
      <c r="BB2828" s="6"/>
      <c r="BD2828" s="6"/>
      <c r="BE2828" s="6"/>
      <c r="BV2828" s="17"/>
      <c r="BX2828" s="17"/>
      <c r="BZ2828" s="17"/>
    </row>
    <row r="2829" spans="4:78" x14ac:dyDescent="0.3">
      <c r="D2829" s="153"/>
      <c r="E2829" s="6"/>
      <c r="G2829" s="6"/>
      <c r="J2829" s="6"/>
      <c r="N2829" s="154"/>
      <c r="O2829" s="6"/>
      <c r="S2829" s="6"/>
      <c r="V2829" s="6"/>
      <c r="X2829" s="6"/>
      <c r="Z2829" s="110"/>
      <c r="AB2829" s="6"/>
      <c r="AD2829" s="6"/>
      <c r="AE2829" s="6"/>
      <c r="AF2829" s="126"/>
      <c r="AJ2829" s="6"/>
      <c r="AL2829" s="110"/>
      <c r="AM2829" s="110"/>
      <c r="AN2829" s="110"/>
      <c r="AP2829" s="6"/>
      <c r="AW2829" s="6"/>
      <c r="AX2829" s="6"/>
      <c r="AZ2829" s="110"/>
      <c r="BB2829" s="6"/>
      <c r="BD2829" s="6"/>
      <c r="BE2829" s="6"/>
      <c r="BV2829" s="17"/>
      <c r="BX2829" s="17"/>
      <c r="BZ2829" s="17"/>
    </row>
    <row r="2830" spans="4:78" x14ac:dyDescent="0.3">
      <c r="D2830" s="153"/>
      <c r="E2830" s="6"/>
      <c r="G2830" s="6"/>
      <c r="J2830" s="6"/>
      <c r="N2830" s="154"/>
      <c r="O2830" s="6"/>
      <c r="S2830" s="6"/>
      <c r="V2830" s="6"/>
      <c r="X2830" s="6"/>
      <c r="Z2830" s="110"/>
      <c r="AB2830" s="6"/>
      <c r="AD2830" s="6"/>
      <c r="AE2830" s="6"/>
      <c r="AF2830" s="126"/>
      <c r="AJ2830" s="6"/>
      <c r="AL2830" s="110"/>
      <c r="AM2830" s="110"/>
      <c r="AN2830" s="110"/>
      <c r="AP2830" s="6"/>
      <c r="AW2830" s="6"/>
      <c r="AX2830" s="6"/>
      <c r="AZ2830" s="110"/>
      <c r="BB2830" s="6"/>
      <c r="BD2830" s="6"/>
      <c r="BE2830" s="6"/>
      <c r="BV2830" s="17"/>
      <c r="BX2830" s="17"/>
      <c r="BZ2830" s="17"/>
    </row>
    <row r="2831" spans="4:78" x14ac:dyDescent="0.3">
      <c r="D2831" s="153"/>
      <c r="E2831" s="6"/>
      <c r="G2831" s="6"/>
      <c r="J2831" s="6"/>
      <c r="N2831" s="154"/>
      <c r="O2831" s="6"/>
      <c r="S2831" s="6"/>
      <c r="V2831" s="6"/>
      <c r="X2831" s="6"/>
      <c r="Z2831" s="110"/>
      <c r="AB2831" s="6"/>
      <c r="AD2831" s="6"/>
      <c r="AE2831" s="6"/>
      <c r="AF2831" s="126"/>
      <c r="AJ2831" s="6"/>
      <c r="AL2831" s="110"/>
      <c r="AM2831" s="110"/>
      <c r="AN2831" s="110"/>
      <c r="AP2831" s="6"/>
      <c r="AW2831" s="6"/>
      <c r="AX2831" s="6"/>
      <c r="AZ2831" s="110"/>
      <c r="BB2831" s="6"/>
      <c r="BD2831" s="6"/>
      <c r="BE2831" s="6"/>
      <c r="BV2831" s="17"/>
      <c r="BX2831" s="17"/>
      <c r="BZ2831" s="17"/>
    </row>
    <row r="2832" spans="4:78" x14ac:dyDescent="0.3">
      <c r="D2832" s="153"/>
      <c r="E2832" s="6"/>
      <c r="G2832" s="6"/>
      <c r="J2832" s="6"/>
      <c r="N2832" s="154"/>
      <c r="O2832" s="6"/>
      <c r="S2832" s="6"/>
      <c r="V2832" s="6"/>
      <c r="X2832" s="6"/>
      <c r="Z2832" s="110"/>
      <c r="AB2832" s="6"/>
      <c r="AD2832" s="6"/>
      <c r="AE2832" s="6"/>
      <c r="AF2832" s="126"/>
      <c r="AJ2832" s="6"/>
      <c r="AL2832" s="110"/>
      <c r="AM2832" s="110"/>
      <c r="AN2832" s="110"/>
      <c r="AP2832" s="6"/>
      <c r="AW2832" s="6"/>
      <c r="AX2832" s="6"/>
      <c r="AZ2832" s="110"/>
      <c r="BB2832" s="6"/>
      <c r="BD2832" s="6"/>
      <c r="BE2832" s="6"/>
      <c r="BV2832" s="17"/>
      <c r="BX2832" s="17"/>
      <c r="BZ2832" s="17"/>
    </row>
    <row r="2833" spans="4:78" x14ac:dyDescent="0.3">
      <c r="D2833" s="153"/>
      <c r="E2833" s="6"/>
      <c r="G2833" s="6"/>
      <c r="J2833" s="6"/>
      <c r="N2833" s="154"/>
      <c r="O2833" s="6"/>
      <c r="S2833" s="6"/>
      <c r="V2833" s="6"/>
      <c r="X2833" s="6"/>
      <c r="Z2833" s="110"/>
      <c r="AB2833" s="6"/>
      <c r="AD2833" s="6"/>
      <c r="AE2833" s="6"/>
      <c r="AF2833" s="126"/>
      <c r="AJ2833" s="6"/>
      <c r="AL2833" s="110"/>
      <c r="AM2833" s="110"/>
      <c r="AN2833" s="110"/>
      <c r="AP2833" s="6"/>
      <c r="AW2833" s="6"/>
      <c r="AX2833" s="6"/>
      <c r="AZ2833" s="110"/>
      <c r="BB2833" s="6"/>
      <c r="BD2833" s="6"/>
      <c r="BE2833" s="6"/>
      <c r="BV2833" s="17"/>
      <c r="BX2833" s="17"/>
      <c r="BZ2833" s="17"/>
    </row>
    <row r="2834" spans="4:78" x14ac:dyDescent="0.3">
      <c r="D2834" s="153"/>
      <c r="E2834" s="6"/>
      <c r="G2834" s="6"/>
      <c r="J2834" s="6"/>
      <c r="N2834" s="154"/>
      <c r="O2834" s="6"/>
      <c r="S2834" s="6"/>
      <c r="V2834" s="6"/>
      <c r="X2834" s="6"/>
      <c r="Z2834" s="110"/>
      <c r="AB2834" s="6"/>
      <c r="AD2834" s="6"/>
      <c r="AE2834" s="6"/>
      <c r="AF2834" s="126"/>
      <c r="AJ2834" s="6"/>
      <c r="AL2834" s="110"/>
      <c r="AM2834" s="110"/>
      <c r="AN2834" s="110"/>
      <c r="AP2834" s="6"/>
      <c r="AW2834" s="6"/>
      <c r="AX2834" s="6"/>
      <c r="AZ2834" s="110"/>
      <c r="BB2834" s="6"/>
      <c r="BD2834" s="6"/>
      <c r="BE2834" s="6"/>
      <c r="BV2834" s="17"/>
      <c r="BX2834" s="17"/>
      <c r="BZ2834" s="17"/>
    </row>
    <row r="2835" spans="4:78" x14ac:dyDescent="0.3">
      <c r="D2835" s="153"/>
      <c r="E2835" s="6"/>
      <c r="G2835" s="6"/>
      <c r="J2835" s="6"/>
      <c r="N2835" s="154"/>
      <c r="O2835" s="6"/>
      <c r="S2835" s="6"/>
      <c r="V2835" s="6"/>
      <c r="X2835" s="6"/>
      <c r="Z2835" s="110"/>
      <c r="AB2835" s="6"/>
      <c r="AD2835" s="6"/>
      <c r="AE2835" s="6"/>
      <c r="AF2835" s="126"/>
      <c r="AJ2835" s="6"/>
      <c r="AL2835" s="110"/>
      <c r="AM2835" s="110"/>
      <c r="AN2835" s="110"/>
      <c r="AP2835" s="6"/>
      <c r="AW2835" s="6"/>
      <c r="AX2835" s="6"/>
      <c r="AZ2835" s="110"/>
      <c r="BB2835" s="6"/>
      <c r="BD2835" s="6"/>
      <c r="BE2835" s="6"/>
      <c r="BV2835" s="17"/>
      <c r="BX2835" s="17"/>
      <c r="BZ2835" s="17"/>
    </row>
    <row r="2836" spans="4:78" x14ac:dyDescent="0.3">
      <c r="D2836" s="153"/>
      <c r="E2836" s="6"/>
      <c r="G2836" s="6"/>
      <c r="J2836" s="6"/>
      <c r="N2836" s="154"/>
      <c r="O2836" s="6"/>
      <c r="S2836" s="6"/>
      <c r="V2836" s="6"/>
      <c r="X2836" s="6"/>
      <c r="Z2836" s="110"/>
      <c r="AB2836" s="6"/>
      <c r="AD2836" s="6"/>
      <c r="AE2836" s="6"/>
      <c r="AF2836" s="126"/>
      <c r="AJ2836" s="6"/>
      <c r="AL2836" s="110"/>
      <c r="AM2836" s="110"/>
      <c r="AN2836" s="110"/>
      <c r="AP2836" s="6"/>
      <c r="AW2836" s="6"/>
      <c r="AX2836" s="6"/>
      <c r="AZ2836" s="110"/>
      <c r="BB2836" s="6"/>
      <c r="BD2836" s="6"/>
      <c r="BE2836" s="6"/>
      <c r="BV2836" s="17"/>
      <c r="BX2836" s="17"/>
      <c r="BZ2836" s="17"/>
    </row>
    <row r="2837" spans="4:78" x14ac:dyDescent="0.3">
      <c r="D2837" s="153"/>
      <c r="E2837" s="6"/>
      <c r="G2837" s="6"/>
      <c r="J2837" s="6"/>
      <c r="N2837" s="154"/>
      <c r="O2837" s="6"/>
      <c r="S2837" s="6"/>
      <c r="V2837" s="6"/>
      <c r="X2837" s="6"/>
      <c r="Z2837" s="110"/>
      <c r="AB2837" s="6"/>
      <c r="AD2837" s="6"/>
      <c r="AE2837" s="6"/>
      <c r="AF2837" s="126"/>
      <c r="AJ2837" s="6"/>
      <c r="AL2837" s="110"/>
      <c r="AM2837" s="110"/>
      <c r="AN2837" s="110"/>
      <c r="AP2837" s="6"/>
      <c r="AW2837" s="6"/>
      <c r="AX2837" s="6"/>
      <c r="AZ2837" s="110"/>
      <c r="BB2837" s="6"/>
      <c r="BD2837" s="6"/>
      <c r="BE2837" s="6"/>
      <c r="BV2837" s="17"/>
      <c r="BX2837" s="17"/>
      <c r="BZ2837" s="17"/>
    </row>
    <row r="2838" spans="4:78" x14ac:dyDescent="0.3">
      <c r="D2838" s="153"/>
      <c r="E2838" s="6"/>
      <c r="G2838" s="6"/>
      <c r="J2838" s="6"/>
      <c r="N2838" s="154"/>
      <c r="O2838" s="6"/>
      <c r="S2838" s="6"/>
      <c r="V2838" s="6"/>
      <c r="X2838" s="6"/>
      <c r="Z2838" s="110"/>
      <c r="AB2838" s="6"/>
      <c r="AD2838" s="6"/>
      <c r="AE2838" s="6"/>
      <c r="AF2838" s="126"/>
      <c r="AJ2838" s="6"/>
      <c r="AL2838" s="110"/>
      <c r="AM2838" s="110"/>
      <c r="AN2838" s="110"/>
      <c r="AP2838" s="6"/>
      <c r="AW2838" s="6"/>
      <c r="AX2838" s="6"/>
      <c r="AZ2838" s="110"/>
      <c r="BB2838" s="6"/>
      <c r="BD2838" s="6"/>
      <c r="BE2838" s="6"/>
      <c r="BV2838" s="17"/>
      <c r="BX2838" s="17"/>
      <c r="BZ2838" s="17"/>
    </row>
    <row r="2839" spans="4:78" x14ac:dyDescent="0.3">
      <c r="D2839" s="153"/>
      <c r="E2839" s="6"/>
      <c r="G2839" s="6"/>
      <c r="J2839" s="6"/>
      <c r="N2839" s="154"/>
      <c r="O2839" s="6"/>
      <c r="S2839" s="6"/>
      <c r="V2839" s="6"/>
      <c r="X2839" s="6"/>
      <c r="Z2839" s="110"/>
      <c r="AB2839" s="6"/>
      <c r="AD2839" s="6"/>
      <c r="AE2839" s="6"/>
      <c r="AF2839" s="126"/>
      <c r="AJ2839" s="6"/>
      <c r="AL2839" s="110"/>
      <c r="AM2839" s="110"/>
      <c r="AN2839" s="110"/>
      <c r="AP2839" s="6"/>
      <c r="AW2839" s="6"/>
      <c r="AX2839" s="6"/>
      <c r="AZ2839" s="110"/>
      <c r="BB2839" s="6"/>
      <c r="BD2839" s="6"/>
      <c r="BE2839" s="6"/>
      <c r="BV2839" s="17"/>
      <c r="BX2839" s="17"/>
      <c r="BZ2839" s="17"/>
    </row>
    <row r="2840" spans="4:78" x14ac:dyDescent="0.3">
      <c r="D2840" s="153"/>
      <c r="E2840" s="6"/>
      <c r="G2840" s="6"/>
      <c r="J2840" s="6"/>
      <c r="N2840" s="154"/>
      <c r="O2840" s="6"/>
      <c r="S2840" s="6"/>
      <c r="V2840" s="6"/>
      <c r="X2840" s="6"/>
      <c r="Z2840" s="110"/>
      <c r="AB2840" s="6"/>
      <c r="AD2840" s="6"/>
      <c r="AE2840" s="6"/>
      <c r="AF2840" s="126"/>
      <c r="AJ2840" s="6"/>
      <c r="AL2840" s="110"/>
      <c r="AM2840" s="110"/>
      <c r="AN2840" s="110"/>
      <c r="AP2840" s="6"/>
      <c r="AW2840" s="6"/>
      <c r="AX2840" s="6"/>
      <c r="AZ2840" s="110"/>
      <c r="BB2840" s="6"/>
      <c r="BD2840" s="6"/>
      <c r="BE2840" s="6"/>
      <c r="BV2840" s="17"/>
      <c r="BX2840" s="17"/>
      <c r="BZ2840" s="17"/>
    </row>
    <row r="2841" spans="4:78" x14ac:dyDescent="0.3">
      <c r="D2841" s="153"/>
      <c r="E2841" s="6"/>
      <c r="G2841" s="6"/>
      <c r="J2841" s="6"/>
      <c r="N2841" s="154"/>
      <c r="O2841" s="6"/>
      <c r="S2841" s="6"/>
      <c r="V2841" s="6"/>
      <c r="X2841" s="6"/>
      <c r="Z2841" s="110"/>
      <c r="AB2841" s="6"/>
      <c r="AD2841" s="6"/>
      <c r="AE2841" s="6"/>
      <c r="AF2841" s="126"/>
      <c r="AJ2841" s="6"/>
      <c r="AL2841" s="110"/>
      <c r="AM2841" s="110"/>
      <c r="AN2841" s="110"/>
      <c r="AP2841" s="6"/>
      <c r="AW2841" s="6"/>
      <c r="AX2841" s="6"/>
      <c r="AZ2841" s="110"/>
      <c r="BB2841" s="6"/>
      <c r="BD2841" s="6"/>
      <c r="BE2841" s="6"/>
      <c r="BV2841" s="17"/>
      <c r="BX2841" s="17"/>
      <c r="BZ2841" s="17"/>
    </row>
    <row r="2842" spans="4:78" x14ac:dyDescent="0.3">
      <c r="D2842" s="153"/>
      <c r="E2842" s="6"/>
      <c r="G2842" s="6"/>
      <c r="J2842" s="6"/>
      <c r="N2842" s="154"/>
      <c r="O2842" s="6"/>
      <c r="S2842" s="6"/>
      <c r="V2842" s="6"/>
      <c r="X2842" s="6"/>
      <c r="Z2842" s="110"/>
      <c r="AB2842" s="6"/>
      <c r="AD2842" s="6"/>
      <c r="AE2842" s="6"/>
      <c r="AF2842" s="126"/>
      <c r="AJ2842" s="6"/>
      <c r="AL2842" s="110"/>
      <c r="AM2842" s="110"/>
      <c r="AN2842" s="110"/>
      <c r="AP2842" s="6"/>
      <c r="AW2842" s="6"/>
      <c r="AX2842" s="6"/>
      <c r="AZ2842" s="110"/>
      <c r="BB2842" s="6"/>
      <c r="BD2842" s="6"/>
      <c r="BE2842" s="6"/>
      <c r="BV2842" s="17"/>
      <c r="BX2842" s="17"/>
      <c r="BZ2842" s="17"/>
    </row>
    <row r="2843" spans="4:78" x14ac:dyDescent="0.3">
      <c r="D2843" s="153"/>
      <c r="E2843" s="6"/>
      <c r="G2843" s="6"/>
      <c r="J2843" s="6"/>
      <c r="N2843" s="154"/>
      <c r="O2843" s="6"/>
      <c r="S2843" s="6"/>
      <c r="V2843" s="6"/>
      <c r="X2843" s="6"/>
      <c r="Z2843" s="110"/>
      <c r="AB2843" s="6"/>
      <c r="AD2843" s="6"/>
      <c r="AE2843" s="6"/>
      <c r="AF2843" s="126"/>
      <c r="AJ2843" s="6"/>
      <c r="AL2843" s="110"/>
      <c r="AM2843" s="110"/>
      <c r="AN2843" s="110"/>
      <c r="AP2843" s="6"/>
      <c r="AW2843" s="6"/>
      <c r="AX2843" s="6"/>
      <c r="AZ2843" s="110"/>
      <c r="BB2843" s="6"/>
      <c r="BD2843" s="6"/>
      <c r="BE2843" s="6"/>
      <c r="BV2843" s="17"/>
      <c r="BX2843" s="17"/>
      <c r="BZ2843" s="17"/>
    </row>
    <row r="2844" spans="4:78" x14ac:dyDescent="0.3">
      <c r="D2844" s="153"/>
      <c r="E2844" s="6"/>
      <c r="G2844" s="6"/>
      <c r="J2844" s="6"/>
      <c r="N2844" s="154"/>
      <c r="O2844" s="6"/>
      <c r="S2844" s="6"/>
      <c r="V2844" s="6"/>
      <c r="X2844" s="6"/>
      <c r="Z2844" s="110"/>
      <c r="AB2844" s="6"/>
      <c r="AD2844" s="6"/>
      <c r="AE2844" s="6"/>
      <c r="AF2844" s="126"/>
      <c r="AJ2844" s="6"/>
      <c r="AL2844" s="110"/>
      <c r="AM2844" s="110"/>
      <c r="AN2844" s="110"/>
      <c r="AP2844" s="6"/>
      <c r="AW2844" s="6"/>
      <c r="AX2844" s="6"/>
      <c r="AZ2844" s="110"/>
      <c r="BB2844" s="6"/>
      <c r="BD2844" s="6"/>
      <c r="BE2844" s="6"/>
      <c r="BV2844" s="17"/>
      <c r="BX2844" s="17"/>
      <c r="BZ2844" s="17"/>
    </row>
    <row r="2845" spans="4:78" x14ac:dyDescent="0.3">
      <c r="D2845" s="153"/>
      <c r="E2845" s="6"/>
      <c r="G2845" s="6"/>
      <c r="J2845" s="6"/>
      <c r="N2845" s="154"/>
      <c r="O2845" s="6"/>
      <c r="S2845" s="6"/>
      <c r="V2845" s="6"/>
      <c r="X2845" s="6"/>
      <c r="Z2845" s="110"/>
      <c r="AB2845" s="6"/>
      <c r="AD2845" s="6"/>
      <c r="AE2845" s="6"/>
      <c r="AF2845" s="126"/>
      <c r="AJ2845" s="6"/>
      <c r="AL2845" s="110"/>
      <c r="AM2845" s="110"/>
      <c r="AN2845" s="110"/>
      <c r="AP2845" s="6"/>
      <c r="AW2845" s="6"/>
      <c r="AX2845" s="6"/>
      <c r="AZ2845" s="110"/>
      <c r="BB2845" s="6"/>
      <c r="BD2845" s="6"/>
      <c r="BE2845" s="6"/>
      <c r="BV2845" s="17"/>
      <c r="BX2845" s="17"/>
      <c r="BZ2845" s="17"/>
    </row>
    <row r="2846" spans="4:78" x14ac:dyDescent="0.3">
      <c r="D2846" s="153"/>
      <c r="E2846" s="6"/>
      <c r="G2846" s="6"/>
      <c r="J2846" s="6"/>
      <c r="N2846" s="154"/>
      <c r="O2846" s="6"/>
      <c r="S2846" s="6"/>
      <c r="V2846" s="6"/>
      <c r="X2846" s="6"/>
      <c r="Z2846" s="110"/>
      <c r="AB2846" s="6"/>
      <c r="AD2846" s="6"/>
      <c r="AE2846" s="6"/>
      <c r="AF2846" s="126"/>
      <c r="AJ2846" s="6"/>
      <c r="AL2846" s="110"/>
      <c r="AM2846" s="110"/>
      <c r="AN2846" s="110"/>
      <c r="AP2846" s="6"/>
      <c r="AW2846" s="6"/>
      <c r="AX2846" s="6"/>
      <c r="AZ2846" s="110"/>
      <c r="BB2846" s="6"/>
      <c r="BD2846" s="6"/>
      <c r="BE2846" s="6"/>
      <c r="BV2846" s="17"/>
      <c r="BX2846" s="17"/>
      <c r="BZ2846" s="17"/>
    </row>
    <row r="2847" spans="4:78" x14ac:dyDescent="0.3">
      <c r="D2847" s="153"/>
      <c r="E2847" s="6"/>
      <c r="G2847" s="6"/>
      <c r="J2847" s="6"/>
      <c r="N2847" s="154"/>
      <c r="O2847" s="6"/>
      <c r="S2847" s="6"/>
      <c r="V2847" s="6"/>
      <c r="X2847" s="6"/>
      <c r="Z2847" s="110"/>
      <c r="AB2847" s="6"/>
      <c r="AD2847" s="6"/>
      <c r="AE2847" s="6"/>
      <c r="AF2847" s="126"/>
      <c r="AJ2847" s="6"/>
      <c r="AL2847" s="110"/>
      <c r="AM2847" s="110"/>
      <c r="AN2847" s="110"/>
      <c r="AP2847" s="6"/>
      <c r="AW2847" s="6"/>
      <c r="AX2847" s="6"/>
      <c r="AZ2847" s="110"/>
      <c r="BB2847" s="6"/>
      <c r="BD2847" s="6"/>
      <c r="BE2847" s="6"/>
      <c r="BV2847" s="17"/>
      <c r="BX2847" s="17"/>
      <c r="BZ2847" s="17"/>
    </row>
    <row r="2848" spans="4:78" x14ac:dyDescent="0.3">
      <c r="D2848" s="153"/>
      <c r="E2848" s="6"/>
      <c r="G2848" s="6"/>
      <c r="J2848" s="6"/>
      <c r="N2848" s="154"/>
      <c r="O2848" s="6"/>
      <c r="S2848" s="6"/>
      <c r="V2848" s="6"/>
      <c r="X2848" s="6"/>
      <c r="Z2848" s="110"/>
      <c r="AB2848" s="6"/>
      <c r="AD2848" s="6"/>
      <c r="AE2848" s="6"/>
      <c r="AF2848" s="126"/>
      <c r="AJ2848" s="6"/>
      <c r="AL2848" s="110"/>
      <c r="AM2848" s="110"/>
      <c r="AN2848" s="110"/>
      <c r="AP2848" s="6"/>
      <c r="AW2848" s="6"/>
      <c r="AX2848" s="6"/>
      <c r="AZ2848" s="110"/>
      <c r="BB2848" s="6"/>
      <c r="BD2848" s="6"/>
      <c r="BE2848" s="6"/>
      <c r="BV2848" s="17"/>
      <c r="BX2848" s="17"/>
      <c r="BZ2848" s="17"/>
    </row>
    <row r="2849" spans="4:78" x14ac:dyDescent="0.3">
      <c r="D2849" s="153"/>
      <c r="E2849" s="6"/>
      <c r="G2849" s="6"/>
      <c r="J2849" s="6"/>
      <c r="N2849" s="154"/>
      <c r="O2849" s="6"/>
      <c r="S2849" s="6"/>
      <c r="V2849" s="6"/>
      <c r="X2849" s="6"/>
      <c r="Z2849" s="110"/>
      <c r="AB2849" s="6"/>
      <c r="AD2849" s="6"/>
      <c r="AE2849" s="6"/>
      <c r="AF2849" s="126"/>
      <c r="AJ2849" s="6"/>
      <c r="AL2849" s="110"/>
      <c r="AM2849" s="110"/>
      <c r="AN2849" s="110"/>
      <c r="AP2849" s="6"/>
      <c r="AW2849" s="6"/>
      <c r="AX2849" s="6"/>
      <c r="AZ2849" s="110"/>
      <c r="BB2849" s="6"/>
      <c r="BD2849" s="6"/>
      <c r="BE2849" s="6"/>
      <c r="BV2849" s="17"/>
      <c r="BX2849" s="17"/>
      <c r="BZ2849" s="17"/>
    </row>
    <row r="2850" spans="4:78" x14ac:dyDescent="0.3">
      <c r="D2850" s="153"/>
      <c r="E2850" s="6"/>
      <c r="G2850" s="6"/>
      <c r="J2850" s="6"/>
      <c r="N2850" s="154"/>
      <c r="O2850" s="6"/>
      <c r="S2850" s="6"/>
      <c r="V2850" s="6"/>
      <c r="X2850" s="6"/>
      <c r="Z2850" s="110"/>
      <c r="AB2850" s="6"/>
      <c r="AD2850" s="6"/>
      <c r="AE2850" s="6"/>
      <c r="AF2850" s="126"/>
      <c r="AJ2850" s="6"/>
      <c r="AL2850" s="110"/>
      <c r="AM2850" s="110"/>
      <c r="AN2850" s="110"/>
      <c r="AP2850" s="6"/>
      <c r="AW2850" s="6"/>
      <c r="AX2850" s="6"/>
      <c r="AZ2850" s="110"/>
      <c r="BB2850" s="6"/>
      <c r="BD2850" s="6"/>
      <c r="BE2850" s="6"/>
      <c r="BV2850" s="17"/>
      <c r="BX2850" s="17"/>
      <c r="BZ2850" s="17"/>
    </row>
    <row r="2851" spans="4:78" x14ac:dyDescent="0.3">
      <c r="D2851" s="153"/>
      <c r="E2851" s="6"/>
      <c r="G2851" s="6"/>
      <c r="J2851" s="6"/>
      <c r="N2851" s="154"/>
      <c r="O2851" s="6"/>
      <c r="S2851" s="6"/>
      <c r="V2851" s="6"/>
      <c r="X2851" s="6"/>
      <c r="Z2851" s="110"/>
      <c r="AB2851" s="6"/>
      <c r="AD2851" s="6"/>
      <c r="AE2851" s="6"/>
      <c r="AF2851" s="126"/>
      <c r="AJ2851" s="6"/>
      <c r="AL2851" s="110"/>
      <c r="AM2851" s="110"/>
      <c r="AN2851" s="110"/>
      <c r="AP2851" s="6"/>
      <c r="AW2851" s="6"/>
      <c r="AX2851" s="6"/>
      <c r="AZ2851" s="110"/>
      <c r="BB2851" s="6"/>
      <c r="BD2851" s="6"/>
      <c r="BE2851" s="6"/>
      <c r="BV2851" s="17"/>
      <c r="BX2851" s="17"/>
      <c r="BZ2851" s="17"/>
    </row>
    <row r="2852" spans="4:78" x14ac:dyDescent="0.3">
      <c r="D2852" s="153"/>
      <c r="E2852" s="6"/>
      <c r="G2852" s="6"/>
      <c r="J2852" s="6"/>
      <c r="N2852" s="154"/>
      <c r="O2852" s="6"/>
      <c r="S2852" s="6"/>
      <c r="V2852" s="6"/>
      <c r="X2852" s="6"/>
      <c r="Z2852" s="110"/>
      <c r="AB2852" s="6"/>
      <c r="AD2852" s="6"/>
      <c r="AE2852" s="6"/>
      <c r="AF2852" s="126"/>
      <c r="AJ2852" s="6"/>
      <c r="AL2852" s="110"/>
      <c r="AM2852" s="110"/>
      <c r="AN2852" s="110"/>
      <c r="AP2852" s="6"/>
      <c r="AW2852" s="6"/>
      <c r="AX2852" s="6"/>
      <c r="AZ2852" s="110"/>
      <c r="BB2852" s="6"/>
      <c r="BD2852" s="6"/>
      <c r="BE2852" s="6"/>
      <c r="BV2852" s="17"/>
      <c r="BX2852" s="17"/>
      <c r="BZ2852" s="17"/>
    </row>
    <row r="2853" spans="4:78" x14ac:dyDescent="0.3">
      <c r="D2853" s="153"/>
      <c r="E2853" s="6"/>
      <c r="G2853" s="6"/>
      <c r="J2853" s="6"/>
      <c r="N2853" s="154"/>
      <c r="O2853" s="6"/>
      <c r="S2853" s="6"/>
      <c r="V2853" s="6"/>
      <c r="X2853" s="6"/>
      <c r="Z2853" s="110"/>
      <c r="AB2853" s="6"/>
      <c r="AD2853" s="6"/>
      <c r="AE2853" s="6"/>
      <c r="AF2853" s="126"/>
      <c r="AJ2853" s="6"/>
      <c r="AL2853" s="110"/>
      <c r="AM2853" s="110"/>
      <c r="AN2853" s="110"/>
      <c r="AP2853" s="6"/>
      <c r="AW2853" s="6"/>
      <c r="AX2853" s="6"/>
      <c r="AZ2853" s="110"/>
      <c r="BB2853" s="6"/>
      <c r="BD2853" s="6"/>
      <c r="BE2853" s="6"/>
      <c r="BV2853" s="17"/>
      <c r="BX2853" s="17"/>
      <c r="BZ2853" s="17"/>
    </row>
    <row r="2854" spans="4:78" x14ac:dyDescent="0.3">
      <c r="D2854" s="153"/>
      <c r="E2854" s="6"/>
      <c r="G2854" s="6"/>
      <c r="J2854" s="6"/>
      <c r="N2854" s="154"/>
      <c r="O2854" s="6"/>
      <c r="S2854" s="6"/>
      <c r="V2854" s="6"/>
      <c r="X2854" s="6"/>
      <c r="Z2854" s="110"/>
      <c r="AB2854" s="6"/>
      <c r="AD2854" s="6"/>
      <c r="AE2854" s="6"/>
      <c r="AF2854" s="126"/>
      <c r="AJ2854" s="6"/>
      <c r="AL2854" s="110"/>
      <c r="AM2854" s="110"/>
      <c r="AN2854" s="110"/>
      <c r="AP2854" s="6"/>
      <c r="AW2854" s="6"/>
      <c r="AX2854" s="6"/>
      <c r="AZ2854" s="110"/>
      <c r="BB2854" s="6"/>
      <c r="BD2854" s="6"/>
      <c r="BE2854" s="6"/>
      <c r="BV2854" s="17"/>
      <c r="BX2854" s="17"/>
      <c r="BZ2854" s="17"/>
    </row>
    <row r="2855" spans="4:78" x14ac:dyDescent="0.3">
      <c r="D2855" s="153"/>
      <c r="E2855" s="6"/>
      <c r="G2855" s="6"/>
      <c r="J2855" s="6"/>
      <c r="N2855" s="154"/>
      <c r="O2855" s="6"/>
      <c r="S2855" s="6"/>
      <c r="V2855" s="6"/>
      <c r="X2855" s="6"/>
      <c r="Z2855" s="110"/>
      <c r="AB2855" s="6"/>
      <c r="AD2855" s="6"/>
      <c r="AE2855" s="6"/>
      <c r="AF2855" s="126"/>
      <c r="AJ2855" s="6"/>
      <c r="AL2855" s="110"/>
      <c r="AM2855" s="110"/>
      <c r="AN2855" s="110"/>
      <c r="AP2855" s="6"/>
      <c r="AW2855" s="6"/>
      <c r="AX2855" s="6"/>
      <c r="AZ2855" s="110"/>
      <c r="BB2855" s="6"/>
      <c r="BD2855" s="6"/>
      <c r="BE2855" s="6"/>
      <c r="BV2855" s="17"/>
      <c r="BX2855" s="17"/>
      <c r="BZ2855" s="17"/>
    </row>
    <row r="2856" spans="4:78" x14ac:dyDescent="0.3">
      <c r="D2856" s="153"/>
      <c r="E2856" s="6"/>
      <c r="G2856" s="6"/>
      <c r="J2856" s="6"/>
      <c r="N2856" s="154"/>
      <c r="O2856" s="6"/>
      <c r="S2856" s="6"/>
      <c r="V2856" s="6"/>
      <c r="X2856" s="6"/>
      <c r="Z2856" s="110"/>
      <c r="AB2856" s="6"/>
      <c r="AD2856" s="6"/>
      <c r="AE2856" s="6"/>
      <c r="AF2856" s="126"/>
      <c r="AJ2856" s="6"/>
      <c r="AL2856" s="110"/>
      <c r="AM2856" s="110"/>
      <c r="AN2856" s="110"/>
      <c r="AP2856" s="6"/>
      <c r="AW2856" s="6"/>
      <c r="AX2856" s="6"/>
      <c r="AZ2856" s="110"/>
      <c r="BB2856" s="6"/>
      <c r="BD2856" s="6"/>
      <c r="BE2856" s="6"/>
      <c r="BV2856" s="17"/>
      <c r="BX2856" s="17"/>
      <c r="BZ2856" s="17"/>
    </row>
    <row r="2857" spans="4:78" x14ac:dyDescent="0.3">
      <c r="D2857" s="153"/>
      <c r="E2857" s="6"/>
      <c r="G2857" s="6"/>
      <c r="J2857" s="6"/>
      <c r="N2857" s="154"/>
      <c r="O2857" s="6"/>
      <c r="S2857" s="6"/>
      <c r="V2857" s="6"/>
      <c r="X2857" s="6"/>
      <c r="Z2857" s="110"/>
      <c r="AB2857" s="6"/>
      <c r="AD2857" s="6"/>
      <c r="AE2857" s="6"/>
      <c r="AF2857" s="126"/>
      <c r="AJ2857" s="6"/>
      <c r="AL2857" s="110"/>
      <c r="AM2857" s="110"/>
      <c r="AN2857" s="110"/>
      <c r="AP2857" s="6"/>
      <c r="AW2857" s="6"/>
      <c r="AX2857" s="6"/>
      <c r="AZ2857" s="110"/>
      <c r="BB2857" s="6"/>
      <c r="BD2857" s="6"/>
      <c r="BE2857" s="6"/>
      <c r="BV2857" s="17"/>
      <c r="BX2857" s="17"/>
      <c r="BZ2857" s="17"/>
    </row>
    <row r="2858" spans="4:78" x14ac:dyDescent="0.3">
      <c r="D2858" s="153"/>
      <c r="E2858" s="6"/>
      <c r="G2858" s="6"/>
      <c r="J2858" s="6"/>
      <c r="N2858" s="154"/>
      <c r="O2858" s="6"/>
      <c r="S2858" s="6"/>
      <c r="V2858" s="6"/>
      <c r="X2858" s="6"/>
      <c r="Z2858" s="110"/>
      <c r="AB2858" s="6"/>
      <c r="AD2858" s="6"/>
      <c r="AE2858" s="6"/>
      <c r="AF2858" s="126"/>
      <c r="AJ2858" s="6"/>
      <c r="AL2858" s="110"/>
      <c r="AM2858" s="110"/>
      <c r="AN2858" s="110"/>
      <c r="AP2858" s="6"/>
      <c r="AW2858" s="6"/>
      <c r="AX2858" s="6"/>
      <c r="AZ2858" s="110"/>
      <c r="BB2858" s="6"/>
      <c r="BD2858" s="6"/>
      <c r="BE2858" s="6"/>
      <c r="BV2858" s="17"/>
      <c r="BX2858" s="17"/>
      <c r="BZ2858" s="17"/>
    </row>
    <row r="2859" spans="4:78" x14ac:dyDescent="0.3">
      <c r="D2859" s="153"/>
      <c r="E2859" s="6"/>
      <c r="G2859" s="6"/>
      <c r="J2859" s="6"/>
      <c r="N2859" s="154"/>
      <c r="O2859" s="6"/>
      <c r="S2859" s="6"/>
      <c r="V2859" s="6"/>
      <c r="X2859" s="6"/>
      <c r="Z2859" s="110"/>
      <c r="AB2859" s="6"/>
      <c r="AD2859" s="6"/>
      <c r="AE2859" s="6"/>
      <c r="AF2859" s="126"/>
      <c r="AJ2859" s="6"/>
      <c r="AL2859" s="110"/>
      <c r="AM2859" s="110"/>
      <c r="AN2859" s="110"/>
      <c r="AP2859" s="6"/>
      <c r="AW2859" s="6"/>
      <c r="AX2859" s="6"/>
      <c r="AZ2859" s="110"/>
      <c r="BB2859" s="6"/>
      <c r="BD2859" s="6"/>
      <c r="BE2859" s="6"/>
      <c r="BV2859" s="17"/>
      <c r="BX2859" s="17"/>
      <c r="BZ2859" s="17"/>
    </row>
    <row r="2860" spans="4:78" x14ac:dyDescent="0.3">
      <c r="D2860" s="153"/>
      <c r="E2860" s="6"/>
      <c r="G2860" s="6"/>
      <c r="J2860" s="6"/>
      <c r="N2860" s="154"/>
      <c r="O2860" s="6"/>
      <c r="S2860" s="6"/>
      <c r="V2860" s="6"/>
      <c r="X2860" s="6"/>
      <c r="Z2860" s="110"/>
      <c r="AB2860" s="6"/>
      <c r="AD2860" s="6"/>
      <c r="AE2860" s="6"/>
      <c r="AF2860" s="126"/>
      <c r="AJ2860" s="6"/>
      <c r="AL2860" s="110"/>
      <c r="AM2860" s="110"/>
      <c r="AN2860" s="110"/>
      <c r="AP2860" s="6"/>
      <c r="AW2860" s="6"/>
      <c r="AX2860" s="6"/>
      <c r="AZ2860" s="110"/>
      <c r="BB2860" s="6"/>
      <c r="BD2860" s="6"/>
      <c r="BE2860" s="6"/>
      <c r="BV2860" s="17"/>
      <c r="BX2860" s="17"/>
      <c r="BZ2860" s="17"/>
    </row>
    <row r="2861" spans="4:78" x14ac:dyDescent="0.3">
      <c r="D2861" s="153"/>
      <c r="E2861" s="6"/>
      <c r="G2861" s="6"/>
      <c r="J2861" s="6"/>
      <c r="N2861" s="154"/>
      <c r="O2861" s="6"/>
      <c r="S2861" s="6"/>
      <c r="V2861" s="6"/>
      <c r="X2861" s="6"/>
      <c r="Z2861" s="110"/>
      <c r="AB2861" s="6"/>
      <c r="AD2861" s="6"/>
      <c r="AE2861" s="6"/>
      <c r="AF2861" s="126"/>
      <c r="AJ2861" s="6"/>
      <c r="AL2861" s="110"/>
      <c r="AM2861" s="110"/>
      <c r="AN2861" s="110"/>
      <c r="AP2861" s="6"/>
      <c r="AW2861" s="6"/>
      <c r="AX2861" s="6"/>
      <c r="AZ2861" s="110"/>
      <c r="BB2861" s="6"/>
      <c r="BD2861" s="6"/>
      <c r="BE2861" s="6"/>
      <c r="BV2861" s="17"/>
      <c r="BX2861" s="17"/>
      <c r="BZ2861" s="17"/>
    </row>
    <row r="2862" spans="4:78" x14ac:dyDescent="0.3">
      <c r="D2862" s="153"/>
      <c r="E2862" s="6"/>
      <c r="G2862" s="6"/>
      <c r="J2862" s="6"/>
      <c r="N2862" s="154"/>
      <c r="O2862" s="6"/>
      <c r="S2862" s="6"/>
      <c r="V2862" s="6"/>
      <c r="X2862" s="6"/>
      <c r="Z2862" s="110"/>
      <c r="AB2862" s="6"/>
      <c r="AD2862" s="6"/>
      <c r="AE2862" s="6"/>
      <c r="AF2862" s="126"/>
      <c r="AJ2862" s="6"/>
      <c r="AL2862" s="110"/>
      <c r="AM2862" s="110"/>
      <c r="AN2862" s="110"/>
      <c r="AP2862" s="6"/>
      <c r="AW2862" s="6"/>
      <c r="AX2862" s="6"/>
      <c r="AZ2862" s="110"/>
      <c r="BB2862" s="6"/>
      <c r="BD2862" s="6"/>
      <c r="BE2862" s="6"/>
      <c r="BV2862" s="17"/>
      <c r="BX2862" s="17"/>
      <c r="BZ2862" s="17"/>
    </row>
    <row r="2863" spans="4:78" x14ac:dyDescent="0.3">
      <c r="D2863" s="153"/>
      <c r="E2863" s="6"/>
      <c r="G2863" s="6"/>
      <c r="J2863" s="6"/>
      <c r="N2863" s="154"/>
      <c r="O2863" s="6"/>
      <c r="S2863" s="6"/>
      <c r="V2863" s="6"/>
      <c r="X2863" s="6"/>
      <c r="Z2863" s="110"/>
      <c r="AB2863" s="6"/>
      <c r="AD2863" s="6"/>
      <c r="AE2863" s="6"/>
      <c r="AF2863" s="126"/>
      <c r="AJ2863" s="6"/>
      <c r="AL2863" s="110"/>
      <c r="AM2863" s="110"/>
      <c r="AN2863" s="110"/>
      <c r="AP2863" s="6"/>
      <c r="AW2863" s="6"/>
      <c r="AX2863" s="6"/>
      <c r="AZ2863" s="110"/>
      <c r="BB2863" s="6"/>
      <c r="BD2863" s="6"/>
      <c r="BE2863" s="6"/>
      <c r="BV2863" s="17"/>
      <c r="BX2863" s="17"/>
      <c r="BZ2863" s="17"/>
    </row>
    <row r="2864" spans="4:78" x14ac:dyDescent="0.3">
      <c r="D2864" s="153"/>
      <c r="E2864" s="6"/>
      <c r="G2864" s="6"/>
      <c r="J2864" s="6"/>
      <c r="N2864" s="154"/>
      <c r="O2864" s="6"/>
      <c r="S2864" s="6"/>
      <c r="V2864" s="6"/>
      <c r="X2864" s="6"/>
      <c r="Z2864" s="110"/>
      <c r="AB2864" s="6"/>
      <c r="AD2864" s="6"/>
      <c r="AE2864" s="6"/>
      <c r="AF2864" s="126"/>
      <c r="AJ2864" s="6"/>
      <c r="AL2864" s="110"/>
      <c r="AM2864" s="110"/>
      <c r="AN2864" s="110"/>
      <c r="AP2864" s="6"/>
      <c r="AW2864" s="6"/>
      <c r="AX2864" s="6"/>
      <c r="AZ2864" s="110"/>
      <c r="BB2864" s="6"/>
      <c r="BD2864" s="6"/>
      <c r="BE2864" s="6"/>
      <c r="BV2864" s="17"/>
      <c r="BX2864" s="17"/>
      <c r="BZ2864" s="17"/>
    </row>
    <row r="2865" spans="4:78" x14ac:dyDescent="0.3">
      <c r="D2865" s="153"/>
      <c r="E2865" s="6"/>
      <c r="G2865" s="6"/>
      <c r="J2865" s="6"/>
      <c r="N2865" s="154"/>
      <c r="O2865" s="6"/>
      <c r="S2865" s="6"/>
      <c r="V2865" s="6"/>
      <c r="X2865" s="6"/>
      <c r="Z2865" s="110"/>
      <c r="AB2865" s="6"/>
      <c r="AD2865" s="6"/>
      <c r="AE2865" s="6"/>
      <c r="AF2865" s="126"/>
      <c r="AJ2865" s="6"/>
      <c r="AL2865" s="110"/>
      <c r="AM2865" s="110"/>
      <c r="AN2865" s="110"/>
      <c r="AP2865" s="6"/>
      <c r="AW2865" s="6"/>
      <c r="AX2865" s="6"/>
      <c r="AZ2865" s="110"/>
      <c r="BB2865" s="6"/>
      <c r="BD2865" s="6"/>
      <c r="BE2865" s="6"/>
      <c r="BV2865" s="17"/>
      <c r="BX2865" s="17"/>
      <c r="BZ2865" s="17"/>
    </row>
    <row r="2866" spans="4:78" x14ac:dyDescent="0.3">
      <c r="D2866" s="153"/>
      <c r="E2866" s="6"/>
      <c r="G2866" s="6"/>
      <c r="J2866" s="6"/>
      <c r="N2866" s="154"/>
      <c r="O2866" s="6"/>
      <c r="S2866" s="6"/>
      <c r="V2866" s="6"/>
      <c r="X2866" s="6"/>
      <c r="Z2866" s="110"/>
      <c r="AB2866" s="6"/>
      <c r="AD2866" s="6"/>
      <c r="AE2866" s="6"/>
      <c r="AF2866" s="126"/>
      <c r="AJ2866" s="6"/>
      <c r="AL2866" s="110"/>
      <c r="AM2866" s="110"/>
      <c r="AN2866" s="110"/>
      <c r="AP2866" s="6"/>
      <c r="AW2866" s="6"/>
      <c r="AX2866" s="6"/>
      <c r="AZ2866" s="110"/>
      <c r="BB2866" s="6"/>
      <c r="BD2866" s="6"/>
      <c r="BE2866" s="6"/>
      <c r="BV2866" s="17"/>
      <c r="BX2866" s="17"/>
      <c r="BZ2866" s="17"/>
    </row>
    <row r="2867" spans="4:78" x14ac:dyDescent="0.3">
      <c r="D2867" s="153"/>
      <c r="E2867" s="6"/>
      <c r="G2867" s="6"/>
      <c r="J2867" s="6"/>
      <c r="N2867" s="154"/>
      <c r="O2867" s="6"/>
      <c r="S2867" s="6"/>
      <c r="V2867" s="6"/>
      <c r="X2867" s="6"/>
      <c r="Z2867" s="110"/>
      <c r="AB2867" s="6"/>
      <c r="AD2867" s="6"/>
      <c r="AE2867" s="6"/>
      <c r="AF2867" s="126"/>
      <c r="AJ2867" s="6"/>
      <c r="AL2867" s="110"/>
      <c r="AM2867" s="110"/>
      <c r="AN2867" s="110"/>
      <c r="AP2867" s="6"/>
      <c r="AW2867" s="6"/>
      <c r="AX2867" s="6"/>
      <c r="AZ2867" s="110"/>
      <c r="BB2867" s="6"/>
      <c r="BD2867" s="6"/>
      <c r="BE2867" s="6"/>
      <c r="BV2867" s="17"/>
      <c r="BX2867" s="17"/>
      <c r="BZ2867" s="17"/>
    </row>
    <row r="2868" spans="4:78" x14ac:dyDescent="0.3">
      <c r="D2868" s="153"/>
      <c r="E2868" s="6"/>
      <c r="G2868" s="6"/>
      <c r="J2868" s="6"/>
      <c r="N2868" s="154"/>
      <c r="O2868" s="6"/>
      <c r="S2868" s="6"/>
      <c r="V2868" s="6"/>
      <c r="X2868" s="6"/>
      <c r="Z2868" s="110"/>
      <c r="AB2868" s="6"/>
      <c r="AD2868" s="6"/>
      <c r="AE2868" s="6"/>
      <c r="AF2868" s="126"/>
      <c r="AJ2868" s="6"/>
      <c r="AL2868" s="110"/>
      <c r="AM2868" s="110"/>
      <c r="AN2868" s="110"/>
      <c r="AP2868" s="6"/>
      <c r="AW2868" s="6"/>
      <c r="AX2868" s="6"/>
      <c r="AZ2868" s="110"/>
      <c r="BB2868" s="6"/>
      <c r="BD2868" s="6"/>
      <c r="BE2868" s="6"/>
      <c r="BV2868" s="17"/>
      <c r="BX2868" s="17"/>
      <c r="BZ2868" s="17"/>
    </row>
    <row r="2869" spans="4:78" x14ac:dyDescent="0.3">
      <c r="D2869" s="153"/>
      <c r="E2869" s="6"/>
      <c r="G2869" s="6"/>
      <c r="J2869" s="6"/>
      <c r="N2869" s="154"/>
      <c r="O2869" s="6"/>
      <c r="S2869" s="6"/>
      <c r="V2869" s="6"/>
      <c r="X2869" s="6"/>
      <c r="Z2869" s="110"/>
      <c r="AB2869" s="6"/>
      <c r="AD2869" s="6"/>
      <c r="AE2869" s="6"/>
      <c r="AF2869" s="126"/>
      <c r="AJ2869" s="6"/>
      <c r="AL2869" s="110"/>
      <c r="AM2869" s="110"/>
      <c r="AN2869" s="110"/>
      <c r="AP2869" s="6"/>
      <c r="AW2869" s="6"/>
      <c r="AX2869" s="6"/>
      <c r="AZ2869" s="110"/>
      <c r="BB2869" s="6"/>
      <c r="BD2869" s="6"/>
      <c r="BE2869" s="6"/>
      <c r="BV2869" s="17"/>
      <c r="BX2869" s="17"/>
      <c r="BZ2869" s="17"/>
    </row>
    <row r="2870" spans="4:78" x14ac:dyDescent="0.3">
      <c r="D2870" s="153"/>
      <c r="E2870" s="6"/>
      <c r="G2870" s="6"/>
      <c r="J2870" s="6"/>
      <c r="N2870" s="154"/>
      <c r="O2870" s="6"/>
      <c r="S2870" s="6"/>
      <c r="V2870" s="6"/>
      <c r="X2870" s="6"/>
      <c r="Z2870" s="110"/>
      <c r="AB2870" s="6"/>
      <c r="AD2870" s="6"/>
      <c r="AE2870" s="6"/>
      <c r="AF2870" s="126"/>
      <c r="AJ2870" s="6"/>
      <c r="AL2870" s="110"/>
      <c r="AM2870" s="110"/>
      <c r="AN2870" s="110"/>
      <c r="AP2870" s="6"/>
      <c r="AW2870" s="6"/>
      <c r="AX2870" s="6"/>
      <c r="AZ2870" s="110"/>
      <c r="BB2870" s="6"/>
      <c r="BD2870" s="6"/>
      <c r="BE2870" s="6"/>
      <c r="BV2870" s="17"/>
      <c r="BX2870" s="17"/>
      <c r="BZ2870" s="17"/>
    </row>
    <row r="2871" spans="4:78" x14ac:dyDescent="0.3">
      <c r="D2871" s="153"/>
      <c r="E2871" s="6"/>
      <c r="G2871" s="6"/>
      <c r="J2871" s="6"/>
      <c r="N2871" s="154"/>
      <c r="O2871" s="6"/>
      <c r="S2871" s="6"/>
      <c r="V2871" s="6"/>
      <c r="X2871" s="6"/>
      <c r="Z2871" s="110"/>
      <c r="AB2871" s="6"/>
      <c r="AD2871" s="6"/>
      <c r="AE2871" s="6"/>
      <c r="AF2871" s="126"/>
      <c r="AJ2871" s="6"/>
      <c r="AL2871" s="110"/>
      <c r="AM2871" s="110"/>
      <c r="AN2871" s="110"/>
      <c r="AP2871" s="6"/>
      <c r="AW2871" s="6"/>
      <c r="AX2871" s="6"/>
      <c r="AZ2871" s="110"/>
      <c r="BB2871" s="6"/>
      <c r="BD2871" s="6"/>
      <c r="BE2871" s="6"/>
      <c r="BV2871" s="17"/>
      <c r="BX2871" s="17"/>
      <c r="BZ2871" s="17"/>
    </row>
    <row r="2872" spans="4:78" x14ac:dyDescent="0.3">
      <c r="D2872" s="153"/>
      <c r="E2872" s="6"/>
      <c r="G2872" s="6"/>
      <c r="J2872" s="6"/>
      <c r="N2872" s="154"/>
      <c r="O2872" s="6"/>
      <c r="S2872" s="6"/>
      <c r="V2872" s="6"/>
      <c r="X2872" s="6"/>
      <c r="Z2872" s="110"/>
      <c r="AB2872" s="6"/>
      <c r="AD2872" s="6"/>
      <c r="AE2872" s="6"/>
      <c r="AF2872" s="126"/>
      <c r="AJ2872" s="6"/>
      <c r="AL2872" s="110"/>
      <c r="AM2872" s="110"/>
      <c r="AN2872" s="110"/>
      <c r="AP2872" s="6"/>
      <c r="AW2872" s="6"/>
      <c r="AX2872" s="6"/>
      <c r="AZ2872" s="110"/>
      <c r="BB2872" s="6"/>
      <c r="BD2872" s="6"/>
      <c r="BE2872" s="6"/>
      <c r="BV2872" s="17"/>
      <c r="BX2872" s="17"/>
      <c r="BZ2872" s="17"/>
    </row>
    <row r="2873" spans="4:78" x14ac:dyDescent="0.3">
      <c r="D2873" s="153"/>
      <c r="E2873" s="6"/>
      <c r="G2873" s="6"/>
      <c r="J2873" s="6"/>
      <c r="N2873" s="154"/>
      <c r="O2873" s="6"/>
      <c r="S2873" s="6"/>
      <c r="V2873" s="6"/>
      <c r="X2873" s="6"/>
      <c r="Z2873" s="110"/>
      <c r="AB2873" s="6"/>
      <c r="AD2873" s="6"/>
      <c r="AE2873" s="6"/>
      <c r="AF2873" s="126"/>
      <c r="AJ2873" s="6"/>
      <c r="AL2873" s="110"/>
      <c r="AM2873" s="110"/>
      <c r="AN2873" s="110"/>
      <c r="AP2873" s="6"/>
      <c r="AW2873" s="6"/>
      <c r="AX2873" s="6"/>
      <c r="AZ2873" s="110"/>
      <c r="BB2873" s="6"/>
      <c r="BD2873" s="6"/>
      <c r="BE2873" s="6"/>
      <c r="BV2873" s="17"/>
      <c r="BX2873" s="17"/>
      <c r="BZ2873" s="17"/>
    </row>
    <row r="2874" spans="4:78" x14ac:dyDescent="0.3">
      <c r="D2874" s="153"/>
      <c r="E2874" s="6"/>
      <c r="G2874" s="6"/>
      <c r="J2874" s="6"/>
      <c r="N2874" s="154"/>
      <c r="O2874" s="6"/>
      <c r="S2874" s="6"/>
      <c r="V2874" s="6"/>
      <c r="X2874" s="6"/>
      <c r="Z2874" s="110"/>
      <c r="AB2874" s="6"/>
      <c r="AD2874" s="6"/>
      <c r="AE2874" s="6"/>
      <c r="AF2874" s="126"/>
      <c r="AJ2874" s="6"/>
      <c r="AL2874" s="110"/>
      <c r="AM2874" s="110"/>
      <c r="AN2874" s="110"/>
      <c r="AP2874" s="6"/>
      <c r="AW2874" s="6"/>
      <c r="AX2874" s="6"/>
      <c r="AZ2874" s="110"/>
      <c r="BB2874" s="6"/>
      <c r="BD2874" s="6"/>
      <c r="BE2874" s="6"/>
      <c r="BV2874" s="17"/>
      <c r="BX2874" s="17"/>
      <c r="BZ2874" s="17"/>
    </row>
    <row r="2875" spans="4:78" x14ac:dyDescent="0.3">
      <c r="D2875" s="153"/>
      <c r="E2875" s="6"/>
      <c r="G2875" s="6"/>
      <c r="J2875" s="6"/>
      <c r="N2875" s="154"/>
      <c r="O2875" s="6"/>
      <c r="S2875" s="6"/>
      <c r="V2875" s="6"/>
      <c r="X2875" s="6"/>
      <c r="Z2875" s="110"/>
      <c r="AB2875" s="6"/>
      <c r="AD2875" s="6"/>
      <c r="AE2875" s="6"/>
      <c r="AF2875" s="126"/>
      <c r="AJ2875" s="6"/>
      <c r="AL2875" s="110"/>
      <c r="AM2875" s="110"/>
      <c r="AN2875" s="110"/>
      <c r="AP2875" s="6"/>
      <c r="AW2875" s="6"/>
      <c r="AX2875" s="6"/>
      <c r="AZ2875" s="110"/>
      <c r="BB2875" s="6"/>
      <c r="BD2875" s="6"/>
      <c r="BE2875" s="6"/>
      <c r="BV2875" s="17"/>
      <c r="BX2875" s="17"/>
      <c r="BZ2875" s="17"/>
    </row>
    <row r="2876" spans="4:78" x14ac:dyDescent="0.3">
      <c r="D2876" s="153"/>
      <c r="E2876" s="6"/>
      <c r="G2876" s="6"/>
      <c r="J2876" s="6"/>
      <c r="N2876" s="154"/>
      <c r="O2876" s="6"/>
      <c r="S2876" s="6"/>
      <c r="V2876" s="6"/>
      <c r="X2876" s="6"/>
      <c r="Z2876" s="110"/>
      <c r="AB2876" s="6"/>
      <c r="AD2876" s="6"/>
      <c r="AE2876" s="6"/>
      <c r="AF2876" s="126"/>
      <c r="AJ2876" s="6"/>
      <c r="AL2876" s="110"/>
      <c r="AM2876" s="110"/>
      <c r="AN2876" s="110"/>
      <c r="AP2876" s="6"/>
      <c r="AW2876" s="6"/>
      <c r="AX2876" s="6"/>
      <c r="AZ2876" s="110"/>
      <c r="BB2876" s="6"/>
      <c r="BD2876" s="6"/>
      <c r="BE2876" s="6"/>
      <c r="BV2876" s="17"/>
      <c r="BX2876" s="17"/>
      <c r="BZ2876" s="17"/>
    </row>
    <row r="2877" spans="4:78" x14ac:dyDescent="0.3">
      <c r="D2877" s="153"/>
      <c r="E2877" s="6"/>
      <c r="G2877" s="6"/>
      <c r="J2877" s="6"/>
      <c r="N2877" s="154"/>
      <c r="O2877" s="6"/>
      <c r="S2877" s="6"/>
      <c r="V2877" s="6"/>
      <c r="X2877" s="6"/>
      <c r="Z2877" s="110"/>
      <c r="AB2877" s="6"/>
      <c r="AD2877" s="6"/>
      <c r="AE2877" s="6"/>
      <c r="AF2877" s="126"/>
      <c r="AJ2877" s="6"/>
      <c r="AL2877" s="110"/>
      <c r="AM2877" s="110"/>
      <c r="AN2877" s="110"/>
      <c r="AP2877" s="6"/>
      <c r="AW2877" s="6"/>
      <c r="AX2877" s="6"/>
      <c r="AZ2877" s="110"/>
      <c r="BB2877" s="6"/>
      <c r="BD2877" s="6"/>
      <c r="BE2877" s="6"/>
      <c r="BV2877" s="17"/>
      <c r="BX2877" s="17"/>
      <c r="BZ2877" s="17"/>
    </row>
    <row r="2878" spans="4:78" x14ac:dyDescent="0.3">
      <c r="D2878" s="153"/>
      <c r="E2878" s="6"/>
      <c r="G2878" s="6"/>
      <c r="J2878" s="6"/>
      <c r="N2878" s="154"/>
      <c r="O2878" s="6"/>
      <c r="S2878" s="6"/>
      <c r="V2878" s="6"/>
      <c r="X2878" s="6"/>
      <c r="Z2878" s="110"/>
      <c r="AB2878" s="6"/>
      <c r="AD2878" s="6"/>
      <c r="AE2878" s="6"/>
      <c r="AF2878" s="126"/>
      <c r="AJ2878" s="6"/>
      <c r="AL2878" s="110"/>
      <c r="AM2878" s="110"/>
      <c r="AN2878" s="110"/>
      <c r="AP2878" s="6"/>
      <c r="AW2878" s="6"/>
      <c r="AX2878" s="6"/>
      <c r="AZ2878" s="110"/>
      <c r="BB2878" s="6"/>
      <c r="BD2878" s="6"/>
      <c r="BE2878" s="6"/>
      <c r="BV2878" s="17"/>
      <c r="BX2878" s="17"/>
      <c r="BZ2878" s="17"/>
    </row>
    <row r="2879" spans="4:78" x14ac:dyDescent="0.3">
      <c r="D2879" s="153"/>
      <c r="E2879" s="6"/>
      <c r="G2879" s="6"/>
      <c r="J2879" s="6"/>
      <c r="N2879" s="154"/>
      <c r="O2879" s="6"/>
      <c r="S2879" s="6"/>
      <c r="V2879" s="6"/>
      <c r="X2879" s="6"/>
      <c r="Z2879" s="110"/>
      <c r="AB2879" s="6"/>
      <c r="AD2879" s="6"/>
      <c r="AE2879" s="6"/>
      <c r="AF2879" s="126"/>
      <c r="AJ2879" s="6"/>
      <c r="AL2879" s="110"/>
      <c r="AM2879" s="110"/>
      <c r="AN2879" s="110"/>
      <c r="AP2879" s="6"/>
      <c r="AW2879" s="6"/>
      <c r="AX2879" s="6"/>
      <c r="AZ2879" s="110"/>
      <c r="BB2879" s="6"/>
      <c r="BD2879" s="6"/>
      <c r="BE2879" s="6"/>
      <c r="BV2879" s="17"/>
      <c r="BX2879" s="17"/>
      <c r="BZ2879" s="17"/>
    </row>
    <row r="2880" spans="4:78" x14ac:dyDescent="0.3">
      <c r="D2880" s="153"/>
      <c r="E2880" s="6"/>
      <c r="G2880" s="6"/>
      <c r="J2880" s="6"/>
      <c r="N2880" s="154"/>
      <c r="O2880" s="6"/>
      <c r="S2880" s="6"/>
      <c r="V2880" s="6"/>
      <c r="X2880" s="6"/>
      <c r="Z2880" s="110"/>
      <c r="AB2880" s="6"/>
      <c r="AD2880" s="6"/>
      <c r="AE2880" s="6"/>
      <c r="AF2880" s="126"/>
      <c r="AJ2880" s="6"/>
      <c r="AL2880" s="110"/>
      <c r="AM2880" s="110"/>
      <c r="AN2880" s="110"/>
      <c r="AP2880" s="6"/>
      <c r="AW2880" s="6"/>
      <c r="AX2880" s="6"/>
      <c r="AZ2880" s="110"/>
      <c r="BB2880" s="6"/>
      <c r="BD2880" s="6"/>
      <c r="BE2880" s="6"/>
      <c r="BV2880" s="17"/>
      <c r="BX2880" s="17"/>
      <c r="BZ2880" s="17"/>
    </row>
    <row r="2881" spans="4:78" x14ac:dyDescent="0.3">
      <c r="D2881" s="153"/>
      <c r="E2881" s="6"/>
      <c r="G2881" s="6"/>
      <c r="J2881" s="6"/>
      <c r="N2881" s="154"/>
      <c r="O2881" s="6"/>
      <c r="S2881" s="6"/>
      <c r="V2881" s="6"/>
      <c r="X2881" s="6"/>
      <c r="Z2881" s="110"/>
      <c r="AB2881" s="6"/>
      <c r="AD2881" s="6"/>
      <c r="AE2881" s="6"/>
      <c r="AF2881" s="126"/>
      <c r="AJ2881" s="6"/>
      <c r="AL2881" s="110"/>
      <c r="AM2881" s="110"/>
      <c r="AN2881" s="110"/>
      <c r="AP2881" s="6"/>
      <c r="AW2881" s="6"/>
      <c r="AX2881" s="6"/>
      <c r="AZ2881" s="110"/>
      <c r="BB2881" s="6"/>
      <c r="BD2881" s="6"/>
      <c r="BE2881" s="6"/>
      <c r="BV2881" s="17"/>
      <c r="BX2881" s="17"/>
      <c r="BZ2881" s="17"/>
    </row>
    <row r="2882" spans="4:78" x14ac:dyDescent="0.3">
      <c r="D2882" s="153"/>
      <c r="E2882" s="6"/>
      <c r="G2882" s="6"/>
      <c r="J2882" s="6"/>
      <c r="N2882" s="154"/>
      <c r="O2882" s="6"/>
      <c r="S2882" s="6"/>
      <c r="V2882" s="6"/>
      <c r="X2882" s="6"/>
      <c r="Z2882" s="110"/>
      <c r="AB2882" s="6"/>
      <c r="AD2882" s="6"/>
      <c r="AE2882" s="6"/>
      <c r="AF2882" s="126"/>
      <c r="AJ2882" s="6"/>
      <c r="AL2882" s="110"/>
      <c r="AM2882" s="110"/>
      <c r="AN2882" s="110"/>
      <c r="AP2882" s="6"/>
      <c r="AW2882" s="6"/>
      <c r="AX2882" s="6"/>
      <c r="AZ2882" s="110"/>
      <c r="BB2882" s="6"/>
      <c r="BD2882" s="6"/>
      <c r="BE2882" s="6"/>
      <c r="BV2882" s="17"/>
      <c r="BX2882" s="17"/>
      <c r="BZ2882" s="17"/>
    </row>
    <row r="2883" spans="4:78" x14ac:dyDescent="0.3">
      <c r="D2883" s="153"/>
      <c r="E2883" s="6"/>
      <c r="G2883" s="6"/>
      <c r="J2883" s="6"/>
      <c r="N2883" s="154"/>
      <c r="O2883" s="6"/>
      <c r="S2883" s="6"/>
      <c r="V2883" s="6"/>
      <c r="X2883" s="6"/>
      <c r="Z2883" s="110"/>
      <c r="AB2883" s="6"/>
      <c r="AD2883" s="6"/>
      <c r="AE2883" s="6"/>
      <c r="AF2883" s="126"/>
      <c r="AJ2883" s="6"/>
      <c r="AL2883" s="110"/>
      <c r="AM2883" s="110"/>
      <c r="AN2883" s="110"/>
      <c r="AP2883" s="6"/>
      <c r="AW2883" s="6"/>
      <c r="AX2883" s="6"/>
      <c r="AZ2883" s="110"/>
      <c r="BB2883" s="6"/>
      <c r="BD2883" s="6"/>
      <c r="BE2883" s="6"/>
      <c r="BV2883" s="17"/>
      <c r="BX2883" s="17"/>
      <c r="BZ2883" s="17"/>
    </row>
    <row r="2884" spans="4:78" x14ac:dyDescent="0.3">
      <c r="D2884" s="153"/>
      <c r="E2884" s="6"/>
      <c r="G2884" s="6"/>
      <c r="J2884" s="6"/>
      <c r="N2884" s="154"/>
      <c r="O2884" s="6"/>
      <c r="S2884" s="6"/>
      <c r="V2884" s="6"/>
      <c r="X2884" s="6"/>
      <c r="Z2884" s="110"/>
      <c r="AB2884" s="6"/>
      <c r="AD2884" s="6"/>
      <c r="AE2884" s="6"/>
      <c r="AF2884" s="126"/>
      <c r="AJ2884" s="6"/>
      <c r="AL2884" s="110"/>
      <c r="AM2884" s="110"/>
      <c r="AN2884" s="110"/>
      <c r="AP2884" s="6"/>
      <c r="AW2884" s="6"/>
      <c r="AX2884" s="6"/>
      <c r="AZ2884" s="110"/>
      <c r="BB2884" s="6"/>
      <c r="BD2884" s="6"/>
      <c r="BE2884" s="6"/>
      <c r="BV2884" s="17"/>
      <c r="BX2884" s="17"/>
      <c r="BZ2884" s="17"/>
    </row>
    <row r="2885" spans="4:78" x14ac:dyDescent="0.3">
      <c r="D2885" s="153"/>
      <c r="E2885" s="6"/>
      <c r="G2885" s="6"/>
      <c r="J2885" s="6"/>
      <c r="N2885" s="154"/>
      <c r="O2885" s="6"/>
      <c r="S2885" s="6"/>
      <c r="V2885" s="6"/>
      <c r="X2885" s="6"/>
      <c r="Z2885" s="110"/>
      <c r="AB2885" s="6"/>
      <c r="AD2885" s="6"/>
      <c r="AE2885" s="6"/>
      <c r="AF2885" s="126"/>
      <c r="AJ2885" s="6"/>
      <c r="AL2885" s="110"/>
      <c r="AM2885" s="110"/>
      <c r="AN2885" s="110"/>
      <c r="AP2885" s="6"/>
      <c r="AW2885" s="6"/>
      <c r="AX2885" s="6"/>
      <c r="AZ2885" s="110"/>
      <c r="BB2885" s="6"/>
      <c r="BD2885" s="6"/>
      <c r="BE2885" s="6"/>
      <c r="BV2885" s="17"/>
      <c r="BX2885" s="17"/>
      <c r="BZ2885" s="17"/>
    </row>
    <row r="2886" spans="4:78" x14ac:dyDescent="0.3">
      <c r="D2886" s="153"/>
      <c r="E2886" s="6"/>
      <c r="G2886" s="6"/>
      <c r="J2886" s="6"/>
      <c r="N2886" s="154"/>
      <c r="O2886" s="6"/>
      <c r="S2886" s="6"/>
      <c r="V2886" s="6"/>
      <c r="X2886" s="6"/>
      <c r="Z2886" s="110"/>
      <c r="AB2886" s="6"/>
      <c r="AD2886" s="6"/>
      <c r="AE2886" s="6"/>
      <c r="AF2886" s="126"/>
      <c r="AJ2886" s="6"/>
      <c r="AL2886" s="110"/>
      <c r="AM2886" s="110"/>
      <c r="AN2886" s="110"/>
      <c r="AP2886" s="6"/>
      <c r="AW2886" s="6"/>
      <c r="AX2886" s="6"/>
      <c r="AZ2886" s="110"/>
      <c r="BB2886" s="6"/>
      <c r="BD2886" s="6"/>
      <c r="BE2886" s="6"/>
      <c r="BV2886" s="17"/>
      <c r="BX2886" s="17"/>
      <c r="BZ2886" s="17"/>
    </row>
    <row r="2887" spans="4:78" x14ac:dyDescent="0.3">
      <c r="D2887" s="153"/>
      <c r="E2887" s="6"/>
      <c r="G2887" s="6"/>
      <c r="J2887" s="6"/>
      <c r="N2887" s="154"/>
      <c r="O2887" s="6"/>
      <c r="S2887" s="6"/>
      <c r="V2887" s="6"/>
      <c r="X2887" s="6"/>
      <c r="Z2887" s="110"/>
      <c r="AB2887" s="6"/>
      <c r="AD2887" s="6"/>
      <c r="AE2887" s="6"/>
      <c r="AF2887" s="126"/>
      <c r="AJ2887" s="6"/>
      <c r="AL2887" s="110"/>
      <c r="AM2887" s="110"/>
      <c r="AN2887" s="110"/>
      <c r="AP2887" s="6"/>
      <c r="AW2887" s="6"/>
      <c r="AX2887" s="6"/>
      <c r="AZ2887" s="110"/>
      <c r="BB2887" s="6"/>
      <c r="BD2887" s="6"/>
      <c r="BE2887" s="6"/>
      <c r="BV2887" s="17"/>
      <c r="BX2887" s="17"/>
      <c r="BZ2887" s="17"/>
    </row>
    <row r="2888" spans="4:78" x14ac:dyDescent="0.3">
      <c r="D2888" s="153"/>
      <c r="E2888" s="6"/>
      <c r="G2888" s="6"/>
      <c r="J2888" s="6"/>
      <c r="N2888" s="154"/>
      <c r="O2888" s="6"/>
      <c r="S2888" s="6"/>
      <c r="V2888" s="6"/>
      <c r="X2888" s="6"/>
      <c r="Z2888" s="110"/>
      <c r="AB2888" s="6"/>
      <c r="AD2888" s="6"/>
      <c r="AE2888" s="6"/>
      <c r="AF2888" s="126"/>
      <c r="AJ2888" s="6"/>
      <c r="AL2888" s="110"/>
      <c r="AM2888" s="110"/>
      <c r="AN2888" s="110"/>
      <c r="AP2888" s="6"/>
      <c r="AW2888" s="6"/>
      <c r="AX2888" s="6"/>
      <c r="AZ2888" s="110"/>
      <c r="BB2888" s="6"/>
      <c r="BD2888" s="6"/>
      <c r="BE2888" s="6"/>
      <c r="BV2888" s="17"/>
      <c r="BX2888" s="17"/>
      <c r="BZ2888" s="17"/>
    </row>
    <row r="2889" spans="4:78" x14ac:dyDescent="0.3">
      <c r="D2889" s="153"/>
      <c r="E2889" s="6"/>
      <c r="G2889" s="6"/>
      <c r="J2889" s="6"/>
      <c r="N2889" s="154"/>
      <c r="O2889" s="6"/>
      <c r="S2889" s="6"/>
      <c r="V2889" s="6"/>
      <c r="X2889" s="6"/>
      <c r="Z2889" s="110"/>
      <c r="AB2889" s="6"/>
      <c r="AD2889" s="6"/>
      <c r="AE2889" s="6"/>
      <c r="AF2889" s="126"/>
      <c r="AJ2889" s="6"/>
      <c r="AL2889" s="110"/>
      <c r="AM2889" s="110"/>
      <c r="AN2889" s="110"/>
      <c r="AP2889" s="6"/>
      <c r="AW2889" s="6"/>
      <c r="AX2889" s="6"/>
      <c r="AZ2889" s="110"/>
      <c r="BB2889" s="6"/>
      <c r="BD2889" s="6"/>
      <c r="BE2889" s="6"/>
      <c r="BV2889" s="17"/>
      <c r="BX2889" s="17"/>
      <c r="BZ2889" s="17"/>
    </row>
    <row r="2890" spans="4:78" x14ac:dyDescent="0.3">
      <c r="D2890" s="153"/>
      <c r="E2890" s="6"/>
      <c r="G2890" s="6"/>
      <c r="J2890" s="6"/>
      <c r="N2890" s="154"/>
      <c r="O2890" s="6"/>
      <c r="S2890" s="6"/>
      <c r="V2890" s="6"/>
      <c r="X2890" s="6"/>
      <c r="Z2890" s="110"/>
      <c r="AB2890" s="6"/>
      <c r="AD2890" s="6"/>
      <c r="AE2890" s="6"/>
      <c r="AF2890" s="126"/>
      <c r="AJ2890" s="6"/>
      <c r="AL2890" s="110"/>
      <c r="AM2890" s="110"/>
      <c r="AN2890" s="110"/>
      <c r="AP2890" s="6"/>
      <c r="AW2890" s="6"/>
      <c r="AX2890" s="6"/>
      <c r="AZ2890" s="110"/>
      <c r="BB2890" s="6"/>
      <c r="BD2890" s="6"/>
      <c r="BE2890" s="6"/>
      <c r="BV2890" s="17"/>
      <c r="BX2890" s="17"/>
      <c r="BZ2890" s="17"/>
    </row>
    <row r="2891" spans="4:78" x14ac:dyDescent="0.3">
      <c r="D2891" s="153"/>
      <c r="E2891" s="6"/>
      <c r="G2891" s="6"/>
      <c r="J2891" s="6"/>
      <c r="N2891" s="154"/>
      <c r="O2891" s="6"/>
      <c r="S2891" s="6"/>
      <c r="V2891" s="6"/>
      <c r="X2891" s="6"/>
      <c r="Z2891" s="110"/>
      <c r="AB2891" s="6"/>
      <c r="AD2891" s="6"/>
      <c r="AE2891" s="6"/>
      <c r="AF2891" s="126"/>
      <c r="AJ2891" s="6"/>
      <c r="AL2891" s="110"/>
      <c r="AM2891" s="110"/>
      <c r="AN2891" s="110"/>
      <c r="AP2891" s="6"/>
      <c r="AW2891" s="6"/>
      <c r="AX2891" s="6"/>
      <c r="AZ2891" s="110"/>
      <c r="BB2891" s="6"/>
      <c r="BD2891" s="6"/>
      <c r="BE2891" s="6"/>
      <c r="BV2891" s="17"/>
      <c r="BX2891" s="17"/>
      <c r="BZ2891" s="17"/>
    </row>
    <row r="2892" spans="4:78" x14ac:dyDescent="0.3">
      <c r="D2892" s="153"/>
      <c r="E2892" s="6"/>
      <c r="G2892" s="6"/>
      <c r="J2892" s="6"/>
      <c r="N2892" s="154"/>
      <c r="O2892" s="6"/>
      <c r="S2892" s="6"/>
      <c r="V2892" s="6"/>
      <c r="X2892" s="6"/>
      <c r="Z2892" s="110"/>
      <c r="AB2892" s="6"/>
      <c r="AD2892" s="6"/>
      <c r="AE2892" s="6"/>
      <c r="AF2892" s="126"/>
      <c r="AJ2892" s="6"/>
      <c r="AL2892" s="110"/>
      <c r="AM2892" s="110"/>
      <c r="AN2892" s="110"/>
      <c r="AP2892" s="6"/>
      <c r="AW2892" s="6"/>
      <c r="AX2892" s="6"/>
      <c r="AZ2892" s="110"/>
      <c r="BB2892" s="6"/>
      <c r="BD2892" s="6"/>
      <c r="BE2892" s="6"/>
      <c r="BV2892" s="17"/>
      <c r="BX2892" s="17"/>
      <c r="BZ2892" s="17"/>
    </row>
    <row r="2893" spans="4:78" x14ac:dyDescent="0.3">
      <c r="D2893" s="153"/>
      <c r="E2893" s="6"/>
      <c r="G2893" s="6"/>
      <c r="J2893" s="6"/>
      <c r="N2893" s="154"/>
      <c r="O2893" s="6"/>
      <c r="S2893" s="6"/>
      <c r="V2893" s="6"/>
      <c r="X2893" s="6"/>
      <c r="Z2893" s="110"/>
      <c r="AB2893" s="6"/>
      <c r="AD2893" s="6"/>
      <c r="AE2893" s="6"/>
      <c r="AF2893" s="126"/>
      <c r="AJ2893" s="6"/>
      <c r="AL2893" s="110"/>
      <c r="AM2893" s="110"/>
      <c r="AN2893" s="110"/>
      <c r="AP2893" s="6"/>
      <c r="AW2893" s="6"/>
      <c r="AX2893" s="6"/>
      <c r="AZ2893" s="110"/>
      <c r="BB2893" s="6"/>
      <c r="BD2893" s="6"/>
      <c r="BE2893" s="6"/>
      <c r="BV2893" s="17"/>
      <c r="BX2893" s="17"/>
      <c r="BZ2893" s="17"/>
    </row>
    <row r="2894" spans="4:78" x14ac:dyDescent="0.3">
      <c r="D2894" s="153"/>
      <c r="E2894" s="6"/>
      <c r="G2894" s="6"/>
      <c r="J2894" s="6"/>
      <c r="N2894" s="154"/>
      <c r="O2894" s="6"/>
      <c r="S2894" s="6"/>
      <c r="V2894" s="6"/>
      <c r="X2894" s="6"/>
      <c r="Z2894" s="110"/>
      <c r="AB2894" s="6"/>
      <c r="AD2894" s="6"/>
      <c r="AE2894" s="6"/>
      <c r="AF2894" s="126"/>
      <c r="AJ2894" s="6"/>
      <c r="AL2894" s="110"/>
      <c r="AM2894" s="110"/>
      <c r="AN2894" s="110"/>
      <c r="AP2894" s="6"/>
      <c r="AW2894" s="6"/>
      <c r="AX2894" s="6"/>
      <c r="AZ2894" s="110"/>
      <c r="BB2894" s="6"/>
      <c r="BD2894" s="6"/>
      <c r="BE2894" s="6"/>
      <c r="BV2894" s="17"/>
      <c r="BX2894" s="17"/>
      <c r="BZ2894" s="17"/>
    </row>
    <row r="2895" spans="4:78" x14ac:dyDescent="0.3">
      <c r="D2895" s="153"/>
      <c r="E2895" s="6"/>
      <c r="G2895" s="6"/>
      <c r="J2895" s="6"/>
      <c r="N2895" s="154"/>
      <c r="O2895" s="6"/>
      <c r="S2895" s="6"/>
      <c r="V2895" s="6"/>
      <c r="X2895" s="6"/>
      <c r="Z2895" s="110"/>
      <c r="AB2895" s="6"/>
      <c r="AD2895" s="6"/>
      <c r="AE2895" s="6"/>
      <c r="AF2895" s="126"/>
      <c r="AJ2895" s="6"/>
      <c r="AL2895" s="110"/>
      <c r="AM2895" s="110"/>
      <c r="AN2895" s="110"/>
      <c r="AP2895" s="6"/>
      <c r="AW2895" s="6"/>
      <c r="AX2895" s="6"/>
      <c r="AZ2895" s="110"/>
      <c r="BB2895" s="6"/>
      <c r="BD2895" s="6"/>
      <c r="BE2895" s="6"/>
      <c r="BV2895" s="17"/>
      <c r="BX2895" s="17"/>
      <c r="BZ2895" s="17"/>
    </row>
    <row r="2896" spans="4:78" x14ac:dyDescent="0.3">
      <c r="D2896" s="153"/>
      <c r="E2896" s="6"/>
      <c r="G2896" s="6"/>
      <c r="J2896" s="6"/>
      <c r="N2896" s="154"/>
      <c r="O2896" s="6"/>
      <c r="S2896" s="6"/>
      <c r="V2896" s="6"/>
      <c r="X2896" s="6"/>
      <c r="Z2896" s="110"/>
      <c r="AB2896" s="6"/>
      <c r="AD2896" s="6"/>
      <c r="AE2896" s="6"/>
      <c r="AF2896" s="126"/>
      <c r="AJ2896" s="6"/>
      <c r="AL2896" s="110"/>
      <c r="AM2896" s="110"/>
      <c r="AN2896" s="110"/>
      <c r="AP2896" s="6"/>
      <c r="AW2896" s="6"/>
      <c r="AX2896" s="6"/>
      <c r="AZ2896" s="110"/>
      <c r="BB2896" s="6"/>
      <c r="BD2896" s="6"/>
      <c r="BE2896" s="6"/>
      <c r="BV2896" s="17"/>
      <c r="BX2896" s="17"/>
      <c r="BZ2896" s="17"/>
    </row>
    <row r="2897" spans="4:78" x14ac:dyDescent="0.3">
      <c r="D2897" s="153"/>
      <c r="E2897" s="6"/>
      <c r="G2897" s="6"/>
      <c r="J2897" s="6"/>
      <c r="N2897" s="154"/>
      <c r="O2897" s="6"/>
      <c r="S2897" s="6"/>
      <c r="V2897" s="6"/>
      <c r="X2897" s="6"/>
      <c r="Z2897" s="110"/>
      <c r="AB2897" s="6"/>
      <c r="AD2897" s="6"/>
      <c r="AE2897" s="6"/>
      <c r="AF2897" s="126"/>
      <c r="AJ2897" s="6"/>
      <c r="AL2897" s="110"/>
      <c r="AM2897" s="110"/>
      <c r="AN2897" s="110"/>
      <c r="AP2897" s="6"/>
      <c r="AW2897" s="6"/>
      <c r="AX2897" s="6"/>
      <c r="AZ2897" s="110"/>
      <c r="BB2897" s="6"/>
      <c r="BD2897" s="6"/>
      <c r="BE2897" s="6"/>
      <c r="BV2897" s="17"/>
      <c r="BX2897" s="17"/>
      <c r="BZ2897" s="17"/>
    </row>
    <row r="2898" spans="4:78" x14ac:dyDescent="0.3">
      <c r="D2898" s="153"/>
      <c r="E2898" s="6"/>
      <c r="G2898" s="6"/>
      <c r="J2898" s="6"/>
      <c r="N2898" s="154"/>
      <c r="O2898" s="6"/>
      <c r="S2898" s="6"/>
      <c r="V2898" s="6"/>
      <c r="X2898" s="6"/>
      <c r="Z2898" s="110"/>
      <c r="AB2898" s="6"/>
      <c r="AD2898" s="6"/>
      <c r="AE2898" s="6"/>
      <c r="AF2898" s="126"/>
      <c r="AJ2898" s="6"/>
      <c r="AL2898" s="110"/>
      <c r="AM2898" s="110"/>
      <c r="AN2898" s="110"/>
      <c r="AP2898" s="6"/>
      <c r="AW2898" s="6"/>
      <c r="AX2898" s="6"/>
      <c r="AZ2898" s="110"/>
      <c r="BB2898" s="6"/>
      <c r="BD2898" s="6"/>
      <c r="BE2898" s="6"/>
      <c r="BV2898" s="17"/>
      <c r="BX2898" s="17"/>
      <c r="BZ2898" s="17"/>
    </row>
    <row r="2899" spans="4:78" x14ac:dyDescent="0.3">
      <c r="D2899" s="153"/>
      <c r="E2899" s="6"/>
      <c r="G2899" s="6"/>
      <c r="J2899" s="6"/>
      <c r="N2899" s="154"/>
      <c r="O2899" s="6"/>
      <c r="S2899" s="6"/>
      <c r="V2899" s="6"/>
      <c r="X2899" s="6"/>
      <c r="Z2899" s="110"/>
      <c r="AB2899" s="6"/>
      <c r="AD2899" s="6"/>
      <c r="AE2899" s="6"/>
      <c r="AF2899" s="126"/>
      <c r="AJ2899" s="6"/>
      <c r="AL2899" s="110"/>
      <c r="AM2899" s="110"/>
      <c r="AN2899" s="110"/>
      <c r="AP2899" s="6"/>
      <c r="AW2899" s="6"/>
      <c r="AX2899" s="6"/>
      <c r="AZ2899" s="110"/>
      <c r="BB2899" s="6"/>
      <c r="BD2899" s="6"/>
      <c r="BE2899" s="6"/>
      <c r="BV2899" s="17"/>
      <c r="BX2899" s="17"/>
      <c r="BZ2899" s="17"/>
    </row>
    <row r="2900" spans="4:78" x14ac:dyDescent="0.3">
      <c r="D2900" s="153"/>
      <c r="E2900" s="6"/>
      <c r="G2900" s="6"/>
      <c r="J2900" s="6"/>
      <c r="N2900" s="154"/>
      <c r="O2900" s="6"/>
      <c r="S2900" s="6"/>
      <c r="V2900" s="6"/>
      <c r="X2900" s="6"/>
      <c r="Z2900" s="110"/>
      <c r="AB2900" s="6"/>
      <c r="AD2900" s="6"/>
      <c r="AE2900" s="6"/>
      <c r="AF2900" s="126"/>
      <c r="AJ2900" s="6"/>
      <c r="AL2900" s="110"/>
      <c r="AM2900" s="110"/>
      <c r="AN2900" s="110"/>
      <c r="AP2900" s="6"/>
      <c r="AW2900" s="6"/>
      <c r="AX2900" s="6"/>
      <c r="AZ2900" s="110"/>
      <c r="BB2900" s="6"/>
      <c r="BD2900" s="6"/>
      <c r="BE2900" s="6"/>
      <c r="BV2900" s="17"/>
      <c r="BX2900" s="17"/>
      <c r="BZ2900" s="17"/>
    </row>
    <row r="2901" spans="4:78" x14ac:dyDescent="0.3">
      <c r="D2901" s="153"/>
      <c r="E2901" s="6"/>
      <c r="G2901" s="6"/>
      <c r="J2901" s="6"/>
      <c r="N2901" s="154"/>
      <c r="O2901" s="6"/>
      <c r="S2901" s="6"/>
      <c r="V2901" s="6"/>
      <c r="X2901" s="6"/>
      <c r="Z2901" s="110"/>
      <c r="AB2901" s="6"/>
      <c r="AD2901" s="6"/>
      <c r="AE2901" s="6"/>
      <c r="AF2901" s="126"/>
      <c r="AJ2901" s="6"/>
      <c r="AL2901" s="110"/>
      <c r="AM2901" s="110"/>
      <c r="AN2901" s="110"/>
      <c r="AP2901" s="6"/>
      <c r="AW2901" s="6"/>
      <c r="AX2901" s="6"/>
      <c r="AZ2901" s="110"/>
      <c r="BB2901" s="6"/>
      <c r="BD2901" s="6"/>
      <c r="BE2901" s="6"/>
      <c r="BV2901" s="17"/>
      <c r="BX2901" s="17"/>
      <c r="BZ2901" s="17"/>
    </row>
    <row r="2902" spans="4:78" x14ac:dyDescent="0.3">
      <c r="D2902" s="153"/>
      <c r="E2902" s="6"/>
      <c r="G2902" s="6"/>
      <c r="J2902" s="6"/>
      <c r="N2902" s="154"/>
      <c r="O2902" s="6"/>
      <c r="S2902" s="6"/>
      <c r="V2902" s="6"/>
      <c r="X2902" s="6"/>
      <c r="Z2902" s="110"/>
      <c r="AB2902" s="6"/>
      <c r="AD2902" s="6"/>
      <c r="AE2902" s="6"/>
      <c r="AF2902" s="126"/>
      <c r="AJ2902" s="6"/>
      <c r="AL2902" s="110"/>
      <c r="AM2902" s="110"/>
      <c r="AN2902" s="110"/>
      <c r="AP2902" s="6"/>
      <c r="AW2902" s="6"/>
      <c r="AX2902" s="6"/>
      <c r="AZ2902" s="110"/>
      <c r="BB2902" s="6"/>
      <c r="BD2902" s="6"/>
      <c r="BE2902" s="6"/>
      <c r="BV2902" s="17"/>
      <c r="BX2902" s="17"/>
      <c r="BZ2902" s="17"/>
    </row>
    <row r="2903" spans="4:78" x14ac:dyDescent="0.3">
      <c r="D2903" s="153"/>
      <c r="E2903" s="6"/>
      <c r="G2903" s="6"/>
      <c r="J2903" s="6"/>
      <c r="N2903" s="154"/>
      <c r="O2903" s="6"/>
      <c r="S2903" s="6"/>
      <c r="V2903" s="6"/>
      <c r="X2903" s="6"/>
      <c r="Z2903" s="110"/>
      <c r="AB2903" s="6"/>
      <c r="AD2903" s="6"/>
      <c r="AE2903" s="6"/>
      <c r="AF2903" s="126"/>
      <c r="AJ2903" s="6"/>
      <c r="AL2903" s="110"/>
      <c r="AM2903" s="110"/>
      <c r="AN2903" s="110"/>
      <c r="AP2903" s="6"/>
      <c r="AW2903" s="6"/>
      <c r="AX2903" s="6"/>
      <c r="AZ2903" s="110"/>
      <c r="BB2903" s="6"/>
      <c r="BD2903" s="6"/>
      <c r="BE2903" s="6"/>
      <c r="BV2903" s="17"/>
      <c r="BX2903" s="17"/>
      <c r="BZ2903" s="17"/>
    </row>
    <row r="2904" spans="4:78" x14ac:dyDescent="0.3">
      <c r="D2904" s="153"/>
      <c r="E2904" s="6"/>
      <c r="G2904" s="6"/>
      <c r="J2904" s="6"/>
      <c r="N2904" s="154"/>
      <c r="O2904" s="6"/>
      <c r="S2904" s="6"/>
      <c r="V2904" s="6"/>
      <c r="X2904" s="6"/>
      <c r="Z2904" s="110"/>
      <c r="AB2904" s="6"/>
      <c r="AD2904" s="6"/>
      <c r="AE2904" s="6"/>
      <c r="AF2904" s="126"/>
      <c r="AJ2904" s="6"/>
      <c r="AL2904" s="110"/>
      <c r="AM2904" s="110"/>
      <c r="AN2904" s="110"/>
      <c r="AP2904" s="6"/>
      <c r="AW2904" s="6"/>
      <c r="AX2904" s="6"/>
      <c r="AZ2904" s="110"/>
      <c r="BB2904" s="6"/>
      <c r="BD2904" s="6"/>
      <c r="BE2904" s="6"/>
      <c r="BV2904" s="17"/>
      <c r="BX2904" s="17"/>
      <c r="BZ2904" s="17"/>
    </row>
    <row r="2905" spans="4:78" x14ac:dyDescent="0.3">
      <c r="D2905" s="153"/>
      <c r="E2905" s="6"/>
      <c r="G2905" s="6"/>
      <c r="J2905" s="6"/>
      <c r="N2905" s="154"/>
      <c r="O2905" s="6"/>
      <c r="S2905" s="6"/>
      <c r="V2905" s="6"/>
      <c r="X2905" s="6"/>
      <c r="Z2905" s="110"/>
      <c r="AB2905" s="6"/>
      <c r="AD2905" s="6"/>
      <c r="AE2905" s="6"/>
      <c r="AF2905" s="126"/>
      <c r="AJ2905" s="6"/>
      <c r="AL2905" s="110"/>
      <c r="AM2905" s="110"/>
      <c r="AN2905" s="110"/>
      <c r="AP2905" s="6"/>
      <c r="AW2905" s="6"/>
      <c r="AX2905" s="6"/>
      <c r="AZ2905" s="110"/>
      <c r="BB2905" s="6"/>
      <c r="BD2905" s="6"/>
      <c r="BE2905" s="6"/>
      <c r="BV2905" s="17"/>
      <c r="BX2905" s="17"/>
      <c r="BZ2905" s="17"/>
    </row>
    <row r="2906" spans="4:78" x14ac:dyDescent="0.3">
      <c r="D2906" s="153"/>
      <c r="E2906" s="6"/>
      <c r="G2906" s="6"/>
      <c r="J2906" s="6"/>
      <c r="N2906" s="154"/>
      <c r="O2906" s="6"/>
      <c r="S2906" s="6"/>
      <c r="V2906" s="6"/>
      <c r="X2906" s="6"/>
      <c r="Z2906" s="110"/>
      <c r="AB2906" s="6"/>
      <c r="AD2906" s="6"/>
      <c r="AE2906" s="6"/>
      <c r="AF2906" s="126"/>
      <c r="AJ2906" s="6"/>
      <c r="AL2906" s="110"/>
      <c r="AM2906" s="110"/>
      <c r="AN2906" s="110"/>
      <c r="AP2906" s="6"/>
      <c r="AW2906" s="6"/>
      <c r="AX2906" s="6"/>
      <c r="AZ2906" s="110"/>
      <c r="BB2906" s="6"/>
      <c r="BD2906" s="6"/>
      <c r="BE2906" s="6"/>
      <c r="BV2906" s="17"/>
      <c r="BX2906" s="17"/>
      <c r="BZ2906" s="17"/>
    </row>
    <row r="2907" spans="4:78" x14ac:dyDescent="0.3">
      <c r="D2907" s="153"/>
      <c r="E2907" s="6"/>
      <c r="G2907" s="6"/>
      <c r="J2907" s="6"/>
      <c r="N2907" s="154"/>
      <c r="O2907" s="6"/>
      <c r="S2907" s="6"/>
      <c r="V2907" s="6"/>
      <c r="X2907" s="6"/>
      <c r="Z2907" s="110"/>
      <c r="AB2907" s="6"/>
      <c r="AD2907" s="6"/>
      <c r="AE2907" s="6"/>
      <c r="AF2907" s="126"/>
      <c r="AJ2907" s="6"/>
      <c r="AL2907" s="110"/>
      <c r="AM2907" s="110"/>
      <c r="AN2907" s="110"/>
      <c r="AP2907" s="6"/>
      <c r="AW2907" s="6"/>
      <c r="AX2907" s="6"/>
      <c r="AZ2907" s="110"/>
      <c r="BB2907" s="6"/>
      <c r="BD2907" s="6"/>
      <c r="BE2907" s="6"/>
      <c r="BV2907" s="17"/>
      <c r="BX2907" s="17"/>
      <c r="BZ2907" s="17"/>
    </row>
    <row r="2908" spans="4:78" x14ac:dyDescent="0.3">
      <c r="D2908" s="153"/>
      <c r="E2908" s="6"/>
      <c r="G2908" s="6"/>
      <c r="J2908" s="6"/>
      <c r="N2908" s="154"/>
      <c r="O2908" s="6"/>
      <c r="S2908" s="6"/>
      <c r="V2908" s="6"/>
      <c r="X2908" s="6"/>
      <c r="Z2908" s="110"/>
      <c r="AB2908" s="6"/>
      <c r="AD2908" s="6"/>
      <c r="AE2908" s="6"/>
      <c r="AF2908" s="126"/>
      <c r="AJ2908" s="6"/>
      <c r="AL2908" s="110"/>
      <c r="AM2908" s="110"/>
      <c r="AN2908" s="110"/>
      <c r="AP2908" s="6"/>
      <c r="AW2908" s="6"/>
      <c r="AX2908" s="6"/>
      <c r="AZ2908" s="110"/>
      <c r="BB2908" s="6"/>
      <c r="BD2908" s="6"/>
      <c r="BE2908" s="6"/>
      <c r="BV2908" s="17"/>
      <c r="BX2908" s="17"/>
      <c r="BZ2908" s="17"/>
    </row>
    <row r="2909" spans="4:78" x14ac:dyDescent="0.3">
      <c r="D2909" s="153"/>
      <c r="E2909" s="6"/>
      <c r="G2909" s="6"/>
      <c r="J2909" s="6"/>
      <c r="N2909" s="154"/>
      <c r="O2909" s="6"/>
      <c r="S2909" s="6"/>
      <c r="V2909" s="6"/>
      <c r="X2909" s="6"/>
      <c r="Z2909" s="110"/>
      <c r="AB2909" s="6"/>
      <c r="AD2909" s="6"/>
      <c r="AE2909" s="6"/>
      <c r="AF2909" s="126"/>
      <c r="AJ2909" s="6"/>
      <c r="AL2909" s="110"/>
      <c r="AM2909" s="110"/>
      <c r="AN2909" s="110"/>
      <c r="AP2909" s="6"/>
      <c r="AW2909" s="6"/>
      <c r="AX2909" s="6"/>
      <c r="AZ2909" s="110"/>
      <c r="BB2909" s="6"/>
      <c r="BD2909" s="6"/>
      <c r="BE2909" s="6"/>
      <c r="BV2909" s="17"/>
      <c r="BX2909" s="17"/>
      <c r="BZ2909" s="17"/>
    </row>
    <row r="2910" spans="4:78" x14ac:dyDescent="0.3">
      <c r="D2910" s="153"/>
      <c r="E2910" s="6"/>
      <c r="G2910" s="6"/>
      <c r="J2910" s="6"/>
      <c r="N2910" s="154"/>
      <c r="O2910" s="6"/>
      <c r="S2910" s="6"/>
      <c r="V2910" s="6"/>
      <c r="X2910" s="6"/>
      <c r="Z2910" s="110"/>
      <c r="AB2910" s="6"/>
      <c r="AD2910" s="6"/>
      <c r="AE2910" s="6"/>
      <c r="AF2910" s="126"/>
      <c r="AJ2910" s="6"/>
      <c r="AL2910" s="110"/>
      <c r="AM2910" s="110"/>
      <c r="AN2910" s="110"/>
      <c r="AP2910" s="6"/>
      <c r="AW2910" s="6"/>
      <c r="AX2910" s="6"/>
      <c r="AZ2910" s="110"/>
      <c r="BB2910" s="6"/>
      <c r="BD2910" s="6"/>
      <c r="BE2910" s="6"/>
      <c r="BV2910" s="17"/>
      <c r="BX2910" s="17"/>
      <c r="BZ2910" s="17"/>
    </row>
    <row r="2911" spans="4:78" x14ac:dyDescent="0.3">
      <c r="D2911" s="153"/>
      <c r="E2911" s="6"/>
      <c r="G2911" s="6"/>
      <c r="J2911" s="6"/>
      <c r="N2911" s="154"/>
      <c r="O2911" s="6"/>
      <c r="S2911" s="6"/>
      <c r="V2911" s="6"/>
      <c r="X2911" s="6"/>
      <c r="Z2911" s="110"/>
      <c r="AB2911" s="6"/>
      <c r="AD2911" s="6"/>
      <c r="AE2911" s="6"/>
      <c r="AF2911" s="126"/>
      <c r="AJ2911" s="6"/>
      <c r="AL2911" s="110"/>
      <c r="AM2911" s="110"/>
      <c r="AN2911" s="110"/>
      <c r="AP2911" s="6"/>
      <c r="AW2911" s="6"/>
      <c r="AX2911" s="6"/>
      <c r="AZ2911" s="110"/>
      <c r="BB2911" s="6"/>
      <c r="BD2911" s="6"/>
      <c r="BE2911" s="6"/>
      <c r="BV2911" s="17"/>
      <c r="BX2911" s="17"/>
      <c r="BZ2911" s="17"/>
    </row>
    <row r="2912" spans="4:78" x14ac:dyDescent="0.3">
      <c r="D2912" s="153"/>
      <c r="E2912" s="6"/>
      <c r="G2912" s="6"/>
      <c r="J2912" s="6"/>
      <c r="N2912" s="154"/>
      <c r="O2912" s="6"/>
      <c r="S2912" s="6"/>
      <c r="V2912" s="6"/>
      <c r="X2912" s="6"/>
      <c r="Z2912" s="110"/>
      <c r="AB2912" s="6"/>
      <c r="AD2912" s="6"/>
      <c r="AE2912" s="6"/>
      <c r="AF2912" s="126"/>
      <c r="AJ2912" s="6"/>
      <c r="AL2912" s="110"/>
      <c r="AM2912" s="110"/>
      <c r="AN2912" s="110"/>
      <c r="AP2912" s="6"/>
      <c r="AW2912" s="6"/>
      <c r="AX2912" s="6"/>
      <c r="AZ2912" s="110"/>
      <c r="BB2912" s="6"/>
      <c r="BD2912" s="6"/>
      <c r="BE2912" s="6"/>
      <c r="BV2912" s="17"/>
      <c r="BX2912" s="17"/>
      <c r="BZ2912" s="17"/>
    </row>
    <row r="2913" spans="4:78" x14ac:dyDescent="0.3">
      <c r="D2913" s="153"/>
      <c r="E2913" s="6"/>
      <c r="G2913" s="6"/>
      <c r="J2913" s="6"/>
      <c r="N2913" s="154"/>
      <c r="O2913" s="6"/>
      <c r="S2913" s="6"/>
      <c r="V2913" s="6"/>
      <c r="X2913" s="6"/>
      <c r="Z2913" s="110"/>
      <c r="AB2913" s="6"/>
      <c r="AD2913" s="6"/>
      <c r="AE2913" s="6"/>
      <c r="AF2913" s="126"/>
      <c r="AJ2913" s="6"/>
      <c r="AL2913" s="110"/>
      <c r="AM2913" s="110"/>
      <c r="AN2913" s="110"/>
      <c r="AP2913" s="6"/>
      <c r="AW2913" s="6"/>
      <c r="AX2913" s="6"/>
      <c r="AZ2913" s="110"/>
      <c r="BB2913" s="6"/>
      <c r="BD2913" s="6"/>
      <c r="BE2913" s="6"/>
      <c r="BV2913" s="17"/>
      <c r="BX2913" s="17"/>
      <c r="BZ2913" s="17"/>
    </row>
    <row r="2914" spans="4:78" x14ac:dyDescent="0.3">
      <c r="D2914" s="153"/>
      <c r="E2914" s="6"/>
      <c r="G2914" s="6"/>
      <c r="J2914" s="6"/>
      <c r="N2914" s="154"/>
      <c r="O2914" s="6"/>
      <c r="S2914" s="6"/>
      <c r="V2914" s="6"/>
      <c r="X2914" s="6"/>
      <c r="Z2914" s="110"/>
      <c r="AB2914" s="6"/>
      <c r="AD2914" s="6"/>
      <c r="AE2914" s="6"/>
      <c r="AF2914" s="126"/>
      <c r="AJ2914" s="6"/>
      <c r="AL2914" s="110"/>
      <c r="AM2914" s="110"/>
      <c r="AN2914" s="110"/>
      <c r="AP2914" s="6"/>
      <c r="AW2914" s="6"/>
      <c r="AX2914" s="6"/>
      <c r="AZ2914" s="110"/>
      <c r="BB2914" s="6"/>
      <c r="BD2914" s="6"/>
      <c r="BE2914" s="6"/>
      <c r="BV2914" s="17"/>
      <c r="BX2914" s="17"/>
      <c r="BZ2914" s="17"/>
    </row>
    <row r="2915" spans="4:78" x14ac:dyDescent="0.3">
      <c r="D2915" s="153"/>
      <c r="E2915" s="6"/>
      <c r="G2915" s="6"/>
      <c r="J2915" s="6"/>
      <c r="N2915" s="154"/>
      <c r="O2915" s="6"/>
      <c r="S2915" s="6"/>
      <c r="V2915" s="6"/>
      <c r="X2915" s="6"/>
      <c r="Z2915" s="110"/>
      <c r="AB2915" s="6"/>
      <c r="AD2915" s="6"/>
      <c r="AE2915" s="6"/>
      <c r="AF2915" s="126"/>
      <c r="AJ2915" s="6"/>
      <c r="AL2915" s="110"/>
      <c r="AM2915" s="110"/>
      <c r="AN2915" s="110"/>
      <c r="AP2915" s="6"/>
      <c r="AW2915" s="6"/>
      <c r="AX2915" s="6"/>
      <c r="AZ2915" s="110"/>
      <c r="BB2915" s="6"/>
      <c r="BD2915" s="6"/>
      <c r="BE2915" s="6"/>
      <c r="BV2915" s="17"/>
      <c r="BX2915" s="17"/>
      <c r="BZ2915" s="17"/>
    </row>
    <row r="2916" spans="4:78" x14ac:dyDescent="0.3">
      <c r="D2916" s="153"/>
      <c r="E2916" s="6"/>
      <c r="G2916" s="6"/>
      <c r="J2916" s="6"/>
      <c r="N2916" s="154"/>
      <c r="O2916" s="6"/>
      <c r="S2916" s="6"/>
      <c r="V2916" s="6"/>
      <c r="X2916" s="6"/>
      <c r="Z2916" s="110"/>
      <c r="AB2916" s="6"/>
      <c r="AD2916" s="6"/>
      <c r="AE2916" s="6"/>
      <c r="AF2916" s="126"/>
      <c r="AJ2916" s="6"/>
      <c r="AL2916" s="110"/>
      <c r="AM2916" s="110"/>
      <c r="AN2916" s="110"/>
      <c r="AP2916" s="6"/>
      <c r="AW2916" s="6"/>
      <c r="AX2916" s="6"/>
      <c r="AZ2916" s="110"/>
      <c r="BB2916" s="6"/>
      <c r="BD2916" s="6"/>
      <c r="BE2916" s="6"/>
      <c r="BV2916" s="17"/>
      <c r="BX2916" s="17"/>
      <c r="BZ2916" s="17"/>
    </row>
    <row r="2917" spans="4:78" x14ac:dyDescent="0.3">
      <c r="D2917" s="153"/>
      <c r="E2917" s="6"/>
      <c r="G2917" s="6"/>
      <c r="J2917" s="6"/>
      <c r="N2917" s="154"/>
      <c r="O2917" s="6"/>
      <c r="S2917" s="6"/>
      <c r="V2917" s="6"/>
      <c r="X2917" s="6"/>
      <c r="Z2917" s="110"/>
      <c r="AB2917" s="6"/>
      <c r="AD2917" s="6"/>
      <c r="AE2917" s="6"/>
      <c r="AF2917" s="126"/>
      <c r="AJ2917" s="6"/>
      <c r="AL2917" s="110"/>
      <c r="AM2917" s="110"/>
      <c r="AN2917" s="110"/>
      <c r="AP2917" s="6"/>
      <c r="AW2917" s="6"/>
      <c r="AX2917" s="6"/>
      <c r="AZ2917" s="110"/>
      <c r="BB2917" s="6"/>
      <c r="BD2917" s="6"/>
      <c r="BE2917" s="6"/>
      <c r="BV2917" s="17"/>
      <c r="BX2917" s="17"/>
      <c r="BZ2917" s="17"/>
    </row>
    <row r="2918" spans="4:78" x14ac:dyDescent="0.3">
      <c r="D2918" s="153"/>
      <c r="E2918" s="6"/>
      <c r="G2918" s="6"/>
      <c r="J2918" s="6"/>
      <c r="N2918" s="154"/>
      <c r="O2918" s="6"/>
      <c r="S2918" s="6"/>
      <c r="V2918" s="6"/>
      <c r="X2918" s="6"/>
      <c r="Z2918" s="110"/>
      <c r="AB2918" s="6"/>
      <c r="AD2918" s="6"/>
      <c r="AE2918" s="6"/>
      <c r="AF2918" s="126"/>
      <c r="AJ2918" s="6"/>
      <c r="AL2918" s="110"/>
      <c r="AM2918" s="110"/>
      <c r="AN2918" s="110"/>
      <c r="AP2918" s="6"/>
      <c r="AW2918" s="6"/>
      <c r="AX2918" s="6"/>
      <c r="AZ2918" s="110"/>
      <c r="BB2918" s="6"/>
      <c r="BD2918" s="6"/>
      <c r="BE2918" s="6"/>
      <c r="BV2918" s="17"/>
      <c r="BX2918" s="17"/>
      <c r="BZ2918" s="17"/>
    </row>
    <row r="2919" spans="4:78" x14ac:dyDescent="0.3">
      <c r="D2919" s="153"/>
      <c r="E2919" s="6"/>
      <c r="G2919" s="6"/>
      <c r="J2919" s="6"/>
      <c r="N2919" s="154"/>
      <c r="O2919" s="6"/>
      <c r="S2919" s="6"/>
      <c r="V2919" s="6"/>
      <c r="X2919" s="6"/>
      <c r="Z2919" s="110"/>
      <c r="AB2919" s="6"/>
      <c r="AD2919" s="6"/>
      <c r="AE2919" s="6"/>
      <c r="AF2919" s="126"/>
      <c r="AJ2919" s="6"/>
      <c r="AL2919" s="110"/>
      <c r="AM2919" s="110"/>
      <c r="AN2919" s="110"/>
      <c r="AP2919" s="6"/>
      <c r="AW2919" s="6"/>
      <c r="AX2919" s="6"/>
      <c r="AZ2919" s="110"/>
      <c r="BB2919" s="6"/>
      <c r="BD2919" s="6"/>
      <c r="BE2919" s="6"/>
      <c r="BV2919" s="17"/>
      <c r="BX2919" s="17"/>
      <c r="BZ2919" s="17"/>
    </row>
    <row r="2920" spans="4:78" x14ac:dyDescent="0.3">
      <c r="D2920" s="153"/>
      <c r="E2920" s="6"/>
      <c r="G2920" s="6"/>
      <c r="J2920" s="6"/>
      <c r="N2920" s="154"/>
      <c r="O2920" s="6"/>
      <c r="S2920" s="6"/>
      <c r="V2920" s="6"/>
      <c r="X2920" s="6"/>
      <c r="Z2920" s="110"/>
      <c r="AB2920" s="6"/>
      <c r="AD2920" s="6"/>
      <c r="AE2920" s="6"/>
      <c r="AF2920" s="126"/>
      <c r="AJ2920" s="6"/>
      <c r="AL2920" s="110"/>
      <c r="AM2920" s="110"/>
      <c r="AN2920" s="110"/>
      <c r="AP2920" s="6"/>
      <c r="AW2920" s="6"/>
      <c r="AX2920" s="6"/>
      <c r="AZ2920" s="110"/>
      <c r="BB2920" s="6"/>
      <c r="BD2920" s="6"/>
      <c r="BE2920" s="6"/>
      <c r="BV2920" s="17"/>
      <c r="BX2920" s="17"/>
      <c r="BZ2920" s="17"/>
    </row>
    <row r="2921" spans="4:78" x14ac:dyDescent="0.3">
      <c r="D2921" s="153"/>
      <c r="E2921" s="6"/>
      <c r="G2921" s="6"/>
      <c r="J2921" s="6"/>
      <c r="N2921" s="154"/>
      <c r="O2921" s="6"/>
      <c r="S2921" s="6"/>
      <c r="V2921" s="6"/>
      <c r="X2921" s="6"/>
      <c r="Z2921" s="110"/>
      <c r="AB2921" s="6"/>
      <c r="AD2921" s="6"/>
      <c r="AE2921" s="6"/>
      <c r="AF2921" s="126"/>
      <c r="AJ2921" s="6"/>
      <c r="AL2921" s="110"/>
      <c r="AM2921" s="110"/>
      <c r="AN2921" s="110"/>
      <c r="AP2921" s="6"/>
      <c r="AW2921" s="6"/>
      <c r="AX2921" s="6"/>
      <c r="AZ2921" s="110"/>
      <c r="BB2921" s="6"/>
      <c r="BD2921" s="6"/>
      <c r="BE2921" s="6"/>
      <c r="BV2921" s="17"/>
      <c r="BX2921" s="17"/>
      <c r="BZ2921" s="17"/>
    </row>
    <row r="2922" spans="4:78" x14ac:dyDescent="0.3">
      <c r="D2922" s="153"/>
      <c r="E2922" s="6"/>
      <c r="G2922" s="6"/>
      <c r="J2922" s="6"/>
      <c r="N2922" s="154"/>
      <c r="O2922" s="6"/>
      <c r="S2922" s="6"/>
      <c r="V2922" s="6"/>
      <c r="X2922" s="6"/>
      <c r="Z2922" s="110"/>
      <c r="AB2922" s="6"/>
      <c r="AD2922" s="6"/>
      <c r="AE2922" s="6"/>
      <c r="AF2922" s="126"/>
      <c r="AJ2922" s="6"/>
      <c r="AL2922" s="110"/>
      <c r="AM2922" s="110"/>
      <c r="AN2922" s="110"/>
      <c r="AP2922" s="6"/>
      <c r="AW2922" s="6"/>
      <c r="AX2922" s="6"/>
      <c r="AZ2922" s="110"/>
      <c r="BB2922" s="6"/>
      <c r="BD2922" s="6"/>
      <c r="BE2922" s="6"/>
      <c r="BV2922" s="17"/>
      <c r="BX2922" s="17"/>
      <c r="BZ2922" s="17"/>
    </row>
    <row r="2923" spans="4:78" x14ac:dyDescent="0.3">
      <c r="D2923" s="153"/>
      <c r="E2923" s="6"/>
      <c r="G2923" s="6"/>
      <c r="J2923" s="6"/>
      <c r="N2923" s="154"/>
      <c r="O2923" s="6"/>
      <c r="S2923" s="6"/>
      <c r="V2923" s="6"/>
      <c r="X2923" s="6"/>
      <c r="Z2923" s="110"/>
      <c r="AB2923" s="6"/>
      <c r="AD2923" s="6"/>
      <c r="AE2923" s="6"/>
      <c r="AF2923" s="126"/>
      <c r="AJ2923" s="6"/>
      <c r="AL2923" s="110"/>
      <c r="AM2923" s="110"/>
      <c r="AN2923" s="110"/>
      <c r="AP2923" s="6"/>
      <c r="AW2923" s="6"/>
      <c r="AX2923" s="6"/>
      <c r="AZ2923" s="110"/>
      <c r="BB2923" s="6"/>
      <c r="BD2923" s="6"/>
      <c r="BE2923" s="6"/>
      <c r="BV2923" s="17"/>
      <c r="BX2923" s="17"/>
      <c r="BZ2923" s="17"/>
    </row>
    <row r="2924" spans="4:78" x14ac:dyDescent="0.3">
      <c r="D2924" s="153"/>
      <c r="E2924" s="6"/>
      <c r="G2924" s="6"/>
      <c r="J2924" s="6"/>
      <c r="N2924" s="154"/>
      <c r="O2924" s="6"/>
      <c r="S2924" s="6"/>
      <c r="V2924" s="6"/>
      <c r="X2924" s="6"/>
      <c r="Z2924" s="110"/>
      <c r="AB2924" s="6"/>
      <c r="AD2924" s="6"/>
      <c r="AE2924" s="6"/>
      <c r="AF2924" s="126"/>
      <c r="AJ2924" s="6"/>
      <c r="AL2924" s="110"/>
      <c r="AM2924" s="110"/>
      <c r="AN2924" s="110"/>
      <c r="AP2924" s="6"/>
      <c r="AW2924" s="6"/>
      <c r="AX2924" s="6"/>
      <c r="AZ2924" s="110"/>
      <c r="BB2924" s="6"/>
      <c r="BD2924" s="6"/>
      <c r="BE2924" s="6"/>
      <c r="BV2924" s="17"/>
      <c r="BX2924" s="17"/>
      <c r="BZ2924" s="17"/>
    </row>
    <row r="2925" spans="4:78" x14ac:dyDescent="0.3">
      <c r="D2925" s="153"/>
      <c r="E2925" s="6"/>
      <c r="G2925" s="6"/>
      <c r="J2925" s="6"/>
      <c r="N2925" s="154"/>
      <c r="O2925" s="6"/>
      <c r="S2925" s="6"/>
      <c r="V2925" s="6"/>
      <c r="X2925" s="6"/>
      <c r="Z2925" s="110"/>
      <c r="AB2925" s="6"/>
      <c r="AD2925" s="6"/>
      <c r="AE2925" s="6"/>
      <c r="AF2925" s="126"/>
      <c r="AJ2925" s="6"/>
      <c r="AL2925" s="110"/>
      <c r="AM2925" s="110"/>
      <c r="AN2925" s="110"/>
      <c r="AP2925" s="6"/>
      <c r="AW2925" s="6"/>
      <c r="AX2925" s="6"/>
      <c r="AZ2925" s="110"/>
      <c r="BB2925" s="6"/>
      <c r="BD2925" s="6"/>
      <c r="BE2925" s="6"/>
      <c r="BV2925" s="17"/>
      <c r="BX2925" s="17"/>
      <c r="BZ2925" s="17"/>
    </row>
    <row r="2926" spans="4:78" x14ac:dyDescent="0.3">
      <c r="D2926" s="153"/>
      <c r="E2926" s="6"/>
      <c r="G2926" s="6"/>
      <c r="J2926" s="6"/>
      <c r="N2926" s="154"/>
      <c r="O2926" s="6"/>
      <c r="S2926" s="6"/>
      <c r="V2926" s="6"/>
      <c r="X2926" s="6"/>
      <c r="Z2926" s="110"/>
      <c r="AB2926" s="6"/>
      <c r="AD2926" s="6"/>
      <c r="AE2926" s="6"/>
      <c r="AF2926" s="126"/>
      <c r="AJ2926" s="6"/>
      <c r="AL2926" s="110"/>
      <c r="AM2926" s="110"/>
      <c r="AN2926" s="110"/>
      <c r="AP2926" s="6"/>
      <c r="AW2926" s="6"/>
      <c r="AX2926" s="6"/>
      <c r="AZ2926" s="110"/>
      <c r="BB2926" s="6"/>
      <c r="BD2926" s="6"/>
      <c r="BE2926" s="6"/>
      <c r="BV2926" s="17"/>
      <c r="BX2926" s="17"/>
      <c r="BZ2926" s="17"/>
    </row>
    <row r="2927" spans="4:78" x14ac:dyDescent="0.3">
      <c r="D2927" s="153"/>
      <c r="E2927" s="6"/>
      <c r="G2927" s="6"/>
      <c r="J2927" s="6"/>
      <c r="N2927" s="154"/>
      <c r="O2927" s="6"/>
      <c r="S2927" s="6"/>
      <c r="V2927" s="6"/>
      <c r="X2927" s="6"/>
      <c r="Z2927" s="110"/>
      <c r="AB2927" s="6"/>
      <c r="AD2927" s="6"/>
      <c r="AE2927" s="6"/>
      <c r="AF2927" s="126"/>
      <c r="AJ2927" s="6"/>
      <c r="AL2927" s="110"/>
      <c r="AM2927" s="110"/>
      <c r="AN2927" s="110"/>
      <c r="AP2927" s="6"/>
      <c r="AW2927" s="6"/>
      <c r="AX2927" s="6"/>
      <c r="AZ2927" s="110"/>
      <c r="BB2927" s="6"/>
      <c r="BD2927" s="6"/>
      <c r="BE2927" s="6"/>
      <c r="BV2927" s="17"/>
      <c r="BX2927" s="17"/>
      <c r="BZ2927" s="17"/>
    </row>
    <row r="2928" spans="4:78" x14ac:dyDescent="0.3">
      <c r="D2928" s="153"/>
      <c r="E2928" s="6"/>
      <c r="G2928" s="6"/>
      <c r="J2928" s="6"/>
      <c r="N2928" s="154"/>
      <c r="O2928" s="6"/>
      <c r="S2928" s="6"/>
      <c r="V2928" s="6"/>
      <c r="X2928" s="6"/>
      <c r="Z2928" s="110"/>
      <c r="AB2928" s="6"/>
      <c r="AD2928" s="6"/>
      <c r="AE2928" s="6"/>
      <c r="AF2928" s="126"/>
      <c r="AJ2928" s="6"/>
      <c r="AL2928" s="110"/>
      <c r="AM2928" s="110"/>
      <c r="AN2928" s="110"/>
      <c r="AP2928" s="6"/>
      <c r="AW2928" s="6"/>
      <c r="AX2928" s="6"/>
      <c r="AZ2928" s="110"/>
      <c r="BB2928" s="6"/>
      <c r="BD2928" s="6"/>
      <c r="BE2928" s="6"/>
      <c r="BV2928" s="17"/>
      <c r="BX2928" s="17"/>
      <c r="BZ2928" s="17"/>
    </row>
    <row r="2929" spans="4:78" x14ac:dyDescent="0.3">
      <c r="D2929" s="153"/>
      <c r="E2929" s="6"/>
      <c r="G2929" s="6"/>
      <c r="J2929" s="6"/>
      <c r="N2929" s="154"/>
      <c r="O2929" s="6"/>
      <c r="S2929" s="6"/>
      <c r="V2929" s="6"/>
      <c r="X2929" s="6"/>
      <c r="Z2929" s="110"/>
      <c r="AB2929" s="6"/>
      <c r="AD2929" s="6"/>
      <c r="AE2929" s="6"/>
      <c r="AF2929" s="126"/>
      <c r="AJ2929" s="6"/>
      <c r="AL2929" s="110"/>
      <c r="AM2929" s="110"/>
      <c r="AN2929" s="110"/>
      <c r="AP2929" s="6"/>
      <c r="AW2929" s="6"/>
      <c r="AX2929" s="6"/>
      <c r="AZ2929" s="110"/>
      <c r="BB2929" s="6"/>
      <c r="BD2929" s="6"/>
      <c r="BE2929" s="6"/>
      <c r="BV2929" s="17"/>
      <c r="BX2929" s="17"/>
      <c r="BZ2929" s="17"/>
    </row>
    <row r="2930" spans="4:78" x14ac:dyDescent="0.3">
      <c r="D2930" s="153"/>
      <c r="E2930" s="6"/>
      <c r="G2930" s="6"/>
      <c r="J2930" s="6"/>
      <c r="N2930" s="154"/>
      <c r="O2930" s="6"/>
      <c r="S2930" s="6"/>
      <c r="V2930" s="6"/>
      <c r="X2930" s="6"/>
      <c r="Z2930" s="110"/>
      <c r="AB2930" s="6"/>
      <c r="AD2930" s="6"/>
      <c r="AE2930" s="6"/>
      <c r="AF2930" s="126"/>
      <c r="AJ2930" s="6"/>
      <c r="AL2930" s="110"/>
      <c r="AM2930" s="110"/>
      <c r="AN2930" s="110"/>
      <c r="AP2930" s="6"/>
      <c r="AW2930" s="6"/>
      <c r="AX2930" s="6"/>
      <c r="AZ2930" s="110"/>
      <c r="BB2930" s="6"/>
      <c r="BD2930" s="6"/>
      <c r="BE2930" s="6"/>
      <c r="BV2930" s="17"/>
      <c r="BX2930" s="17"/>
      <c r="BZ2930" s="17"/>
    </row>
    <row r="2931" spans="4:78" x14ac:dyDescent="0.3">
      <c r="D2931" s="153"/>
      <c r="E2931" s="6"/>
      <c r="G2931" s="6"/>
      <c r="J2931" s="6"/>
      <c r="N2931" s="154"/>
      <c r="O2931" s="6"/>
      <c r="S2931" s="6"/>
      <c r="V2931" s="6"/>
      <c r="X2931" s="6"/>
      <c r="Z2931" s="110"/>
      <c r="AB2931" s="6"/>
      <c r="AD2931" s="6"/>
      <c r="AE2931" s="6"/>
      <c r="AF2931" s="126"/>
      <c r="AJ2931" s="6"/>
      <c r="AL2931" s="110"/>
      <c r="AM2931" s="110"/>
      <c r="AN2931" s="110"/>
      <c r="AP2931" s="6"/>
      <c r="AW2931" s="6"/>
      <c r="AX2931" s="6"/>
      <c r="AZ2931" s="110"/>
      <c r="BB2931" s="6"/>
      <c r="BD2931" s="6"/>
      <c r="BE2931" s="6"/>
      <c r="BV2931" s="17"/>
      <c r="BX2931" s="17"/>
      <c r="BZ2931" s="17"/>
    </row>
    <row r="2932" spans="4:78" x14ac:dyDescent="0.3">
      <c r="D2932" s="153"/>
      <c r="E2932" s="6"/>
      <c r="G2932" s="6"/>
      <c r="J2932" s="6"/>
      <c r="N2932" s="154"/>
      <c r="O2932" s="6"/>
      <c r="S2932" s="6"/>
      <c r="V2932" s="6"/>
      <c r="X2932" s="6"/>
      <c r="Z2932" s="110"/>
      <c r="AB2932" s="6"/>
      <c r="AD2932" s="6"/>
      <c r="AE2932" s="6"/>
      <c r="AF2932" s="126"/>
      <c r="AJ2932" s="6"/>
      <c r="AL2932" s="110"/>
      <c r="AM2932" s="110"/>
      <c r="AN2932" s="110"/>
      <c r="AP2932" s="6"/>
      <c r="AW2932" s="6"/>
      <c r="AX2932" s="6"/>
      <c r="AZ2932" s="110"/>
      <c r="BB2932" s="6"/>
      <c r="BD2932" s="6"/>
      <c r="BE2932" s="6"/>
      <c r="BV2932" s="17"/>
      <c r="BX2932" s="17"/>
      <c r="BZ2932" s="17"/>
    </row>
    <row r="2933" spans="4:78" x14ac:dyDescent="0.3">
      <c r="D2933" s="153"/>
      <c r="E2933" s="6"/>
      <c r="G2933" s="6"/>
      <c r="J2933" s="6"/>
      <c r="N2933" s="154"/>
      <c r="O2933" s="6"/>
      <c r="S2933" s="6"/>
      <c r="V2933" s="6"/>
      <c r="X2933" s="6"/>
      <c r="Z2933" s="110"/>
      <c r="AB2933" s="6"/>
      <c r="AD2933" s="6"/>
      <c r="AE2933" s="6"/>
      <c r="AF2933" s="126"/>
      <c r="AJ2933" s="6"/>
      <c r="AL2933" s="110"/>
      <c r="AM2933" s="110"/>
      <c r="AN2933" s="110"/>
      <c r="AP2933" s="6"/>
      <c r="AW2933" s="6"/>
      <c r="AX2933" s="6"/>
      <c r="AZ2933" s="110"/>
      <c r="BB2933" s="6"/>
      <c r="BD2933" s="6"/>
      <c r="BE2933" s="6"/>
      <c r="BV2933" s="17"/>
      <c r="BX2933" s="17"/>
      <c r="BZ2933" s="17"/>
    </row>
    <row r="2934" spans="4:78" x14ac:dyDescent="0.3">
      <c r="D2934" s="153"/>
      <c r="E2934" s="6"/>
      <c r="G2934" s="6"/>
      <c r="J2934" s="6"/>
      <c r="N2934" s="154"/>
      <c r="O2934" s="6"/>
      <c r="S2934" s="6"/>
      <c r="V2934" s="6"/>
      <c r="X2934" s="6"/>
      <c r="Z2934" s="110"/>
      <c r="AB2934" s="6"/>
      <c r="AD2934" s="6"/>
      <c r="AE2934" s="6"/>
      <c r="AF2934" s="126"/>
      <c r="AJ2934" s="6"/>
      <c r="AL2934" s="110"/>
      <c r="AM2934" s="110"/>
      <c r="AN2934" s="110"/>
      <c r="AP2934" s="6"/>
      <c r="AW2934" s="6"/>
      <c r="AX2934" s="6"/>
      <c r="AZ2934" s="110"/>
      <c r="BB2934" s="6"/>
      <c r="BD2934" s="6"/>
      <c r="BE2934" s="6"/>
      <c r="BV2934" s="17"/>
      <c r="BX2934" s="17"/>
      <c r="BZ2934" s="17"/>
    </row>
    <row r="2935" spans="4:78" x14ac:dyDescent="0.3">
      <c r="D2935" s="153"/>
      <c r="E2935" s="6"/>
      <c r="G2935" s="6"/>
      <c r="J2935" s="6"/>
      <c r="N2935" s="154"/>
      <c r="O2935" s="6"/>
      <c r="S2935" s="6"/>
      <c r="V2935" s="6"/>
      <c r="X2935" s="6"/>
      <c r="Z2935" s="110"/>
      <c r="AB2935" s="6"/>
      <c r="AD2935" s="6"/>
      <c r="AE2935" s="6"/>
      <c r="AF2935" s="126"/>
      <c r="AJ2935" s="6"/>
      <c r="AL2935" s="110"/>
      <c r="AM2935" s="110"/>
      <c r="AN2935" s="110"/>
      <c r="AP2935" s="6"/>
      <c r="AW2935" s="6"/>
      <c r="AX2935" s="6"/>
      <c r="AZ2935" s="110"/>
      <c r="BB2935" s="6"/>
      <c r="BD2935" s="6"/>
      <c r="BE2935" s="6"/>
      <c r="BV2935" s="17"/>
      <c r="BX2935" s="17"/>
      <c r="BZ2935" s="17"/>
    </row>
    <row r="2936" spans="4:78" x14ac:dyDescent="0.3">
      <c r="D2936" s="153"/>
      <c r="E2936" s="6"/>
      <c r="G2936" s="6"/>
      <c r="J2936" s="6"/>
      <c r="N2936" s="154"/>
      <c r="O2936" s="6"/>
      <c r="S2936" s="6"/>
      <c r="V2936" s="6"/>
      <c r="X2936" s="6"/>
      <c r="Z2936" s="110"/>
      <c r="AB2936" s="6"/>
      <c r="AD2936" s="6"/>
      <c r="AE2936" s="6"/>
      <c r="AF2936" s="126"/>
      <c r="AJ2936" s="6"/>
      <c r="AL2936" s="110"/>
      <c r="AM2936" s="110"/>
      <c r="AN2936" s="110"/>
      <c r="AP2936" s="6"/>
      <c r="AW2936" s="6"/>
      <c r="AX2936" s="6"/>
      <c r="AZ2936" s="110"/>
      <c r="BB2936" s="6"/>
      <c r="BD2936" s="6"/>
      <c r="BE2936" s="6"/>
      <c r="BV2936" s="17"/>
      <c r="BX2936" s="17"/>
      <c r="BZ2936" s="17"/>
    </row>
    <row r="2937" spans="4:78" x14ac:dyDescent="0.3">
      <c r="D2937" s="153"/>
      <c r="E2937" s="6"/>
      <c r="G2937" s="6"/>
      <c r="J2937" s="6"/>
      <c r="N2937" s="154"/>
      <c r="O2937" s="6"/>
      <c r="S2937" s="6"/>
      <c r="V2937" s="6"/>
      <c r="X2937" s="6"/>
      <c r="Z2937" s="110"/>
      <c r="AB2937" s="6"/>
      <c r="AD2937" s="6"/>
      <c r="AE2937" s="6"/>
      <c r="AF2937" s="126"/>
      <c r="AJ2937" s="6"/>
      <c r="AL2937" s="110"/>
      <c r="AM2937" s="110"/>
      <c r="AN2937" s="110"/>
      <c r="AP2937" s="6"/>
      <c r="AW2937" s="6"/>
      <c r="AX2937" s="6"/>
      <c r="AZ2937" s="110"/>
      <c r="BB2937" s="6"/>
      <c r="BD2937" s="6"/>
      <c r="BE2937" s="6"/>
      <c r="BV2937" s="17"/>
      <c r="BX2937" s="17"/>
      <c r="BZ2937" s="17"/>
    </row>
    <row r="2938" spans="4:78" x14ac:dyDescent="0.3">
      <c r="D2938" s="153"/>
      <c r="E2938" s="6"/>
      <c r="G2938" s="6"/>
      <c r="J2938" s="6"/>
      <c r="N2938" s="154"/>
      <c r="O2938" s="6"/>
      <c r="S2938" s="6"/>
      <c r="V2938" s="6"/>
      <c r="X2938" s="6"/>
      <c r="Z2938" s="110"/>
      <c r="AB2938" s="6"/>
      <c r="AD2938" s="6"/>
      <c r="AE2938" s="6"/>
      <c r="AF2938" s="126"/>
      <c r="AJ2938" s="6"/>
      <c r="AL2938" s="110"/>
      <c r="AM2938" s="110"/>
      <c r="AN2938" s="110"/>
      <c r="AP2938" s="6"/>
      <c r="AW2938" s="6"/>
      <c r="AX2938" s="6"/>
      <c r="AZ2938" s="110"/>
      <c r="BB2938" s="6"/>
      <c r="BD2938" s="6"/>
      <c r="BE2938" s="6"/>
      <c r="BV2938" s="17"/>
      <c r="BX2938" s="17"/>
      <c r="BZ2938" s="17"/>
    </row>
    <row r="2939" spans="4:78" x14ac:dyDescent="0.3">
      <c r="D2939" s="153"/>
      <c r="E2939" s="6"/>
      <c r="G2939" s="6"/>
      <c r="J2939" s="6"/>
      <c r="N2939" s="154"/>
      <c r="O2939" s="6"/>
      <c r="S2939" s="6"/>
      <c r="V2939" s="6"/>
      <c r="X2939" s="6"/>
      <c r="Z2939" s="110"/>
      <c r="AB2939" s="6"/>
      <c r="AD2939" s="6"/>
      <c r="AE2939" s="6"/>
      <c r="AF2939" s="126"/>
      <c r="AJ2939" s="6"/>
      <c r="AL2939" s="110"/>
      <c r="AM2939" s="110"/>
      <c r="AN2939" s="110"/>
      <c r="AP2939" s="6"/>
      <c r="AW2939" s="6"/>
      <c r="AX2939" s="6"/>
      <c r="AZ2939" s="110"/>
      <c r="BB2939" s="6"/>
      <c r="BD2939" s="6"/>
      <c r="BE2939" s="6"/>
      <c r="BV2939" s="17"/>
      <c r="BX2939" s="17"/>
      <c r="BZ2939" s="17"/>
    </row>
    <row r="2940" spans="4:78" x14ac:dyDescent="0.3">
      <c r="D2940" s="153"/>
      <c r="E2940" s="6"/>
      <c r="G2940" s="6"/>
      <c r="J2940" s="6"/>
      <c r="N2940" s="154"/>
      <c r="O2940" s="6"/>
      <c r="S2940" s="6"/>
      <c r="V2940" s="6"/>
      <c r="X2940" s="6"/>
      <c r="Z2940" s="110"/>
      <c r="AB2940" s="6"/>
      <c r="AD2940" s="6"/>
      <c r="AE2940" s="6"/>
      <c r="AF2940" s="126"/>
      <c r="AJ2940" s="6"/>
      <c r="AL2940" s="110"/>
      <c r="AM2940" s="110"/>
      <c r="AN2940" s="110"/>
      <c r="AP2940" s="6"/>
      <c r="AW2940" s="6"/>
      <c r="AX2940" s="6"/>
      <c r="AZ2940" s="110"/>
      <c r="BB2940" s="6"/>
      <c r="BD2940" s="6"/>
      <c r="BE2940" s="6"/>
      <c r="BV2940" s="17"/>
      <c r="BX2940" s="17"/>
      <c r="BZ2940" s="17"/>
    </row>
    <row r="2941" spans="4:78" x14ac:dyDescent="0.3">
      <c r="D2941" s="153"/>
      <c r="E2941" s="6"/>
      <c r="G2941" s="6"/>
      <c r="J2941" s="6"/>
      <c r="N2941" s="154"/>
      <c r="O2941" s="6"/>
      <c r="S2941" s="6"/>
      <c r="V2941" s="6"/>
      <c r="X2941" s="6"/>
      <c r="Z2941" s="110"/>
      <c r="AB2941" s="6"/>
      <c r="AD2941" s="6"/>
      <c r="AE2941" s="6"/>
      <c r="AF2941" s="126"/>
      <c r="AJ2941" s="6"/>
      <c r="AL2941" s="110"/>
      <c r="AM2941" s="110"/>
      <c r="AN2941" s="110"/>
      <c r="AP2941" s="6"/>
      <c r="AW2941" s="6"/>
      <c r="AX2941" s="6"/>
      <c r="AZ2941" s="110"/>
      <c r="BB2941" s="6"/>
      <c r="BD2941" s="6"/>
      <c r="BE2941" s="6"/>
      <c r="BV2941" s="17"/>
      <c r="BX2941" s="17"/>
      <c r="BZ2941" s="17"/>
    </row>
    <row r="2942" spans="4:78" x14ac:dyDescent="0.3">
      <c r="D2942" s="153"/>
      <c r="E2942" s="6"/>
      <c r="G2942" s="6"/>
      <c r="J2942" s="6"/>
      <c r="N2942" s="154"/>
      <c r="O2942" s="6"/>
      <c r="S2942" s="6"/>
      <c r="V2942" s="6"/>
      <c r="X2942" s="6"/>
      <c r="Z2942" s="110"/>
      <c r="AB2942" s="6"/>
      <c r="AD2942" s="6"/>
      <c r="AE2942" s="6"/>
      <c r="AF2942" s="126"/>
      <c r="AJ2942" s="6"/>
      <c r="AL2942" s="110"/>
      <c r="AM2942" s="110"/>
      <c r="AN2942" s="110"/>
      <c r="AP2942" s="6"/>
      <c r="AW2942" s="6"/>
      <c r="AX2942" s="6"/>
      <c r="AZ2942" s="110"/>
      <c r="BB2942" s="6"/>
      <c r="BD2942" s="6"/>
      <c r="BE2942" s="6"/>
      <c r="BV2942" s="17"/>
      <c r="BX2942" s="17"/>
      <c r="BZ2942" s="17"/>
    </row>
    <row r="2943" spans="4:78" x14ac:dyDescent="0.3">
      <c r="D2943" s="153"/>
      <c r="E2943" s="6"/>
      <c r="G2943" s="6"/>
      <c r="J2943" s="6"/>
      <c r="N2943" s="154"/>
      <c r="O2943" s="6"/>
      <c r="S2943" s="6"/>
      <c r="V2943" s="6"/>
      <c r="X2943" s="6"/>
      <c r="Z2943" s="110"/>
      <c r="AB2943" s="6"/>
      <c r="AD2943" s="6"/>
      <c r="AE2943" s="6"/>
      <c r="AF2943" s="126"/>
      <c r="AJ2943" s="6"/>
      <c r="AL2943" s="110"/>
      <c r="AM2943" s="110"/>
      <c r="AN2943" s="110"/>
      <c r="AP2943" s="6"/>
      <c r="AW2943" s="6"/>
      <c r="AX2943" s="6"/>
      <c r="AZ2943" s="110"/>
      <c r="BB2943" s="6"/>
      <c r="BD2943" s="6"/>
      <c r="BE2943" s="6"/>
      <c r="BV2943" s="17"/>
      <c r="BX2943" s="17"/>
      <c r="BZ2943" s="17"/>
    </row>
    <row r="2944" spans="4:78" x14ac:dyDescent="0.3">
      <c r="D2944" s="153"/>
      <c r="E2944" s="6"/>
      <c r="G2944" s="6"/>
      <c r="J2944" s="6"/>
      <c r="N2944" s="154"/>
      <c r="O2944" s="6"/>
      <c r="S2944" s="6"/>
      <c r="V2944" s="6"/>
      <c r="X2944" s="6"/>
      <c r="Z2944" s="110"/>
      <c r="AB2944" s="6"/>
      <c r="AD2944" s="6"/>
      <c r="AE2944" s="6"/>
      <c r="AF2944" s="126"/>
      <c r="AJ2944" s="6"/>
      <c r="AL2944" s="110"/>
      <c r="AM2944" s="110"/>
      <c r="AN2944" s="110"/>
      <c r="AP2944" s="6"/>
      <c r="AW2944" s="6"/>
      <c r="AX2944" s="6"/>
      <c r="AZ2944" s="110"/>
      <c r="BB2944" s="6"/>
      <c r="BD2944" s="6"/>
      <c r="BE2944" s="6"/>
      <c r="BV2944" s="17"/>
      <c r="BX2944" s="17"/>
      <c r="BZ2944" s="17"/>
    </row>
    <row r="2945" spans="4:78" x14ac:dyDescent="0.3">
      <c r="D2945" s="153"/>
      <c r="E2945" s="6"/>
      <c r="G2945" s="6"/>
      <c r="J2945" s="6"/>
      <c r="N2945" s="154"/>
      <c r="O2945" s="6"/>
      <c r="S2945" s="6"/>
      <c r="V2945" s="6"/>
      <c r="X2945" s="6"/>
      <c r="Z2945" s="110"/>
      <c r="AB2945" s="6"/>
      <c r="AD2945" s="6"/>
      <c r="AE2945" s="6"/>
      <c r="AF2945" s="126"/>
      <c r="AJ2945" s="6"/>
      <c r="AL2945" s="110"/>
      <c r="AM2945" s="110"/>
      <c r="AN2945" s="110"/>
      <c r="AP2945" s="6"/>
      <c r="AW2945" s="6"/>
      <c r="AX2945" s="6"/>
      <c r="AZ2945" s="110"/>
      <c r="BB2945" s="6"/>
      <c r="BD2945" s="6"/>
      <c r="BE2945" s="6"/>
      <c r="BV2945" s="17"/>
      <c r="BX2945" s="17"/>
      <c r="BZ2945" s="17"/>
    </row>
    <row r="2946" spans="4:78" x14ac:dyDescent="0.3">
      <c r="D2946" s="153"/>
      <c r="E2946" s="6"/>
      <c r="G2946" s="6"/>
      <c r="J2946" s="6"/>
      <c r="N2946" s="154"/>
      <c r="O2946" s="6"/>
      <c r="S2946" s="6"/>
      <c r="V2946" s="6"/>
      <c r="X2946" s="6"/>
      <c r="Z2946" s="110"/>
      <c r="AB2946" s="6"/>
      <c r="AD2946" s="6"/>
      <c r="AE2946" s="6"/>
      <c r="AF2946" s="126"/>
      <c r="AJ2946" s="6"/>
      <c r="AL2946" s="110"/>
      <c r="AM2946" s="110"/>
      <c r="AN2946" s="110"/>
      <c r="AP2946" s="6"/>
      <c r="AW2946" s="6"/>
      <c r="AX2946" s="6"/>
      <c r="AZ2946" s="110"/>
      <c r="BB2946" s="6"/>
      <c r="BD2946" s="6"/>
      <c r="BE2946" s="6"/>
      <c r="BV2946" s="17"/>
      <c r="BX2946" s="17"/>
      <c r="BZ2946" s="17"/>
    </row>
    <row r="2947" spans="4:78" x14ac:dyDescent="0.3">
      <c r="D2947" s="153"/>
      <c r="E2947" s="6"/>
      <c r="G2947" s="6"/>
      <c r="J2947" s="6"/>
      <c r="N2947" s="154"/>
      <c r="O2947" s="6"/>
      <c r="S2947" s="6"/>
      <c r="V2947" s="6"/>
      <c r="X2947" s="6"/>
      <c r="Z2947" s="110"/>
      <c r="AB2947" s="6"/>
      <c r="AD2947" s="6"/>
      <c r="AE2947" s="6"/>
      <c r="AF2947" s="126"/>
      <c r="AJ2947" s="6"/>
      <c r="AL2947" s="110"/>
      <c r="AM2947" s="110"/>
      <c r="AN2947" s="110"/>
      <c r="AP2947" s="6"/>
      <c r="AW2947" s="6"/>
      <c r="AX2947" s="6"/>
      <c r="AZ2947" s="110"/>
      <c r="BB2947" s="6"/>
      <c r="BD2947" s="6"/>
      <c r="BE2947" s="6"/>
      <c r="BV2947" s="17"/>
      <c r="BX2947" s="17"/>
      <c r="BZ2947" s="17"/>
    </row>
    <row r="2948" spans="4:78" x14ac:dyDescent="0.3">
      <c r="D2948" s="153"/>
      <c r="E2948" s="6"/>
      <c r="G2948" s="6"/>
      <c r="J2948" s="6"/>
      <c r="N2948" s="154"/>
      <c r="O2948" s="6"/>
      <c r="S2948" s="6"/>
      <c r="V2948" s="6"/>
      <c r="X2948" s="6"/>
      <c r="Z2948" s="110"/>
      <c r="AB2948" s="6"/>
      <c r="AD2948" s="6"/>
      <c r="AE2948" s="6"/>
      <c r="AF2948" s="126"/>
      <c r="AJ2948" s="6"/>
      <c r="AL2948" s="110"/>
      <c r="AM2948" s="110"/>
      <c r="AN2948" s="110"/>
      <c r="AP2948" s="6"/>
      <c r="AW2948" s="6"/>
      <c r="AX2948" s="6"/>
      <c r="AZ2948" s="110"/>
      <c r="BB2948" s="6"/>
      <c r="BD2948" s="6"/>
      <c r="BE2948" s="6"/>
      <c r="BV2948" s="17"/>
      <c r="BX2948" s="17"/>
      <c r="BZ2948" s="17"/>
    </row>
    <row r="2949" spans="4:78" x14ac:dyDescent="0.3">
      <c r="D2949" s="153"/>
      <c r="E2949" s="6"/>
      <c r="G2949" s="6"/>
      <c r="J2949" s="6"/>
      <c r="N2949" s="154"/>
      <c r="O2949" s="6"/>
      <c r="S2949" s="6"/>
      <c r="V2949" s="6"/>
      <c r="X2949" s="6"/>
      <c r="Z2949" s="110"/>
      <c r="AB2949" s="6"/>
      <c r="AD2949" s="6"/>
      <c r="AE2949" s="6"/>
      <c r="AF2949" s="126"/>
      <c r="AJ2949" s="6"/>
      <c r="AL2949" s="110"/>
      <c r="AM2949" s="110"/>
      <c r="AN2949" s="110"/>
      <c r="AP2949" s="6"/>
      <c r="AW2949" s="6"/>
      <c r="AX2949" s="6"/>
      <c r="AZ2949" s="110"/>
      <c r="BB2949" s="6"/>
      <c r="BD2949" s="6"/>
      <c r="BE2949" s="6"/>
      <c r="BV2949" s="17"/>
      <c r="BX2949" s="17"/>
      <c r="BZ2949" s="17"/>
    </row>
    <row r="2950" spans="4:78" x14ac:dyDescent="0.3">
      <c r="D2950" s="153"/>
      <c r="E2950" s="6"/>
      <c r="G2950" s="6"/>
      <c r="J2950" s="6"/>
      <c r="N2950" s="154"/>
      <c r="O2950" s="6"/>
      <c r="S2950" s="6"/>
      <c r="V2950" s="6"/>
      <c r="X2950" s="6"/>
      <c r="Z2950" s="110"/>
      <c r="AB2950" s="6"/>
      <c r="AD2950" s="6"/>
      <c r="AE2950" s="6"/>
      <c r="AF2950" s="126"/>
      <c r="AJ2950" s="6"/>
      <c r="AL2950" s="110"/>
      <c r="AM2950" s="110"/>
      <c r="AN2950" s="110"/>
      <c r="AP2950" s="6"/>
      <c r="AW2950" s="6"/>
      <c r="AX2950" s="6"/>
      <c r="AZ2950" s="110"/>
      <c r="BB2950" s="6"/>
      <c r="BD2950" s="6"/>
      <c r="BE2950" s="6"/>
      <c r="BV2950" s="17"/>
      <c r="BX2950" s="17"/>
      <c r="BZ2950" s="17"/>
    </row>
    <row r="2951" spans="4:78" x14ac:dyDescent="0.3">
      <c r="D2951" s="153"/>
      <c r="E2951" s="6"/>
      <c r="G2951" s="6"/>
      <c r="J2951" s="6"/>
      <c r="N2951" s="154"/>
      <c r="O2951" s="6"/>
      <c r="S2951" s="6"/>
      <c r="V2951" s="6"/>
      <c r="X2951" s="6"/>
      <c r="Z2951" s="110"/>
      <c r="AB2951" s="6"/>
      <c r="AD2951" s="6"/>
      <c r="AE2951" s="6"/>
      <c r="AF2951" s="126"/>
      <c r="AJ2951" s="6"/>
      <c r="AL2951" s="110"/>
      <c r="AM2951" s="110"/>
      <c r="AN2951" s="110"/>
      <c r="AP2951" s="6"/>
      <c r="AW2951" s="6"/>
      <c r="AX2951" s="6"/>
      <c r="AZ2951" s="110"/>
      <c r="BB2951" s="6"/>
      <c r="BD2951" s="6"/>
      <c r="BE2951" s="6"/>
      <c r="BV2951" s="17"/>
      <c r="BX2951" s="17"/>
      <c r="BZ2951" s="17"/>
    </row>
    <row r="2952" spans="4:78" x14ac:dyDescent="0.3">
      <c r="D2952" s="153"/>
      <c r="E2952" s="6"/>
      <c r="G2952" s="6"/>
      <c r="J2952" s="6"/>
      <c r="N2952" s="154"/>
      <c r="O2952" s="6"/>
      <c r="S2952" s="6"/>
      <c r="V2952" s="6"/>
      <c r="X2952" s="6"/>
      <c r="Z2952" s="110"/>
      <c r="AB2952" s="6"/>
      <c r="AD2952" s="6"/>
      <c r="AE2952" s="6"/>
      <c r="AF2952" s="126"/>
      <c r="AJ2952" s="6"/>
      <c r="AL2952" s="110"/>
      <c r="AM2952" s="110"/>
      <c r="AN2952" s="110"/>
      <c r="AP2952" s="6"/>
      <c r="AW2952" s="6"/>
      <c r="AX2952" s="6"/>
      <c r="AZ2952" s="110"/>
      <c r="BB2952" s="6"/>
      <c r="BD2952" s="6"/>
      <c r="BE2952" s="6"/>
      <c r="BV2952" s="17"/>
      <c r="BX2952" s="17"/>
      <c r="BZ2952" s="17"/>
    </row>
    <row r="2953" spans="4:78" x14ac:dyDescent="0.3">
      <c r="D2953" s="153"/>
      <c r="E2953" s="6"/>
      <c r="G2953" s="6"/>
      <c r="J2953" s="6"/>
      <c r="N2953" s="154"/>
      <c r="O2953" s="6"/>
      <c r="S2953" s="6"/>
      <c r="V2953" s="6"/>
      <c r="X2953" s="6"/>
      <c r="Z2953" s="110"/>
      <c r="AB2953" s="6"/>
      <c r="AD2953" s="6"/>
      <c r="AE2953" s="6"/>
      <c r="AF2953" s="126"/>
      <c r="AJ2953" s="6"/>
      <c r="AL2953" s="110"/>
      <c r="AM2953" s="110"/>
      <c r="AN2953" s="110"/>
      <c r="AP2953" s="6"/>
      <c r="AW2953" s="6"/>
      <c r="AX2953" s="6"/>
      <c r="AZ2953" s="110"/>
      <c r="BB2953" s="6"/>
      <c r="BD2953" s="6"/>
      <c r="BE2953" s="6"/>
      <c r="BV2953" s="17"/>
      <c r="BX2953" s="17"/>
      <c r="BZ2953" s="17"/>
    </row>
    <row r="2954" spans="4:78" x14ac:dyDescent="0.3">
      <c r="D2954" s="153"/>
      <c r="E2954" s="6"/>
      <c r="G2954" s="6"/>
      <c r="J2954" s="6"/>
      <c r="N2954" s="154"/>
      <c r="O2954" s="6"/>
      <c r="S2954" s="6"/>
      <c r="V2954" s="6"/>
      <c r="X2954" s="6"/>
      <c r="Z2954" s="110"/>
      <c r="AB2954" s="6"/>
      <c r="AD2954" s="6"/>
      <c r="AE2954" s="6"/>
      <c r="AF2954" s="126"/>
      <c r="AJ2954" s="6"/>
      <c r="AL2954" s="110"/>
      <c r="AM2954" s="110"/>
      <c r="AN2954" s="110"/>
      <c r="AP2954" s="6"/>
      <c r="AW2954" s="6"/>
      <c r="AX2954" s="6"/>
      <c r="AZ2954" s="110"/>
      <c r="BB2954" s="6"/>
      <c r="BD2954" s="6"/>
      <c r="BE2954" s="6"/>
      <c r="BV2954" s="17"/>
      <c r="BX2954" s="17"/>
      <c r="BZ2954" s="17"/>
    </row>
    <row r="2955" spans="4:78" x14ac:dyDescent="0.3">
      <c r="D2955" s="153"/>
      <c r="E2955" s="6"/>
      <c r="G2955" s="6"/>
      <c r="J2955" s="6"/>
      <c r="N2955" s="154"/>
      <c r="O2955" s="6"/>
      <c r="S2955" s="6"/>
      <c r="V2955" s="6"/>
      <c r="X2955" s="6"/>
      <c r="Z2955" s="110"/>
      <c r="AB2955" s="6"/>
      <c r="AD2955" s="6"/>
      <c r="AE2955" s="6"/>
      <c r="AF2955" s="126"/>
      <c r="AJ2955" s="6"/>
      <c r="AL2955" s="110"/>
      <c r="AM2955" s="110"/>
      <c r="AN2955" s="110"/>
      <c r="AP2955" s="6"/>
      <c r="AW2955" s="6"/>
      <c r="AX2955" s="6"/>
      <c r="AZ2955" s="110"/>
      <c r="BB2955" s="6"/>
      <c r="BD2955" s="6"/>
      <c r="BE2955" s="6"/>
      <c r="BV2955" s="17"/>
      <c r="BX2955" s="17"/>
      <c r="BZ2955" s="17"/>
    </row>
    <row r="2956" spans="4:78" x14ac:dyDescent="0.3">
      <c r="D2956" s="153"/>
      <c r="E2956" s="6"/>
      <c r="G2956" s="6"/>
      <c r="J2956" s="6"/>
      <c r="N2956" s="154"/>
      <c r="O2956" s="6"/>
      <c r="S2956" s="6"/>
      <c r="V2956" s="6"/>
      <c r="X2956" s="6"/>
      <c r="Z2956" s="110"/>
      <c r="AB2956" s="6"/>
      <c r="AD2956" s="6"/>
      <c r="AE2956" s="6"/>
      <c r="AF2956" s="126"/>
      <c r="AJ2956" s="6"/>
      <c r="AL2956" s="110"/>
      <c r="AM2956" s="110"/>
      <c r="AN2956" s="110"/>
      <c r="AP2956" s="6"/>
      <c r="AW2956" s="6"/>
      <c r="AX2956" s="6"/>
      <c r="AZ2956" s="110"/>
      <c r="BB2956" s="6"/>
      <c r="BD2956" s="6"/>
      <c r="BE2956" s="6"/>
      <c r="BV2956" s="17"/>
      <c r="BX2956" s="17"/>
      <c r="BZ2956" s="17"/>
    </row>
    <row r="2957" spans="4:78" x14ac:dyDescent="0.3">
      <c r="D2957" s="153"/>
      <c r="E2957" s="6"/>
      <c r="G2957" s="6"/>
      <c r="J2957" s="6"/>
      <c r="N2957" s="154"/>
      <c r="O2957" s="6"/>
      <c r="S2957" s="6"/>
      <c r="V2957" s="6"/>
      <c r="X2957" s="6"/>
      <c r="Z2957" s="110"/>
      <c r="AB2957" s="6"/>
      <c r="AD2957" s="6"/>
      <c r="AE2957" s="6"/>
      <c r="AF2957" s="126"/>
      <c r="AJ2957" s="6"/>
      <c r="AL2957" s="110"/>
      <c r="AM2957" s="110"/>
      <c r="AN2957" s="110"/>
      <c r="AP2957" s="6"/>
      <c r="AW2957" s="6"/>
      <c r="AX2957" s="6"/>
      <c r="AZ2957" s="110"/>
      <c r="BB2957" s="6"/>
      <c r="BD2957" s="6"/>
      <c r="BE2957" s="6"/>
      <c r="BV2957" s="17"/>
      <c r="BX2957" s="17"/>
      <c r="BZ2957" s="17"/>
    </row>
    <row r="2958" spans="4:78" x14ac:dyDescent="0.3">
      <c r="D2958" s="153"/>
      <c r="E2958" s="6"/>
      <c r="G2958" s="6"/>
      <c r="J2958" s="6"/>
      <c r="N2958" s="154"/>
      <c r="O2958" s="6"/>
      <c r="S2958" s="6"/>
      <c r="V2958" s="6"/>
      <c r="X2958" s="6"/>
      <c r="Z2958" s="110"/>
      <c r="AB2958" s="6"/>
      <c r="AD2958" s="6"/>
      <c r="AE2958" s="6"/>
      <c r="AF2958" s="126"/>
      <c r="AJ2958" s="6"/>
      <c r="AL2958" s="110"/>
      <c r="AM2958" s="110"/>
      <c r="AN2958" s="110"/>
      <c r="AP2958" s="6"/>
      <c r="AW2958" s="6"/>
      <c r="AX2958" s="6"/>
      <c r="AZ2958" s="110"/>
      <c r="BB2958" s="6"/>
      <c r="BD2958" s="6"/>
      <c r="BE2958" s="6"/>
      <c r="BV2958" s="17"/>
      <c r="BX2958" s="17"/>
      <c r="BZ2958" s="17"/>
    </row>
    <row r="2959" spans="4:78" x14ac:dyDescent="0.3">
      <c r="D2959" s="153"/>
      <c r="E2959" s="6"/>
      <c r="G2959" s="6"/>
      <c r="J2959" s="6"/>
      <c r="N2959" s="154"/>
      <c r="O2959" s="6"/>
      <c r="S2959" s="6"/>
      <c r="V2959" s="6"/>
      <c r="X2959" s="6"/>
      <c r="Z2959" s="110"/>
      <c r="AB2959" s="6"/>
      <c r="AD2959" s="6"/>
      <c r="AE2959" s="6"/>
      <c r="AF2959" s="126"/>
      <c r="AJ2959" s="6"/>
      <c r="AL2959" s="110"/>
      <c r="AM2959" s="110"/>
      <c r="AN2959" s="110"/>
      <c r="AP2959" s="6"/>
      <c r="AW2959" s="6"/>
      <c r="AX2959" s="6"/>
      <c r="AZ2959" s="110"/>
      <c r="BB2959" s="6"/>
      <c r="BD2959" s="6"/>
      <c r="BE2959" s="6"/>
      <c r="BV2959" s="17"/>
      <c r="BX2959" s="17"/>
      <c r="BZ2959" s="17"/>
    </row>
    <row r="2960" spans="4:78" x14ac:dyDescent="0.3">
      <c r="D2960" s="153"/>
      <c r="E2960" s="6"/>
      <c r="G2960" s="6"/>
      <c r="J2960" s="6"/>
      <c r="N2960" s="154"/>
      <c r="O2960" s="6"/>
      <c r="S2960" s="6"/>
      <c r="V2960" s="6"/>
      <c r="X2960" s="6"/>
      <c r="Z2960" s="110"/>
      <c r="AB2960" s="6"/>
      <c r="AD2960" s="6"/>
      <c r="AE2960" s="6"/>
      <c r="AF2960" s="126"/>
      <c r="AJ2960" s="6"/>
      <c r="AL2960" s="110"/>
      <c r="AM2960" s="110"/>
      <c r="AN2960" s="110"/>
      <c r="AP2960" s="6"/>
      <c r="AW2960" s="6"/>
      <c r="AX2960" s="6"/>
      <c r="AZ2960" s="110"/>
      <c r="BB2960" s="6"/>
      <c r="BD2960" s="6"/>
      <c r="BE2960" s="6"/>
      <c r="BV2960" s="17"/>
      <c r="BX2960" s="17"/>
      <c r="BZ2960" s="17"/>
    </row>
    <row r="2961" spans="4:78" x14ac:dyDescent="0.3">
      <c r="D2961" s="153"/>
      <c r="E2961" s="6"/>
      <c r="G2961" s="6"/>
      <c r="J2961" s="6"/>
      <c r="N2961" s="154"/>
      <c r="O2961" s="6"/>
      <c r="S2961" s="6"/>
      <c r="V2961" s="6"/>
      <c r="X2961" s="6"/>
      <c r="Z2961" s="110"/>
      <c r="AB2961" s="6"/>
      <c r="AD2961" s="6"/>
      <c r="AE2961" s="6"/>
      <c r="AF2961" s="126"/>
      <c r="AJ2961" s="6"/>
      <c r="AL2961" s="110"/>
      <c r="AM2961" s="110"/>
      <c r="AN2961" s="110"/>
      <c r="AP2961" s="6"/>
      <c r="AW2961" s="6"/>
      <c r="AX2961" s="6"/>
      <c r="AZ2961" s="110"/>
      <c r="BB2961" s="6"/>
      <c r="BD2961" s="6"/>
      <c r="BE2961" s="6"/>
      <c r="BV2961" s="17"/>
      <c r="BX2961" s="17"/>
      <c r="BZ2961" s="17"/>
    </row>
    <row r="2962" spans="4:78" x14ac:dyDescent="0.3">
      <c r="D2962" s="153"/>
      <c r="E2962" s="6"/>
      <c r="G2962" s="6"/>
      <c r="J2962" s="6"/>
      <c r="N2962" s="154"/>
      <c r="O2962" s="6"/>
      <c r="S2962" s="6"/>
      <c r="V2962" s="6"/>
      <c r="X2962" s="6"/>
      <c r="Z2962" s="110"/>
      <c r="AB2962" s="6"/>
      <c r="AD2962" s="6"/>
      <c r="AE2962" s="6"/>
      <c r="AF2962" s="126"/>
      <c r="AJ2962" s="6"/>
      <c r="AL2962" s="110"/>
      <c r="AM2962" s="110"/>
      <c r="AN2962" s="110"/>
      <c r="AP2962" s="6"/>
      <c r="AW2962" s="6"/>
      <c r="AX2962" s="6"/>
      <c r="AZ2962" s="110"/>
      <c r="BB2962" s="6"/>
      <c r="BD2962" s="6"/>
      <c r="BE2962" s="6"/>
      <c r="BV2962" s="17"/>
      <c r="BX2962" s="17"/>
      <c r="BZ2962" s="17"/>
    </row>
    <row r="2963" spans="4:78" x14ac:dyDescent="0.3">
      <c r="D2963" s="153"/>
      <c r="E2963" s="6"/>
      <c r="G2963" s="6"/>
      <c r="J2963" s="6"/>
      <c r="N2963" s="154"/>
      <c r="O2963" s="6"/>
      <c r="S2963" s="6"/>
      <c r="V2963" s="6"/>
      <c r="X2963" s="6"/>
      <c r="Z2963" s="110"/>
      <c r="AB2963" s="6"/>
      <c r="AD2963" s="6"/>
      <c r="AE2963" s="6"/>
      <c r="AF2963" s="126"/>
      <c r="AJ2963" s="6"/>
      <c r="AL2963" s="110"/>
      <c r="AM2963" s="110"/>
      <c r="AN2963" s="110"/>
      <c r="AP2963" s="6"/>
      <c r="AW2963" s="6"/>
      <c r="AX2963" s="6"/>
      <c r="AZ2963" s="110"/>
      <c r="BB2963" s="6"/>
      <c r="BD2963" s="6"/>
      <c r="BE2963" s="6"/>
      <c r="BV2963" s="17"/>
      <c r="BX2963" s="17"/>
      <c r="BZ2963" s="17"/>
    </row>
    <row r="2964" spans="4:78" x14ac:dyDescent="0.3">
      <c r="D2964" s="153"/>
      <c r="E2964" s="6"/>
      <c r="G2964" s="6"/>
      <c r="J2964" s="6"/>
      <c r="N2964" s="154"/>
      <c r="O2964" s="6"/>
      <c r="S2964" s="6"/>
      <c r="V2964" s="6"/>
      <c r="X2964" s="6"/>
      <c r="Z2964" s="110"/>
      <c r="AB2964" s="6"/>
      <c r="AD2964" s="6"/>
      <c r="AE2964" s="6"/>
      <c r="AF2964" s="126"/>
      <c r="AJ2964" s="6"/>
      <c r="AL2964" s="110"/>
      <c r="AM2964" s="110"/>
      <c r="AN2964" s="110"/>
      <c r="AP2964" s="6"/>
      <c r="AW2964" s="6"/>
      <c r="AX2964" s="6"/>
      <c r="AZ2964" s="110"/>
      <c r="BB2964" s="6"/>
      <c r="BD2964" s="6"/>
      <c r="BE2964" s="6"/>
      <c r="BV2964" s="17"/>
      <c r="BX2964" s="17"/>
      <c r="BZ2964" s="17"/>
    </row>
    <row r="2965" spans="4:78" x14ac:dyDescent="0.3">
      <c r="D2965" s="153"/>
      <c r="E2965" s="6"/>
      <c r="G2965" s="6"/>
      <c r="J2965" s="6"/>
      <c r="N2965" s="154"/>
      <c r="O2965" s="6"/>
      <c r="S2965" s="6"/>
      <c r="V2965" s="6"/>
      <c r="X2965" s="6"/>
      <c r="Z2965" s="110"/>
      <c r="AB2965" s="6"/>
      <c r="AD2965" s="6"/>
      <c r="AE2965" s="6"/>
      <c r="AF2965" s="126"/>
      <c r="AJ2965" s="6"/>
      <c r="AL2965" s="110"/>
      <c r="AM2965" s="110"/>
      <c r="AN2965" s="110"/>
      <c r="AP2965" s="6"/>
      <c r="AW2965" s="6"/>
      <c r="AX2965" s="6"/>
      <c r="AZ2965" s="110"/>
      <c r="BB2965" s="6"/>
      <c r="BD2965" s="6"/>
      <c r="BE2965" s="6"/>
      <c r="BV2965" s="17"/>
      <c r="BX2965" s="17"/>
      <c r="BZ2965" s="17"/>
    </row>
    <row r="2966" spans="4:78" x14ac:dyDescent="0.3">
      <c r="D2966" s="153"/>
      <c r="E2966" s="6"/>
      <c r="G2966" s="6"/>
      <c r="J2966" s="6"/>
      <c r="N2966" s="154"/>
      <c r="O2966" s="6"/>
      <c r="S2966" s="6"/>
      <c r="V2966" s="6"/>
      <c r="X2966" s="6"/>
      <c r="Z2966" s="110"/>
      <c r="AB2966" s="6"/>
      <c r="AD2966" s="6"/>
      <c r="AE2966" s="6"/>
      <c r="AF2966" s="126"/>
      <c r="AJ2966" s="6"/>
      <c r="AL2966" s="110"/>
      <c r="AM2966" s="110"/>
      <c r="AN2966" s="110"/>
      <c r="AP2966" s="6"/>
      <c r="AW2966" s="6"/>
      <c r="AX2966" s="6"/>
      <c r="AZ2966" s="110"/>
      <c r="BB2966" s="6"/>
      <c r="BD2966" s="6"/>
      <c r="BE2966" s="6"/>
      <c r="BV2966" s="17"/>
      <c r="BX2966" s="17"/>
      <c r="BZ2966" s="17"/>
    </row>
    <row r="2967" spans="4:78" x14ac:dyDescent="0.3">
      <c r="D2967" s="153"/>
      <c r="E2967" s="6"/>
      <c r="G2967" s="6"/>
      <c r="J2967" s="6"/>
      <c r="N2967" s="154"/>
      <c r="O2967" s="6"/>
      <c r="S2967" s="6"/>
      <c r="V2967" s="6"/>
      <c r="X2967" s="6"/>
      <c r="Z2967" s="110"/>
      <c r="AB2967" s="6"/>
      <c r="AD2967" s="6"/>
      <c r="AE2967" s="6"/>
      <c r="AF2967" s="126"/>
      <c r="AJ2967" s="6"/>
      <c r="AL2967" s="110"/>
      <c r="AM2967" s="110"/>
      <c r="AN2967" s="110"/>
      <c r="AP2967" s="6"/>
      <c r="AW2967" s="6"/>
      <c r="AX2967" s="6"/>
      <c r="AZ2967" s="110"/>
      <c r="BB2967" s="6"/>
      <c r="BD2967" s="6"/>
      <c r="BE2967" s="6"/>
      <c r="BV2967" s="17"/>
      <c r="BX2967" s="17"/>
      <c r="BZ2967" s="17"/>
    </row>
    <row r="2968" spans="4:78" x14ac:dyDescent="0.3">
      <c r="D2968" s="153"/>
      <c r="E2968" s="6"/>
      <c r="G2968" s="6"/>
      <c r="J2968" s="6"/>
      <c r="N2968" s="154"/>
      <c r="O2968" s="6"/>
      <c r="S2968" s="6"/>
      <c r="V2968" s="6"/>
      <c r="X2968" s="6"/>
      <c r="Z2968" s="110"/>
      <c r="AB2968" s="6"/>
      <c r="AD2968" s="6"/>
      <c r="AE2968" s="6"/>
      <c r="AF2968" s="126"/>
      <c r="AJ2968" s="6"/>
      <c r="AL2968" s="110"/>
      <c r="AM2968" s="110"/>
      <c r="AN2968" s="110"/>
      <c r="AP2968" s="6"/>
      <c r="AW2968" s="6"/>
      <c r="AX2968" s="6"/>
      <c r="AZ2968" s="110"/>
      <c r="BB2968" s="6"/>
      <c r="BD2968" s="6"/>
      <c r="BE2968" s="6"/>
      <c r="BV2968" s="17"/>
      <c r="BX2968" s="17"/>
      <c r="BZ2968" s="17"/>
    </row>
    <row r="2969" spans="4:78" x14ac:dyDescent="0.3">
      <c r="D2969" s="153"/>
      <c r="E2969" s="6"/>
      <c r="G2969" s="6"/>
      <c r="J2969" s="6"/>
      <c r="N2969" s="154"/>
      <c r="O2969" s="6"/>
      <c r="S2969" s="6"/>
      <c r="V2969" s="6"/>
      <c r="X2969" s="6"/>
      <c r="Z2969" s="110"/>
      <c r="AB2969" s="6"/>
      <c r="AD2969" s="6"/>
      <c r="AE2969" s="6"/>
      <c r="AF2969" s="126"/>
      <c r="AJ2969" s="6"/>
      <c r="AL2969" s="110"/>
      <c r="AM2969" s="110"/>
      <c r="AN2969" s="110"/>
      <c r="AP2969" s="6"/>
      <c r="AW2969" s="6"/>
      <c r="AX2969" s="6"/>
      <c r="AZ2969" s="110"/>
      <c r="BB2969" s="6"/>
      <c r="BD2969" s="6"/>
      <c r="BE2969" s="6"/>
      <c r="BV2969" s="17"/>
      <c r="BX2969" s="17"/>
      <c r="BZ2969" s="17"/>
    </row>
    <row r="2970" spans="4:78" x14ac:dyDescent="0.3">
      <c r="D2970" s="153"/>
      <c r="E2970" s="6"/>
      <c r="G2970" s="6"/>
      <c r="J2970" s="6"/>
      <c r="N2970" s="154"/>
      <c r="O2970" s="6"/>
      <c r="S2970" s="6"/>
      <c r="V2970" s="6"/>
      <c r="X2970" s="6"/>
      <c r="Z2970" s="110"/>
      <c r="AB2970" s="6"/>
      <c r="AD2970" s="6"/>
      <c r="AE2970" s="6"/>
      <c r="AF2970" s="126"/>
      <c r="AJ2970" s="6"/>
      <c r="AL2970" s="110"/>
      <c r="AM2970" s="110"/>
      <c r="AN2970" s="110"/>
      <c r="AP2970" s="6"/>
      <c r="AW2970" s="6"/>
      <c r="AX2970" s="6"/>
      <c r="AZ2970" s="110"/>
      <c r="BB2970" s="6"/>
      <c r="BD2970" s="6"/>
      <c r="BE2970" s="6"/>
      <c r="BV2970" s="17"/>
      <c r="BX2970" s="17"/>
      <c r="BZ2970" s="17"/>
    </row>
    <row r="2971" spans="4:78" x14ac:dyDescent="0.3">
      <c r="D2971" s="153"/>
      <c r="E2971" s="6"/>
      <c r="G2971" s="6"/>
      <c r="J2971" s="6"/>
      <c r="N2971" s="154"/>
      <c r="O2971" s="6"/>
      <c r="S2971" s="6"/>
      <c r="V2971" s="6"/>
      <c r="X2971" s="6"/>
      <c r="Z2971" s="110"/>
      <c r="AB2971" s="6"/>
      <c r="AD2971" s="6"/>
      <c r="AE2971" s="6"/>
      <c r="AF2971" s="126"/>
      <c r="AJ2971" s="6"/>
      <c r="AL2971" s="110"/>
      <c r="AM2971" s="110"/>
      <c r="AN2971" s="110"/>
      <c r="AP2971" s="6"/>
      <c r="AW2971" s="6"/>
      <c r="AX2971" s="6"/>
      <c r="AZ2971" s="110"/>
      <c r="BB2971" s="6"/>
      <c r="BD2971" s="6"/>
      <c r="BE2971" s="6"/>
      <c r="BV2971" s="17"/>
      <c r="BX2971" s="17"/>
      <c r="BZ2971" s="17"/>
    </row>
    <row r="2972" spans="4:78" x14ac:dyDescent="0.3">
      <c r="D2972" s="153"/>
      <c r="E2972" s="6"/>
      <c r="G2972" s="6"/>
      <c r="J2972" s="6"/>
      <c r="N2972" s="154"/>
      <c r="O2972" s="6"/>
      <c r="S2972" s="6"/>
      <c r="V2972" s="6"/>
      <c r="X2972" s="6"/>
      <c r="Z2972" s="110"/>
      <c r="AB2972" s="6"/>
      <c r="AD2972" s="6"/>
      <c r="AE2972" s="6"/>
      <c r="AF2972" s="126"/>
      <c r="AJ2972" s="6"/>
      <c r="AL2972" s="110"/>
      <c r="AM2972" s="110"/>
      <c r="AN2972" s="110"/>
      <c r="AP2972" s="6"/>
      <c r="AW2972" s="6"/>
      <c r="AX2972" s="6"/>
      <c r="AZ2972" s="110"/>
      <c r="BB2972" s="6"/>
      <c r="BD2972" s="6"/>
      <c r="BE2972" s="6"/>
      <c r="BV2972" s="17"/>
      <c r="BX2972" s="17"/>
      <c r="BZ2972" s="17"/>
    </row>
    <row r="2973" spans="4:78" x14ac:dyDescent="0.3">
      <c r="D2973" s="153"/>
      <c r="E2973" s="6"/>
      <c r="G2973" s="6"/>
      <c r="J2973" s="6"/>
      <c r="N2973" s="154"/>
      <c r="O2973" s="6"/>
      <c r="S2973" s="6"/>
      <c r="V2973" s="6"/>
      <c r="X2973" s="6"/>
      <c r="Z2973" s="110"/>
      <c r="AB2973" s="6"/>
      <c r="AD2973" s="6"/>
      <c r="AE2973" s="6"/>
      <c r="AF2973" s="126"/>
      <c r="AJ2973" s="6"/>
      <c r="AL2973" s="110"/>
      <c r="AM2973" s="110"/>
      <c r="AN2973" s="110"/>
      <c r="AP2973" s="6"/>
      <c r="AW2973" s="6"/>
      <c r="AX2973" s="6"/>
      <c r="AZ2973" s="110"/>
      <c r="BB2973" s="6"/>
      <c r="BD2973" s="6"/>
      <c r="BE2973" s="6"/>
      <c r="BV2973" s="17"/>
      <c r="BX2973" s="17"/>
      <c r="BZ2973" s="17"/>
    </row>
    <row r="2974" spans="4:78" x14ac:dyDescent="0.3">
      <c r="D2974" s="153"/>
      <c r="E2974" s="6"/>
      <c r="G2974" s="6"/>
      <c r="J2974" s="6"/>
      <c r="N2974" s="154"/>
      <c r="O2974" s="6"/>
      <c r="S2974" s="6"/>
      <c r="V2974" s="6"/>
      <c r="X2974" s="6"/>
      <c r="Z2974" s="110"/>
      <c r="AB2974" s="6"/>
      <c r="AD2974" s="6"/>
      <c r="AE2974" s="6"/>
      <c r="AF2974" s="126"/>
      <c r="AJ2974" s="6"/>
      <c r="AL2974" s="110"/>
      <c r="AM2974" s="110"/>
      <c r="AN2974" s="110"/>
      <c r="AP2974" s="6"/>
      <c r="AW2974" s="6"/>
      <c r="AX2974" s="6"/>
      <c r="AZ2974" s="110"/>
      <c r="BB2974" s="6"/>
      <c r="BD2974" s="6"/>
      <c r="BE2974" s="6"/>
      <c r="BV2974" s="17"/>
      <c r="BX2974" s="17"/>
      <c r="BZ2974" s="17"/>
    </row>
    <row r="2975" spans="4:78" x14ac:dyDescent="0.3">
      <c r="D2975" s="153"/>
      <c r="E2975" s="6"/>
      <c r="G2975" s="6"/>
      <c r="J2975" s="6"/>
      <c r="N2975" s="154"/>
      <c r="O2975" s="6"/>
      <c r="S2975" s="6"/>
      <c r="V2975" s="6"/>
      <c r="X2975" s="6"/>
      <c r="Z2975" s="110"/>
      <c r="AB2975" s="6"/>
      <c r="AD2975" s="6"/>
      <c r="AE2975" s="6"/>
      <c r="AF2975" s="126"/>
      <c r="AJ2975" s="6"/>
      <c r="AL2975" s="110"/>
      <c r="AM2975" s="110"/>
      <c r="AN2975" s="110"/>
      <c r="AP2975" s="6"/>
      <c r="AW2975" s="6"/>
      <c r="AX2975" s="6"/>
      <c r="AZ2975" s="110"/>
      <c r="BB2975" s="6"/>
      <c r="BD2975" s="6"/>
      <c r="BE2975" s="6"/>
      <c r="BV2975" s="17"/>
      <c r="BX2975" s="17"/>
      <c r="BZ2975" s="17"/>
    </row>
    <row r="2976" spans="4:78" x14ac:dyDescent="0.3">
      <c r="D2976" s="153"/>
      <c r="E2976" s="6"/>
      <c r="G2976" s="6"/>
      <c r="J2976" s="6"/>
      <c r="N2976" s="154"/>
      <c r="O2976" s="6"/>
      <c r="S2976" s="6"/>
      <c r="V2976" s="6"/>
      <c r="X2976" s="6"/>
      <c r="Z2976" s="110"/>
      <c r="AB2976" s="6"/>
      <c r="AD2976" s="6"/>
      <c r="AE2976" s="6"/>
      <c r="AF2976" s="126"/>
      <c r="AJ2976" s="6"/>
      <c r="AL2976" s="110"/>
      <c r="AM2976" s="110"/>
      <c r="AN2976" s="110"/>
      <c r="AP2976" s="6"/>
      <c r="AW2976" s="6"/>
      <c r="AX2976" s="6"/>
      <c r="AZ2976" s="110"/>
      <c r="BB2976" s="6"/>
      <c r="BD2976" s="6"/>
      <c r="BE2976" s="6"/>
      <c r="BV2976" s="17"/>
      <c r="BX2976" s="17"/>
      <c r="BZ2976" s="17"/>
    </row>
    <row r="2977" spans="4:78" x14ac:dyDescent="0.3">
      <c r="D2977" s="153"/>
      <c r="E2977" s="6"/>
      <c r="G2977" s="6"/>
      <c r="J2977" s="6"/>
      <c r="N2977" s="154"/>
      <c r="O2977" s="6"/>
      <c r="S2977" s="6"/>
      <c r="V2977" s="6"/>
      <c r="X2977" s="6"/>
      <c r="Z2977" s="110"/>
      <c r="AB2977" s="6"/>
      <c r="AD2977" s="6"/>
      <c r="AE2977" s="6"/>
      <c r="AF2977" s="126"/>
      <c r="AJ2977" s="6"/>
      <c r="AL2977" s="110"/>
      <c r="AM2977" s="110"/>
      <c r="AN2977" s="110"/>
      <c r="AP2977" s="6"/>
      <c r="AW2977" s="6"/>
      <c r="AX2977" s="6"/>
      <c r="AZ2977" s="110"/>
      <c r="BB2977" s="6"/>
      <c r="BD2977" s="6"/>
      <c r="BE2977" s="6"/>
      <c r="BV2977" s="17"/>
      <c r="BX2977" s="17"/>
      <c r="BZ2977" s="17"/>
    </row>
    <row r="2978" spans="4:78" x14ac:dyDescent="0.3">
      <c r="D2978" s="153"/>
      <c r="E2978" s="6"/>
      <c r="G2978" s="6"/>
      <c r="J2978" s="6"/>
      <c r="N2978" s="154"/>
      <c r="O2978" s="6"/>
      <c r="S2978" s="6"/>
      <c r="V2978" s="6"/>
      <c r="X2978" s="6"/>
      <c r="Z2978" s="110"/>
      <c r="AB2978" s="6"/>
      <c r="AD2978" s="6"/>
      <c r="AE2978" s="6"/>
      <c r="AF2978" s="126"/>
      <c r="AJ2978" s="6"/>
      <c r="AL2978" s="110"/>
      <c r="AM2978" s="110"/>
      <c r="AN2978" s="110"/>
      <c r="AP2978" s="6"/>
      <c r="AW2978" s="6"/>
      <c r="AX2978" s="6"/>
      <c r="AZ2978" s="110"/>
      <c r="BB2978" s="6"/>
      <c r="BD2978" s="6"/>
      <c r="BE2978" s="6"/>
      <c r="BV2978" s="17"/>
      <c r="BX2978" s="17"/>
      <c r="BZ2978" s="17"/>
    </row>
    <row r="2979" spans="4:78" x14ac:dyDescent="0.3">
      <c r="D2979" s="153"/>
      <c r="E2979" s="6"/>
      <c r="G2979" s="6"/>
      <c r="J2979" s="6"/>
      <c r="N2979" s="154"/>
      <c r="O2979" s="6"/>
      <c r="S2979" s="6"/>
      <c r="V2979" s="6"/>
      <c r="X2979" s="6"/>
      <c r="Z2979" s="110"/>
      <c r="AB2979" s="6"/>
      <c r="AD2979" s="6"/>
      <c r="AE2979" s="6"/>
      <c r="AF2979" s="126"/>
      <c r="AJ2979" s="6"/>
      <c r="AL2979" s="110"/>
      <c r="AM2979" s="110"/>
      <c r="AN2979" s="110"/>
      <c r="AP2979" s="6"/>
      <c r="AW2979" s="6"/>
      <c r="AX2979" s="6"/>
      <c r="AZ2979" s="110"/>
      <c r="BB2979" s="6"/>
      <c r="BD2979" s="6"/>
      <c r="BE2979" s="6"/>
      <c r="BV2979" s="17"/>
      <c r="BX2979" s="17"/>
      <c r="BZ2979" s="17"/>
    </row>
    <row r="2980" spans="4:78" x14ac:dyDescent="0.3">
      <c r="D2980" s="153"/>
      <c r="E2980" s="6"/>
      <c r="G2980" s="6"/>
      <c r="J2980" s="6"/>
      <c r="N2980" s="154"/>
      <c r="O2980" s="6"/>
      <c r="S2980" s="6"/>
      <c r="V2980" s="6"/>
      <c r="X2980" s="6"/>
      <c r="Z2980" s="110"/>
      <c r="AB2980" s="6"/>
      <c r="AD2980" s="6"/>
      <c r="AE2980" s="6"/>
      <c r="AF2980" s="126"/>
      <c r="AJ2980" s="6"/>
      <c r="AL2980" s="110"/>
      <c r="AM2980" s="110"/>
      <c r="AN2980" s="110"/>
      <c r="AP2980" s="6"/>
      <c r="AW2980" s="6"/>
      <c r="AX2980" s="6"/>
      <c r="AZ2980" s="110"/>
      <c r="BB2980" s="6"/>
      <c r="BD2980" s="6"/>
      <c r="BE2980" s="6"/>
      <c r="BV2980" s="17"/>
      <c r="BX2980" s="17"/>
      <c r="BZ2980" s="17"/>
    </row>
    <row r="2981" spans="4:78" x14ac:dyDescent="0.3">
      <c r="D2981" s="153"/>
      <c r="E2981" s="6"/>
      <c r="G2981" s="6"/>
      <c r="J2981" s="6"/>
      <c r="N2981" s="154"/>
      <c r="O2981" s="6"/>
      <c r="S2981" s="6"/>
      <c r="V2981" s="6"/>
      <c r="X2981" s="6"/>
      <c r="Z2981" s="110"/>
      <c r="AB2981" s="6"/>
      <c r="AD2981" s="6"/>
      <c r="AE2981" s="6"/>
      <c r="AF2981" s="126"/>
      <c r="AJ2981" s="6"/>
      <c r="AL2981" s="110"/>
      <c r="AM2981" s="110"/>
      <c r="AN2981" s="110"/>
      <c r="AP2981" s="6"/>
      <c r="AW2981" s="6"/>
      <c r="AX2981" s="6"/>
      <c r="AZ2981" s="110"/>
      <c r="BB2981" s="6"/>
      <c r="BD2981" s="6"/>
      <c r="BE2981" s="6"/>
      <c r="BV2981" s="17"/>
      <c r="BX2981" s="17"/>
      <c r="BZ2981" s="17"/>
    </row>
    <row r="2982" spans="4:78" x14ac:dyDescent="0.3">
      <c r="D2982" s="153"/>
      <c r="E2982" s="6"/>
      <c r="G2982" s="6"/>
      <c r="J2982" s="6"/>
      <c r="N2982" s="154"/>
      <c r="O2982" s="6"/>
      <c r="S2982" s="6"/>
      <c r="V2982" s="6"/>
      <c r="X2982" s="6"/>
      <c r="Z2982" s="110"/>
      <c r="AB2982" s="6"/>
      <c r="AD2982" s="6"/>
      <c r="AE2982" s="6"/>
      <c r="AF2982" s="126"/>
      <c r="AJ2982" s="6"/>
      <c r="AL2982" s="110"/>
      <c r="AM2982" s="110"/>
      <c r="AN2982" s="110"/>
      <c r="AP2982" s="6"/>
      <c r="AW2982" s="6"/>
      <c r="AX2982" s="6"/>
      <c r="AZ2982" s="110"/>
      <c r="BB2982" s="6"/>
      <c r="BD2982" s="6"/>
      <c r="BE2982" s="6"/>
      <c r="BV2982" s="17"/>
      <c r="BX2982" s="17"/>
      <c r="BZ2982" s="17"/>
    </row>
    <row r="2983" spans="4:78" x14ac:dyDescent="0.3">
      <c r="D2983" s="153"/>
      <c r="E2983" s="6"/>
      <c r="G2983" s="6"/>
      <c r="J2983" s="6"/>
      <c r="N2983" s="154"/>
      <c r="O2983" s="6"/>
      <c r="S2983" s="6"/>
      <c r="V2983" s="6"/>
      <c r="X2983" s="6"/>
      <c r="Z2983" s="110"/>
      <c r="AB2983" s="6"/>
      <c r="AD2983" s="6"/>
      <c r="AE2983" s="6"/>
      <c r="AF2983" s="126"/>
      <c r="AJ2983" s="6"/>
      <c r="AL2983" s="110"/>
      <c r="AM2983" s="110"/>
      <c r="AN2983" s="110"/>
      <c r="AP2983" s="6"/>
      <c r="AW2983" s="6"/>
      <c r="AX2983" s="6"/>
      <c r="AZ2983" s="110"/>
      <c r="BB2983" s="6"/>
      <c r="BD2983" s="6"/>
      <c r="BE2983" s="6"/>
      <c r="BV2983" s="17"/>
      <c r="BX2983" s="17"/>
      <c r="BZ2983" s="17"/>
    </row>
    <row r="2984" spans="4:78" x14ac:dyDescent="0.3">
      <c r="D2984" s="153"/>
      <c r="E2984" s="6"/>
      <c r="G2984" s="6"/>
      <c r="J2984" s="6"/>
      <c r="N2984" s="154"/>
      <c r="O2984" s="6"/>
      <c r="S2984" s="6"/>
      <c r="V2984" s="6"/>
      <c r="X2984" s="6"/>
      <c r="Z2984" s="110"/>
      <c r="AB2984" s="6"/>
      <c r="AD2984" s="6"/>
      <c r="AE2984" s="6"/>
      <c r="AF2984" s="126"/>
      <c r="AJ2984" s="6"/>
      <c r="AL2984" s="110"/>
      <c r="AM2984" s="110"/>
      <c r="AN2984" s="110"/>
      <c r="AP2984" s="6"/>
      <c r="AW2984" s="6"/>
      <c r="AX2984" s="6"/>
      <c r="AZ2984" s="110"/>
      <c r="BB2984" s="6"/>
      <c r="BD2984" s="6"/>
      <c r="BE2984" s="6"/>
      <c r="BV2984" s="17"/>
      <c r="BX2984" s="17"/>
      <c r="BZ2984" s="17"/>
    </row>
    <row r="2985" spans="4:78" x14ac:dyDescent="0.3">
      <c r="D2985" s="153"/>
      <c r="E2985" s="6"/>
      <c r="G2985" s="6"/>
      <c r="J2985" s="6"/>
      <c r="N2985" s="154"/>
      <c r="O2985" s="6"/>
      <c r="S2985" s="6"/>
      <c r="V2985" s="6"/>
      <c r="X2985" s="6"/>
      <c r="Z2985" s="110"/>
      <c r="AB2985" s="6"/>
      <c r="AD2985" s="6"/>
      <c r="AE2985" s="6"/>
      <c r="AF2985" s="126"/>
      <c r="AJ2985" s="6"/>
      <c r="AL2985" s="110"/>
      <c r="AM2985" s="110"/>
      <c r="AN2985" s="110"/>
      <c r="AP2985" s="6"/>
      <c r="AW2985" s="6"/>
      <c r="AX2985" s="6"/>
      <c r="AZ2985" s="110"/>
      <c r="BB2985" s="6"/>
      <c r="BD2985" s="6"/>
      <c r="BE2985" s="6"/>
      <c r="BV2985" s="17"/>
      <c r="BX2985" s="17"/>
      <c r="BZ2985" s="17"/>
    </row>
    <row r="2986" spans="4:78" x14ac:dyDescent="0.3">
      <c r="D2986" s="153"/>
      <c r="E2986" s="6"/>
      <c r="G2986" s="6"/>
      <c r="J2986" s="6"/>
      <c r="N2986" s="154"/>
      <c r="O2986" s="6"/>
      <c r="S2986" s="6"/>
      <c r="V2986" s="6"/>
      <c r="X2986" s="6"/>
      <c r="Z2986" s="110"/>
      <c r="AB2986" s="6"/>
      <c r="AD2986" s="6"/>
      <c r="AE2986" s="6"/>
      <c r="AF2986" s="126"/>
      <c r="AJ2986" s="6"/>
      <c r="AL2986" s="110"/>
      <c r="AM2986" s="110"/>
      <c r="AN2986" s="110"/>
      <c r="AP2986" s="6"/>
      <c r="AW2986" s="6"/>
      <c r="AX2986" s="6"/>
      <c r="AZ2986" s="110"/>
      <c r="BB2986" s="6"/>
      <c r="BD2986" s="6"/>
      <c r="BE2986" s="6"/>
      <c r="BV2986" s="17"/>
      <c r="BX2986" s="17"/>
      <c r="BZ2986" s="17"/>
    </row>
    <row r="2987" spans="4:78" x14ac:dyDescent="0.3">
      <c r="D2987" s="153"/>
      <c r="E2987" s="6"/>
      <c r="G2987" s="6"/>
      <c r="J2987" s="6"/>
      <c r="N2987" s="154"/>
      <c r="O2987" s="6"/>
      <c r="S2987" s="6"/>
      <c r="V2987" s="6"/>
      <c r="X2987" s="6"/>
      <c r="Z2987" s="110"/>
      <c r="AB2987" s="6"/>
      <c r="AD2987" s="6"/>
      <c r="AE2987" s="6"/>
      <c r="AF2987" s="126"/>
      <c r="AJ2987" s="6"/>
      <c r="AL2987" s="110"/>
      <c r="AM2987" s="110"/>
      <c r="AN2987" s="110"/>
      <c r="AP2987" s="6"/>
      <c r="AW2987" s="6"/>
      <c r="AX2987" s="6"/>
      <c r="AZ2987" s="110"/>
      <c r="BB2987" s="6"/>
      <c r="BD2987" s="6"/>
      <c r="BE2987" s="6"/>
      <c r="BV2987" s="17"/>
      <c r="BX2987" s="17"/>
      <c r="BZ2987" s="17"/>
    </row>
    <row r="2988" spans="4:78" x14ac:dyDescent="0.3">
      <c r="D2988" s="153"/>
      <c r="E2988" s="6"/>
      <c r="G2988" s="6"/>
      <c r="J2988" s="6"/>
      <c r="N2988" s="154"/>
      <c r="O2988" s="6"/>
      <c r="S2988" s="6"/>
      <c r="V2988" s="6"/>
      <c r="X2988" s="6"/>
      <c r="Z2988" s="110"/>
      <c r="AB2988" s="6"/>
      <c r="AD2988" s="6"/>
      <c r="AE2988" s="6"/>
      <c r="AF2988" s="126"/>
      <c r="AJ2988" s="6"/>
      <c r="AL2988" s="110"/>
      <c r="AM2988" s="110"/>
      <c r="AN2988" s="110"/>
      <c r="AP2988" s="6"/>
      <c r="AW2988" s="6"/>
      <c r="AX2988" s="6"/>
      <c r="AZ2988" s="110"/>
      <c r="BB2988" s="6"/>
      <c r="BD2988" s="6"/>
      <c r="BE2988" s="6"/>
      <c r="BV2988" s="17"/>
      <c r="BX2988" s="17"/>
      <c r="BZ2988" s="17"/>
    </row>
    <row r="2989" spans="4:78" x14ac:dyDescent="0.3">
      <c r="D2989" s="153"/>
      <c r="E2989" s="6"/>
      <c r="G2989" s="6"/>
      <c r="J2989" s="6"/>
      <c r="N2989" s="154"/>
      <c r="O2989" s="6"/>
      <c r="S2989" s="6"/>
      <c r="V2989" s="6"/>
      <c r="X2989" s="6"/>
      <c r="Z2989" s="110"/>
      <c r="AB2989" s="6"/>
      <c r="AD2989" s="6"/>
      <c r="AE2989" s="6"/>
      <c r="AF2989" s="126"/>
      <c r="AJ2989" s="6"/>
      <c r="AL2989" s="110"/>
      <c r="AM2989" s="110"/>
      <c r="AN2989" s="110"/>
      <c r="AP2989" s="6"/>
      <c r="AW2989" s="6"/>
      <c r="AX2989" s="6"/>
      <c r="AZ2989" s="110"/>
      <c r="BB2989" s="6"/>
      <c r="BD2989" s="6"/>
      <c r="BE2989" s="6"/>
      <c r="BV2989" s="17"/>
      <c r="BX2989" s="17"/>
      <c r="BZ2989" s="17"/>
    </row>
    <row r="2990" spans="4:78" x14ac:dyDescent="0.3">
      <c r="D2990" s="153"/>
      <c r="E2990" s="6"/>
      <c r="G2990" s="6"/>
      <c r="J2990" s="6"/>
      <c r="N2990" s="154"/>
      <c r="O2990" s="6"/>
      <c r="S2990" s="6"/>
      <c r="V2990" s="6"/>
      <c r="X2990" s="6"/>
      <c r="Z2990" s="110"/>
      <c r="AB2990" s="6"/>
      <c r="AD2990" s="6"/>
      <c r="AE2990" s="6"/>
      <c r="AF2990" s="126"/>
      <c r="AJ2990" s="6"/>
      <c r="AL2990" s="110"/>
      <c r="AM2990" s="110"/>
      <c r="AN2990" s="110"/>
      <c r="AP2990" s="6"/>
      <c r="AW2990" s="6"/>
      <c r="AX2990" s="6"/>
      <c r="AZ2990" s="110"/>
      <c r="BB2990" s="6"/>
      <c r="BD2990" s="6"/>
      <c r="BE2990" s="6"/>
      <c r="BV2990" s="17"/>
      <c r="BX2990" s="17"/>
      <c r="BZ2990" s="17"/>
    </row>
    <row r="2991" spans="4:78" x14ac:dyDescent="0.3">
      <c r="D2991" s="153"/>
      <c r="E2991" s="6"/>
      <c r="G2991" s="6"/>
      <c r="J2991" s="6"/>
      <c r="N2991" s="154"/>
      <c r="O2991" s="6"/>
      <c r="S2991" s="6"/>
      <c r="V2991" s="6"/>
      <c r="X2991" s="6"/>
      <c r="Z2991" s="110"/>
      <c r="AB2991" s="6"/>
      <c r="AD2991" s="6"/>
      <c r="AE2991" s="6"/>
      <c r="AF2991" s="126"/>
      <c r="AJ2991" s="6"/>
      <c r="AL2991" s="110"/>
      <c r="AM2991" s="110"/>
      <c r="AN2991" s="110"/>
      <c r="AP2991" s="6"/>
      <c r="AW2991" s="6"/>
      <c r="AX2991" s="6"/>
      <c r="AZ2991" s="110"/>
      <c r="BB2991" s="6"/>
      <c r="BD2991" s="6"/>
      <c r="BE2991" s="6"/>
      <c r="BV2991" s="17"/>
      <c r="BX2991" s="17"/>
      <c r="BZ2991" s="17"/>
    </row>
    <row r="2992" spans="4:78" x14ac:dyDescent="0.3">
      <c r="D2992" s="153"/>
      <c r="E2992" s="6"/>
      <c r="G2992" s="6"/>
      <c r="J2992" s="6"/>
      <c r="N2992" s="154"/>
      <c r="O2992" s="6"/>
      <c r="S2992" s="6"/>
      <c r="V2992" s="6"/>
      <c r="X2992" s="6"/>
      <c r="Z2992" s="110"/>
      <c r="AB2992" s="6"/>
      <c r="AD2992" s="6"/>
      <c r="AE2992" s="6"/>
      <c r="AF2992" s="126"/>
      <c r="AJ2992" s="6"/>
      <c r="AL2992" s="110"/>
      <c r="AM2992" s="110"/>
      <c r="AN2992" s="110"/>
      <c r="AP2992" s="6"/>
      <c r="AW2992" s="6"/>
      <c r="AX2992" s="6"/>
      <c r="AZ2992" s="110"/>
      <c r="BB2992" s="6"/>
      <c r="BD2992" s="6"/>
      <c r="BE2992" s="6"/>
      <c r="BV2992" s="17"/>
      <c r="BX2992" s="17"/>
      <c r="BZ2992" s="17"/>
    </row>
    <row r="2993" spans="4:78" x14ac:dyDescent="0.3">
      <c r="D2993" s="153"/>
      <c r="E2993" s="6"/>
      <c r="G2993" s="6"/>
      <c r="J2993" s="6"/>
      <c r="N2993" s="154"/>
      <c r="O2993" s="6"/>
      <c r="S2993" s="6"/>
      <c r="V2993" s="6"/>
      <c r="X2993" s="6"/>
      <c r="Z2993" s="110"/>
      <c r="AB2993" s="6"/>
      <c r="AD2993" s="6"/>
      <c r="AE2993" s="6"/>
      <c r="AF2993" s="126"/>
      <c r="AJ2993" s="6"/>
      <c r="AL2993" s="110"/>
      <c r="AM2993" s="110"/>
      <c r="AN2993" s="110"/>
      <c r="AP2993" s="6"/>
      <c r="AW2993" s="6"/>
      <c r="AX2993" s="6"/>
      <c r="AZ2993" s="110"/>
      <c r="BB2993" s="6"/>
      <c r="BD2993" s="6"/>
      <c r="BE2993" s="6"/>
      <c r="BV2993" s="17"/>
      <c r="BX2993" s="17"/>
      <c r="BZ2993" s="17"/>
    </row>
    <row r="2994" spans="4:78" x14ac:dyDescent="0.3">
      <c r="D2994" s="153"/>
      <c r="E2994" s="6"/>
      <c r="G2994" s="6"/>
      <c r="J2994" s="6"/>
      <c r="N2994" s="154"/>
      <c r="O2994" s="6"/>
      <c r="S2994" s="6"/>
      <c r="V2994" s="6"/>
      <c r="X2994" s="6"/>
      <c r="Z2994" s="110"/>
      <c r="AB2994" s="6"/>
      <c r="AD2994" s="6"/>
      <c r="AE2994" s="6"/>
      <c r="AF2994" s="126"/>
      <c r="AJ2994" s="6"/>
      <c r="AL2994" s="110"/>
      <c r="AM2994" s="110"/>
      <c r="AN2994" s="110"/>
      <c r="AP2994" s="6"/>
      <c r="AW2994" s="6"/>
      <c r="AX2994" s="6"/>
      <c r="AZ2994" s="110"/>
      <c r="BB2994" s="6"/>
      <c r="BD2994" s="6"/>
      <c r="BE2994" s="6"/>
      <c r="BV2994" s="17"/>
      <c r="BX2994" s="17"/>
      <c r="BZ2994" s="17"/>
    </row>
    <row r="2995" spans="4:78" x14ac:dyDescent="0.3">
      <c r="D2995" s="153"/>
      <c r="E2995" s="6"/>
      <c r="G2995" s="6"/>
      <c r="J2995" s="6"/>
      <c r="N2995" s="154"/>
      <c r="O2995" s="6"/>
      <c r="S2995" s="6"/>
      <c r="V2995" s="6"/>
      <c r="X2995" s="6"/>
      <c r="Z2995" s="110"/>
      <c r="AB2995" s="6"/>
      <c r="AD2995" s="6"/>
      <c r="AE2995" s="6"/>
      <c r="AF2995" s="126"/>
      <c r="AJ2995" s="6"/>
      <c r="AL2995" s="110"/>
      <c r="AM2995" s="110"/>
      <c r="AN2995" s="110"/>
      <c r="AP2995" s="6"/>
      <c r="AW2995" s="6"/>
      <c r="AX2995" s="6"/>
      <c r="AZ2995" s="110"/>
      <c r="BB2995" s="6"/>
      <c r="BD2995" s="6"/>
      <c r="BE2995" s="6"/>
      <c r="BV2995" s="17"/>
      <c r="BX2995" s="17"/>
      <c r="BZ2995" s="17"/>
    </row>
    <row r="2996" spans="4:78" x14ac:dyDescent="0.3">
      <c r="D2996" s="153"/>
      <c r="E2996" s="6"/>
      <c r="G2996" s="6"/>
      <c r="J2996" s="6"/>
      <c r="N2996" s="154"/>
      <c r="O2996" s="6"/>
      <c r="S2996" s="6"/>
      <c r="V2996" s="6"/>
      <c r="X2996" s="6"/>
      <c r="Z2996" s="110"/>
      <c r="AB2996" s="6"/>
      <c r="AD2996" s="6"/>
      <c r="AE2996" s="6"/>
      <c r="AF2996" s="126"/>
      <c r="AJ2996" s="6"/>
      <c r="AL2996" s="110"/>
      <c r="AM2996" s="110"/>
      <c r="AN2996" s="110"/>
      <c r="AP2996" s="6"/>
      <c r="AW2996" s="6"/>
      <c r="AX2996" s="6"/>
      <c r="AZ2996" s="110"/>
      <c r="BB2996" s="6"/>
      <c r="BD2996" s="6"/>
      <c r="BE2996" s="6"/>
      <c r="BV2996" s="17"/>
      <c r="BX2996" s="17"/>
      <c r="BZ2996" s="17"/>
    </row>
    <row r="2997" spans="4:78" x14ac:dyDescent="0.3">
      <c r="D2997" s="153"/>
      <c r="E2997" s="6"/>
      <c r="G2997" s="6"/>
      <c r="J2997" s="6"/>
      <c r="N2997" s="154"/>
      <c r="O2997" s="6"/>
      <c r="S2997" s="6"/>
      <c r="V2997" s="6"/>
      <c r="X2997" s="6"/>
      <c r="Z2997" s="110"/>
      <c r="AB2997" s="6"/>
      <c r="AD2997" s="6"/>
      <c r="AE2997" s="6"/>
      <c r="AF2997" s="126"/>
      <c r="AJ2997" s="6"/>
      <c r="AL2997" s="110"/>
      <c r="AM2997" s="110"/>
      <c r="AN2997" s="110"/>
      <c r="AP2997" s="6"/>
      <c r="AW2997" s="6"/>
      <c r="AX2997" s="6"/>
      <c r="AZ2997" s="110"/>
      <c r="BB2997" s="6"/>
      <c r="BD2997" s="6"/>
      <c r="BE2997" s="6"/>
      <c r="BV2997" s="17"/>
      <c r="BX2997" s="17"/>
      <c r="BZ2997" s="17"/>
    </row>
    <row r="2998" spans="4:78" x14ac:dyDescent="0.3">
      <c r="D2998" s="153"/>
      <c r="E2998" s="6"/>
      <c r="G2998" s="6"/>
      <c r="J2998" s="6"/>
      <c r="N2998" s="154"/>
      <c r="O2998" s="6"/>
      <c r="S2998" s="6"/>
      <c r="V2998" s="6"/>
      <c r="X2998" s="6"/>
      <c r="Z2998" s="110"/>
      <c r="AB2998" s="6"/>
      <c r="AD2998" s="6"/>
      <c r="AE2998" s="6"/>
      <c r="AF2998" s="126"/>
      <c r="AJ2998" s="6"/>
      <c r="AL2998" s="110"/>
      <c r="AM2998" s="110"/>
      <c r="AN2998" s="110"/>
      <c r="AP2998" s="6"/>
      <c r="AW2998" s="6"/>
      <c r="AX2998" s="6"/>
      <c r="AZ2998" s="110"/>
      <c r="BB2998" s="6"/>
      <c r="BD2998" s="6"/>
      <c r="BE2998" s="6"/>
      <c r="BV2998" s="17"/>
      <c r="BX2998" s="17"/>
      <c r="BZ2998" s="17"/>
    </row>
    <row r="2999" spans="4:78" x14ac:dyDescent="0.3">
      <c r="D2999" s="153"/>
      <c r="E2999" s="6"/>
      <c r="G2999" s="6"/>
      <c r="J2999" s="6"/>
      <c r="N2999" s="154"/>
      <c r="O2999" s="6"/>
      <c r="S2999" s="6"/>
      <c r="V2999" s="6"/>
      <c r="X2999" s="6"/>
      <c r="Z2999" s="110"/>
      <c r="AB2999" s="6"/>
      <c r="AD2999" s="6"/>
      <c r="AE2999" s="6"/>
      <c r="AF2999" s="126"/>
      <c r="AJ2999" s="6"/>
      <c r="AL2999" s="110"/>
      <c r="AM2999" s="110"/>
      <c r="AN2999" s="110"/>
      <c r="AP2999" s="6"/>
      <c r="AW2999" s="6"/>
      <c r="AX2999" s="6"/>
      <c r="AZ2999" s="110"/>
      <c r="BB2999" s="6"/>
      <c r="BD2999" s="6"/>
      <c r="BE2999" s="6"/>
      <c r="BV2999" s="17"/>
      <c r="BX2999" s="17"/>
      <c r="BZ2999" s="17"/>
    </row>
    <row r="3000" spans="4:78" x14ac:dyDescent="0.3">
      <c r="D3000" s="153"/>
      <c r="E3000" s="6"/>
      <c r="G3000" s="6"/>
      <c r="J3000" s="6"/>
      <c r="N3000" s="154"/>
      <c r="O3000" s="6"/>
      <c r="S3000" s="6"/>
      <c r="V3000" s="6"/>
      <c r="X3000" s="6"/>
      <c r="Z3000" s="110"/>
      <c r="AB3000" s="6"/>
      <c r="AD3000" s="6"/>
      <c r="AE3000" s="6"/>
      <c r="AF3000" s="126"/>
      <c r="AJ3000" s="6"/>
      <c r="AL3000" s="110"/>
      <c r="AM3000" s="110"/>
      <c r="AN3000" s="110"/>
      <c r="AP3000" s="6"/>
      <c r="AW3000" s="6"/>
      <c r="AX3000" s="6"/>
      <c r="AZ3000" s="110"/>
      <c r="BB3000" s="6"/>
      <c r="BD3000" s="6"/>
      <c r="BE3000" s="6"/>
      <c r="BV3000" s="17"/>
      <c r="BX3000" s="17"/>
      <c r="BZ3000" s="17"/>
    </row>
    <row r="3001" spans="4:78" x14ac:dyDescent="0.3">
      <c r="D3001" s="153"/>
      <c r="E3001" s="6"/>
      <c r="G3001" s="6"/>
      <c r="J3001" s="6"/>
      <c r="N3001" s="154"/>
      <c r="O3001" s="6"/>
      <c r="S3001" s="6"/>
      <c r="V3001" s="6"/>
      <c r="X3001" s="6"/>
      <c r="Z3001" s="110"/>
      <c r="AB3001" s="6"/>
      <c r="AD3001" s="6"/>
      <c r="AE3001" s="6"/>
      <c r="AF3001" s="126"/>
      <c r="AJ3001" s="6"/>
      <c r="AL3001" s="110"/>
      <c r="AM3001" s="110"/>
      <c r="AN3001" s="110"/>
      <c r="AP3001" s="6"/>
      <c r="AW3001" s="6"/>
      <c r="AX3001" s="6"/>
      <c r="AZ3001" s="110"/>
      <c r="BB3001" s="6"/>
      <c r="BD3001" s="6"/>
      <c r="BE3001" s="6"/>
      <c r="BV3001" s="17"/>
      <c r="BX3001" s="17"/>
      <c r="BZ3001" s="17"/>
    </row>
    <row r="3002" spans="4:78" x14ac:dyDescent="0.3">
      <c r="D3002" s="153"/>
      <c r="E3002" s="6"/>
      <c r="G3002" s="6"/>
      <c r="J3002" s="6"/>
      <c r="N3002" s="154"/>
      <c r="O3002" s="6"/>
      <c r="S3002" s="6"/>
      <c r="V3002" s="6"/>
      <c r="X3002" s="6"/>
      <c r="Z3002" s="110"/>
      <c r="AB3002" s="6"/>
      <c r="AD3002" s="6"/>
      <c r="AE3002" s="6"/>
      <c r="AF3002" s="126"/>
      <c r="AJ3002" s="6"/>
      <c r="AL3002" s="110"/>
      <c r="AM3002" s="110"/>
      <c r="AN3002" s="110"/>
      <c r="AP3002" s="6"/>
      <c r="AW3002" s="6"/>
      <c r="AX3002" s="6"/>
      <c r="AZ3002" s="110"/>
      <c r="BB3002" s="6"/>
      <c r="BD3002" s="6"/>
      <c r="BE3002" s="6"/>
      <c r="BV3002" s="17"/>
      <c r="BX3002" s="17"/>
      <c r="BZ3002" s="17"/>
    </row>
    <row r="3003" spans="4:78" x14ac:dyDescent="0.3">
      <c r="D3003" s="153"/>
      <c r="E3003" s="6"/>
      <c r="G3003" s="6"/>
      <c r="J3003" s="6"/>
      <c r="N3003" s="154"/>
      <c r="O3003" s="6"/>
      <c r="S3003" s="6"/>
      <c r="V3003" s="6"/>
      <c r="X3003" s="6"/>
      <c r="Z3003" s="110"/>
      <c r="AB3003" s="6"/>
      <c r="AD3003" s="6"/>
      <c r="AE3003" s="6"/>
      <c r="AF3003" s="126"/>
      <c r="AJ3003" s="6"/>
      <c r="AL3003" s="110"/>
      <c r="AM3003" s="110"/>
      <c r="AN3003" s="110"/>
      <c r="AP3003" s="6"/>
      <c r="AW3003" s="6"/>
      <c r="AX3003" s="6"/>
      <c r="AZ3003" s="110"/>
      <c r="BB3003" s="6"/>
      <c r="BD3003" s="6"/>
      <c r="BE3003" s="6"/>
      <c r="BV3003" s="17"/>
      <c r="BX3003" s="17"/>
      <c r="BZ3003" s="17"/>
    </row>
    <row r="3004" spans="4:78" x14ac:dyDescent="0.3">
      <c r="D3004" s="153"/>
      <c r="E3004" s="6"/>
      <c r="G3004" s="6"/>
      <c r="J3004" s="6"/>
      <c r="N3004" s="154"/>
      <c r="O3004" s="6"/>
      <c r="S3004" s="6"/>
      <c r="V3004" s="6"/>
      <c r="X3004" s="6"/>
      <c r="Z3004" s="110"/>
      <c r="AB3004" s="6"/>
      <c r="AD3004" s="6"/>
      <c r="AE3004" s="6"/>
      <c r="AF3004" s="126"/>
      <c r="AJ3004" s="6"/>
      <c r="AL3004" s="110"/>
      <c r="AM3004" s="110"/>
      <c r="AN3004" s="110"/>
      <c r="AP3004" s="6"/>
      <c r="AW3004" s="6"/>
      <c r="AX3004" s="6"/>
      <c r="AZ3004" s="110"/>
      <c r="BB3004" s="6"/>
      <c r="BD3004" s="6"/>
      <c r="BE3004" s="6"/>
      <c r="BV3004" s="17"/>
      <c r="BX3004" s="17"/>
      <c r="BZ3004" s="17"/>
    </row>
    <row r="3005" spans="4:78" x14ac:dyDescent="0.3">
      <c r="D3005" s="153"/>
      <c r="E3005" s="6"/>
      <c r="G3005" s="6"/>
      <c r="J3005" s="6"/>
      <c r="N3005" s="154"/>
      <c r="O3005" s="6"/>
      <c r="S3005" s="6"/>
      <c r="V3005" s="6"/>
      <c r="X3005" s="6"/>
      <c r="Z3005" s="110"/>
      <c r="AB3005" s="6"/>
      <c r="AD3005" s="6"/>
      <c r="AE3005" s="6"/>
      <c r="AF3005" s="126"/>
      <c r="AJ3005" s="6"/>
      <c r="AL3005" s="110"/>
      <c r="AM3005" s="110"/>
      <c r="AN3005" s="110"/>
      <c r="AP3005" s="6"/>
      <c r="AW3005" s="6"/>
      <c r="AX3005" s="6"/>
      <c r="AZ3005" s="110"/>
      <c r="BB3005" s="6"/>
      <c r="BD3005" s="6"/>
      <c r="BE3005" s="6"/>
      <c r="BV3005" s="17"/>
      <c r="BX3005" s="17"/>
      <c r="BZ3005" s="17"/>
    </row>
    <row r="3006" spans="4:78" x14ac:dyDescent="0.3">
      <c r="D3006" s="153"/>
      <c r="E3006" s="6"/>
      <c r="G3006" s="6"/>
      <c r="J3006" s="6"/>
      <c r="N3006" s="154"/>
      <c r="O3006" s="6"/>
      <c r="S3006" s="6"/>
      <c r="V3006" s="6"/>
      <c r="X3006" s="6"/>
      <c r="Z3006" s="110"/>
      <c r="AB3006" s="6"/>
      <c r="AD3006" s="6"/>
      <c r="AE3006" s="6"/>
      <c r="AF3006" s="126"/>
      <c r="AJ3006" s="6"/>
      <c r="AL3006" s="110"/>
      <c r="AM3006" s="110"/>
      <c r="AN3006" s="110"/>
      <c r="AP3006" s="6"/>
      <c r="AW3006" s="6"/>
      <c r="AX3006" s="6"/>
      <c r="AZ3006" s="110"/>
      <c r="BB3006" s="6"/>
      <c r="BD3006" s="6"/>
      <c r="BE3006" s="6"/>
      <c r="BV3006" s="17"/>
      <c r="BX3006" s="17"/>
      <c r="BZ3006" s="17"/>
    </row>
    <row r="3007" spans="4:78" x14ac:dyDescent="0.3">
      <c r="D3007" s="153"/>
      <c r="E3007" s="6"/>
      <c r="G3007" s="6"/>
      <c r="J3007" s="6"/>
      <c r="N3007" s="154"/>
      <c r="O3007" s="6"/>
      <c r="S3007" s="6"/>
      <c r="V3007" s="6"/>
      <c r="X3007" s="6"/>
      <c r="Z3007" s="110"/>
      <c r="AB3007" s="6"/>
      <c r="AD3007" s="6"/>
      <c r="AE3007" s="6"/>
      <c r="AF3007" s="126"/>
      <c r="AJ3007" s="6"/>
      <c r="AL3007" s="110"/>
      <c r="AM3007" s="110"/>
      <c r="AN3007" s="110"/>
      <c r="AP3007" s="6"/>
      <c r="AW3007" s="6"/>
      <c r="AX3007" s="6"/>
      <c r="AZ3007" s="110"/>
      <c r="BB3007" s="6"/>
      <c r="BD3007" s="6"/>
      <c r="BE3007" s="6"/>
      <c r="BV3007" s="17"/>
      <c r="BX3007" s="17"/>
      <c r="BZ3007" s="17"/>
    </row>
    <row r="3008" spans="4:78" x14ac:dyDescent="0.3">
      <c r="D3008" s="153"/>
      <c r="E3008" s="6"/>
      <c r="G3008" s="6"/>
      <c r="J3008" s="6"/>
      <c r="N3008" s="154"/>
      <c r="O3008" s="6"/>
      <c r="S3008" s="6"/>
      <c r="V3008" s="6"/>
      <c r="X3008" s="6"/>
      <c r="Z3008" s="110"/>
      <c r="AB3008" s="6"/>
      <c r="AD3008" s="6"/>
      <c r="AE3008" s="6"/>
      <c r="AF3008" s="126"/>
      <c r="AJ3008" s="6"/>
      <c r="AL3008" s="110"/>
      <c r="AM3008" s="110"/>
      <c r="AN3008" s="110"/>
      <c r="AP3008" s="6"/>
      <c r="AW3008" s="6"/>
      <c r="AX3008" s="6"/>
      <c r="AZ3008" s="110"/>
      <c r="BB3008" s="6"/>
      <c r="BD3008" s="6"/>
      <c r="BE3008" s="6"/>
      <c r="BV3008" s="17"/>
      <c r="BX3008" s="17"/>
      <c r="BZ3008" s="17"/>
    </row>
    <row r="3009" spans="4:78" x14ac:dyDescent="0.3">
      <c r="D3009" s="153"/>
      <c r="E3009" s="6"/>
      <c r="G3009" s="6"/>
      <c r="J3009" s="6"/>
      <c r="N3009" s="154"/>
      <c r="O3009" s="6"/>
      <c r="S3009" s="6"/>
      <c r="V3009" s="6"/>
      <c r="X3009" s="6"/>
      <c r="Z3009" s="110"/>
      <c r="AB3009" s="6"/>
      <c r="AD3009" s="6"/>
      <c r="AE3009" s="6"/>
      <c r="AF3009" s="126"/>
      <c r="AJ3009" s="6"/>
      <c r="AL3009" s="110"/>
      <c r="AM3009" s="110"/>
      <c r="AN3009" s="110"/>
      <c r="AP3009" s="6"/>
      <c r="AW3009" s="6"/>
      <c r="AX3009" s="6"/>
      <c r="AZ3009" s="110"/>
      <c r="BB3009" s="6"/>
      <c r="BD3009" s="6"/>
      <c r="BE3009" s="6"/>
      <c r="BV3009" s="17"/>
      <c r="BX3009" s="17"/>
      <c r="BZ3009" s="17"/>
    </row>
    <row r="3010" spans="4:78" x14ac:dyDescent="0.3">
      <c r="D3010" s="153"/>
      <c r="E3010" s="6"/>
      <c r="G3010" s="6"/>
      <c r="J3010" s="6"/>
      <c r="N3010" s="154"/>
      <c r="O3010" s="6"/>
      <c r="S3010" s="6"/>
      <c r="V3010" s="6"/>
      <c r="X3010" s="6"/>
      <c r="Z3010" s="110"/>
      <c r="AB3010" s="6"/>
      <c r="AD3010" s="6"/>
      <c r="AE3010" s="6"/>
      <c r="AF3010" s="126"/>
      <c r="AJ3010" s="6"/>
      <c r="AL3010" s="110"/>
      <c r="AM3010" s="110"/>
      <c r="AN3010" s="110"/>
      <c r="AP3010" s="6"/>
      <c r="AW3010" s="6"/>
      <c r="AX3010" s="6"/>
      <c r="AZ3010" s="110"/>
      <c r="BB3010" s="6"/>
      <c r="BD3010" s="6"/>
      <c r="BE3010" s="6"/>
      <c r="BV3010" s="17"/>
      <c r="BX3010" s="17"/>
      <c r="BZ3010" s="17"/>
    </row>
    <row r="3011" spans="4:78" x14ac:dyDescent="0.3">
      <c r="D3011" s="153"/>
      <c r="E3011" s="6"/>
      <c r="G3011" s="6"/>
      <c r="J3011" s="6"/>
      <c r="N3011" s="154"/>
      <c r="O3011" s="6"/>
      <c r="S3011" s="6"/>
      <c r="V3011" s="6"/>
      <c r="X3011" s="6"/>
      <c r="Z3011" s="110"/>
      <c r="AB3011" s="6"/>
      <c r="AD3011" s="6"/>
      <c r="AE3011" s="6"/>
      <c r="AF3011" s="126"/>
      <c r="AJ3011" s="6"/>
      <c r="AL3011" s="110"/>
      <c r="AM3011" s="110"/>
      <c r="AN3011" s="110"/>
      <c r="AP3011" s="6"/>
      <c r="AW3011" s="6"/>
      <c r="AX3011" s="6"/>
      <c r="AZ3011" s="110"/>
      <c r="BB3011" s="6"/>
      <c r="BD3011" s="6"/>
      <c r="BE3011" s="6"/>
      <c r="BV3011" s="17"/>
      <c r="BX3011" s="17"/>
      <c r="BZ3011" s="17"/>
    </row>
    <row r="3012" spans="4:78" x14ac:dyDescent="0.3">
      <c r="D3012" s="153"/>
      <c r="E3012" s="6"/>
      <c r="G3012" s="6"/>
      <c r="J3012" s="6"/>
      <c r="N3012" s="154"/>
      <c r="O3012" s="6"/>
      <c r="S3012" s="6"/>
      <c r="V3012" s="6"/>
      <c r="X3012" s="6"/>
      <c r="Z3012" s="110"/>
      <c r="AB3012" s="6"/>
      <c r="AD3012" s="6"/>
      <c r="AE3012" s="6"/>
      <c r="AF3012" s="126"/>
      <c r="AJ3012" s="6"/>
      <c r="AL3012" s="110"/>
      <c r="AM3012" s="110"/>
      <c r="AN3012" s="110"/>
      <c r="AP3012" s="6"/>
      <c r="AW3012" s="6"/>
      <c r="AX3012" s="6"/>
      <c r="AZ3012" s="110"/>
      <c r="BB3012" s="6"/>
      <c r="BD3012" s="6"/>
      <c r="BE3012" s="6"/>
      <c r="BV3012" s="17"/>
      <c r="BX3012" s="17"/>
      <c r="BZ3012" s="17"/>
    </row>
    <row r="3013" spans="4:78" x14ac:dyDescent="0.3">
      <c r="D3013" s="153"/>
      <c r="E3013" s="6"/>
      <c r="G3013" s="6"/>
      <c r="J3013" s="6"/>
      <c r="N3013" s="154"/>
      <c r="O3013" s="6"/>
      <c r="S3013" s="6"/>
      <c r="V3013" s="6"/>
      <c r="X3013" s="6"/>
      <c r="Z3013" s="110"/>
      <c r="AB3013" s="6"/>
      <c r="AD3013" s="6"/>
      <c r="AE3013" s="6"/>
      <c r="AF3013" s="126"/>
      <c r="AJ3013" s="6"/>
      <c r="AL3013" s="110"/>
      <c r="AM3013" s="110"/>
      <c r="AN3013" s="110"/>
      <c r="AP3013" s="6"/>
      <c r="AW3013" s="6"/>
      <c r="AX3013" s="6"/>
      <c r="AZ3013" s="110"/>
      <c r="BB3013" s="6"/>
      <c r="BD3013" s="6"/>
      <c r="BE3013" s="6"/>
      <c r="BV3013" s="17"/>
      <c r="BX3013" s="17"/>
      <c r="BZ3013" s="17"/>
    </row>
    <row r="3014" spans="4:78" x14ac:dyDescent="0.3">
      <c r="D3014" s="153"/>
      <c r="E3014" s="6"/>
      <c r="G3014" s="6"/>
      <c r="J3014" s="6"/>
      <c r="N3014" s="154"/>
      <c r="O3014" s="6"/>
      <c r="S3014" s="6"/>
      <c r="V3014" s="6"/>
      <c r="X3014" s="6"/>
      <c r="Z3014" s="110"/>
      <c r="AB3014" s="6"/>
      <c r="AD3014" s="6"/>
      <c r="AE3014" s="6"/>
      <c r="AF3014" s="126"/>
      <c r="AJ3014" s="6"/>
      <c r="AL3014" s="110"/>
      <c r="AM3014" s="110"/>
      <c r="AN3014" s="110"/>
      <c r="AP3014" s="6"/>
      <c r="AW3014" s="6"/>
      <c r="AX3014" s="6"/>
      <c r="AZ3014" s="110"/>
      <c r="BB3014" s="6"/>
      <c r="BD3014" s="6"/>
      <c r="BE3014" s="6"/>
      <c r="BV3014" s="17"/>
      <c r="BX3014" s="17"/>
      <c r="BZ3014" s="17"/>
    </row>
    <row r="3015" spans="4:78" x14ac:dyDescent="0.3">
      <c r="D3015" s="153"/>
      <c r="E3015" s="6"/>
      <c r="G3015" s="6"/>
      <c r="J3015" s="6"/>
      <c r="N3015" s="154"/>
      <c r="O3015" s="6"/>
      <c r="S3015" s="6"/>
      <c r="V3015" s="6"/>
      <c r="X3015" s="6"/>
      <c r="Z3015" s="110"/>
      <c r="AB3015" s="6"/>
      <c r="AD3015" s="6"/>
      <c r="AE3015" s="6"/>
      <c r="AF3015" s="126"/>
      <c r="AJ3015" s="6"/>
      <c r="AL3015" s="110"/>
      <c r="AM3015" s="110"/>
      <c r="AN3015" s="110"/>
      <c r="AP3015" s="6"/>
      <c r="AW3015" s="6"/>
      <c r="AX3015" s="6"/>
      <c r="AZ3015" s="110"/>
      <c r="BB3015" s="6"/>
      <c r="BD3015" s="6"/>
      <c r="BE3015" s="6"/>
      <c r="BV3015" s="17"/>
      <c r="BX3015" s="17"/>
      <c r="BZ3015" s="17"/>
    </row>
    <row r="3016" spans="4:78" x14ac:dyDescent="0.3">
      <c r="D3016" s="153"/>
      <c r="E3016" s="6"/>
      <c r="G3016" s="6"/>
      <c r="J3016" s="6"/>
      <c r="N3016" s="154"/>
      <c r="O3016" s="6"/>
      <c r="S3016" s="6"/>
      <c r="V3016" s="6"/>
      <c r="X3016" s="6"/>
      <c r="Z3016" s="110"/>
      <c r="AB3016" s="6"/>
      <c r="AD3016" s="6"/>
      <c r="AE3016" s="6"/>
      <c r="AF3016" s="126"/>
      <c r="AJ3016" s="6"/>
      <c r="AL3016" s="110"/>
      <c r="AM3016" s="110"/>
      <c r="AN3016" s="110"/>
      <c r="AP3016" s="6"/>
      <c r="AW3016" s="6"/>
      <c r="AX3016" s="6"/>
      <c r="AZ3016" s="110"/>
      <c r="BB3016" s="6"/>
      <c r="BD3016" s="6"/>
      <c r="BE3016" s="6"/>
      <c r="BV3016" s="17"/>
      <c r="BX3016" s="17"/>
      <c r="BZ3016" s="17"/>
    </row>
    <row r="3017" spans="4:78" x14ac:dyDescent="0.3">
      <c r="D3017" s="153"/>
      <c r="E3017" s="6"/>
      <c r="G3017" s="6"/>
      <c r="J3017" s="6"/>
      <c r="N3017" s="154"/>
      <c r="O3017" s="6"/>
      <c r="S3017" s="6"/>
      <c r="V3017" s="6"/>
      <c r="X3017" s="6"/>
      <c r="Z3017" s="110"/>
      <c r="AB3017" s="6"/>
      <c r="AD3017" s="6"/>
      <c r="AE3017" s="6"/>
      <c r="AF3017" s="126"/>
      <c r="AJ3017" s="6"/>
      <c r="AL3017" s="110"/>
      <c r="AM3017" s="110"/>
      <c r="AN3017" s="110"/>
      <c r="AP3017" s="6"/>
      <c r="AW3017" s="6"/>
      <c r="AX3017" s="6"/>
      <c r="AZ3017" s="110"/>
      <c r="BB3017" s="6"/>
      <c r="BD3017" s="6"/>
      <c r="BE3017" s="6"/>
      <c r="BV3017" s="17"/>
      <c r="BX3017" s="17"/>
      <c r="BZ3017" s="17"/>
    </row>
    <row r="3018" spans="4:78" x14ac:dyDescent="0.3">
      <c r="D3018" s="153"/>
      <c r="E3018" s="6"/>
      <c r="G3018" s="6"/>
      <c r="J3018" s="6"/>
      <c r="N3018" s="154"/>
      <c r="O3018" s="6"/>
      <c r="S3018" s="6"/>
      <c r="V3018" s="6"/>
      <c r="X3018" s="6"/>
      <c r="Z3018" s="110"/>
      <c r="AB3018" s="6"/>
      <c r="AD3018" s="6"/>
      <c r="AE3018" s="6"/>
      <c r="AF3018" s="126"/>
      <c r="AJ3018" s="6"/>
      <c r="AL3018" s="110"/>
      <c r="AM3018" s="110"/>
      <c r="AN3018" s="110"/>
      <c r="AP3018" s="6"/>
      <c r="AW3018" s="6"/>
      <c r="AX3018" s="6"/>
      <c r="AZ3018" s="110"/>
      <c r="BB3018" s="6"/>
      <c r="BD3018" s="6"/>
      <c r="BE3018" s="6"/>
      <c r="BV3018" s="17"/>
      <c r="BX3018" s="17"/>
      <c r="BZ3018" s="17"/>
    </row>
    <row r="3019" spans="4:78" x14ac:dyDescent="0.3">
      <c r="D3019" s="153"/>
      <c r="E3019" s="6"/>
      <c r="G3019" s="6"/>
      <c r="J3019" s="6"/>
      <c r="N3019" s="154"/>
      <c r="O3019" s="6"/>
      <c r="S3019" s="6"/>
      <c r="V3019" s="6"/>
      <c r="X3019" s="6"/>
      <c r="Z3019" s="110"/>
      <c r="AB3019" s="6"/>
      <c r="AD3019" s="6"/>
      <c r="AE3019" s="6"/>
      <c r="AF3019" s="126"/>
      <c r="AJ3019" s="6"/>
      <c r="AL3019" s="110"/>
      <c r="AM3019" s="110"/>
      <c r="AN3019" s="110"/>
      <c r="AP3019" s="6"/>
      <c r="AW3019" s="6"/>
      <c r="AX3019" s="6"/>
      <c r="AZ3019" s="110"/>
      <c r="BB3019" s="6"/>
      <c r="BD3019" s="6"/>
      <c r="BE3019" s="6"/>
      <c r="BV3019" s="17"/>
      <c r="BX3019" s="17"/>
      <c r="BZ3019" s="17"/>
    </row>
    <row r="3020" spans="4:78" x14ac:dyDescent="0.3">
      <c r="D3020" s="153"/>
      <c r="E3020" s="6"/>
      <c r="G3020" s="6"/>
      <c r="J3020" s="6"/>
      <c r="N3020" s="154"/>
      <c r="O3020" s="6"/>
      <c r="S3020" s="6"/>
      <c r="V3020" s="6"/>
      <c r="X3020" s="6"/>
      <c r="Z3020" s="110"/>
      <c r="AB3020" s="6"/>
      <c r="AD3020" s="6"/>
      <c r="AE3020" s="6"/>
      <c r="AF3020" s="126"/>
      <c r="AJ3020" s="6"/>
      <c r="AL3020" s="110"/>
      <c r="AM3020" s="110"/>
      <c r="AN3020" s="110"/>
      <c r="AP3020" s="6"/>
      <c r="AW3020" s="6"/>
      <c r="AX3020" s="6"/>
      <c r="AZ3020" s="110"/>
      <c r="BB3020" s="6"/>
      <c r="BD3020" s="6"/>
      <c r="BE3020" s="6"/>
      <c r="BV3020" s="17"/>
      <c r="BX3020" s="17"/>
      <c r="BZ3020" s="17"/>
    </row>
    <row r="3021" spans="4:78" x14ac:dyDescent="0.3">
      <c r="D3021" s="153"/>
      <c r="E3021" s="6"/>
      <c r="G3021" s="6"/>
      <c r="J3021" s="6"/>
      <c r="N3021" s="154"/>
      <c r="O3021" s="6"/>
      <c r="S3021" s="6"/>
      <c r="V3021" s="6"/>
      <c r="X3021" s="6"/>
      <c r="Z3021" s="110"/>
      <c r="AB3021" s="6"/>
      <c r="AD3021" s="6"/>
      <c r="AE3021" s="6"/>
      <c r="AF3021" s="126"/>
      <c r="AJ3021" s="6"/>
      <c r="AL3021" s="110"/>
      <c r="AM3021" s="110"/>
      <c r="AN3021" s="110"/>
      <c r="AP3021" s="6"/>
      <c r="AW3021" s="6"/>
      <c r="AX3021" s="6"/>
      <c r="AZ3021" s="110"/>
      <c r="BB3021" s="6"/>
      <c r="BD3021" s="6"/>
      <c r="BE3021" s="6"/>
      <c r="BV3021" s="17"/>
      <c r="BX3021" s="17"/>
      <c r="BZ3021" s="17"/>
    </row>
    <row r="3022" spans="4:78" x14ac:dyDescent="0.3">
      <c r="D3022" s="153"/>
      <c r="E3022" s="6"/>
      <c r="G3022" s="6"/>
      <c r="J3022" s="6"/>
      <c r="N3022" s="154"/>
      <c r="O3022" s="6"/>
      <c r="S3022" s="6"/>
      <c r="V3022" s="6"/>
      <c r="X3022" s="6"/>
      <c r="Z3022" s="110"/>
      <c r="AB3022" s="6"/>
      <c r="AD3022" s="6"/>
      <c r="AE3022" s="6"/>
      <c r="AF3022" s="126"/>
      <c r="AJ3022" s="6"/>
      <c r="AL3022" s="110"/>
      <c r="AM3022" s="110"/>
      <c r="AN3022" s="110"/>
      <c r="AP3022" s="6"/>
      <c r="AW3022" s="6"/>
      <c r="AX3022" s="6"/>
      <c r="AZ3022" s="110"/>
      <c r="BB3022" s="6"/>
      <c r="BD3022" s="6"/>
      <c r="BE3022" s="6"/>
      <c r="BV3022" s="17"/>
      <c r="BX3022" s="17"/>
      <c r="BZ3022" s="17"/>
    </row>
    <row r="3023" spans="4:78" x14ac:dyDescent="0.3">
      <c r="D3023" s="153"/>
      <c r="E3023" s="6"/>
      <c r="G3023" s="6"/>
      <c r="J3023" s="6"/>
      <c r="N3023" s="154"/>
      <c r="O3023" s="6"/>
      <c r="S3023" s="6"/>
      <c r="V3023" s="6"/>
      <c r="X3023" s="6"/>
      <c r="Z3023" s="110"/>
      <c r="AB3023" s="6"/>
      <c r="AD3023" s="6"/>
      <c r="AE3023" s="6"/>
      <c r="AF3023" s="126"/>
      <c r="AJ3023" s="6"/>
      <c r="AL3023" s="110"/>
      <c r="AM3023" s="110"/>
      <c r="AN3023" s="110"/>
      <c r="AP3023" s="6"/>
      <c r="AW3023" s="6"/>
      <c r="AX3023" s="6"/>
      <c r="AZ3023" s="110"/>
      <c r="BB3023" s="6"/>
      <c r="BD3023" s="6"/>
      <c r="BE3023" s="6"/>
      <c r="BV3023" s="17"/>
      <c r="BX3023" s="17"/>
      <c r="BZ3023" s="17"/>
    </row>
    <row r="3024" spans="4:78" x14ac:dyDescent="0.3">
      <c r="D3024" s="153"/>
      <c r="E3024" s="6"/>
      <c r="G3024" s="6"/>
      <c r="J3024" s="6"/>
      <c r="N3024" s="154"/>
      <c r="O3024" s="6"/>
      <c r="S3024" s="6"/>
      <c r="V3024" s="6"/>
      <c r="X3024" s="6"/>
      <c r="Z3024" s="110"/>
      <c r="AB3024" s="6"/>
      <c r="AD3024" s="6"/>
      <c r="AE3024" s="6"/>
      <c r="AF3024" s="126"/>
      <c r="AJ3024" s="6"/>
      <c r="AL3024" s="110"/>
      <c r="AM3024" s="110"/>
      <c r="AN3024" s="110"/>
      <c r="AP3024" s="6"/>
      <c r="AW3024" s="6"/>
      <c r="AX3024" s="6"/>
      <c r="AZ3024" s="110"/>
      <c r="BB3024" s="6"/>
      <c r="BD3024" s="6"/>
      <c r="BE3024" s="6"/>
      <c r="BV3024" s="17"/>
      <c r="BX3024" s="17"/>
      <c r="BZ3024" s="17"/>
    </row>
    <row r="3025" spans="4:78" x14ac:dyDescent="0.3">
      <c r="D3025" s="153"/>
      <c r="E3025" s="6"/>
      <c r="G3025" s="6"/>
      <c r="J3025" s="6"/>
      <c r="N3025" s="154"/>
      <c r="O3025" s="6"/>
      <c r="S3025" s="6"/>
      <c r="V3025" s="6"/>
      <c r="X3025" s="6"/>
      <c r="Z3025" s="110"/>
      <c r="AB3025" s="6"/>
      <c r="AD3025" s="6"/>
      <c r="AE3025" s="6"/>
      <c r="AF3025" s="126"/>
      <c r="AJ3025" s="6"/>
      <c r="AL3025" s="110"/>
      <c r="AM3025" s="110"/>
      <c r="AN3025" s="110"/>
      <c r="AP3025" s="6"/>
      <c r="AW3025" s="6"/>
      <c r="AX3025" s="6"/>
      <c r="AZ3025" s="110"/>
      <c r="BB3025" s="6"/>
      <c r="BD3025" s="6"/>
      <c r="BE3025" s="6"/>
      <c r="BV3025" s="17"/>
      <c r="BX3025" s="17"/>
      <c r="BZ3025" s="17"/>
    </row>
    <row r="3026" spans="4:78" x14ac:dyDescent="0.3">
      <c r="D3026" s="153"/>
      <c r="E3026" s="6"/>
      <c r="G3026" s="6"/>
      <c r="J3026" s="6"/>
      <c r="N3026" s="154"/>
      <c r="O3026" s="6"/>
      <c r="S3026" s="6"/>
      <c r="V3026" s="6"/>
      <c r="X3026" s="6"/>
      <c r="Z3026" s="110"/>
      <c r="AB3026" s="6"/>
      <c r="AD3026" s="6"/>
      <c r="AE3026" s="6"/>
      <c r="AF3026" s="126"/>
      <c r="AJ3026" s="6"/>
      <c r="AL3026" s="110"/>
      <c r="AM3026" s="110"/>
      <c r="AN3026" s="110"/>
      <c r="AP3026" s="6"/>
      <c r="AW3026" s="6"/>
      <c r="AX3026" s="6"/>
      <c r="AZ3026" s="110"/>
      <c r="BB3026" s="6"/>
      <c r="BD3026" s="6"/>
      <c r="BE3026" s="6"/>
      <c r="BV3026" s="17"/>
      <c r="BX3026" s="17"/>
      <c r="BZ3026" s="17"/>
    </row>
    <row r="3027" spans="4:78" x14ac:dyDescent="0.3">
      <c r="D3027" s="153"/>
      <c r="E3027" s="6"/>
      <c r="G3027" s="6"/>
      <c r="J3027" s="6"/>
      <c r="N3027" s="154"/>
      <c r="O3027" s="6"/>
      <c r="S3027" s="6"/>
      <c r="V3027" s="6"/>
      <c r="X3027" s="6"/>
      <c r="Z3027" s="110"/>
      <c r="AB3027" s="6"/>
      <c r="AD3027" s="6"/>
      <c r="AE3027" s="6"/>
      <c r="AF3027" s="126"/>
      <c r="AJ3027" s="6"/>
      <c r="AL3027" s="110"/>
      <c r="AM3027" s="110"/>
      <c r="AN3027" s="110"/>
      <c r="AP3027" s="6"/>
      <c r="AW3027" s="6"/>
      <c r="AX3027" s="6"/>
      <c r="AZ3027" s="110"/>
      <c r="BB3027" s="6"/>
      <c r="BD3027" s="6"/>
      <c r="BE3027" s="6"/>
      <c r="BV3027" s="17"/>
      <c r="BX3027" s="17"/>
      <c r="BZ3027" s="17"/>
    </row>
    <row r="3028" spans="4:78" x14ac:dyDescent="0.3">
      <c r="D3028" s="153"/>
      <c r="E3028" s="6"/>
      <c r="G3028" s="6"/>
      <c r="J3028" s="6"/>
      <c r="N3028" s="154"/>
      <c r="O3028" s="6"/>
      <c r="S3028" s="6"/>
      <c r="V3028" s="6"/>
      <c r="X3028" s="6"/>
      <c r="Z3028" s="110"/>
      <c r="AB3028" s="6"/>
      <c r="AD3028" s="6"/>
      <c r="AE3028" s="6"/>
      <c r="AF3028" s="126"/>
      <c r="AJ3028" s="6"/>
      <c r="AL3028" s="110"/>
      <c r="AM3028" s="110"/>
      <c r="AN3028" s="110"/>
      <c r="AP3028" s="6"/>
      <c r="AW3028" s="6"/>
      <c r="AX3028" s="6"/>
      <c r="AZ3028" s="110"/>
      <c r="BB3028" s="6"/>
      <c r="BD3028" s="6"/>
      <c r="BE3028" s="6"/>
      <c r="BV3028" s="17"/>
      <c r="BX3028" s="17"/>
      <c r="BZ3028" s="17"/>
    </row>
    <row r="3029" spans="4:78" x14ac:dyDescent="0.3">
      <c r="D3029" s="153"/>
      <c r="E3029" s="6"/>
      <c r="G3029" s="6"/>
      <c r="J3029" s="6"/>
      <c r="N3029" s="154"/>
      <c r="O3029" s="6"/>
      <c r="S3029" s="6"/>
      <c r="V3029" s="6"/>
      <c r="X3029" s="6"/>
      <c r="Z3029" s="110"/>
      <c r="AB3029" s="6"/>
      <c r="AD3029" s="6"/>
      <c r="AE3029" s="6"/>
      <c r="AF3029" s="126"/>
      <c r="AJ3029" s="6"/>
      <c r="AL3029" s="110"/>
      <c r="AM3029" s="110"/>
      <c r="AN3029" s="110"/>
      <c r="AP3029" s="6"/>
      <c r="AW3029" s="6"/>
      <c r="AX3029" s="6"/>
      <c r="AZ3029" s="110"/>
      <c r="BB3029" s="6"/>
      <c r="BD3029" s="6"/>
      <c r="BE3029" s="6"/>
      <c r="BV3029" s="17"/>
      <c r="BX3029" s="17"/>
      <c r="BZ3029" s="17"/>
    </row>
    <row r="3030" spans="4:78" x14ac:dyDescent="0.3">
      <c r="D3030" s="153"/>
      <c r="E3030" s="6"/>
      <c r="G3030" s="6"/>
      <c r="J3030" s="6"/>
      <c r="N3030" s="154"/>
      <c r="O3030" s="6"/>
      <c r="S3030" s="6"/>
      <c r="V3030" s="6"/>
      <c r="X3030" s="6"/>
      <c r="Z3030" s="110"/>
      <c r="AB3030" s="6"/>
      <c r="AD3030" s="6"/>
      <c r="AE3030" s="6"/>
      <c r="AF3030" s="126"/>
      <c r="AJ3030" s="6"/>
      <c r="AL3030" s="110"/>
      <c r="AM3030" s="110"/>
      <c r="AN3030" s="110"/>
      <c r="AP3030" s="6"/>
      <c r="AW3030" s="6"/>
      <c r="AX3030" s="6"/>
      <c r="AZ3030" s="110"/>
      <c r="BB3030" s="6"/>
      <c r="BD3030" s="6"/>
      <c r="BE3030" s="6"/>
      <c r="BV3030" s="17"/>
      <c r="BX3030" s="17"/>
      <c r="BZ3030" s="17"/>
    </row>
    <row r="3031" spans="4:78" x14ac:dyDescent="0.3">
      <c r="D3031" s="153"/>
      <c r="E3031" s="6"/>
      <c r="G3031" s="6"/>
      <c r="J3031" s="6"/>
      <c r="N3031" s="154"/>
      <c r="O3031" s="6"/>
      <c r="S3031" s="6"/>
      <c r="V3031" s="6"/>
      <c r="X3031" s="6"/>
      <c r="Z3031" s="110"/>
      <c r="AB3031" s="6"/>
      <c r="AD3031" s="6"/>
      <c r="AE3031" s="6"/>
      <c r="AF3031" s="126"/>
      <c r="AJ3031" s="6"/>
      <c r="AL3031" s="110"/>
      <c r="AM3031" s="110"/>
      <c r="AN3031" s="110"/>
      <c r="AP3031" s="6"/>
      <c r="AW3031" s="6"/>
      <c r="AX3031" s="6"/>
      <c r="AZ3031" s="110"/>
      <c r="BB3031" s="6"/>
      <c r="BD3031" s="6"/>
      <c r="BE3031" s="6"/>
      <c r="BV3031" s="17"/>
      <c r="BX3031" s="17"/>
      <c r="BZ3031" s="17"/>
    </row>
    <row r="3032" spans="4:78" x14ac:dyDescent="0.3">
      <c r="D3032" s="153"/>
      <c r="E3032" s="6"/>
      <c r="G3032" s="6"/>
      <c r="J3032" s="6"/>
      <c r="N3032" s="154"/>
      <c r="O3032" s="6"/>
      <c r="S3032" s="6"/>
      <c r="V3032" s="6"/>
      <c r="X3032" s="6"/>
      <c r="Z3032" s="110"/>
      <c r="AB3032" s="6"/>
      <c r="AD3032" s="6"/>
      <c r="AE3032" s="6"/>
      <c r="AF3032" s="126"/>
      <c r="AJ3032" s="6"/>
      <c r="AL3032" s="110"/>
      <c r="AM3032" s="110"/>
      <c r="AN3032" s="110"/>
      <c r="AP3032" s="6"/>
      <c r="AW3032" s="6"/>
      <c r="AX3032" s="6"/>
      <c r="AZ3032" s="110"/>
      <c r="BB3032" s="6"/>
      <c r="BD3032" s="6"/>
      <c r="BE3032" s="6"/>
      <c r="BV3032" s="17"/>
      <c r="BX3032" s="17"/>
      <c r="BZ3032" s="17"/>
    </row>
    <row r="3033" spans="4:78" x14ac:dyDescent="0.3">
      <c r="D3033" s="153"/>
      <c r="E3033" s="6"/>
      <c r="G3033" s="6"/>
      <c r="J3033" s="6"/>
      <c r="N3033" s="154"/>
      <c r="O3033" s="6"/>
      <c r="S3033" s="6"/>
      <c r="V3033" s="6"/>
      <c r="X3033" s="6"/>
      <c r="Z3033" s="110"/>
      <c r="AB3033" s="6"/>
      <c r="AD3033" s="6"/>
      <c r="AE3033" s="6"/>
      <c r="AF3033" s="126"/>
      <c r="AJ3033" s="6"/>
      <c r="AL3033" s="110"/>
      <c r="AM3033" s="110"/>
      <c r="AN3033" s="110"/>
      <c r="AP3033" s="6"/>
      <c r="AW3033" s="6"/>
      <c r="AX3033" s="6"/>
      <c r="AZ3033" s="110"/>
      <c r="BB3033" s="6"/>
      <c r="BD3033" s="6"/>
      <c r="BE3033" s="6"/>
      <c r="BV3033" s="17"/>
      <c r="BX3033" s="17"/>
      <c r="BZ3033" s="17"/>
    </row>
    <row r="3034" spans="4:78" x14ac:dyDescent="0.3">
      <c r="D3034" s="153"/>
      <c r="E3034" s="6"/>
      <c r="G3034" s="6"/>
      <c r="J3034" s="6"/>
      <c r="N3034" s="154"/>
      <c r="O3034" s="6"/>
      <c r="S3034" s="6"/>
      <c r="V3034" s="6"/>
      <c r="X3034" s="6"/>
      <c r="Z3034" s="110"/>
      <c r="AB3034" s="6"/>
      <c r="AD3034" s="6"/>
      <c r="AE3034" s="6"/>
      <c r="AF3034" s="126"/>
      <c r="AJ3034" s="6"/>
      <c r="AL3034" s="110"/>
      <c r="AM3034" s="110"/>
      <c r="AN3034" s="110"/>
      <c r="AP3034" s="6"/>
      <c r="AW3034" s="6"/>
      <c r="AX3034" s="6"/>
      <c r="AZ3034" s="110"/>
      <c r="BB3034" s="6"/>
      <c r="BD3034" s="6"/>
      <c r="BE3034" s="6"/>
      <c r="BV3034" s="17"/>
      <c r="BX3034" s="17"/>
      <c r="BZ3034" s="17"/>
    </row>
    <row r="3035" spans="4:78" x14ac:dyDescent="0.3">
      <c r="D3035" s="153"/>
      <c r="E3035" s="6"/>
      <c r="G3035" s="6"/>
      <c r="J3035" s="6"/>
      <c r="N3035" s="154"/>
      <c r="O3035" s="6"/>
      <c r="S3035" s="6"/>
      <c r="V3035" s="6"/>
      <c r="X3035" s="6"/>
      <c r="Z3035" s="110"/>
      <c r="AB3035" s="6"/>
      <c r="AD3035" s="6"/>
      <c r="AE3035" s="6"/>
      <c r="AF3035" s="126"/>
      <c r="AJ3035" s="6"/>
      <c r="AL3035" s="110"/>
      <c r="AM3035" s="110"/>
      <c r="AN3035" s="110"/>
      <c r="AP3035" s="6"/>
      <c r="AW3035" s="6"/>
      <c r="AX3035" s="6"/>
      <c r="AZ3035" s="110"/>
      <c r="BB3035" s="6"/>
      <c r="BD3035" s="6"/>
      <c r="BE3035" s="6"/>
      <c r="BV3035" s="17"/>
      <c r="BX3035" s="17"/>
      <c r="BZ3035" s="17"/>
    </row>
    <row r="3036" spans="4:78" x14ac:dyDescent="0.3">
      <c r="D3036" s="153"/>
      <c r="E3036" s="6"/>
      <c r="G3036" s="6"/>
      <c r="J3036" s="6"/>
      <c r="N3036" s="154"/>
      <c r="O3036" s="6"/>
      <c r="S3036" s="6"/>
      <c r="V3036" s="6"/>
      <c r="X3036" s="6"/>
      <c r="Z3036" s="110"/>
      <c r="AB3036" s="6"/>
      <c r="AD3036" s="6"/>
      <c r="AE3036" s="6"/>
      <c r="AF3036" s="126"/>
      <c r="AJ3036" s="6"/>
      <c r="AL3036" s="110"/>
      <c r="AM3036" s="110"/>
      <c r="AN3036" s="110"/>
      <c r="AP3036" s="6"/>
      <c r="AW3036" s="6"/>
      <c r="AX3036" s="6"/>
      <c r="AZ3036" s="110"/>
      <c r="BB3036" s="6"/>
      <c r="BD3036" s="6"/>
      <c r="BE3036" s="6"/>
      <c r="BV3036" s="17"/>
      <c r="BX3036" s="17"/>
      <c r="BZ3036" s="17"/>
    </row>
    <row r="3037" spans="4:78" x14ac:dyDescent="0.3">
      <c r="D3037" s="153"/>
      <c r="E3037" s="6"/>
      <c r="G3037" s="6"/>
      <c r="J3037" s="6"/>
      <c r="N3037" s="154"/>
      <c r="O3037" s="6"/>
      <c r="S3037" s="6"/>
      <c r="V3037" s="6"/>
      <c r="X3037" s="6"/>
      <c r="Z3037" s="110"/>
      <c r="AB3037" s="6"/>
      <c r="AD3037" s="6"/>
      <c r="AE3037" s="6"/>
      <c r="AF3037" s="126"/>
      <c r="AJ3037" s="6"/>
      <c r="AL3037" s="110"/>
      <c r="AM3037" s="110"/>
      <c r="AN3037" s="110"/>
      <c r="AP3037" s="6"/>
      <c r="AW3037" s="6"/>
      <c r="AX3037" s="6"/>
      <c r="AZ3037" s="110"/>
      <c r="BB3037" s="6"/>
      <c r="BD3037" s="6"/>
      <c r="BE3037" s="6"/>
      <c r="BV3037" s="17"/>
      <c r="BX3037" s="17"/>
      <c r="BZ3037" s="17"/>
    </row>
    <row r="3038" spans="4:78" x14ac:dyDescent="0.3">
      <c r="D3038" s="153"/>
      <c r="E3038" s="6"/>
      <c r="G3038" s="6"/>
      <c r="J3038" s="6"/>
      <c r="N3038" s="154"/>
      <c r="O3038" s="6"/>
      <c r="S3038" s="6"/>
      <c r="V3038" s="6"/>
      <c r="X3038" s="6"/>
      <c r="Z3038" s="110"/>
      <c r="AB3038" s="6"/>
      <c r="AD3038" s="6"/>
      <c r="AE3038" s="6"/>
      <c r="AF3038" s="126"/>
      <c r="AJ3038" s="6"/>
      <c r="AL3038" s="110"/>
      <c r="AM3038" s="110"/>
      <c r="AN3038" s="110"/>
      <c r="AP3038" s="6"/>
      <c r="AW3038" s="6"/>
      <c r="AX3038" s="6"/>
      <c r="AZ3038" s="110"/>
      <c r="BB3038" s="6"/>
      <c r="BD3038" s="6"/>
      <c r="BE3038" s="6"/>
      <c r="BV3038" s="17"/>
      <c r="BX3038" s="17"/>
      <c r="BZ3038" s="17"/>
    </row>
    <row r="3039" spans="4:78" x14ac:dyDescent="0.3">
      <c r="D3039" s="153"/>
      <c r="E3039" s="6"/>
      <c r="G3039" s="6"/>
      <c r="J3039" s="6"/>
      <c r="N3039" s="154"/>
      <c r="O3039" s="6"/>
      <c r="S3039" s="6"/>
      <c r="V3039" s="6"/>
      <c r="X3039" s="6"/>
      <c r="Z3039" s="110"/>
      <c r="AB3039" s="6"/>
      <c r="AD3039" s="6"/>
      <c r="AE3039" s="6"/>
      <c r="AF3039" s="126"/>
      <c r="AJ3039" s="6"/>
      <c r="AL3039" s="110"/>
      <c r="AM3039" s="110"/>
      <c r="AN3039" s="110"/>
      <c r="AP3039" s="6"/>
      <c r="AW3039" s="6"/>
      <c r="AX3039" s="6"/>
      <c r="AZ3039" s="110"/>
      <c r="BB3039" s="6"/>
      <c r="BD3039" s="6"/>
      <c r="BE3039" s="6"/>
      <c r="BV3039" s="17"/>
      <c r="BX3039" s="17"/>
      <c r="BZ3039" s="17"/>
    </row>
    <row r="3040" spans="4:78" x14ac:dyDescent="0.3">
      <c r="D3040" s="153"/>
      <c r="E3040" s="6"/>
      <c r="G3040" s="6"/>
      <c r="J3040" s="6"/>
      <c r="N3040" s="154"/>
      <c r="O3040" s="6"/>
      <c r="S3040" s="6"/>
      <c r="V3040" s="6"/>
      <c r="X3040" s="6"/>
      <c r="Z3040" s="110"/>
      <c r="AB3040" s="6"/>
      <c r="AD3040" s="6"/>
      <c r="AE3040" s="6"/>
      <c r="AF3040" s="126"/>
      <c r="AJ3040" s="6"/>
      <c r="AL3040" s="110"/>
      <c r="AM3040" s="110"/>
      <c r="AN3040" s="110"/>
      <c r="AP3040" s="6"/>
      <c r="AW3040" s="6"/>
      <c r="AX3040" s="6"/>
      <c r="AZ3040" s="110"/>
      <c r="BB3040" s="6"/>
      <c r="BD3040" s="6"/>
      <c r="BE3040" s="6"/>
      <c r="BV3040" s="17"/>
      <c r="BX3040" s="17"/>
      <c r="BZ3040" s="17"/>
    </row>
    <row r="3041" spans="4:78" x14ac:dyDescent="0.3">
      <c r="D3041" s="153"/>
      <c r="E3041" s="6"/>
      <c r="G3041" s="6"/>
      <c r="J3041" s="6"/>
      <c r="N3041" s="154"/>
      <c r="O3041" s="6"/>
      <c r="S3041" s="6"/>
      <c r="V3041" s="6"/>
      <c r="X3041" s="6"/>
      <c r="Z3041" s="110"/>
      <c r="AB3041" s="6"/>
      <c r="AD3041" s="6"/>
      <c r="AE3041" s="6"/>
      <c r="AF3041" s="126"/>
      <c r="AJ3041" s="6"/>
      <c r="AL3041" s="110"/>
      <c r="AM3041" s="110"/>
      <c r="AN3041" s="110"/>
      <c r="AP3041" s="6"/>
      <c r="AW3041" s="6"/>
      <c r="AX3041" s="6"/>
      <c r="AZ3041" s="110"/>
      <c r="BB3041" s="6"/>
      <c r="BD3041" s="6"/>
      <c r="BE3041" s="6"/>
      <c r="BV3041" s="17"/>
      <c r="BX3041" s="17"/>
      <c r="BZ3041" s="17"/>
    </row>
    <row r="3042" spans="4:78" x14ac:dyDescent="0.3">
      <c r="D3042" s="153"/>
      <c r="E3042" s="6"/>
      <c r="G3042" s="6"/>
      <c r="J3042" s="6"/>
      <c r="N3042" s="154"/>
      <c r="O3042" s="6"/>
      <c r="S3042" s="6"/>
      <c r="V3042" s="6"/>
      <c r="X3042" s="6"/>
      <c r="Z3042" s="110"/>
      <c r="AB3042" s="6"/>
      <c r="AD3042" s="6"/>
      <c r="AE3042" s="6"/>
      <c r="AF3042" s="126"/>
      <c r="AJ3042" s="6"/>
      <c r="AL3042" s="110"/>
      <c r="AM3042" s="110"/>
      <c r="AN3042" s="110"/>
      <c r="AP3042" s="6"/>
      <c r="AW3042" s="6"/>
      <c r="AX3042" s="6"/>
      <c r="AZ3042" s="110"/>
      <c r="BB3042" s="6"/>
      <c r="BD3042" s="6"/>
      <c r="BE3042" s="6"/>
      <c r="BV3042" s="17"/>
      <c r="BX3042" s="17"/>
      <c r="BZ3042" s="17"/>
    </row>
    <row r="3043" spans="4:78" x14ac:dyDescent="0.3">
      <c r="D3043" s="153"/>
      <c r="E3043" s="6"/>
      <c r="G3043" s="6"/>
      <c r="J3043" s="6"/>
      <c r="N3043" s="154"/>
      <c r="O3043" s="6"/>
      <c r="S3043" s="6"/>
      <c r="V3043" s="6"/>
      <c r="X3043" s="6"/>
      <c r="Z3043" s="110"/>
      <c r="AB3043" s="6"/>
      <c r="AD3043" s="6"/>
      <c r="AE3043" s="6"/>
      <c r="AF3043" s="126"/>
      <c r="AJ3043" s="6"/>
      <c r="AL3043" s="110"/>
      <c r="AM3043" s="110"/>
      <c r="AN3043" s="110"/>
      <c r="AP3043" s="6"/>
      <c r="AW3043" s="6"/>
      <c r="AX3043" s="6"/>
      <c r="AZ3043" s="110"/>
      <c r="BB3043" s="6"/>
      <c r="BD3043" s="6"/>
      <c r="BE3043" s="6"/>
      <c r="BV3043" s="17"/>
      <c r="BX3043" s="17"/>
      <c r="BZ3043" s="17"/>
    </row>
    <row r="3044" spans="4:78" x14ac:dyDescent="0.3">
      <c r="D3044" s="153"/>
      <c r="E3044" s="6"/>
      <c r="G3044" s="6"/>
      <c r="J3044" s="6"/>
      <c r="N3044" s="154"/>
      <c r="O3044" s="6"/>
      <c r="S3044" s="6"/>
      <c r="V3044" s="6"/>
      <c r="X3044" s="6"/>
      <c r="Z3044" s="110"/>
      <c r="AB3044" s="6"/>
      <c r="AD3044" s="6"/>
      <c r="AE3044" s="6"/>
      <c r="AF3044" s="126"/>
      <c r="AJ3044" s="6"/>
      <c r="AL3044" s="110"/>
      <c r="AM3044" s="110"/>
      <c r="AN3044" s="110"/>
      <c r="AP3044" s="6"/>
      <c r="AW3044" s="6"/>
      <c r="AX3044" s="6"/>
      <c r="AZ3044" s="110"/>
      <c r="BB3044" s="6"/>
      <c r="BD3044" s="6"/>
      <c r="BE3044" s="6"/>
      <c r="BV3044" s="17"/>
      <c r="BX3044" s="17"/>
      <c r="BZ3044" s="17"/>
    </row>
    <row r="3045" spans="4:78" x14ac:dyDescent="0.3">
      <c r="D3045" s="153"/>
      <c r="E3045" s="6"/>
      <c r="G3045" s="6"/>
      <c r="J3045" s="6"/>
      <c r="N3045" s="154"/>
      <c r="O3045" s="6"/>
      <c r="S3045" s="6"/>
      <c r="V3045" s="6"/>
      <c r="X3045" s="6"/>
      <c r="Z3045" s="110"/>
      <c r="AB3045" s="6"/>
      <c r="AD3045" s="6"/>
      <c r="AE3045" s="6"/>
      <c r="AF3045" s="126"/>
      <c r="AJ3045" s="6"/>
      <c r="AL3045" s="110"/>
      <c r="AM3045" s="110"/>
      <c r="AN3045" s="110"/>
      <c r="AP3045" s="6"/>
      <c r="AW3045" s="6"/>
      <c r="AX3045" s="6"/>
      <c r="AZ3045" s="110"/>
      <c r="BB3045" s="6"/>
      <c r="BD3045" s="6"/>
      <c r="BE3045" s="6"/>
      <c r="BV3045" s="17"/>
      <c r="BX3045" s="17"/>
      <c r="BZ3045" s="17"/>
    </row>
    <row r="3046" spans="4:78" x14ac:dyDescent="0.3">
      <c r="D3046" s="153"/>
      <c r="E3046" s="6"/>
      <c r="G3046" s="6"/>
      <c r="J3046" s="6"/>
      <c r="N3046" s="154"/>
      <c r="O3046" s="6"/>
      <c r="S3046" s="6"/>
      <c r="V3046" s="6"/>
      <c r="X3046" s="6"/>
      <c r="Z3046" s="110"/>
      <c r="AB3046" s="6"/>
      <c r="AD3046" s="6"/>
      <c r="AE3046" s="6"/>
      <c r="AF3046" s="126"/>
      <c r="AJ3046" s="6"/>
      <c r="AL3046" s="110"/>
      <c r="AM3046" s="110"/>
      <c r="AN3046" s="110"/>
      <c r="AP3046" s="6"/>
      <c r="AW3046" s="6"/>
      <c r="AX3046" s="6"/>
      <c r="AZ3046" s="110"/>
      <c r="BB3046" s="6"/>
      <c r="BD3046" s="6"/>
      <c r="BE3046" s="6"/>
      <c r="BV3046" s="17"/>
      <c r="BX3046" s="17"/>
      <c r="BZ3046" s="17"/>
    </row>
    <row r="3047" spans="4:78" x14ac:dyDescent="0.3">
      <c r="D3047" s="153"/>
      <c r="E3047" s="6"/>
      <c r="G3047" s="6"/>
      <c r="J3047" s="6"/>
      <c r="N3047" s="154"/>
      <c r="O3047" s="6"/>
      <c r="S3047" s="6"/>
      <c r="V3047" s="6"/>
      <c r="X3047" s="6"/>
      <c r="Z3047" s="110"/>
      <c r="AB3047" s="6"/>
      <c r="AD3047" s="6"/>
      <c r="AE3047" s="6"/>
      <c r="AF3047" s="126"/>
      <c r="AJ3047" s="6"/>
      <c r="AL3047" s="110"/>
      <c r="AM3047" s="110"/>
      <c r="AN3047" s="110"/>
      <c r="AP3047" s="6"/>
      <c r="AW3047" s="6"/>
      <c r="AX3047" s="6"/>
      <c r="AZ3047" s="110"/>
      <c r="BB3047" s="6"/>
      <c r="BD3047" s="6"/>
      <c r="BE3047" s="6"/>
      <c r="BV3047" s="17"/>
      <c r="BX3047" s="17"/>
      <c r="BZ3047" s="17"/>
    </row>
    <row r="3048" spans="4:78" x14ac:dyDescent="0.3">
      <c r="D3048" s="153"/>
      <c r="E3048" s="6"/>
      <c r="G3048" s="6"/>
      <c r="J3048" s="6"/>
      <c r="N3048" s="154"/>
      <c r="O3048" s="6"/>
      <c r="S3048" s="6"/>
      <c r="V3048" s="6"/>
      <c r="X3048" s="6"/>
      <c r="Z3048" s="110"/>
      <c r="AB3048" s="6"/>
      <c r="AD3048" s="6"/>
      <c r="AE3048" s="6"/>
      <c r="AF3048" s="126"/>
      <c r="AJ3048" s="6"/>
      <c r="AL3048" s="110"/>
      <c r="AM3048" s="110"/>
      <c r="AN3048" s="110"/>
      <c r="AP3048" s="6"/>
      <c r="AW3048" s="6"/>
      <c r="AX3048" s="6"/>
      <c r="AZ3048" s="110"/>
      <c r="BB3048" s="6"/>
      <c r="BD3048" s="6"/>
      <c r="BE3048" s="6"/>
      <c r="BV3048" s="17"/>
      <c r="BX3048" s="17"/>
      <c r="BZ3048" s="17"/>
    </row>
    <row r="3049" spans="4:78" x14ac:dyDescent="0.3">
      <c r="D3049" s="153"/>
      <c r="E3049" s="6"/>
      <c r="G3049" s="6"/>
      <c r="J3049" s="6"/>
      <c r="N3049" s="154"/>
      <c r="O3049" s="6"/>
      <c r="S3049" s="6"/>
      <c r="V3049" s="6"/>
      <c r="X3049" s="6"/>
      <c r="Z3049" s="110"/>
      <c r="AB3049" s="6"/>
      <c r="AD3049" s="6"/>
      <c r="AE3049" s="6"/>
      <c r="AF3049" s="126"/>
      <c r="AJ3049" s="6"/>
      <c r="AL3049" s="110"/>
      <c r="AM3049" s="110"/>
      <c r="AN3049" s="110"/>
      <c r="AP3049" s="6"/>
      <c r="AW3049" s="6"/>
      <c r="AX3049" s="6"/>
      <c r="AZ3049" s="110"/>
      <c r="BB3049" s="6"/>
      <c r="BD3049" s="6"/>
      <c r="BE3049" s="6"/>
      <c r="BV3049" s="17"/>
      <c r="BX3049" s="17"/>
      <c r="BZ3049" s="17"/>
    </row>
    <row r="3050" spans="4:78" x14ac:dyDescent="0.3">
      <c r="D3050" s="153"/>
      <c r="E3050" s="6"/>
      <c r="G3050" s="6"/>
      <c r="J3050" s="6"/>
      <c r="N3050" s="154"/>
      <c r="O3050" s="6"/>
      <c r="S3050" s="6"/>
      <c r="V3050" s="6"/>
      <c r="X3050" s="6"/>
      <c r="Z3050" s="110"/>
      <c r="AB3050" s="6"/>
      <c r="AD3050" s="6"/>
      <c r="AE3050" s="6"/>
      <c r="AF3050" s="126"/>
      <c r="AJ3050" s="6"/>
      <c r="AL3050" s="110"/>
      <c r="AM3050" s="110"/>
      <c r="AN3050" s="110"/>
      <c r="AP3050" s="6"/>
      <c r="AW3050" s="6"/>
      <c r="AX3050" s="6"/>
      <c r="AZ3050" s="110"/>
      <c r="BB3050" s="6"/>
      <c r="BD3050" s="6"/>
      <c r="BE3050" s="6"/>
      <c r="BV3050" s="17"/>
      <c r="BX3050" s="17"/>
      <c r="BZ3050" s="17"/>
    </row>
    <row r="3051" spans="4:78" x14ac:dyDescent="0.3">
      <c r="D3051" s="153"/>
      <c r="E3051" s="6"/>
      <c r="G3051" s="6"/>
      <c r="J3051" s="6"/>
      <c r="N3051" s="154"/>
      <c r="O3051" s="6"/>
      <c r="S3051" s="6"/>
      <c r="V3051" s="6"/>
      <c r="X3051" s="6"/>
      <c r="Z3051" s="110"/>
      <c r="AB3051" s="6"/>
      <c r="AD3051" s="6"/>
      <c r="AE3051" s="6"/>
      <c r="AF3051" s="126"/>
      <c r="AJ3051" s="6"/>
      <c r="AL3051" s="110"/>
      <c r="AM3051" s="110"/>
      <c r="AN3051" s="110"/>
      <c r="AP3051" s="6"/>
      <c r="AW3051" s="6"/>
      <c r="AX3051" s="6"/>
      <c r="AZ3051" s="110"/>
      <c r="BB3051" s="6"/>
      <c r="BD3051" s="6"/>
      <c r="BE3051" s="6"/>
      <c r="BV3051" s="17"/>
      <c r="BX3051" s="17"/>
      <c r="BZ3051" s="17"/>
    </row>
    <row r="3052" spans="4:78" x14ac:dyDescent="0.3">
      <c r="D3052" s="153"/>
      <c r="E3052" s="6"/>
      <c r="G3052" s="6"/>
      <c r="J3052" s="6"/>
      <c r="N3052" s="154"/>
      <c r="O3052" s="6"/>
      <c r="S3052" s="6"/>
      <c r="V3052" s="6"/>
      <c r="X3052" s="6"/>
      <c r="Z3052" s="110"/>
      <c r="AB3052" s="6"/>
      <c r="AD3052" s="6"/>
      <c r="AE3052" s="6"/>
      <c r="AF3052" s="126"/>
      <c r="AJ3052" s="6"/>
      <c r="AL3052" s="110"/>
      <c r="AM3052" s="110"/>
      <c r="AN3052" s="110"/>
      <c r="AP3052" s="6"/>
      <c r="AW3052" s="6"/>
      <c r="AX3052" s="6"/>
      <c r="AZ3052" s="110"/>
      <c r="BB3052" s="6"/>
      <c r="BD3052" s="6"/>
      <c r="BE3052" s="6"/>
      <c r="BV3052" s="17"/>
      <c r="BX3052" s="17"/>
      <c r="BZ3052" s="17"/>
    </row>
    <row r="3053" spans="4:78" x14ac:dyDescent="0.3">
      <c r="D3053" s="153"/>
      <c r="E3053" s="6"/>
      <c r="G3053" s="6"/>
      <c r="J3053" s="6"/>
      <c r="N3053" s="154"/>
      <c r="O3053" s="6"/>
      <c r="S3053" s="6"/>
      <c r="V3053" s="6"/>
      <c r="X3053" s="6"/>
      <c r="Z3053" s="110"/>
      <c r="AB3053" s="6"/>
      <c r="AD3053" s="6"/>
      <c r="AE3053" s="6"/>
      <c r="AF3053" s="126"/>
      <c r="AJ3053" s="6"/>
      <c r="AL3053" s="110"/>
      <c r="AM3053" s="110"/>
      <c r="AN3053" s="110"/>
      <c r="AP3053" s="6"/>
      <c r="AW3053" s="6"/>
      <c r="AX3053" s="6"/>
      <c r="AZ3053" s="110"/>
      <c r="BB3053" s="6"/>
      <c r="BD3053" s="6"/>
      <c r="BE3053" s="6"/>
      <c r="BV3053" s="17"/>
      <c r="BX3053" s="17"/>
      <c r="BZ3053" s="17"/>
    </row>
    <row r="3054" spans="4:78" x14ac:dyDescent="0.3">
      <c r="D3054" s="153"/>
      <c r="E3054" s="6"/>
      <c r="G3054" s="6"/>
      <c r="J3054" s="6"/>
      <c r="N3054" s="154"/>
      <c r="O3054" s="6"/>
      <c r="S3054" s="6"/>
      <c r="V3054" s="6"/>
      <c r="X3054" s="6"/>
      <c r="Z3054" s="110"/>
      <c r="AB3054" s="6"/>
      <c r="AD3054" s="6"/>
      <c r="AE3054" s="6"/>
      <c r="AF3054" s="126"/>
      <c r="AJ3054" s="6"/>
      <c r="AL3054" s="110"/>
      <c r="AM3054" s="110"/>
      <c r="AN3054" s="110"/>
      <c r="AP3054" s="6"/>
      <c r="AW3054" s="6"/>
      <c r="AX3054" s="6"/>
      <c r="AZ3054" s="110"/>
      <c r="BB3054" s="6"/>
      <c r="BD3054" s="6"/>
      <c r="BE3054" s="6"/>
      <c r="BV3054" s="17"/>
      <c r="BX3054" s="17"/>
      <c r="BZ3054" s="17"/>
    </row>
    <row r="3055" spans="4:78" x14ac:dyDescent="0.3">
      <c r="D3055" s="153"/>
      <c r="E3055" s="6"/>
      <c r="G3055" s="6"/>
      <c r="J3055" s="6"/>
      <c r="N3055" s="154"/>
      <c r="O3055" s="6"/>
      <c r="S3055" s="6"/>
      <c r="V3055" s="6"/>
      <c r="X3055" s="6"/>
      <c r="Z3055" s="110"/>
      <c r="AB3055" s="6"/>
      <c r="AD3055" s="6"/>
      <c r="AE3055" s="6"/>
      <c r="AF3055" s="126"/>
      <c r="AJ3055" s="6"/>
      <c r="AL3055" s="110"/>
      <c r="AM3055" s="110"/>
      <c r="AN3055" s="110"/>
      <c r="AP3055" s="6"/>
      <c r="AW3055" s="6"/>
      <c r="AX3055" s="6"/>
      <c r="AZ3055" s="110"/>
      <c r="BB3055" s="6"/>
      <c r="BD3055" s="6"/>
      <c r="BE3055" s="6"/>
      <c r="BV3055" s="17"/>
      <c r="BX3055" s="17"/>
      <c r="BZ3055" s="17"/>
    </row>
    <row r="3056" spans="4:78" x14ac:dyDescent="0.3">
      <c r="D3056" s="153"/>
      <c r="E3056" s="6"/>
      <c r="G3056" s="6"/>
      <c r="J3056" s="6"/>
      <c r="N3056" s="154"/>
      <c r="O3056" s="6"/>
      <c r="S3056" s="6"/>
      <c r="V3056" s="6"/>
      <c r="X3056" s="6"/>
      <c r="Z3056" s="110"/>
      <c r="AB3056" s="6"/>
      <c r="AD3056" s="6"/>
      <c r="AE3056" s="6"/>
      <c r="AF3056" s="126"/>
      <c r="AJ3056" s="6"/>
      <c r="AL3056" s="110"/>
      <c r="AM3056" s="110"/>
      <c r="AN3056" s="110"/>
      <c r="AP3056" s="6"/>
      <c r="AW3056" s="6"/>
      <c r="AX3056" s="6"/>
      <c r="AZ3056" s="110"/>
      <c r="BB3056" s="6"/>
      <c r="BD3056" s="6"/>
      <c r="BE3056" s="6"/>
      <c r="BV3056" s="17"/>
      <c r="BX3056" s="17"/>
      <c r="BZ3056" s="17"/>
    </row>
    <row r="3057" spans="4:78" x14ac:dyDescent="0.3">
      <c r="D3057" s="153"/>
      <c r="E3057" s="6"/>
      <c r="G3057" s="6"/>
      <c r="J3057" s="6"/>
      <c r="N3057" s="154"/>
      <c r="O3057" s="6"/>
      <c r="S3057" s="6"/>
      <c r="V3057" s="6"/>
      <c r="X3057" s="6"/>
      <c r="Z3057" s="110"/>
      <c r="AB3057" s="6"/>
      <c r="AD3057" s="6"/>
      <c r="AE3057" s="6"/>
      <c r="AF3057" s="126"/>
      <c r="AJ3057" s="6"/>
      <c r="AL3057" s="110"/>
      <c r="AM3057" s="110"/>
      <c r="AN3057" s="110"/>
      <c r="AP3057" s="6"/>
      <c r="AW3057" s="6"/>
      <c r="AX3057" s="6"/>
      <c r="AZ3057" s="110"/>
      <c r="BB3057" s="6"/>
      <c r="BD3057" s="6"/>
      <c r="BE3057" s="6"/>
      <c r="BV3057" s="17"/>
      <c r="BX3057" s="17"/>
      <c r="BZ3057" s="17"/>
    </row>
    <row r="3058" spans="4:78" x14ac:dyDescent="0.3">
      <c r="D3058" s="153"/>
      <c r="E3058" s="6"/>
      <c r="G3058" s="6"/>
      <c r="J3058" s="6"/>
      <c r="N3058" s="154"/>
      <c r="O3058" s="6"/>
      <c r="S3058" s="6"/>
      <c r="V3058" s="6"/>
      <c r="X3058" s="6"/>
      <c r="Z3058" s="110"/>
      <c r="AB3058" s="6"/>
      <c r="AD3058" s="6"/>
      <c r="AE3058" s="6"/>
      <c r="AF3058" s="126"/>
      <c r="AJ3058" s="6"/>
      <c r="AL3058" s="110"/>
      <c r="AM3058" s="110"/>
      <c r="AN3058" s="110"/>
      <c r="AP3058" s="6"/>
      <c r="AW3058" s="6"/>
      <c r="AX3058" s="6"/>
      <c r="AZ3058" s="110"/>
      <c r="BB3058" s="6"/>
      <c r="BD3058" s="6"/>
      <c r="BE3058" s="6"/>
      <c r="BV3058" s="17"/>
      <c r="BX3058" s="17"/>
      <c r="BZ3058" s="17"/>
    </row>
    <row r="3059" spans="4:78" x14ac:dyDescent="0.3">
      <c r="D3059" s="153"/>
      <c r="E3059" s="6"/>
      <c r="G3059" s="6"/>
      <c r="J3059" s="6"/>
      <c r="N3059" s="154"/>
      <c r="O3059" s="6"/>
      <c r="S3059" s="6"/>
      <c r="V3059" s="6"/>
      <c r="X3059" s="6"/>
      <c r="Z3059" s="110"/>
      <c r="AB3059" s="6"/>
      <c r="AD3059" s="6"/>
      <c r="AE3059" s="6"/>
      <c r="AF3059" s="126"/>
      <c r="AJ3059" s="6"/>
      <c r="AL3059" s="110"/>
      <c r="AM3059" s="110"/>
      <c r="AN3059" s="110"/>
      <c r="AP3059" s="6"/>
      <c r="AW3059" s="6"/>
      <c r="AX3059" s="6"/>
      <c r="AZ3059" s="110"/>
      <c r="BB3059" s="6"/>
      <c r="BD3059" s="6"/>
      <c r="BE3059" s="6"/>
      <c r="BV3059" s="17"/>
      <c r="BX3059" s="17"/>
      <c r="BZ3059" s="17"/>
    </row>
    <row r="3060" spans="4:78" x14ac:dyDescent="0.3">
      <c r="D3060" s="153"/>
      <c r="E3060" s="6"/>
      <c r="G3060" s="6"/>
      <c r="J3060" s="6"/>
      <c r="N3060" s="154"/>
      <c r="O3060" s="6"/>
      <c r="S3060" s="6"/>
      <c r="V3060" s="6"/>
      <c r="X3060" s="6"/>
      <c r="Z3060" s="110"/>
      <c r="AB3060" s="6"/>
      <c r="AD3060" s="6"/>
      <c r="AE3060" s="6"/>
      <c r="AF3060" s="126"/>
      <c r="AJ3060" s="6"/>
      <c r="AL3060" s="110"/>
      <c r="AM3060" s="110"/>
      <c r="AN3060" s="110"/>
      <c r="AP3060" s="6"/>
      <c r="AW3060" s="6"/>
      <c r="AX3060" s="6"/>
      <c r="AZ3060" s="110"/>
      <c r="BB3060" s="6"/>
      <c r="BD3060" s="6"/>
      <c r="BE3060" s="6"/>
      <c r="BV3060" s="17"/>
      <c r="BX3060" s="17"/>
      <c r="BZ3060" s="17"/>
    </row>
    <row r="3061" spans="4:78" x14ac:dyDescent="0.3">
      <c r="D3061" s="153"/>
      <c r="E3061" s="6"/>
      <c r="G3061" s="6"/>
      <c r="J3061" s="6"/>
      <c r="N3061" s="154"/>
      <c r="O3061" s="6"/>
      <c r="S3061" s="6"/>
      <c r="V3061" s="6"/>
      <c r="X3061" s="6"/>
      <c r="Z3061" s="110"/>
      <c r="AB3061" s="6"/>
      <c r="AD3061" s="6"/>
      <c r="AE3061" s="6"/>
      <c r="AF3061" s="126"/>
      <c r="AJ3061" s="6"/>
      <c r="AL3061" s="110"/>
      <c r="AM3061" s="110"/>
      <c r="AN3061" s="110"/>
      <c r="AP3061" s="6"/>
      <c r="AW3061" s="6"/>
      <c r="AX3061" s="6"/>
      <c r="AZ3061" s="110"/>
      <c r="BB3061" s="6"/>
      <c r="BD3061" s="6"/>
      <c r="BE3061" s="6"/>
      <c r="BV3061" s="17"/>
      <c r="BX3061" s="17"/>
      <c r="BZ3061" s="17"/>
    </row>
    <row r="3062" spans="4:78" x14ac:dyDescent="0.3">
      <c r="D3062" s="153"/>
      <c r="E3062" s="6"/>
      <c r="G3062" s="6"/>
      <c r="J3062" s="6"/>
      <c r="N3062" s="154"/>
      <c r="O3062" s="6"/>
      <c r="S3062" s="6"/>
      <c r="V3062" s="6"/>
      <c r="X3062" s="6"/>
      <c r="Z3062" s="110"/>
      <c r="AB3062" s="6"/>
      <c r="AD3062" s="6"/>
      <c r="AE3062" s="6"/>
      <c r="AF3062" s="126"/>
      <c r="AJ3062" s="6"/>
      <c r="AL3062" s="110"/>
      <c r="AM3062" s="110"/>
      <c r="AN3062" s="110"/>
      <c r="AP3062" s="6"/>
      <c r="AW3062" s="6"/>
      <c r="AX3062" s="6"/>
      <c r="AZ3062" s="110"/>
      <c r="BB3062" s="6"/>
      <c r="BD3062" s="6"/>
      <c r="BE3062" s="6"/>
      <c r="BV3062" s="17"/>
      <c r="BX3062" s="17"/>
      <c r="BZ3062" s="17"/>
    </row>
    <row r="3063" spans="4:78" x14ac:dyDescent="0.3">
      <c r="D3063" s="153"/>
      <c r="E3063" s="6"/>
      <c r="G3063" s="6"/>
      <c r="J3063" s="6"/>
      <c r="N3063" s="154"/>
      <c r="O3063" s="6"/>
      <c r="S3063" s="6"/>
      <c r="V3063" s="6"/>
      <c r="X3063" s="6"/>
      <c r="Z3063" s="110"/>
      <c r="AB3063" s="6"/>
      <c r="AD3063" s="6"/>
      <c r="AE3063" s="6"/>
      <c r="AF3063" s="126"/>
      <c r="AJ3063" s="6"/>
      <c r="AL3063" s="110"/>
      <c r="AM3063" s="110"/>
      <c r="AN3063" s="110"/>
      <c r="AP3063" s="6"/>
      <c r="AW3063" s="6"/>
      <c r="AX3063" s="6"/>
      <c r="AZ3063" s="110"/>
      <c r="BB3063" s="6"/>
      <c r="BD3063" s="6"/>
      <c r="BE3063" s="6"/>
      <c r="BV3063" s="17"/>
      <c r="BX3063" s="17"/>
      <c r="BZ3063" s="17"/>
    </row>
    <row r="3064" spans="4:78" x14ac:dyDescent="0.3">
      <c r="D3064" s="153"/>
      <c r="E3064" s="6"/>
      <c r="G3064" s="6"/>
      <c r="J3064" s="6"/>
      <c r="N3064" s="154"/>
      <c r="O3064" s="6"/>
      <c r="S3064" s="6"/>
      <c r="V3064" s="6"/>
      <c r="X3064" s="6"/>
      <c r="Z3064" s="110"/>
      <c r="AB3064" s="6"/>
      <c r="AD3064" s="6"/>
      <c r="AE3064" s="6"/>
      <c r="AF3064" s="126"/>
      <c r="AJ3064" s="6"/>
      <c r="AL3064" s="110"/>
      <c r="AM3064" s="110"/>
      <c r="AN3064" s="110"/>
      <c r="AP3064" s="6"/>
      <c r="AW3064" s="6"/>
      <c r="AX3064" s="6"/>
      <c r="AZ3064" s="110"/>
      <c r="BB3064" s="6"/>
      <c r="BD3064" s="6"/>
      <c r="BE3064" s="6"/>
      <c r="BV3064" s="17"/>
      <c r="BX3064" s="17"/>
      <c r="BZ3064" s="17"/>
    </row>
    <row r="3065" spans="4:78" x14ac:dyDescent="0.3">
      <c r="D3065" s="153"/>
      <c r="E3065" s="6"/>
      <c r="G3065" s="6"/>
      <c r="J3065" s="6"/>
      <c r="N3065" s="154"/>
      <c r="O3065" s="6"/>
      <c r="S3065" s="6"/>
      <c r="V3065" s="6"/>
      <c r="X3065" s="6"/>
      <c r="Z3065" s="110"/>
      <c r="AB3065" s="6"/>
      <c r="AD3065" s="6"/>
      <c r="AE3065" s="6"/>
      <c r="AF3065" s="126"/>
      <c r="AJ3065" s="6"/>
      <c r="AL3065" s="110"/>
      <c r="AM3065" s="110"/>
      <c r="AN3065" s="110"/>
      <c r="AP3065" s="6"/>
      <c r="AW3065" s="6"/>
      <c r="AX3065" s="6"/>
      <c r="AZ3065" s="110"/>
      <c r="BB3065" s="6"/>
      <c r="BD3065" s="6"/>
      <c r="BE3065" s="6"/>
      <c r="BV3065" s="17"/>
      <c r="BX3065" s="17"/>
      <c r="BZ3065" s="17"/>
    </row>
    <row r="3066" spans="4:78" x14ac:dyDescent="0.3">
      <c r="D3066" s="153"/>
      <c r="E3066" s="6"/>
      <c r="G3066" s="6"/>
      <c r="J3066" s="6"/>
      <c r="N3066" s="154"/>
      <c r="O3066" s="6"/>
      <c r="S3066" s="6"/>
      <c r="V3066" s="6"/>
      <c r="X3066" s="6"/>
      <c r="Z3066" s="110"/>
      <c r="AB3066" s="6"/>
      <c r="AD3066" s="6"/>
      <c r="AE3066" s="6"/>
      <c r="AF3066" s="126"/>
      <c r="AJ3066" s="6"/>
      <c r="AL3066" s="110"/>
      <c r="AM3066" s="110"/>
      <c r="AN3066" s="110"/>
      <c r="AP3066" s="6"/>
      <c r="AW3066" s="6"/>
      <c r="AX3066" s="6"/>
      <c r="AZ3066" s="110"/>
      <c r="BB3066" s="6"/>
      <c r="BD3066" s="6"/>
      <c r="BE3066" s="6"/>
      <c r="BV3066" s="17"/>
      <c r="BX3066" s="17"/>
      <c r="BZ3066" s="17"/>
    </row>
    <row r="3067" spans="4:78" x14ac:dyDescent="0.3">
      <c r="D3067" s="153"/>
      <c r="E3067" s="6"/>
      <c r="G3067" s="6"/>
      <c r="J3067" s="6"/>
      <c r="N3067" s="154"/>
      <c r="O3067" s="6"/>
      <c r="S3067" s="6"/>
      <c r="V3067" s="6"/>
      <c r="X3067" s="6"/>
      <c r="Z3067" s="110"/>
      <c r="AB3067" s="6"/>
      <c r="AD3067" s="6"/>
      <c r="AE3067" s="6"/>
      <c r="AF3067" s="126"/>
      <c r="AJ3067" s="6"/>
      <c r="AL3067" s="110"/>
      <c r="AM3067" s="110"/>
      <c r="AN3067" s="110"/>
      <c r="AP3067" s="6"/>
      <c r="AW3067" s="6"/>
      <c r="AX3067" s="6"/>
      <c r="AZ3067" s="110"/>
      <c r="BB3067" s="6"/>
      <c r="BD3067" s="6"/>
      <c r="BE3067" s="6"/>
      <c r="BV3067" s="17"/>
      <c r="BX3067" s="17"/>
      <c r="BZ3067" s="17"/>
    </row>
    <row r="3068" spans="4:78" x14ac:dyDescent="0.3">
      <c r="D3068" s="153"/>
      <c r="E3068" s="6"/>
      <c r="G3068" s="6"/>
      <c r="J3068" s="6"/>
      <c r="N3068" s="154"/>
      <c r="O3068" s="6"/>
      <c r="S3068" s="6"/>
      <c r="V3068" s="6"/>
      <c r="X3068" s="6"/>
      <c r="Z3068" s="110"/>
      <c r="AB3068" s="6"/>
      <c r="AD3068" s="6"/>
      <c r="AE3068" s="6"/>
      <c r="AF3068" s="126"/>
      <c r="AJ3068" s="6"/>
      <c r="AL3068" s="110"/>
      <c r="AM3068" s="110"/>
      <c r="AN3068" s="110"/>
      <c r="AP3068" s="6"/>
      <c r="AW3068" s="6"/>
      <c r="AX3068" s="6"/>
      <c r="AZ3068" s="110"/>
      <c r="BB3068" s="6"/>
      <c r="BD3068" s="6"/>
      <c r="BE3068" s="6"/>
      <c r="BV3068" s="17"/>
      <c r="BX3068" s="17"/>
      <c r="BZ3068" s="17"/>
    </row>
    <row r="3069" spans="4:78" x14ac:dyDescent="0.3">
      <c r="D3069" s="153"/>
      <c r="E3069" s="6"/>
      <c r="G3069" s="6"/>
      <c r="J3069" s="6"/>
      <c r="N3069" s="154"/>
      <c r="O3069" s="6"/>
      <c r="S3069" s="6"/>
      <c r="V3069" s="6"/>
      <c r="X3069" s="6"/>
      <c r="Z3069" s="110"/>
      <c r="AB3069" s="6"/>
      <c r="AD3069" s="6"/>
      <c r="AE3069" s="6"/>
      <c r="AF3069" s="126"/>
      <c r="AJ3069" s="6"/>
      <c r="AL3069" s="110"/>
      <c r="AM3069" s="110"/>
      <c r="AN3069" s="110"/>
      <c r="AP3069" s="6"/>
      <c r="AW3069" s="6"/>
      <c r="AX3069" s="6"/>
      <c r="AZ3069" s="110"/>
      <c r="BB3069" s="6"/>
      <c r="BD3069" s="6"/>
      <c r="BE3069" s="6"/>
      <c r="BV3069" s="17"/>
      <c r="BX3069" s="17"/>
      <c r="BZ3069" s="17"/>
    </row>
    <row r="3070" spans="4:78" x14ac:dyDescent="0.3">
      <c r="D3070" s="153"/>
      <c r="E3070" s="6"/>
      <c r="G3070" s="6"/>
      <c r="J3070" s="6"/>
      <c r="N3070" s="154"/>
      <c r="O3070" s="6"/>
      <c r="S3070" s="6"/>
      <c r="V3070" s="6"/>
      <c r="X3070" s="6"/>
      <c r="Z3070" s="110"/>
      <c r="AB3070" s="6"/>
      <c r="AD3070" s="6"/>
      <c r="AE3070" s="6"/>
      <c r="AF3070" s="126"/>
      <c r="AJ3070" s="6"/>
      <c r="AL3070" s="110"/>
      <c r="AM3070" s="110"/>
      <c r="AN3070" s="110"/>
      <c r="AP3070" s="6"/>
      <c r="AW3070" s="6"/>
      <c r="AX3070" s="6"/>
      <c r="AZ3070" s="110"/>
      <c r="BB3070" s="6"/>
      <c r="BD3070" s="6"/>
      <c r="BE3070" s="6"/>
      <c r="BV3070" s="17"/>
      <c r="BX3070" s="17"/>
      <c r="BZ3070" s="17"/>
    </row>
    <row r="3071" spans="4:78" x14ac:dyDescent="0.3">
      <c r="D3071" s="153"/>
      <c r="E3071" s="6"/>
      <c r="G3071" s="6"/>
      <c r="J3071" s="6"/>
      <c r="N3071" s="154"/>
      <c r="O3071" s="6"/>
      <c r="S3071" s="6"/>
      <c r="V3071" s="6"/>
      <c r="X3071" s="6"/>
      <c r="Z3071" s="110"/>
      <c r="AB3071" s="6"/>
      <c r="AD3071" s="6"/>
      <c r="AE3071" s="6"/>
      <c r="AF3071" s="126"/>
      <c r="AJ3071" s="6"/>
      <c r="AL3071" s="110"/>
      <c r="AM3071" s="110"/>
      <c r="AN3071" s="110"/>
      <c r="AP3071" s="6"/>
      <c r="AW3071" s="6"/>
      <c r="AX3071" s="6"/>
      <c r="AZ3071" s="110"/>
      <c r="BB3071" s="6"/>
      <c r="BD3071" s="6"/>
      <c r="BE3071" s="6"/>
      <c r="BV3071" s="17"/>
      <c r="BX3071" s="17"/>
      <c r="BZ3071" s="17"/>
    </row>
    <row r="3072" spans="4:78" x14ac:dyDescent="0.3">
      <c r="D3072" s="153"/>
      <c r="E3072" s="6"/>
      <c r="G3072" s="6"/>
      <c r="J3072" s="6"/>
      <c r="N3072" s="154"/>
      <c r="O3072" s="6"/>
      <c r="S3072" s="6"/>
      <c r="V3072" s="6"/>
      <c r="X3072" s="6"/>
      <c r="Z3072" s="110"/>
      <c r="AB3072" s="6"/>
      <c r="AD3072" s="6"/>
      <c r="AE3072" s="6"/>
      <c r="AF3072" s="126"/>
      <c r="AJ3072" s="6"/>
      <c r="AL3072" s="110"/>
      <c r="AM3072" s="110"/>
      <c r="AN3072" s="110"/>
      <c r="AP3072" s="6"/>
      <c r="AW3072" s="6"/>
      <c r="AX3072" s="6"/>
      <c r="AZ3072" s="110"/>
      <c r="BB3072" s="6"/>
      <c r="BD3072" s="6"/>
      <c r="BE3072" s="6"/>
      <c r="BV3072" s="17"/>
      <c r="BX3072" s="17"/>
      <c r="BZ3072" s="17"/>
    </row>
    <row r="3073" spans="4:78" x14ac:dyDescent="0.3">
      <c r="D3073" s="153"/>
      <c r="E3073" s="6"/>
      <c r="G3073" s="6"/>
      <c r="J3073" s="6"/>
      <c r="N3073" s="154"/>
      <c r="O3073" s="6"/>
      <c r="S3073" s="6"/>
      <c r="V3073" s="6"/>
      <c r="X3073" s="6"/>
      <c r="Z3073" s="110"/>
      <c r="AB3073" s="6"/>
      <c r="AD3073" s="6"/>
      <c r="AE3073" s="6"/>
      <c r="AF3073" s="126"/>
      <c r="AJ3073" s="6"/>
      <c r="AL3073" s="110"/>
      <c r="AM3073" s="110"/>
      <c r="AN3073" s="110"/>
      <c r="AP3073" s="6"/>
      <c r="AW3073" s="6"/>
      <c r="AX3073" s="6"/>
      <c r="AZ3073" s="110"/>
      <c r="BB3073" s="6"/>
      <c r="BD3073" s="6"/>
      <c r="BE3073" s="6"/>
      <c r="BV3073" s="17"/>
      <c r="BX3073" s="17"/>
      <c r="BZ3073" s="17"/>
    </row>
    <row r="3074" spans="4:78" x14ac:dyDescent="0.3">
      <c r="D3074" s="153"/>
      <c r="E3074" s="6"/>
      <c r="G3074" s="6"/>
      <c r="J3074" s="6"/>
      <c r="N3074" s="154"/>
      <c r="O3074" s="6"/>
      <c r="S3074" s="6"/>
      <c r="V3074" s="6"/>
      <c r="X3074" s="6"/>
      <c r="Z3074" s="110"/>
      <c r="AB3074" s="6"/>
      <c r="AD3074" s="6"/>
      <c r="AE3074" s="6"/>
      <c r="AF3074" s="126"/>
      <c r="AJ3074" s="6"/>
      <c r="AL3074" s="110"/>
      <c r="AM3074" s="110"/>
      <c r="AN3074" s="110"/>
      <c r="AP3074" s="6"/>
      <c r="AW3074" s="6"/>
      <c r="AX3074" s="6"/>
      <c r="AZ3074" s="110"/>
      <c r="BB3074" s="6"/>
      <c r="BD3074" s="6"/>
      <c r="BE3074" s="6"/>
      <c r="BV3074" s="17"/>
      <c r="BX3074" s="17"/>
      <c r="BZ3074" s="17"/>
    </row>
    <row r="3075" spans="4:78" x14ac:dyDescent="0.3">
      <c r="D3075" s="153"/>
      <c r="E3075" s="6"/>
      <c r="G3075" s="6"/>
      <c r="J3075" s="6"/>
      <c r="N3075" s="154"/>
      <c r="O3075" s="6"/>
      <c r="S3075" s="6"/>
      <c r="V3075" s="6"/>
      <c r="X3075" s="6"/>
      <c r="Z3075" s="110"/>
      <c r="AB3075" s="6"/>
      <c r="AD3075" s="6"/>
      <c r="AE3075" s="6"/>
      <c r="AF3075" s="126"/>
      <c r="AJ3075" s="6"/>
      <c r="AL3075" s="110"/>
      <c r="AM3075" s="110"/>
      <c r="AN3075" s="110"/>
      <c r="AP3075" s="6"/>
      <c r="AW3075" s="6"/>
      <c r="AX3075" s="6"/>
      <c r="AZ3075" s="110"/>
      <c r="BB3075" s="6"/>
      <c r="BD3075" s="6"/>
      <c r="BE3075" s="6"/>
      <c r="BV3075" s="17"/>
      <c r="BX3075" s="17"/>
      <c r="BZ3075" s="17"/>
    </row>
    <row r="3076" spans="4:78" x14ac:dyDescent="0.3">
      <c r="D3076" s="153"/>
      <c r="E3076" s="6"/>
      <c r="G3076" s="6"/>
      <c r="J3076" s="6"/>
      <c r="N3076" s="154"/>
      <c r="O3076" s="6"/>
      <c r="S3076" s="6"/>
      <c r="V3076" s="6"/>
      <c r="X3076" s="6"/>
      <c r="Z3076" s="110"/>
      <c r="AB3076" s="6"/>
      <c r="AD3076" s="6"/>
      <c r="AE3076" s="6"/>
      <c r="AF3076" s="126"/>
      <c r="AJ3076" s="6"/>
      <c r="AL3076" s="110"/>
      <c r="AM3076" s="110"/>
      <c r="AN3076" s="110"/>
      <c r="AP3076" s="6"/>
      <c r="AW3076" s="6"/>
      <c r="AX3076" s="6"/>
      <c r="AZ3076" s="110"/>
      <c r="BB3076" s="6"/>
      <c r="BD3076" s="6"/>
      <c r="BE3076" s="6"/>
      <c r="BV3076" s="17"/>
      <c r="BX3076" s="17"/>
      <c r="BZ3076" s="17"/>
    </row>
    <row r="3077" spans="4:78" x14ac:dyDescent="0.3">
      <c r="D3077" s="153"/>
      <c r="E3077" s="6"/>
      <c r="G3077" s="6"/>
      <c r="J3077" s="6"/>
      <c r="N3077" s="154"/>
      <c r="O3077" s="6"/>
      <c r="S3077" s="6"/>
      <c r="V3077" s="6"/>
      <c r="X3077" s="6"/>
      <c r="Z3077" s="110"/>
      <c r="AB3077" s="6"/>
      <c r="AD3077" s="6"/>
      <c r="AE3077" s="6"/>
      <c r="AF3077" s="126"/>
      <c r="AJ3077" s="6"/>
      <c r="AL3077" s="110"/>
      <c r="AM3077" s="110"/>
      <c r="AN3077" s="110"/>
      <c r="AP3077" s="6"/>
      <c r="AW3077" s="6"/>
      <c r="AX3077" s="6"/>
      <c r="AZ3077" s="110"/>
      <c r="BB3077" s="6"/>
      <c r="BD3077" s="6"/>
      <c r="BE3077" s="6"/>
      <c r="BV3077" s="17"/>
      <c r="BX3077" s="17"/>
      <c r="BZ3077" s="17"/>
    </row>
    <row r="3078" spans="4:78" x14ac:dyDescent="0.3">
      <c r="D3078" s="153"/>
      <c r="E3078" s="6"/>
      <c r="G3078" s="6"/>
      <c r="J3078" s="6"/>
      <c r="N3078" s="154"/>
      <c r="O3078" s="6"/>
      <c r="S3078" s="6"/>
      <c r="V3078" s="6"/>
      <c r="X3078" s="6"/>
      <c r="Z3078" s="110"/>
      <c r="AB3078" s="6"/>
      <c r="AD3078" s="6"/>
      <c r="AE3078" s="6"/>
      <c r="AF3078" s="126"/>
      <c r="AJ3078" s="6"/>
      <c r="AL3078" s="110"/>
      <c r="AM3078" s="110"/>
      <c r="AN3078" s="110"/>
      <c r="AP3078" s="6"/>
      <c r="AW3078" s="6"/>
      <c r="AX3078" s="6"/>
      <c r="AZ3078" s="110"/>
      <c r="BB3078" s="6"/>
      <c r="BD3078" s="6"/>
      <c r="BE3078" s="6"/>
      <c r="BV3078" s="17"/>
      <c r="BX3078" s="17"/>
      <c r="BZ3078" s="17"/>
    </row>
    <row r="3079" spans="4:78" x14ac:dyDescent="0.3">
      <c r="D3079" s="153"/>
      <c r="E3079" s="6"/>
      <c r="G3079" s="6"/>
      <c r="J3079" s="6"/>
      <c r="N3079" s="154"/>
      <c r="O3079" s="6"/>
      <c r="S3079" s="6"/>
      <c r="V3079" s="6"/>
      <c r="X3079" s="6"/>
      <c r="Z3079" s="110"/>
      <c r="AB3079" s="6"/>
      <c r="AD3079" s="6"/>
      <c r="AE3079" s="6"/>
      <c r="AF3079" s="126"/>
      <c r="AJ3079" s="6"/>
      <c r="AL3079" s="110"/>
      <c r="AM3079" s="110"/>
      <c r="AN3079" s="110"/>
      <c r="AP3079" s="6"/>
      <c r="AW3079" s="6"/>
      <c r="AX3079" s="6"/>
      <c r="AZ3079" s="110"/>
      <c r="BB3079" s="6"/>
      <c r="BD3079" s="6"/>
      <c r="BE3079" s="6"/>
      <c r="BV3079" s="17"/>
      <c r="BX3079" s="17"/>
      <c r="BZ3079" s="17"/>
    </row>
    <row r="3080" spans="4:78" x14ac:dyDescent="0.3">
      <c r="D3080" s="153"/>
      <c r="E3080" s="6"/>
      <c r="G3080" s="6"/>
      <c r="J3080" s="6"/>
      <c r="N3080" s="154"/>
      <c r="O3080" s="6"/>
      <c r="S3080" s="6"/>
      <c r="V3080" s="6"/>
      <c r="X3080" s="6"/>
      <c r="Z3080" s="110"/>
      <c r="AB3080" s="6"/>
      <c r="AD3080" s="6"/>
      <c r="AE3080" s="6"/>
      <c r="AF3080" s="126"/>
      <c r="AJ3080" s="6"/>
      <c r="AL3080" s="110"/>
      <c r="AM3080" s="110"/>
      <c r="AN3080" s="110"/>
      <c r="AP3080" s="6"/>
      <c r="AW3080" s="6"/>
      <c r="AX3080" s="6"/>
      <c r="AZ3080" s="110"/>
      <c r="BB3080" s="6"/>
      <c r="BD3080" s="6"/>
      <c r="BE3080" s="6"/>
      <c r="BV3080" s="17"/>
      <c r="BX3080" s="17"/>
      <c r="BZ3080" s="17"/>
    </row>
    <row r="3081" spans="4:78" x14ac:dyDescent="0.3">
      <c r="D3081" s="153"/>
      <c r="E3081" s="6"/>
      <c r="G3081" s="6"/>
      <c r="J3081" s="6"/>
      <c r="N3081" s="154"/>
      <c r="O3081" s="6"/>
      <c r="S3081" s="6"/>
      <c r="V3081" s="6"/>
      <c r="X3081" s="6"/>
      <c r="Z3081" s="110"/>
      <c r="AB3081" s="6"/>
      <c r="AD3081" s="6"/>
      <c r="AE3081" s="6"/>
      <c r="AF3081" s="126"/>
      <c r="AJ3081" s="6"/>
      <c r="AL3081" s="110"/>
      <c r="AM3081" s="110"/>
      <c r="AN3081" s="110"/>
      <c r="AP3081" s="6"/>
      <c r="AW3081" s="6"/>
      <c r="AX3081" s="6"/>
      <c r="AZ3081" s="110"/>
      <c r="BB3081" s="6"/>
      <c r="BD3081" s="6"/>
      <c r="BE3081" s="6"/>
      <c r="BV3081" s="17"/>
      <c r="BX3081" s="17"/>
      <c r="BZ3081" s="17"/>
    </row>
    <row r="3082" spans="4:78" x14ac:dyDescent="0.3">
      <c r="D3082" s="153"/>
      <c r="E3082" s="6"/>
      <c r="G3082" s="6"/>
      <c r="J3082" s="6"/>
      <c r="N3082" s="154"/>
      <c r="O3082" s="6"/>
      <c r="S3082" s="6"/>
      <c r="V3082" s="6"/>
      <c r="X3082" s="6"/>
      <c r="Z3082" s="110"/>
      <c r="AB3082" s="6"/>
      <c r="AD3082" s="6"/>
      <c r="AE3082" s="6"/>
      <c r="AF3082" s="126"/>
      <c r="AJ3082" s="6"/>
      <c r="AL3082" s="110"/>
      <c r="AM3082" s="110"/>
      <c r="AN3082" s="110"/>
      <c r="AP3082" s="6"/>
      <c r="AW3082" s="6"/>
      <c r="AX3082" s="6"/>
      <c r="AZ3082" s="110"/>
      <c r="BB3082" s="6"/>
      <c r="BD3082" s="6"/>
      <c r="BE3082" s="6"/>
      <c r="BV3082" s="17"/>
      <c r="BX3082" s="17"/>
      <c r="BZ3082" s="17"/>
    </row>
    <row r="3083" spans="4:78" x14ac:dyDescent="0.3">
      <c r="D3083" s="153"/>
      <c r="E3083" s="6"/>
      <c r="G3083" s="6"/>
      <c r="J3083" s="6"/>
      <c r="N3083" s="154"/>
      <c r="O3083" s="6"/>
      <c r="S3083" s="6"/>
      <c r="V3083" s="6"/>
      <c r="X3083" s="6"/>
      <c r="Z3083" s="110"/>
      <c r="AB3083" s="6"/>
      <c r="AD3083" s="6"/>
      <c r="AE3083" s="6"/>
      <c r="AF3083" s="126"/>
      <c r="AJ3083" s="6"/>
      <c r="AL3083" s="110"/>
      <c r="AM3083" s="110"/>
      <c r="AN3083" s="110"/>
      <c r="AP3083" s="6"/>
      <c r="AW3083" s="6"/>
      <c r="AX3083" s="6"/>
      <c r="AZ3083" s="110"/>
      <c r="BB3083" s="6"/>
      <c r="BD3083" s="6"/>
      <c r="BE3083" s="6"/>
      <c r="BV3083" s="17"/>
      <c r="BX3083" s="17"/>
      <c r="BZ3083" s="17"/>
    </row>
    <row r="3084" spans="4:78" x14ac:dyDescent="0.3">
      <c r="D3084" s="153"/>
      <c r="E3084" s="6"/>
      <c r="G3084" s="6"/>
      <c r="J3084" s="6"/>
      <c r="N3084" s="154"/>
      <c r="O3084" s="6"/>
      <c r="S3084" s="6"/>
      <c r="V3084" s="6"/>
      <c r="X3084" s="6"/>
      <c r="Z3084" s="110"/>
      <c r="AB3084" s="6"/>
      <c r="AD3084" s="6"/>
      <c r="AE3084" s="6"/>
      <c r="AF3084" s="126"/>
      <c r="AJ3084" s="6"/>
      <c r="AL3084" s="110"/>
      <c r="AM3084" s="110"/>
      <c r="AN3084" s="110"/>
      <c r="AP3084" s="6"/>
      <c r="AW3084" s="6"/>
      <c r="AX3084" s="6"/>
      <c r="AZ3084" s="110"/>
      <c r="BB3084" s="6"/>
      <c r="BD3084" s="6"/>
      <c r="BE3084" s="6"/>
      <c r="BV3084" s="17"/>
      <c r="BX3084" s="17"/>
      <c r="BZ3084" s="17"/>
    </row>
    <row r="3085" spans="4:78" x14ac:dyDescent="0.3">
      <c r="D3085" s="153"/>
      <c r="E3085" s="6"/>
      <c r="G3085" s="6"/>
      <c r="J3085" s="6"/>
      <c r="N3085" s="154"/>
      <c r="O3085" s="6"/>
      <c r="S3085" s="6"/>
      <c r="V3085" s="6"/>
      <c r="X3085" s="6"/>
      <c r="Z3085" s="110"/>
      <c r="AB3085" s="6"/>
      <c r="AD3085" s="6"/>
      <c r="AE3085" s="6"/>
      <c r="AF3085" s="126"/>
      <c r="AJ3085" s="6"/>
      <c r="AL3085" s="110"/>
      <c r="AM3085" s="110"/>
      <c r="AN3085" s="110"/>
      <c r="AP3085" s="6"/>
      <c r="AW3085" s="6"/>
      <c r="AX3085" s="6"/>
      <c r="AZ3085" s="110"/>
      <c r="BB3085" s="6"/>
      <c r="BD3085" s="6"/>
      <c r="BE3085" s="6"/>
      <c r="BV3085" s="17"/>
      <c r="BX3085" s="17"/>
      <c r="BZ3085" s="17"/>
    </row>
    <row r="3086" spans="4:78" x14ac:dyDescent="0.3">
      <c r="D3086" s="153"/>
      <c r="E3086" s="6"/>
      <c r="G3086" s="6"/>
      <c r="J3086" s="6"/>
      <c r="N3086" s="154"/>
      <c r="O3086" s="6"/>
      <c r="S3086" s="6"/>
      <c r="V3086" s="6"/>
      <c r="X3086" s="6"/>
      <c r="Z3086" s="110"/>
      <c r="AB3086" s="6"/>
      <c r="AD3086" s="6"/>
      <c r="AE3086" s="6"/>
      <c r="AF3086" s="126"/>
      <c r="AJ3086" s="6"/>
      <c r="AL3086" s="110"/>
      <c r="AM3086" s="110"/>
      <c r="AN3086" s="110"/>
      <c r="AP3086" s="6"/>
      <c r="AW3086" s="6"/>
      <c r="AX3086" s="6"/>
      <c r="AZ3086" s="110"/>
      <c r="BB3086" s="6"/>
      <c r="BD3086" s="6"/>
      <c r="BE3086" s="6"/>
      <c r="BV3086" s="17"/>
      <c r="BX3086" s="17"/>
      <c r="BZ3086" s="17"/>
    </row>
    <row r="3087" spans="4:78" x14ac:dyDescent="0.3">
      <c r="D3087" s="153"/>
      <c r="E3087" s="6"/>
      <c r="G3087" s="6"/>
      <c r="J3087" s="6"/>
      <c r="N3087" s="154"/>
      <c r="O3087" s="6"/>
      <c r="S3087" s="6"/>
      <c r="V3087" s="6"/>
      <c r="X3087" s="6"/>
      <c r="Z3087" s="110"/>
      <c r="AB3087" s="6"/>
      <c r="AD3087" s="6"/>
      <c r="AE3087" s="6"/>
      <c r="AF3087" s="126"/>
      <c r="AJ3087" s="6"/>
      <c r="AL3087" s="110"/>
      <c r="AM3087" s="110"/>
      <c r="AN3087" s="110"/>
      <c r="AP3087" s="6"/>
      <c r="AW3087" s="6"/>
      <c r="AX3087" s="6"/>
      <c r="AZ3087" s="110"/>
      <c r="BB3087" s="6"/>
      <c r="BD3087" s="6"/>
      <c r="BE3087" s="6"/>
      <c r="BV3087" s="17"/>
      <c r="BX3087" s="17"/>
      <c r="BZ3087" s="17"/>
    </row>
    <row r="3088" spans="4:78" x14ac:dyDescent="0.3">
      <c r="D3088" s="153"/>
      <c r="E3088" s="6"/>
      <c r="G3088" s="6"/>
      <c r="J3088" s="6"/>
      <c r="N3088" s="154"/>
      <c r="O3088" s="6"/>
      <c r="S3088" s="6"/>
      <c r="V3088" s="6"/>
      <c r="X3088" s="6"/>
      <c r="Z3088" s="110"/>
      <c r="AB3088" s="6"/>
      <c r="AD3088" s="6"/>
      <c r="AE3088" s="6"/>
      <c r="AF3088" s="126"/>
      <c r="AJ3088" s="6"/>
      <c r="AL3088" s="110"/>
      <c r="AM3088" s="110"/>
      <c r="AN3088" s="110"/>
      <c r="AP3088" s="6"/>
      <c r="AW3088" s="6"/>
      <c r="AX3088" s="6"/>
      <c r="AZ3088" s="110"/>
      <c r="BB3088" s="6"/>
      <c r="BD3088" s="6"/>
      <c r="BE3088" s="6"/>
      <c r="BV3088" s="17"/>
      <c r="BX3088" s="17"/>
      <c r="BZ3088" s="17"/>
    </row>
    <row r="3089" spans="4:78" x14ac:dyDescent="0.3">
      <c r="D3089" s="153"/>
      <c r="E3089" s="6"/>
      <c r="G3089" s="6"/>
      <c r="J3089" s="6"/>
      <c r="N3089" s="154"/>
      <c r="O3089" s="6"/>
      <c r="S3089" s="6"/>
      <c r="V3089" s="6"/>
      <c r="X3089" s="6"/>
      <c r="Z3089" s="110"/>
      <c r="AB3089" s="6"/>
      <c r="AD3089" s="6"/>
      <c r="AE3089" s="6"/>
      <c r="AF3089" s="126"/>
      <c r="AJ3089" s="6"/>
      <c r="AL3089" s="110"/>
      <c r="AM3089" s="110"/>
      <c r="AN3089" s="110"/>
      <c r="AP3089" s="6"/>
      <c r="AW3089" s="6"/>
      <c r="AX3089" s="6"/>
      <c r="AZ3089" s="110"/>
      <c r="BB3089" s="6"/>
      <c r="BD3089" s="6"/>
      <c r="BE3089" s="6"/>
      <c r="BV3089" s="17"/>
      <c r="BX3089" s="17"/>
      <c r="BZ3089" s="17"/>
    </row>
    <row r="3090" spans="4:78" x14ac:dyDescent="0.3">
      <c r="D3090" s="153"/>
      <c r="E3090" s="6"/>
      <c r="G3090" s="6"/>
      <c r="J3090" s="6"/>
      <c r="N3090" s="154"/>
      <c r="O3090" s="6"/>
      <c r="S3090" s="6"/>
      <c r="V3090" s="6"/>
      <c r="X3090" s="6"/>
      <c r="Z3090" s="110"/>
      <c r="AB3090" s="6"/>
      <c r="AD3090" s="6"/>
      <c r="AE3090" s="6"/>
      <c r="AF3090" s="126"/>
      <c r="AJ3090" s="6"/>
      <c r="AL3090" s="110"/>
      <c r="AM3090" s="110"/>
      <c r="AN3090" s="110"/>
      <c r="AP3090" s="6"/>
      <c r="AW3090" s="6"/>
      <c r="AX3090" s="6"/>
      <c r="AZ3090" s="110"/>
      <c r="BB3090" s="6"/>
      <c r="BD3090" s="6"/>
      <c r="BE3090" s="6"/>
      <c r="BV3090" s="17"/>
      <c r="BX3090" s="17"/>
      <c r="BZ3090" s="17"/>
    </row>
    <row r="3091" spans="4:78" x14ac:dyDescent="0.3">
      <c r="D3091" s="153"/>
      <c r="E3091" s="6"/>
      <c r="G3091" s="6"/>
      <c r="J3091" s="6"/>
      <c r="N3091" s="154"/>
      <c r="O3091" s="6"/>
      <c r="S3091" s="6"/>
      <c r="V3091" s="6"/>
      <c r="X3091" s="6"/>
      <c r="Z3091" s="110"/>
      <c r="AB3091" s="6"/>
      <c r="AD3091" s="6"/>
      <c r="AE3091" s="6"/>
      <c r="AF3091" s="126"/>
      <c r="AJ3091" s="6"/>
      <c r="AL3091" s="110"/>
      <c r="AM3091" s="110"/>
      <c r="AN3091" s="110"/>
      <c r="AP3091" s="6"/>
      <c r="AW3091" s="6"/>
      <c r="AX3091" s="6"/>
      <c r="AZ3091" s="110"/>
      <c r="BB3091" s="6"/>
      <c r="BD3091" s="6"/>
      <c r="BE3091" s="6"/>
      <c r="BV3091" s="17"/>
      <c r="BX3091" s="17"/>
      <c r="BZ3091" s="17"/>
    </row>
    <row r="3092" spans="4:78" x14ac:dyDescent="0.3">
      <c r="D3092" s="153"/>
      <c r="E3092" s="6"/>
      <c r="G3092" s="6"/>
      <c r="J3092" s="6"/>
      <c r="N3092" s="154"/>
      <c r="O3092" s="6"/>
      <c r="S3092" s="6"/>
      <c r="V3092" s="6"/>
      <c r="X3092" s="6"/>
      <c r="Z3092" s="110"/>
      <c r="AB3092" s="6"/>
      <c r="AD3092" s="6"/>
      <c r="AE3092" s="6"/>
      <c r="AF3092" s="126"/>
      <c r="AJ3092" s="6"/>
      <c r="AL3092" s="110"/>
      <c r="AM3092" s="110"/>
      <c r="AN3092" s="110"/>
      <c r="AP3092" s="6"/>
      <c r="AW3092" s="6"/>
      <c r="AX3092" s="6"/>
      <c r="AZ3092" s="110"/>
      <c r="BB3092" s="6"/>
      <c r="BD3092" s="6"/>
      <c r="BE3092" s="6"/>
      <c r="BV3092" s="17"/>
      <c r="BX3092" s="17"/>
      <c r="BZ3092" s="17"/>
    </row>
    <row r="3093" spans="4:78" x14ac:dyDescent="0.3">
      <c r="D3093" s="153"/>
      <c r="E3093" s="6"/>
      <c r="G3093" s="6"/>
      <c r="J3093" s="6"/>
      <c r="N3093" s="154"/>
      <c r="O3093" s="6"/>
      <c r="S3093" s="6"/>
      <c r="V3093" s="6"/>
      <c r="X3093" s="6"/>
      <c r="Z3093" s="110"/>
      <c r="AB3093" s="6"/>
      <c r="AD3093" s="6"/>
      <c r="AE3093" s="6"/>
      <c r="AF3093" s="126"/>
      <c r="AJ3093" s="6"/>
      <c r="AL3093" s="110"/>
      <c r="AM3093" s="110"/>
      <c r="AN3093" s="110"/>
      <c r="AP3093" s="6"/>
      <c r="AW3093" s="6"/>
      <c r="AX3093" s="6"/>
      <c r="AZ3093" s="110"/>
      <c r="BB3093" s="6"/>
      <c r="BD3093" s="6"/>
      <c r="BE3093" s="6"/>
      <c r="BV3093" s="17"/>
      <c r="BX3093" s="17"/>
      <c r="BZ3093" s="17"/>
    </row>
    <row r="3094" spans="4:78" x14ac:dyDescent="0.3">
      <c r="D3094" s="153"/>
      <c r="E3094" s="6"/>
      <c r="G3094" s="6"/>
      <c r="J3094" s="6"/>
      <c r="N3094" s="154"/>
      <c r="O3094" s="6"/>
      <c r="S3094" s="6"/>
      <c r="V3094" s="6"/>
      <c r="X3094" s="6"/>
      <c r="Z3094" s="110"/>
      <c r="AB3094" s="6"/>
      <c r="AD3094" s="6"/>
      <c r="AE3094" s="6"/>
      <c r="AF3094" s="126"/>
      <c r="AJ3094" s="6"/>
      <c r="AL3094" s="110"/>
      <c r="AM3094" s="110"/>
      <c r="AN3094" s="110"/>
      <c r="AP3094" s="6"/>
      <c r="AW3094" s="6"/>
      <c r="AX3094" s="6"/>
      <c r="AZ3094" s="110"/>
      <c r="BB3094" s="6"/>
      <c r="BD3094" s="6"/>
      <c r="BE3094" s="6"/>
      <c r="BV3094" s="17"/>
      <c r="BX3094" s="17"/>
      <c r="BZ3094" s="17"/>
    </row>
    <row r="3095" spans="4:78" x14ac:dyDescent="0.3">
      <c r="D3095" s="153"/>
      <c r="E3095" s="6"/>
      <c r="G3095" s="6"/>
      <c r="J3095" s="6"/>
      <c r="N3095" s="154"/>
      <c r="O3095" s="6"/>
      <c r="S3095" s="6"/>
      <c r="V3095" s="6"/>
      <c r="X3095" s="6"/>
      <c r="Z3095" s="110"/>
      <c r="AB3095" s="6"/>
      <c r="AD3095" s="6"/>
      <c r="AE3095" s="6"/>
      <c r="AF3095" s="126"/>
      <c r="AJ3095" s="6"/>
      <c r="AL3095" s="110"/>
      <c r="AM3095" s="110"/>
      <c r="AN3095" s="110"/>
      <c r="AP3095" s="6"/>
      <c r="AW3095" s="6"/>
      <c r="AX3095" s="6"/>
      <c r="AZ3095" s="110"/>
      <c r="BB3095" s="6"/>
      <c r="BD3095" s="6"/>
      <c r="BE3095" s="6"/>
      <c r="BV3095" s="17"/>
      <c r="BX3095" s="17"/>
      <c r="BZ3095" s="17"/>
    </row>
    <row r="3096" spans="4:78" x14ac:dyDescent="0.3">
      <c r="D3096" s="153"/>
      <c r="E3096" s="6"/>
      <c r="G3096" s="6"/>
      <c r="J3096" s="6"/>
      <c r="N3096" s="154"/>
      <c r="O3096" s="6"/>
      <c r="S3096" s="6"/>
      <c r="V3096" s="6"/>
      <c r="X3096" s="6"/>
      <c r="Z3096" s="110"/>
      <c r="AB3096" s="6"/>
      <c r="AD3096" s="6"/>
      <c r="AE3096" s="6"/>
      <c r="AF3096" s="126"/>
      <c r="AJ3096" s="6"/>
      <c r="AL3096" s="110"/>
      <c r="AM3096" s="110"/>
      <c r="AN3096" s="110"/>
      <c r="AP3096" s="6"/>
      <c r="AW3096" s="6"/>
      <c r="AX3096" s="6"/>
      <c r="AZ3096" s="110"/>
      <c r="BB3096" s="6"/>
      <c r="BD3096" s="6"/>
      <c r="BE3096" s="6"/>
      <c r="BV3096" s="17"/>
      <c r="BX3096" s="17"/>
      <c r="BZ3096" s="17"/>
    </row>
    <row r="3097" spans="4:78" x14ac:dyDescent="0.3">
      <c r="D3097" s="153"/>
      <c r="E3097" s="6"/>
      <c r="G3097" s="6"/>
      <c r="J3097" s="6"/>
      <c r="N3097" s="154"/>
      <c r="O3097" s="6"/>
      <c r="S3097" s="6"/>
      <c r="V3097" s="6"/>
      <c r="X3097" s="6"/>
      <c r="Z3097" s="110"/>
      <c r="AB3097" s="6"/>
      <c r="AD3097" s="6"/>
      <c r="AE3097" s="6"/>
      <c r="AF3097" s="126"/>
      <c r="AJ3097" s="6"/>
      <c r="AL3097" s="110"/>
      <c r="AM3097" s="110"/>
      <c r="AN3097" s="110"/>
      <c r="AP3097" s="6"/>
      <c r="AW3097" s="6"/>
      <c r="AX3097" s="6"/>
      <c r="AZ3097" s="110"/>
      <c r="BB3097" s="6"/>
      <c r="BD3097" s="6"/>
      <c r="BE3097" s="6"/>
      <c r="BV3097" s="17"/>
      <c r="BX3097" s="17"/>
      <c r="BZ3097" s="17"/>
    </row>
    <row r="3098" spans="4:78" x14ac:dyDescent="0.3">
      <c r="D3098" s="153"/>
      <c r="E3098" s="6"/>
      <c r="G3098" s="6"/>
      <c r="J3098" s="6"/>
      <c r="N3098" s="154"/>
      <c r="O3098" s="6"/>
      <c r="S3098" s="6"/>
      <c r="V3098" s="6"/>
      <c r="X3098" s="6"/>
      <c r="Z3098" s="110"/>
      <c r="AB3098" s="6"/>
      <c r="AD3098" s="6"/>
      <c r="AE3098" s="6"/>
      <c r="AF3098" s="126"/>
      <c r="AJ3098" s="6"/>
      <c r="AL3098" s="110"/>
      <c r="AM3098" s="110"/>
      <c r="AN3098" s="110"/>
      <c r="AP3098" s="6"/>
      <c r="AW3098" s="6"/>
      <c r="AX3098" s="6"/>
      <c r="AZ3098" s="110"/>
      <c r="BB3098" s="6"/>
      <c r="BD3098" s="6"/>
      <c r="BE3098" s="6"/>
      <c r="BV3098" s="17"/>
      <c r="BX3098" s="17"/>
      <c r="BZ3098" s="17"/>
    </row>
    <row r="3099" spans="4:78" x14ac:dyDescent="0.3">
      <c r="D3099" s="153"/>
      <c r="E3099" s="6"/>
      <c r="G3099" s="6"/>
      <c r="J3099" s="6"/>
      <c r="N3099" s="154"/>
      <c r="O3099" s="6"/>
      <c r="S3099" s="6"/>
      <c r="V3099" s="6"/>
      <c r="X3099" s="6"/>
      <c r="Z3099" s="110"/>
      <c r="AB3099" s="6"/>
      <c r="AD3099" s="6"/>
      <c r="AE3099" s="6"/>
      <c r="AF3099" s="126"/>
      <c r="AJ3099" s="6"/>
      <c r="AL3099" s="110"/>
      <c r="AM3099" s="110"/>
      <c r="AN3099" s="110"/>
      <c r="AP3099" s="6"/>
      <c r="AW3099" s="6"/>
      <c r="AX3099" s="6"/>
      <c r="AZ3099" s="110"/>
      <c r="BB3099" s="6"/>
      <c r="BD3099" s="6"/>
      <c r="BE3099" s="6"/>
      <c r="BV3099" s="17"/>
      <c r="BX3099" s="17"/>
      <c r="BZ3099" s="17"/>
    </row>
    <row r="3100" spans="4:78" x14ac:dyDescent="0.3">
      <c r="D3100" s="153"/>
      <c r="E3100" s="6"/>
      <c r="G3100" s="6"/>
      <c r="J3100" s="6"/>
      <c r="N3100" s="154"/>
      <c r="O3100" s="6"/>
      <c r="S3100" s="6"/>
      <c r="V3100" s="6"/>
      <c r="X3100" s="6"/>
      <c r="Z3100" s="110"/>
      <c r="AB3100" s="6"/>
      <c r="AD3100" s="6"/>
      <c r="AE3100" s="6"/>
      <c r="AF3100" s="126"/>
      <c r="AJ3100" s="6"/>
      <c r="AL3100" s="110"/>
      <c r="AM3100" s="110"/>
      <c r="AN3100" s="110"/>
      <c r="AP3100" s="6"/>
      <c r="AW3100" s="6"/>
      <c r="AX3100" s="6"/>
      <c r="AZ3100" s="110"/>
      <c r="BB3100" s="6"/>
      <c r="BD3100" s="6"/>
      <c r="BE3100" s="6"/>
      <c r="BV3100" s="17"/>
      <c r="BX3100" s="17"/>
      <c r="BZ3100" s="17"/>
    </row>
    <row r="3101" spans="4:78" x14ac:dyDescent="0.3">
      <c r="D3101" s="153"/>
      <c r="E3101" s="6"/>
      <c r="G3101" s="6"/>
      <c r="J3101" s="6"/>
      <c r="N3101" s="154"/>
      <c r="O3101" s="6"/>
      <c r="S3101" s="6"/>
      <c r="V3101" s="6"/>
      <c r="X3101" s="6"/>
      <c r="Z3101" s="110"/>
      <c r="AB3101" s="6"/>
      <c r="AD3101" s="6"/>
      <c r="AE3101" s="6"/>
      <c r="AF3101" s="126"/>
      <c r="AJ3101" s="6"/>
      <c r="AL3101" s="110"/>
      <c r="AM3101" s="110"/>
      <c r="AN3101" s="110"/>
      <c r="AP3101" s="6"/>
      <c r="AW3101" s="6"/>
      <c r="AX3101" s="6"/>
      <c r="AZ3101" s="110"/>
      <c r="BB3101" s="6"/>
      <c r="BD3101" s="6"/>
      <c r="BE3101" s="6"/>
      <c r="BV3101" s="17"/>
      <c r="BX3101" s="17"/>
      <c r="BZ3101" s="17"/>
    </row>
    <row r="3102" spans="4:78" x14ac:dyDescent="0.3">
      <c r="D3102" s="153"/>
      <c r="E3102" s="6"/>
      <c r="G3102" s="6"/>
      <c r="J3102" s="6"/>
      <c r="N3102" s="154"/>
      <c r="O3102" s="6"/>
      <c r="S3102" s="6"/>
      <c r="V3102" s="6"/>
      <c r="X3102" s="6"/>
      <c r="Z3102" s="110"/>
      <c r="AB3102" s="6"/>
      <c r="AD3102" s="6"/>
      <c r="AE3102" s="6"/>
      <c r="AF3102" s="126"/>
      <c r="AJ3102" s="6"/>
      <c r="AL3102" s="110"/>
      <c r="AM3102" s="110"/>
      <c r="AN3102" s="110"/>
      <c r="AP3102" s="6"/>
      <c r="AW3102" s="6"/>
      <c r="AX3102" s="6"/>
      <c r="AZ3102" s="110"/>
      <c r="BB3102" s="6"/>
      <c r="BD3102" s="6"/>
      <c r="BE3102" s="6"/>
      <c r="BV3102" s="17"/>
      <c r="BX3102" s="17"/>
      <c r="BZ3102" s="17"/>
    </row>
    <row r="3103" spans="4:78" x14ac:dyDescent="0.3">
      <c r="D3103" s="153"/>
      <c r="E3103" s="6"/>
      <c r="G3103" s="6"/>
      <c r="J3103" s="6"/>
      <c r="N3103" s="154"/>
      <c r="O3103" s="6"/>
      <c r="S3103" s="6"/>
      <c r="V3103" s="6"/>
      <c r="X3103" s="6"/>
      <c r="Z3103" s="110"/>
      <c r="AB3103" s="6"/>
      <c r="AD3103" s="6"/>
      <c r="AE3103" s="6"/>
      <c r="AF3103" s="126"/>
      <c r="AJ3103" s="6"/>
      <c r="AL3103" s="110"/>
      <c r="AM3103" s="110"/>
      <c r="AN3103" s="110"/>
      <c r="AP3103" s="6"/>
      <c r="AW3103" s="6"/>
      <c r="AX3103" s="6"/>
      <c r="AZ3103" s="110"/>
      <c r="BB3103" s="6"/>
      <c r="BD3103" s="6"/>
      <c r="BE3103" s="6"/>
      <c r="BV3103" s="17"/>
      <c r="BX3103" s="17"/>
      <c r="BZ3103" s="17"/>
    </row>
    <row r="3104" spans="4:78" x14ac:dyDescent="0.3">
      <c r="D3104" s="153"/>
      <c r="E3104" s="6"/>
      <c r="G3104" s="6"/>
      <c r="J3104" s="6"/>
      <c r="N3104" s="154"/>
      <c r="O3104" s="6"/>
      <c r="S3104" s="6"/>
      <c r="V3104" s="6"/>
      <c r="X3104" s="6"/>
      <c r="Z3104" s="110"/>
      <c r="AB3104" s="6"/>
      <c r="AD3104" s="6"/>
      <c r="AE3104" s="6"/>
      <c r="AF3104" s="126"/>
      <c r="AJ3104" s="6"/>
      <c r="AL3104" s="110"/>
      <c r="AM3104" s="110"/>
      <c r="AN3104" s="110"/>
      <c r="AP3104" s="6"/>
      <c r="AW3104" s="6"/>
      <c r="AX3104" s="6"/>
      <c r="AZ3104" s="110"/>
      <c r="BB3104" s="6"/>
      <c r="BD3104" s="6"/>
      <c r="BE3104" s="6"/>
      <c r="BV3104" s="17"/>
      <c r="BX3104" s="17"/>
      <c r="BZ3104" s="17"/>
    </row>
    <row r="3105" spans="4:78" x14ac:dyDescent="0.3">
      <c r="D3105" s="153"/>
      <c r="E3105" s="6"/>
      <c r="G3105" s="6"/>
      <c r="J3105" s="6"/>
      <c r="N3105" s="154"/>
      <c r="O3105" s="6"/>
      <c r="S3105" s="6"/>
      <c r="V3105" s="6"/>
      <c r="X3105" s="6"/>
      <c r="Z3105" s="110"/>
      <c r="AB3105" s="6"/>
      <c r="AD3105" s="6"/>
      <c r="AE3105" s="6"/>
      <c r="AF3105" s="126"/>
      <c r="AJ3105" s="6"/>
      <c r="AL3105" s="110"/>
      <c r="AM3105" s="110"/>
      <c r="AN3105" s="110"/>
      <c r="AP3105" s="6"/>
      <c r="AW3105" s="6"/>
      <c r="AX3105" s="6"/>
      <c r="AZ3105" s="110"/>
      <c r="BB3105" s="6"/>
      <c r="BD3105" s="6"/>
      <c r="BE3105" s="6"/>
      <c r="BV3105" s="17"/>
      <c r="BX3105" s="17"/>
      <c r="BZ3105" s="17"/>
    </row>
    <row r="3106" spans="4:78" x14ac:dyDescent="0.3">
      <c r="D3106" s="153"/>
      <c r="E3106" s="6"/>
      <c r="G3106" s="6"/>
      <c r="J3106" s="6"/>
      <c r="N3106" s="154"/>
      <c r="O3106" s="6"/>
      <c r="S3106" s="6"/>
      <c r="V3106" s="6"/>
      <c r="X3106" s="6"/>
      <c r="Z3106" s="110"/>
      <c r="AB3106" s="6"/>
      <c r="AD3106" s="6"/>
      <c r="AE3106" s="6"/>
      <c r="AF3106" s="126"/>
      <c r="AJ3106" s="6"/>
      <c r="AL3106" s="110"/>
      <c r="AM3106" s="110"/>
      <c r="AN3106" s="110"/>
      <c r="AP3106" s="6"/>
      <c r="AW3106" s="6"/>
      <c r="AX3106" s="6"/>
      <c r="AZ3106" s="110"/>
      <c r="BB3106" s="6"/>
      <c r="BD3106" s="6"/>
      <c r="BE3106" s="6"/>
      <c r="BV3106" s="17"/>
      <c r="BX3106" s="17"/>
      <c r="BZ3106" s="17"/>
    </row>
    <row r="3107" spans="4:78" x14ac:dyDescent="0.3">
      <c r="D3107" s="153"/>
      <c r="E3107" s="6"/>
      <c r="G3107" s="6"/>
      <c r="J3107" s="6"/>
      <c r="N3107" s="154"/>
      <c r="O3107" s="6"/>
      <c r="S3107" s="6"/>
      <c r="V3107" s="6"/>
      <c r="X3107" s="6"/>
      <c r="Z3107" s="110"/>
      <c r="AB3107" s="6"/>
      <c r="AD3107" s="6"/>
      <c r="AE3107" s="6"/>
      <c r="AF3107" s="126"/>
      <c r="AJ3107" s="6"/>
      <c r="AL3107" s="110"/>
      <c r="AM3107" s="110"/>
      <c r="AN3107" s="110"/>
      <c r="AP3107" s="6"/>
      <c r="AW3107" s="6"/>
      <c r="AX3107" s="6"/>
      <c r="AZ3107" s="110"/>
      <c r="BB3107" s="6"/>
      <c r="BD3107" s="6"/>
      <c r="BE3107" s="6"/>
      <c r="BV3107" s="17"/>
      <c r="BX3107" s="17"/>
      <c r="BZ3107" s="17"/>
    </row>
    <row r="3108" spans="4:78" x14ac:dyDescent="0.3">
      <c r="D3108" s="153"/>
      <c r="E3108" s="6"/>
      <c r="G3108" s="6"/>
      <c r="J3108" s="6"/>
      <c r="N3108" s="154"/>
      <c r="O3108" s="6"/>
      <c r="S3108" s="6"/>
      <c r="V3108" s="6"/>
      <c r="X3108" s="6"/>
      <c r="Z3108" s="110"/>
      <c r="AB3108" s="6"/>
      <c r="AD3108" s="6"/>
      <c r="AE3108" s="6"/>
      <c r="AF3108" s="126"/>
      <c r="AJ3108" s="6"/>
      <c r="AL3108" s="110"/>
      <c r="AM3108" s="110"/>
      <c r="AN3108" s="110"/>
      <c r="AP3108" s="6"/>
      <c r="AW3108" s="6"/>
      <c r="AX3108" s="6"/>
      <c r="AZ3108" s="110"/>
      <c r="BB3108" s="6"/>
      <c r="BD3108" s="6"/>
      <c r="BE3108" s="6"/>
      <c r="BV3108" s="17"/>
      <c r="BX3108" s="17"/>
      <c r="BZ3108" s="17"/>
    </row>
    <row r="3109" spans="4:78" x14ac:dyDescent="0.3">
      <c r="D3109" s="153"/>
      <c r="E3109" s="6"/>
      <c r="G3109" s="6"/>
      <c r="J3109" s="6"/>
      <c r="N3109" s="154"/>
      <c r="O3109" s="6"/>
      <c r="S3109" s="6"/>
      <c r="V3109" s="6"/>
      <c r="X3109" s="6"/>
      <c r="Z3109" s="110"/>
      <c r="AB3109" s="6"/>
      <c r="AD3109" s="6"/>
      <c r="AE3109" s="6"/>
      <c r="AF3109" s="126"/>
      <c r="AJ3109" s="6"/>
      <c r="AL3109" s="110"/>
      <c r="AM3109" s="110"/>
      <c r="AN3109" s="110"/>
      <c r="AP3109" s="6"/>
      <c r="AW3109" s="6"/>
      <c r="AX3109" s="6"/>
      <c r="AZ3109" s="110"/>
      <c r="BB3109" s="6"/>
      <c r="BD3109" s="6"/>
      <c r="BE3109" s="6"/>
      <c r="BV3109" s="17"/>
      <c r="BX3109" s="17"/>
      <c r="BZ3109" s="17"/>
    </row>
    <row r="3110" spans="4:78" x14ac:dyDescent="0.3">
      <c r="D3110" s="153"/>
      <c r="E3110" s="6"/>
      <c r="G3110" s="6"/>
      <c r="J3110" s="6"/>
      <c r="N3110" s="154"/>
      <c r="O3110" s="6"/>
      <c r="S3110" s="6"/>
      <c r="V3110" s="6"/>
      <c r="X3110" s="6"/>
      <c r="Z3110" s="110"/>
      <c r="AB3110" s="6"/>
      <c r="AD3110" s="6"/>
      <c r="AE3110" s="6"/>
      <c r="AF3110" s="126"/>
      <c r="AJ3110" s="6"/>
      <c r="AL3110" s="110"/>
      <c r="AM3110" s="110"/>
      <c r="AN3110" s="110"/>
      <c r="AP3110" s="6"/>
      <c r="AW3110" s="6"/>
      <c r="AX3110" s="6"/>
      <c r="AZ3110" s="110"/>
      <c r="BB3110" s="6"/>
      <c r="BD3110" s="6"/>
      <c r="BE3110" s="6"/>
      <c r="BV3110" s="17"/>
      <c r="BX3110" s="17"/>
      <c r="BZ3110" s="17"/>
    </row>
    <row r="3111" spans="4:78" x14ac:dyDescent="0.3">
      <c r="D3111" s="153"/>
      <c r="E3111" s="6"/>
      <c r="G3111" s="6"/>
      <c r="J3111" s="6"/>
      <c r="N3111" s="154"/>
      <c r="O3111" s="6"/>
      <c r="S3111" s="6"/>
      <c r="V3111" s="6"/>
      <c r="X3111" s="6"/>
      <c r="Z3111" s="110"/>
      <c r="AB3111" s="6"/>
      <c r="AD3111" s="6"/>
      <c r="AE3111" s="6"/>
      <c r="AF3111" s="126"/>
      <c r="AJ3111" s="6"/>
      <c r="AL3111" s="110"/>
      <c r="AM3111" s="110"/>
      <c r="AN3111" s="110"/>
      <c r="AP3111" s="6"/>
      <c r="AW3111" s="6"/>
      <c r="AX3111" s="6"/>
      <c r="AZ3111" s="110"/>
      <c r="BB3111" s="6"/>
      <c r="BD3111" s="6"/>
      <c r="BE3111" s="6"/>
      <c r="BV3111" s="17"/>
      <c r="BX3111" s="17"/>
      <c r="BZ3111" s="17"/>
    </row>
    <row r="3112" spans="4:78" x14ac:dyDescent="0.3">
      <c r="D3112" s="153"/>
      <c r="E3112" s="6"/>
      <c r="G3112" s="6"/>
      <c r="J3112" s="6"/>
      <c r="N3112" s="154"/>
      <c r="O3112" s="6"/>
      <c r="S3112" s="6"/>
      <c r="V3112" s="6"/>
      <c r="X3112" s="6"/>
      <c r="Z3112" s="110"/>
      <c r="AB3112" s="6"/>
      <c r="AD3112" s="6"/>
      <c r="AE3112" s="6"/>
      <c r="AF3112" s="126"/>
      <c r="AJ3112" s="6"/>
      <c r="AL3112" s="110"/>
      <c r="AM3112" s="110"/>
      <c r="AN3112" s="110"/>
      <c r="AP3112" s="6"/>
      <c r="AW3112" s="6"/>
      <c r="AX3112" s="6"/>
      <c r="AZ3112" s="110"/>
      <c r="BB3112" s="6"/>
      <c r="BD3112" s="6"/>
      <c r="BE3112" s="6"/>
      <c r="BV3112" s="17"/>
      <c r="BX3112" s="17"/>
      <c r="BZ3112" s="17"/>
    </row>
    <row r="3113" spans="4:78" x14ac:dyDescent="0.3">
      <c r="D3113" s="153"/>
      <c r="E3113" s="6"/>
      <c r="G3113" s="6"/>
      <c r="J3113" s="6"/>
      <c r="N3113" s="154"/>
      <c r="O3113" s="6"/>
      <c r="S3113" s="6"/>
      <c r="V3113" s="6"/>
      <c r="X3113" s="6"/>
      <c r="Z3113" s="110"/>
      <c r="AB3113" s="6"/>
      <c r="AD3113" s="6"/>
      <c r="AE3113" s="6"/>
      <c r="AF3113" s="126"/>
      <c r="AJ3113" s="6"/>
      <c r="AL3113" s="110"/>
      <c r="AM3113" s="110"/>
      <c r="AN3113" s="110"/>
      <c r="AP3113" s="6"/>
      <c r="AW3113" s="6"/>
      <c r="AX3113" s="6"/>
      <c r="AZ3113" s="110"/>
      <c r="BB3113" s="6"/>
      <c r="BD3113" s="6"/>
      <c r="BE3113" s="6"/>
      <c r="BV3113" s="17"/>
      <c r="BX3113" s="17"/>
      <c r="BZ3113" s="17"/>
    </row>
    <row r="3114" spans="4:78" x14ac:dyDescent="0.3">
      <c r="D3114" s="153"/>
      <c r="E3114" s="6"/>
      <c r="G3114" s="6"/>
      <c r="J3114" s="6"/>
      <c r="N3114" s="154"/>
      <c r="O3114" s="6"/>
      <c r="S3114" s="6"/>
      <c r="V3114" s="6"/>
      <c r="X3114" s="6"/>
      <c r="Z3114" s="110"/>
      <c r="AB3114" s="6"/>
      <c r="AD3114" s="6"/>
      <c r="AE3114" s="6"/>
      <c r="AF3114" s="126"/>
      <c r="AJ3114" s="6"/>
      <c r="AL3114" s="110"/>
      <c r="AM3114" s="110"/>
      <c r="AN3114" s="110"/>
      <c r="AP3114" s="6"/>
      <c r="AW3114" s="6"/>
      <c r="AX3114" s="6"/>
      <c r="AZ3114" s="110"/>
      <c r="BB3114" s="6"/>
      <c r="BD3114" s="6"/>
      <c r="BE3114" s="6"/>
      <c r="BV3114" s="17"/>
      <c r="BX3114" s="17"/>
      <c r="BZ3114" s="17"/>
    </row>
    <row r="3115" spans="4:78" x14ac:dyDescent="0.3">
      <c r="D3115" s="153"/>
      <c r="E3115" s="6"/>
      <c r="G3115" s="6"/>
      <c r="J3115" s="6"/>
      <c r="N3115" s="154"/>
      <c r="O3115" s="6"/>
      <c r="S3115" s="6"/>
      <c r="V3115" s="6"/>
      <c r="X3115" s="6"/>
      <c r="Z3115" s="110"/>
      <c r="AB3115" s="6"/>
      <c r="AD3115" s="6"/>
      <c r="AE3115" s="6"/>
      <c r="AF3115" s="126"/>
      <c r="AJ3115" s="6"/>
      <c r="AL3115" s="110"/>
      <c r="AM3115" s="110"/>
      <c r="AN3115" s="110"/>
      <c r="AP3115" s="6"/>
      <c r="AW3115" s="6"/>
      <c r="AX3115" s="6"/>
      <c r="AZ3115" s="110"/>
      <c r="BB3115" s="6"/>
      <c r="BD3115" s="6"/>
      <c r="BE3115" s="6"/>
      <c r="BV3115" s="17"/>
      <c r="BX3115" s="17"/>
      <c r="BZ3115" s="17"/>
    </row>
    <row r="3116" spans="4:78" x14ac:dyDescent="0.3">
      <c r="D3116" s="153"/>
      <c r="E3116" s="6"/>
      <c r="G3116" s="6"/>
      <c r="J3116" s="6"/>
      <c r="N3116" s="154"/>
      <c r="O3116" s="6"/>
      <c r="S3116" s="6"/>
      <c r="V3116" s="6"/>
      <c r="X3116" s="6"/>
      <c r="Z3116" s="110"/>
      <c r="AB3116" s="6"/>
      <c r="AD3116" s="6"/>
      <c r="AE3116" s="6"/>
      <c r="AF3116" s="126"/>
      <c r="AJ3116" s="6"/>
      <c r="AL3116" s="110"/>
      <c r="AM3116" s="110"/>
      <c r="AN3116" s="110"/>
      <c r="AP3116" s="6"/>
      <c r="AW3116" s="6"/>
      <c r="AX3116" s="6"/>
      <c r="AZ3116" s="110"/>
      <c r="BB3116" s="6"/>
      <c r="BD3116" s="6"/>
      <c r="BE3116" s="6"/>
      <c r="BV3116" s="17"/>
      <c r="BX3116" s="17"/>
      <c r="BZ3116" s="17"/>
    </row>
    <row r="3117" spans="4:78" x14ac:dyDescent="0.3">
      <c r="D3117" s="153"/>
      <c r="E3117" s="6"/>
      <c r="G3117" s="6"/>
      <c r="J3117" s="6"/>
      <c r="N3117" s="154"/>
      <c r="O3117" s="6"/>
      <c r="S3117" s="6"/>
      <c r="V3117" s="6"/>
      <c r="X3117" s="6"/>
      <c r="Z3117" s="110"/>
      <c r="AB3117" s="6"/>
      <c r="AD3117" s="6"/>
      <c r="AE3117" s="6"/>
      <c r="AF3117" s="126"/>
      <c r="AJ3117" s="6"/>
      <c r="AL3117" s="110"/>
      <c r="AM3117" s="110"/>
      <c r="AN3117" s="110"/>
      <c r="AP3117" s="6"/>
      <c r="AW3117" s="6"/>
      <c r="AX3117" s="6"/>
      <c r="AZ3117" s="110"/>
      <c r="BB3117" s="6"/>
      <c r="BD3117" s="6"/>
      <c r="BE3117" s="6"/>
      <c r="BV3117" s="17"/>
      <c r="BX3117" s="17"/>
      <c r="BZ3117" s="17"/>
    </row>
    <row r="3118" spans="4:78" x14ac:dyDescent="0.3">
      <c r="D3118" s="153"/>
      <c r="E3118" s="6"/>
      <c r="G3118" s="6"/>
      <c r="J3118" s="6"/>
      <c r="N3118" s="154"/>
      <c r="O3118" s="6"/>
      <c r="S3118" s="6"/>
      <c r="V3118" s="6"/>
      <c r="X3118" s="6"/>
      <c r="Z3118" s="110"/>
      <c r="AB3118" s="6"/>
      <c r="AD3118" s="6"/>
      <c r="AE3118" s="6"/>
      <c r="AF3118" s="126"/>
      <c r="AJ3118" s="6"/>
      <c r="AL3118" s="110"/>
      <c r="AM3118" s="110"/>
      <c r="AN3118" s="110"/>
      <c r="AP3118" s="6"/>
      <c r="AW3118" s="6"/>
      <c r="AX3118" s="6"/>
      <c r="AZ3118" s="110"/>
      <c r="BB3118" s="6"/>
      <c r="BD3118" s="6"/>
      <c r="BE3118" s="6"/>
      <c r="BV3118" s="17"/>
      <c r="BX3118" s="17"/>
      <c r="BZ3118" s="17"/>
    </row>
    <row r="3119" spans="4:78" x14ac:dyDescent="0.3">
      <c r="D3119" s="153"/>
      <c r="E3119" s="6"/>
      <c r="G3119" s="6"/>
      <c r="J3119" s="6"/>
      <c r="N3119" s="154"/>
      <c r="O3119" s="6"/>
      <c r="S3119" s="6"/>
      <c r="V3119" s="6"/>
      <c r="X3119" s="6"/>
      <c r="Z3119" s="110"/>
      <c r="AB3119" s="6"/>
      <c r="AD3119" s="6"/>
      <c r="AE3119" s="6"/>
      <c r="AF3119" s="126"/>
      <c r="AJ3119" s="6"/>
      <c r="AL3119" s="110"/>
      <c r="AM3119" s="110"/>
      <c r="AN3119" s="110"/>
      <c r="AP3119" s="6"/>
      <c r="AW3119" s="6"/>
      <c r="AX3119" s="6"/>
      <c r="AZ3119" s="110"/>
      <c r="BB3119" s="6"/>
      <c r="BD3119" s="6"/>
      <c r="BE3119" s="6"/>
      <c r="BV3119" s="17"/>
      <c r="BX3119" s="17"/>
      <c r="BZ3119" s="17"/>
    </row>
    <row r="3120" spans="4:78" x14ac:dyDescent="0.3">
      <c r="D3120" s="153"/>
      <c r="E3120" s="6"/>
      <c r="G3120" s="6"/>
      <c r="J3120" s="6"/>
      <c r="N3120" s="154"/>
      <c r="O3120" s="6"/>
      <c r="S3120" s="6"/>
      <c r="V3120" s="6"/>
      <c r="X3120" s="6"/>
      <c r="Z3120" s="110"/>
      <c r="AB3120" s="6"/>
      <c r="AD3120" s="6"/>
      <c r="AE3120" s="6"/>
      <c r="AF3120" s="126"/>
      <c r="AJ3120" s="6"/>
      <c r="AL3120" s="110"/>
      <c r="AM3120" s="110"/>
      <c r="AN3120" s="110"/>
      <c r="AP3120" s="6"/>
      <c r="AW3120" s="6"/>
      <c r="AX3120" s="6"/>
      <c r="AZ3120" s="110"/>
      <c r="BB3120" s="6"/>
      <c r="BD3120" s="6"/>
      <c r="BE3120" s="6"/>
      <c r="BV3120" s="17"/>
      <c r="BX3120" s="17"/>
      <c r="BZ3120" s="17"/>
    </row>
    <row r="3121" spans="4:78" x14ac:dyDescent="0.3">
      <c r="D3121" s="153"/>
      <c r="E3121" s="6"/>
      <c r="G3121" s="6"/>
      <c r="J3121" s="6"/>
      <c r="N3121" s="154"/>
      <c r="O3121" s="6"/>
      <c r="S3121" s="6"/>
      <c r="V3121" s="6"/>
      <c r="X3121" s="6"/>
      <c r="Z3121" s="110"/>
      <c r="AB3121" s="6"/>
      <c r="AD3121" s="6"/>
      <c r="AE3121" s="6"/>
      <c r="AF3121" s="126"/>
      <c r="AJ3121" s="6"/>
      <c r="AL3121" s="110"/>
      <c r="AM3121" s="110"/>
      <c r="AN3121" s="110"/>
      <c r="AP3121" s="6"/>
      <c r="AW3121" s="6"/>
      <c r="AX3121" s="6"/>
      <c r="AZ3121" s="110"/>
      <c r="BB3121" s="6"/>
      <c r="BD3121" s="6"/>
      <c r="BE3121" s="6"/>
      <c r="BV3121" s="17"/>
      <c r="BX3121" s="17"/>
      <c r="BZ3121" s="17"/>
    </row>
    <row r="3122" spans="4:78" x14ac:dyDescent="0.3">
      <c r="D3122" s="153"/>
      <c r="E3122" s="6"/>
      <c r="G3122" s="6"/>
      <c r="J3122" s="6"/>
      <c r="N3122" s="154"/>
      <c r="O3122" s="6"/>
      <c r="S3122" s="6"/>
      <c r="V3122" s="6"/>
      <c r="X3122" s="6"/>
      <c r="Z3122" s="110"/>
      <c r="AB3122" s="6"/>
      <c r="AD3122" s="6"/>
      <c r="AE3122" s="6"/>
      <c r="AF3122" s="126"/>
      <c r="AJ3122" s="6"/>
      <c r="AL3122" s="110"/>
      <c r="AM3122" s="110"/>
      <c r="AN3122" s="110"/>
      <c r="AP3122" s="6"/>
      <c r="AW3122" s="6"/>
      <c r="AX3122" s="6"/>
      <c r="AZ3122" s="110"/>
      <c r="BB3122" s="6"/>
      <c r="BD3122" s="6"/>
      <c r="BE3122" s="6"/>
      <c r="BV3122" s="17"/>
      <c r="BX3122" s="17"/>
      <c r="BZ3122" s="17"/>
    </row>
    <row r="3123" spans="4:78" x14ac:dyDescent="0.3">
      <c r="D3123" s="153"/>
      <c r="E3123" s="6"/>
      <c r="G3123" s="6"/>
      <c r="J3123" s="6"/>
      <c r="N3123" s="154"/>
      <c r="O3123" s="6"/>
      <c r="S3123" s="6"/>
      <c r="V3123" s="6"/>
      <c r="X3123" s="6"/>
      <c r="Z3123" s="110"/>
      <c r="AB3123" s="6"/>
      <c r="AD3123" s="6"/>
      <c r="AE3123" s="6"/>
      <c r="AF3123" s="126"/>
      <c r="AJ3123" s="6"/>
      <c r="AL3123" s="110"/>
      <c r="AM3123" s="110"/>
      <c r="AN3123" s="110"/>
      <c r="AP3123" s="6"/>
      <c r="AW3123" s="6"/>
      <c r="AX3123" s="6"/>
      <c r="AZ3123" s="110"/>
      <c r="BB3123" s="6"/>
      <c r="BD3123" s="6"/>
      <c r="BE3123" s="6"/>
      <c r="BV3123" s="17"/>
      <c r="BX3123" s="17"/>
      <c r="BZ3123" s="17"/>
    </row>
    <row r="3124" spans="4:78" x14ac:dyDescent="0.3">
      <c r="D3124" s="153"/>
      <c r="E3124" s="6"/>
      <c r="G3124" s="6"/>
      <c r="J3124" s="6"/>
      <c r="N3124" s="154"/>
      <c r="O3124" s="6"/>
      <c r="S3124" s="6"/>
      <c r="V3124" s="6"/>
      <c r="X3124" s="6"/>
      <c r="Z3124" s="110"/>
      <c r="AB3124" s="6"/>
      <c r="AD3124" s="6"/>
      <c r="AE3124" s="6"/>
      <c r="AF3124" s="126"/>
      <c r="AJ3124" s="6"/>
      <c r="AL3124" s="110"/>
      <c r="AM3124" s="110"/>
      <c r="AN3124" s="110"/>
      <c r="AP3124" s="6"/>
      <c r="AW3124" s="6"/>
      <c r="AX3124" s="6"/>
      <c r="AZ3124" s="110"/>
      <c r="BB3124" s="6"/>
      <c r="BD3124" s="6"/>
      <c r="BE3124" s="6"/>
      <c r="BV3124" s="17"/>
      <c r="BX3124" s="17"/>
      <c r="BZ3124" s="17"/>
    </row>
    <row r="3125" spans="4:78" x14ac:dyDescent="0.3">
      <c r="D3125" s="153"/>
      <c r="E3125" s="6"/>
      <c r="G3125" s="6"/>
      <c r="J3125" s="6"/>
      <c r="N3125" s="154"/>
      <c r="O3125" s="6"/>
      <c r="S3125" s="6"/>
      <c r="V3125" s="6"/>
      <c r="X3125" s="6"/>
      <c r="Z3125" s="110"/>
      <c r="AB3125" s="6"/>
      <c r="AD3125" s="6"/>
      <c r="AE3125" s="6"/>
      <c r="AF3125" s="126"/>
      <c r="AJ3125" s="6"/>
      <c r="AL3125" s="110"/>
      <c r="AM3125" s="110"/>
      <c r="AN3125" s="110"/>
      <c r="AP3125" s="6"/>
      <c r="AW3125" s="6"/>
      <c r="AX3125" s="6"/>
      <c r="AZ3125" s="110"/>
      <c r="BB3125" s="6"/>
      <c r="BD3125" s="6"/>
      <c r="BE3125" s="6"/>
      <c r="BV3125" s="17"/>
      <c r="BX3125" s="17"/>
      <c r="BZ3125" s="17"/>
    </row>
    <row r="3126" spans="4:78" x14ac:dyDescent="0.3">
      <c r="D3126" s="153"/>
      <c r="E3126" s="6"/>
      <c r="G3126" s="6"/>
      <c r="J3126" s="6"/>
      <c r="N3126" s="154"/>
      <c r="O3126" s="6"/>
      <c r="S3126" s="6"/>
      <c r="V3126" s="6"/>
      <c r="X3126" s="6"/>
      <c r="Z3126" s="110"/>
      <c r="AB3126" s="6"/>
      <c r="AD3126" s="6"/>
      <c r="AE3126" s="6"/>
      <c r="AF3126" s="126"/>
      <c r="AJ3126" s="6"/>
      <c r="AL3126" s="110"/>
      <c r="AM3126" s="110"/>
      <c r="AN3126" s="110"/>
      <c r="AP3126" s="6"/>
      <c r="AW3126" s="6"/>
      <c r="AX3126" s="6"/>
      <c r="AZ3126" s="110"/>
      <c r="BB3126" s="6"/>
      <c r="BD3126" s="6"/>
      <c r="BE3126" s="6"/>
      <c r="BV3126" s="17"/>
      <c r="BX3126" s="17"/>
      <c r="BZ3126" s="17"/>
    </row>
    <row r="3127" spans="4:78" x14ac:dyDescent="0.3">
      <c r="D3127" s="153"/>
      <c r="E3127" s="6"/>
      <c r="G3127" s="6"/>
      <c r="J3127" s="6"/>
      <c r="N3127" s="154"/>
      <c r="O3127" s="6"/>
      <c r="S3127" s="6"/>
      <c r="V3127" s="6"/>
      <c r="X3127" s="6"/>
      <c r="Z3127" s="110"/>
      <c r="AB3127" s="6"/>
      <c r="AD3127" s="6"/>
      <c r="AE3127" s="6"/>
      <c r="AF3127" s="126"/>
      <c r="AJ3127" s="6"/>
      <c r="AL3127" s="110"/>
      <c r="AM3127" s="110"/>
      <c r="AN3127" s="110"/>
      <c r="AP3127" s="6"/>
      <c r="AW3127" s="6"/>
      <c r="AX3127" s="6"/>
      <c r="AZ3127" s="110"/>
      <c r="BB3127" s="6"/>
      <c r="BD3127" s="6"/>
      <c r="BE3127" s="6"/>
      <c r="BV3127" s="17"/>
      <c r="BX3127" s="17"/>
      <c r="BZ3127" s="17"/>
    </row>
    <row r="3128" spans="4:78" x14ac:dyDescent="0.3">
      <c r="D3128" s="153"/>
      <c r="E3128" s="6"/>
      <c r="G3128" s="6"/>
      <c r="J3128" s="6"/>
      <c r="N3128" s="154"/>
      <c r="O3128" s="6"/>
      <c r="S3128" s="6"/>
      <c r="V3128" s="6"/>
      <c r="X3128" s="6"/>
      <c r="Z3128" s="110"/>
      <c r="AB3128" s="6"/>
      <c r="AD3128" s="6"/>
      <c r="AE3128" s="6"/>
      <c r="AF3128" s="126"/>
      <c r="AJ3128" s="6"/>
      <c r="AL3128" s="110"/>
      <c r="AM3128" s="110"/>
      <c r="AN3128" s="110"/>
      <c r="AP3128" s="6"/>
      <c r="AW3128" s="6"/>
      <c r="AX3128" s="6"/>
      <c r="AZ3128" s="110"/>
      <c r="BB3128" s="6"/>
      <c r="BD3128" s="6"/>
      <c r="BE3128" s="6"/>
      <c r="BV3128" s="17"/>
      <c r="BX3128" s="17"/>
      <c r="BZ3128" s="17"/>
    </row>
    <row r="3129" spans="4:78" x14ac:dyDescent="0.3">
      <c r="D3129" s="153"/>
      <c r="E3129" s="6"/>
      <c r="G3129" s="6"/>
      <c r="J3129" s="6"/>
      <c r="N3129" s="154"/>
      <c r="O3129" s="6"/>
      <c r="S3129" s="6"/>
      <c r="V3129" s="6"/>
      <c r="X3129" s="6"/>
      <c r="Z3129" s="110"/>
      <c r="AB3129" s="6"/>
      <c r="AD3129" s="6"/>
      <c r="AE3129" s="6"/>
      <c r="AF3129" s="126"/>
      <c r="AJ3129" s="6"/>
      <c r="AL3129" s="110"/>
      <c r="AM3129" s="110"/>
      <c r="AN3129" s="110"/>
      <c r="AP3129" s="6"/>
      <c r="AW3129" s="6"/>
      <c r="AX3129" s="6"/>
      <c r="AZ3129" s="110"/>
      <c r="BB3129" s="6"/>
      <c r="BD3129" s="6"/>
      <c r="BE3129" s="6"/>
      <c r="BV3129" s="17"/>
      <c r="BX3129" s="17"/>
      <c r="BZ3129" s="17"/>
    </row>
    <row r="3130" spans="4:78" x14ac:dyDescent="0.3">
      <c r="D3130" s="153"/>
      <c r="E3130" s="6"/>
      <c r="G3130" s="6"/>
      <c r="J3130" s="6"/>
      <c r="N3130" s="154"/>
      <c r="O3130" s="6"/>
      <c r="S3130" s="6"/>
      <c r="V3130" s="6"/>
      <c r="X3130" s="6"/>
      <c r="Z3130" s="110"/>
      <c r="AB3130" s="6"/>
      <c r="AD3130" s="6"/>
      <c r="AE3130" s="6"/>
      <c r="AF3130" s="126"/>
      <c r="AJ3130" s="6"/>
      <c r="AL3130" s="110"/>
      <c r="AM3130" s="110"/>
      <c r="AN3130" s="110"/>
      <c r="AP3130" s="6"/>
      <c r="AW3130" s="6"/>
      <c r="AX3130" s="6"/>
      <c r="AZ3130" s="110"/>
      <c r="BB3130" s="6"/>
      <c r="BD3130" s="6"/>
      <c r="BE3130" s="6"/>
      <c r="BV3130" s="17"/>
      <c r="BX3130" s="17"/>
      <c r="BZ3130" s="17"/>
    </row>
    <row r="3131" spans="4:78" x14ac:dyDescent="0.3">
      <c r="D3131" s="153"/>
      <c r="E3131" s="6"/>
      <c r="G3131" s="6"/>
      <c r="J3131" s="6"/>
      <c r="N3131" s="154"/>
      <c r="O3131" s="6"/>
      <c r="S3131" s="6"/>
      <c r="V3131" s="6"/>
      <c r="X3131" s="6"/>
      <c r="Z3131" s="110"/>
      <c r="AB3131" s="6"/>
      <c r="AD3131" s="6"/>
      <c r="AE3131" s="6"/>
      <c r="AF3131" s="126"/>
      <c r="AJ3131" s="6"/>
      <c r="AL3131" s="110"/>
      <c r="AM3131" s="110"/>
      <c r="AN3131" s="110"/>
      <c r="AP3131" s="6"/>
      <c r="AW3131" s="6"/>
      <c r="AX3131" s="6"/>
      <c r="AZ3131" s="110"/>
      <c r="BB3131" s="6"/>
      <c r="BD3131" s="6"/>
      <c r="BE3131" s="6"/>
      <c r="BV3131" s="17"/>
      <c r="BX3131" s="17"/>
      <c r="BZ3131" s="17"/>
    </row>
    <row r="3132" spans="4:78" x14ac:dyDescent="0.3">
      <c r="D3132" s="153"/>
      <c r="E3132" s="6"/>
      <c r="G3132" s="6"/>
      <c r="J3132" s="6"/>
      <c r="N3132" s="154"/>
      <c r="O3132" s="6"/>
      <c r="S3132" s="6"/>
      <c r="V3132" s="6"/>
      <c r="X3132" s="6"/>
      <c r="Z3132" s="110"/>
      <c r="AB3132" s="6"/>
      <c r="AD3132" s="6"/>
      <c r="AE3132" s="6"/>
      <c r="AF3132" s="126"/>
      <c r="AJ3132" s="6"/>
      <c r="AL3132" s="110"/>
      <c r="AM3132" s="110"/>
      <c r="AN3132" s="110"/>
      <c r="AP3132" s="6"/>
      <c r="AW3132" s="6"/>
      <c r="AX3132" s="6"/>
      <c r="AZ3132" s="110"/>
      <c r="BB3132" s="6"/>
      <c r="BD3132" s="6"/>
      <c r="BE3132" s="6"/>
      <c r="BV3132" s="17"/>
      <c r="BX3132" s="17"/>
      <c r="BZ3132" s="17"/>
    </row>
    <row r="3133" spans="4:78" x14ac:dyDescent="0.3">
      <c r="D3133" s="153"/>
      <c r="E3133" s="6"/>
      <c r="G3133" s="6"/>
      <c r="J3133" s="6"/>
      <c r="N3133" s="154"/>
      <c r="O3133" s="6"/>
      <c r="S3133" s="6"/>
      <c r="V3133" s="6"/>
      <c r="X3133" s="6"/>
      <c r="Z3133" s="110"/>
      <c r="AB3133" s="6"/>
      <c r="AD3133" s="6"/>
      <c r="AE3133" s="6"/>
      <c r="AF3133" s="126"/>
      <c r="AJ3133" s="6"/>
      <c r="AL3133" s="110"/>
      <c r="AM3133" s="110"/>
      <c r="AN3133" s="110"/>
      <c r="AP3133" s="6"/>
      <c r="AW3133" s="6"/>
      <c r="AX3133" s="6"/>
      <c r="AZ3133" s="110"/>
      <c r="BB3133" s="6"/>
      <c r="BD3133" s="6"/>
      <c r="BE3133" s="6"/>
      <c r="BV3133" s="17"/>
      <c r="BX3133" s="17"/>
      <c r="BZ3133" s="17"/>
    </row>
    <row r="3134" spans="4:78" x14ac:dyDescent="0.3">
      <c r="D3134" s="153"/>
      <c r="E3134" s="6"/>
      <c r="G3134" s="6"/>
      <c r="J3134" s="6"/>
      <c r="N3134" s="154"/>
      <c r="O3134" s="6"/>
      <c r="S3134" s="6"/>
      <c r="V3134" s="6"/>
      <c r="X3134" s="6"/>
      <c r="Z3134" s="110"/>
      <c r="AB3134" s="6"/>
      <c r="AD3134" s="6"/>
      <c r="AE3134" s="6"/>
      <c r="AF3134" s="126"/>
      <c r="AJ3134" s="6"/>
      <c r="AL3134" s="110"/>
      <c r="AM3134" s="110"/>
      <c r="AN3134" s="110"/>
      <c r="AP3134" s="6"/>
      <c r="AW3134" s="6"/>
      <c r="AX3134" s="6"/>
      <c r="AZ3134" s="110"/>
      <c r="BB3134" s="6"/>
      <c r="BD3134" s="6"/>
      <c r="BE3134" s="6"/>
      <c r="BV3134" s="17"/>
      <c r="BX3134" s="17"/>
      <c r="BZ3134" s="17"/>
    </row>
    <row r="3135" spans="4:78" x14ac:dyDescent="0.3">
      <c r="D3135" s="153"/>
      <c r="E3135" s="6"/>
      <c r="G3135" s="6"/>
      <c r="J3135" s="6"/>
      <c r="N3135" s="154"/>
      <c r="O3135" s="6"/>
      <c r="S3135" s="6"/>
      <c r="V3135" s="6"/>
      <c r="X3135" s="6"/>
      <c r="Z3135" s="110"/>
      <c r="AB3135" s="6"/>
      <c r="AD3135" s="6"/>
      <c r="AE3135" s="6"/>
      <c r="AF3135" s="126"/>
      <c r="AJ3135" s="6"/>
      <c r="AL3135" s="110"/>
      <c r="AM3135" s="110"/>
      <c r="AN3135" s="110"/>
      <c r="AP3135" s="6"/>
      <c r="AW3135" s="6"/>
      <c r="AX3135" s="6"/>
      <c r="AZ3135" s="110"/>
      <c r="BB3135" s="6"/>
      <c r="BD3135" s="6"/>
      <c r="BE3135" s="6"/>
      <c r="BV3135" s="17"/>
      <c r="BX3135" s="17"/>
      <c r="BZ3135" s="17"/>
    </row>
    <row r="3136" spans="4:78" x14ac:dyDescent="0.3">
      <c r="D3136" s="153"/>
      <c r="E3136" s="6"/>
      <c r="G3136" s="6"/>
      <c r="J3136" s="6"/>
      <c r="N3136" s="154"/>
      <c r="O3136" s="6"/>
      <c r="S3136" s="6"/>
      <c r="V3136" s="6"/>
      <c r="X3136" s="6"/>
      <c r="Z3136" s="110"/>
      <c r="AB3136" s="6"/>
      <c r="AD3136" s="6"/>
      <c r="AE3136" s="6"/>
      <c r="AF3136" s="126"/>
      <c r="AJ3136" s="6"/>
      <c r="AL3136" s="110"/>
      <c r="AM3136" s="110"/>
      <c r="AN3136" s="110"/>
      <c r="AP3136" s="6"/>
      <c r="AW3136" s="6"/>
      <c r="AX3136" s="6"/>
      <c r="AZ3136" s="110"/>
      <c r="BB3136" s="6"/>
      <c r="BD3136" s="6"/>
      <c r="BE3136" s="6"/>
      <c r="BV3136" s="17"/>
      <c r="BX3136" s="17"/>
      <c r="BZ3136" s="17"/>
    </row>
    <row r="3137" spans="4:78" x14ac:dyDescent="0.3">
      <c r="D3137" s="153"/>
      <c r="E3137" s="6"/>
      <c r="G3137" s="6"/>
      <c r="J3137" s="6"/>
      <c r="N3137" s="154"/>
      <c r="O3137" s="6"/>
      <c r="S3137" s="6"/>
      <c r="V3137" s="6"/>
      <c r="X3137" s="6"/>
      <c r="Z3137" s="110"/>
      <c r="AB3137" s="6"/>
      <c r="AD3137" s="6"/>
      <c r="AE3137" s="6"/>
      <c r="AF3137" s="126"/>
      <c r="AJ3137" s="6"/>
      <c r="AL3137" s="110"/>
      <c r="AM3137" s="110"/>
      <c r="AN3137" s="110"/>
      <c r="AP3137" s="6"/>
      <c r="AW3137" s="6"/>
      <c r="AX3137" s="6"/>
      <c r="AZ3137" s="110"/>
      <c r="BB3137" s="6"/>
      <c r="BD3137" s="6"/>
      <c r="BE3137" s="6"/>
      <c r="BV3137" s="17"/>
      <c r="BX3137" s="17"/>
      <c r="BZ3137" s="17"/>
    </row>
    <row r="3138" spans="4:78" x14ac:dyDescent="0.3">
      <c r="D3138" s="153"/>
      <c r="E3138" s="6"/>
      <c r="G3138" s="6"/>
      <c r="J3138" s="6"/>
      <c r="N3138" s="154"/>
      <c r="O3138" s="6"/>
      <c r="S3138" s="6"/>
      <c r="V3138" s="6"/>
      <c r="X3138" s="6"/>
      <c r="Z3138" s="110"/>
      <c r="AB3138" s="6"/>
      <c r="AD3138" s="6"/>
      <c r="AE3138" s="6"/>
      <c r="AF3138" s="126"/>
      <c r="AJ3138" s="6"/>
      <c r="AL3138" s="110"/>
      <c r="AM3138" s="110"/>
      <c r="AN3138" s="110"/>
      <c r="AP3138" s="6"/>
      <c r="AW3138" s="6"/>
      <c r="AX3138" s="6"/>
      <c r="AZ3138" s="110"/>
      <c r="BB3138" s="6"/>
      <c r="BD3138" s="6"/>
      <c r="BE3138" s="6"/>
      <c r="BV3138" s="17"/>
      <c r="BX3138" s="17"/>
      <c r="BZ3138" s="17"/>
    </row>
    <row r="3139" spans="4:78" x14ac:dyDescent="0.3">
      <c r="D3139" s="153"/>
      <c r="E3139" s="6"/>
      <c r="G3139" s="6"/>
      <c r="J3139" s="6"/>
      <c r="N3139" s="154"/>
      <c r="O3139" s="6"/>
      <c r="S3139" s="6"/>
      <c r="V3139" s="6"/>
      <c r="X3139" s="6"/>
      <c r="Z3139" s="110"/>
      <c r="AB3139" s="6"/>
      <c r="AD3139" s="6"/>
      <c r="AE3139" s="6"/>
      <c r="AF3139" s="126"/>
      <c r="AJ3139" s="6"/>
      <c r="AL3139" s="110"/>
      <c r="AM3139" s="110"/>
      <c r="AN3139" s="110"/>
      <c r="AP3139" s="6"/>
      <c r="AW3139" s="6"/>
      <c r="AX3139" s="6"/>
      <c r="AZ3139" s="110"/>
      <c r="BB3139" s="6"/>
      <c r="BD3139" s="6"/>
      <c r="BE3139" s="6"/>
      <c r="BV3139" s="17"/>
      <c r="BX3139" s="17"/>
      <c r="BZ3139" s="17"/>
    </row>
    <row r="3140" spans="4:78" x14ac:dyDescent="0.3">
      <c r="D3140" s="153"/>
      <c r="E3140" s="6"/>
      <c r="G3140" s="6"/>
      <c r="J3140" s="6"/>
      <c r="N3140" s="154"/>
      <c r="O3140" s="6"/>
      <c r="S3140" s="6"/>
      <c r="V3140" s="6"/>
      <c r="X3140" s="6"/>
      <c r="Z3140" s="110"/>
      <c r="AB3140" s="6"/>
      <c r="AD3140" s="6"/>
      <c r="AE3140" s="6"/>
      <c r="AF3140" s="126"/>
      <c r="AJ3140" s="6"/>
      <c r="AL3140" s="110"/>
      <c r="AM3140" s="110"/>
      <c r="AN3140" s="110"/>
      <c r="AP3140" s="6"/>
      <c r="AW3140" s="6"/>
      <c r="AX3140" s="6"/>
      <c r="AZ3140" s="110"/>
      <c r="BB3140" s="6"/>
      <c r="BD3140" s="6"/>
      <c r="BE3140" s="6"/>
      <c r="BV3140" s="17"/>
      <c r="BX3140" s="17"/>
      <c r="BZ3140" s="17"/>
    </row>
    <row r="3141" spans="4:78" x14ac:dyDescent="0.3">
      <c r="D3141" s="153"/>
      <c r="E3141" s="6"/>
      <c r="G3141" s="6"/>
      <c r="J3141" s="6"/>
      <c r="N3141" s="154"/>
      <c r="O3141" s="6"/>
      <c r="S3141" s="6"/>
      <c r="V3141" s="6"/>
      <c r="X3141" s="6"/>
      <c r="Z3141" s="110"/>
      <c r="AB3141" s="6"/>
      <c r="AD3141" s="6"/>
      <c r="AE3141" s="6"/>
      <c r="AF3141" s="126"/>
      <c r="AJ3141" s="6"/>
      <c r="AL3141" s="110"/>
      <c r="AM3141" s="110"/>
      <c r="AN3141" s="110"/>
      <c r="AP3141" s="6"/>
      <c r="AW3141" s="6"/>
      <c r="AX3141" s="6"/>
      <c r="AZ3141" s="110"/>
      <c r="BB3141" s="6"/>
      <c r="BD3141" s="6"/>
      <c r="BE3141" s="6"/>
      <c r="BV3141" s="17"/>
      <c r="BX3141" s="17"/>
      <c r="BZ3141" s="17"/>
    </row>
    <row r="3142" spans="4:78" x14ac:dyDescent="0.3">
      <c r="D3142" s="153"/>
      <c r="E3142" s="6"/>
      <c r="G3142" s="6"/>
      <c r="J3142" s="6"/>
      <c r="N3142" s="154"/>
      <c r="O3142" s="6"/>
      <c r="S3142" s="6"/>
      <c r="V3142" s="6"/>
      <c r="X3142" s="6"/>
      <c r="Z3142" s="110"/>
      <c r="AB3142" s="6"/>
      <c r="AD3142" s="6"/>
      <c r="AE3142" s="6"/>
      <c r="AF3142" s="126"/>
      <c r="AJ3142" s="6"/>
      <c r="AL3142" s="110"/>
      <c r="AM3142" s="110"/>
      <c r="AN3142" s="110"/>
      <c r="AP3142" s="6"/>
      <c r="AW3142" s="6"/>
      <c r="AX3142" s="6"/>
      <c r="AZ3142" s="110"/>
      <c r="BB3142" s="6"/>
      <c r="BD3142" s="6"/>
      <c r="BE3142" s="6"/>
      <c r="BV3142" s="17"/>
      <c r="BX3142" s="17"/>
      <c r="BZ3142" s="17"/>
    </row>
    <row r="3143" spans="4:78" x14ac:dyDescent="0.3">
      <c r="D3143" s="153"/>
      <c r="E3143" s="6"/>
      <c r="G3143" s="6"/>
      <c r="J3143" s="6"/>
      <c r="N3143" s="154"/>
      <c r="O3143" s="6"/>
      <c r="S3143" s="6"/>
      <c r="V3143" s="6"/>
      <c r="X3143" s="6"/>
      <c r="Z3143" s="110"/>
      <c r="AB3143" s="6"/>
      <c r="AD3143" s="6"/>
      <c r="AE3143" s="6"/>
      <c r="AF3143" s="126"/>
      <c r="AJ3143" s="6"/>
      <c r="AL3143" s="110"/>
      <c r="AM3143" s="110"/>
      <c r="AN3143" s="110"/>
      <c r="AP3143" s="6"/>
      <c r="AW3143" s="6"/>
      <c r="AX3143" s="6"/>
      <c r="AZ3143" s="110"/>
      <c r="BB3143" s="6"/>
      <c r="BD3143" s="6"/>
      <c r="BE3143" s="6"/>
      <c r="BV3143" s="17"/>
      <c r="BX3143" s="17"/>
      <c r="BZ3143" s="17"/>
    </row>
    <row r="3144" spans="4:78" x14ac:dyDescent="0.3">
      <c r="D3144" s="153"/>
      <c r="E3144" s="6"/>
      <c r="G3144" s="6"/>
      <c r="J3144" s="6"/>
      <c r="N3144" s="154"/>
      <c r="O3144" s="6"/>
      <c r="S3144" s="6"/>
      <c r="V3144" s="6"/>
      <c r="X3144" s="6"/>
      <c r="Z3144" s="110"/>
      <c r="AB3144" s="6"/>
      <c r="AD3144" s="6"/>
      <c r="AE3144" s="6"/>
      <c r="AF3144" s="126"/>
      <c r="AJ3144" s="6"/>
      <c r="AL3144" s="110"/>
      <c r="AM3144" s="110"/>
      <c r="AN3144" s="110"/>
      <c r="AP3144" s="6"/>
      <c r="AW3144" s="6"/>
      <c r="AX3144" s="6"/>
      <c r="AZ3144" s="110"/>
      <c r="BB3144" s="6"/>
      <c r="BD3144" s="6"/>
      <c r="BE3144" s="6"/>
      <c r="BV3144" s="17"/>
      <c r="BX3144" s="17"/>
      <c r="BZ3144" s="17"/>
    </row>
    <row r="3145" spans="4:78" x14ac:dyDescent="0.3">
      <c r="D3145" s="153"/>
      <c r="E3145" s="6"/>
      <c r="G3145" s="6"/>
      <c r="J3145" s="6"/>
      <c r="N3145" s="154"/>
      <c r="O3145" s="6"/>
      <c r="S3145" s="6"/>
      <c r="V3145" s="6"/>
      <c r="X3145" s="6"/>
      <c r="Z3145" s="110"/>
      <c r="AB3145" s="6"/>
      <c r="AD3145" s="6"/>
      <c r="AE3145" s="6"/>
      <c r="AF3145" s="126"/>
      <c r="AJ3145" s="6"/>
      <c r="AL3145" s="110"/>
      <c r="AM3145" s="110"/>
      <c r="AN3145" s="110"/>
      <c r="AP3145" s="6"/>
      <c r="AW3145" s="6"/>
      <c r="AX3145" s="6"/>
      <c r="AZ3145" s="110"/>
      <c r="BB3145" s="6"/>
      <c r="BD3145" s="6"/>
      <c r="BE3145" s="6"/>
      <c r="BV3145" s="17"/>
      <c r="BX3145" s="17"/>
      <c r="BZ3145" s="17"/>
    </row>
    <row r="3146" spans="4:78" x14ac:dyDescent="0.3">
      <c r="D3146" s="153"/>
      <c r="E3146" s="6"/>
      <c r="G3146" s="6"/>
      <c r="J3146" s="6"/>
      <c r="N3146" s="154"/>
      <c r="O3146" s="6"/>
      <c r="S3146" s="6"/>
      <c r="V3146" s="6"/>
      <c r="X3146" s="6"/>
      <c r="Z3146" s="110"/>
      <c r="AB3146" s="6"/>
      <c r="AD3146" s="6"/>
      <c r="AE3146" s="6"/>
      <c r="AF3146" s="126"/>
      <c r="AJ3146" s="6"/>
      <c r="AL3146" s="110"/>
      <c r="AM3146" s="110"/>
      <c r="AN3146" s="110"/>
      <c r="AP3146" s="6"/>
      <c r="AW3146" s="6"/>
      <c r="AX3146" s="6"/>
      <c r="AZ3146" s="110"/>
      <c r="BB3146" s="6"/>
      <c r="BD3146" s="6"/>
      <c r="BE3146" s="6"/>
      <c r="BV3146" s="17"/>
      <c r="BX3146" s="17"/>
      <c r="BZ3146" s="17"/>
    </row>
    <row r="3147" spans="4:78" x14ac:dyDescent="0.3">
      <c r="D3147" s="153"/>
      <c r="E3147" s="6"/>
      <c r="G3147" s="6"/>
      <c r="J3147" s="6"/>
      <c r="N3147" s="154"/>
      <c r="O3147" s="6"/>
      <c r="S3147" s="6"/>
      <c r="V3147" s="6"/>
      <c r="X3147" s="6"/>
      <c r="Z3147" s="110"/>
      <c r="AB3147" s="6"/>
      <c r="AD3147" s="6"/>
      <c r="AE3147" s="6"/>
      <c r="AF3147" s="126"/>
      <c r="AJ3147" s="6"/>
      <c r="AL3147" s="110"/>
      <c r="AM3147" s="110"/>
      <c r="AN3147" s="110"/>
      <c r="AP3147" s="6"/>
      <c r="AW3147" s="6"/>
      <c r="AX3147" s="6"/>
      <c r="AZ3147" s="110"/>
      <c r="BB3147" s="6"/>
      <c r="BD3147" s="6"/>
      <c r="BE3147" s="6"/>
      <c r="BV3147" s="17"/>
      <c r="BX3147" s="17"/>
      <c r="BZ3147" s="17"/>
    </row>
    <row r="3148" spans="4:78" x14ac:dyDescent="0.3">
      <c r="D3148" s="153"/>
      <c r="E3148" s="6"/>
      <c r="G3148" s="6"/>
      <c r="J3148" s="6"/>
      <c r="N3148" s="154"/>
      <c r="O3148" s="6"/>
      <c r="S3148" s="6"/>
      <c r="V3148" s="6"/>
      <c r="X3148" s="6"/>
      <c r="Z3148" s="110"/>
      <c r="AB3148" s="6"/>
      <c r="AD3148" s="6"/>
      <c r="AE3148" s="6"/>
      <c r="AF3148" s="126"/>
      <c r="AJ3148" s="6"/>
      <c r="AL3148" s="110"/>
      <c r="AM3148" s="110"/>
      <c r="AN3148" s="110"/>
      <c r="AP3148" s="6"/>
      <c r="AW3148" s="6"/>
      <c r="AX3148" s="6"/>
      <c r="AZ3148" s="110"/>
      <c r="BB3148" s="6"/>
      <c r="BD3148" s="6"/>
      <c r="BE3148" s="6"/>
      <c r="BV3148" s="17"/>
      <c r="BX3148" s="17"/>
      <c r="BZ3148" s="17"/>
    </row>
    <row r="3149" spans="4:78" x14ac:dyDescent="0.3">
      <c r="D3149" s="153"/>
      <c r="E3149" s="6"/>
      <c r="G3149" s="6"/>
      <c r="J3149" s="6"/>
      <c r="N3149" s="154"/>
      <c r="O3149" s="6"/>
      <c r="S3149" s="6"/>
      <c r="V3149" s="6"/>
      <c r="X3149" s="6"/>
      <c r="Z3149" s="110"/>
      <c r="AB3149" s="6"/>
      <c r="AD3149" s="6"/>
      <c r="AE3149" s="6"/>
      <c r="AF3149" s="126"/>
      <c r="AJ3149" s="6"/>
      <c r="AL3149" s="110"/>
      <c r="AM3149" s="110"/>
      <c r="AN3149" s="110"/>
      <c r="AP3149" s="6"/>
      <c r="AW3149" s="6"/>
      <c r="AX3149" s="6"/>
      <c r="AZ3149" s="110"/>
      <c r="BB3149" s="6"/>
      <c r="BD3149" s="6"/>
      <c r="BE3149" s="6"/>
      <c r="BV3149" s="17"/>
      <c r="BX3149" s="17"/>
      <c r="BZ3149" s="17"/>
    </row>
    <row r="3150" spans="4:78" x14ac:dyDescent="0.3">
      <c r="D3150" s="153"/>
      <c r="E3150" s="6"/>
      <c r="G3150" s="6"/>
      <c r="J3150" s="6"/>
      <c r="N3150" s="154"/>
      <c r="O3150" s="6"/>
      <c r="S3150" s="6"/>
      <c r="V3150" s="6"/>
      <c r="X3150" s="6"/>
      <c r="Z3150" s="110"/>
      <c r="AB3150" s="6"/>
      <c r="AD3150" s="6"/>
      <c r="AE3150" s="6"/>
      <c r="AF3150" s="126"/>
      <c r="AJ3150" s="6"/>
      <c r="AL3150" s="110"/>
      <c r="AM3150" s="110"/>
      <c r="AN3150" s="110"/>
      <c r="AP3150" s="6"/>
      <c r="AW3150" s="6"/>
      <c r="AX3150" s="6"/>
      <c r="AZ3150" s="110"/>
      <c r="BB3150" s="6"/>
      <c r="BD3150" s="6"/>
      <c r="BE3150" s="6"/>
      <c r="BV3150" s="17"/>
      <c r="BX3150" s="17"/>
      <c r="BZ3150" s="17"/>
    </row>
    <row r="3151" spans="4:78" x14ac:dyDescent="0.3">
      <c r="D3151" s="153"/>
      <c r="E3151" s="6"/>
      <c r="G3151" s="6"/>
      <c r="J3151" s="6"/>
      <c r="N3151" s="154"/>
      <c r="O3151" s="6"/>
      <c r="S3151" s="6"/>
      <c r="V3151" s="6"/>
      <c r="X3151" s="6"/>
      <c r="Z3151" s="110"/>
      <c r="AB3151" s="6"/>
      <c r="AD3151" s="6"/>
      <c r="AE3151" s="6"/>
      <c r="AF3151" s="126"/>
      <c r="AJ3151" s="6"/>
      <c r="AL3151" s="110"/>
      <c r="AM3151" s="110"/>
      <c r="AN3151" s="110"/>
      <c r="AP3151" s="6"/>
      <c r="AW3151" s="6"/>
      <c r="AX3151" s="6"/>
      <c r="AZ3151" s="110"/>
      <c r="BB3151" s="6"/>
      <c r="BD3151" s="6"/>
      <c r="BE3151" s="6"/>
      <c r="BV3151" s="17"/>
      <c r="BX3151" s="17"/>
      <c r="BZ3151" s="17"/>
    </row>
    <row r="3152" spans="4:78" x14ac:dyDescent="0.3">
      <c r="D3152" s="153"/>
      <c r="E3152" s="6"/>
      <c r="G3152" s="6"/>
      <c r="J3152" s="6"/>
      <c r="N3152" s="154"/>
      <c r="O3152" s="6"/>
      <c r="S3152" s="6"/>
      <c r="V3152" s="6"/>
      <c r="X3152" s="6"/>
      <c r="Z3152" s="110"/>
      <c r="AB3152" s="6"/>
      <c r="AD3152" s="6"/>
      <c r="AE3152" s="6"/>
      <c r="AF3152" s="126"/>
      <c r="AJ3152" s="6"/>
      <c r="AL3152" s="110"/>
      <c r="AM3152" s="110"/>
      <c r="AN3152" s="110"/>
      <c r="AP3152" s="6"/>
      <c r="AW3152" s="6"/>
      <c r="AX3152" s="6"/>
      <c r="AZ3152" s="110"/>
      <c r="BB3152" s="6"/>
      <c r="BD3152" s="6"/>
      <c r="BE3152" s="6"/>
      <c r="BV3152" s="17"/>
      <c r="BX3152" s="17"/>
      <c r="BZ3152" s="17"/>
    </row>
    <row r="3153" spans="4:78" x14ac:dyDescent="0.3">
      <c r="D3153" s="153"/>
      <c r="E3153" s="6"/>
      <c r="G3153" s="6"/>
      <c r="J3153" s="6"/>
      <c r="N3153" s="154"/>
      <c r="O3153" s="6"/>
      <c r="S3153" s="6"/>
      <c r="V3153" s="6"/>
      <c r="X3153" s="6"/>
      <c r="Z3153" s="110"/>
      <c r="AB3153" s="6"/>
      <c r="AD3153" s="6"/>
      <c r="AE3153" s="6"/>
      <c r="AF3153" s="126"/>
      <c r="AJ3153" s="6"/>
      <c r="AL3153" s="110"/>
      <c r="AM3153" s="110"/>
      <c r="AN3153" s="110"/>
      <c r="AP3153" s="6"/>
      <c r="AW3153" s="6"/>
      <c r="AX3153" s="6"/>
      <c r="AZ3153" s="110"/>
      <c r="BB3153" s="6"/>
      <c r="BD3153" s="6"/>
      <c r="BE3153" s="6"/>
      <c r="BV3153" s="17"/>
      <c r="BX3153" s="17"/>
      <c r="BZ3153" s="17"/>
    </row>
    <row r="3154" spans="4:78" x14ac:dyDescent="0.3">
      <c r="D3154" s="153"/>
      <c r="E3154" s="6"/>
      <c r="G3154" s="6"/>
      <c r="J3154" s="6"/>
      <c r="N3154" s="154"/>
      <c r="O3154" s="6"/>
      <c r="S3154" s="6"/>
      <c r="V3154" s="6"/>
      <c r="X3154" s="6"/>
      <c r="Z3154" s="110"/>
      <c r="AB3154" s="6"/>
      <c r="AD3154" s="6"/>
      <c r="AE3154" s="6"/>
      <c r="AF3154" s="126"/>
      <c r="AJ3154" s="6"/>
      <c r="AL3154" s="110"/>
      <c r="AM3154" s="110"/>
      <c r="AN3154" s="110"/>
      <c r="AP3154" s="6"/>
      <c r="AW3154" s="6"/>
      <c r="AX3154" s="6"/>
      <c r="AZ3154" s="110"/>
      <c r="BB3154" s="6"/>
      <c r="BD3154" s="6"/>
      <c r="BE3154" s="6"/>
      <c r="BV3154" s="17"/>
      <c r="BX3154" s="17"/>
      <c r="BZ3154" s="17"/>
    </row>
    <row r="3155" spans="4:78" x14ac:dyDescent="0.3">
      <c r="D3155" s="153"/>
      <c r="E3155" s="6"/>
      <c r="G3155" s="6"/>
      <c r="J3155" s="6"/>
      <c r="N3155" s="154"/>
      <c r="O3155" s="6"/>
      <c r="S3155" s="6"/>
      <c r="V3155" s="6"/>
      <c r="X3155" s="6"/>
      <c r="Z3155" s="110"/>
      <c r="AB3155" s="6"/>
      <c r="AD3155" s="6"/>
      <c r="AE3155" s="6"/>
      <c r="AF3155" s="126"/>
      <c r="AJ3155" s="6"/>
      <c r="AL3155" s="110"/>
      <c r="AM3155" s="110"/>
      <c r="AN3155" s="110"/>
      <c r="AP3155" s="6"/>
      <c r="AW3155" s="6"/>
      <c r="AX3155" s="6"/>
      <c r="AZ3155" s="110"/>
      <c r="BB3155" s="6"/>
      <c r="BD3155" s="6"/>
      <c r="BE3155" s="6"/>
      <c r="BV3155" s="17"/>
      <c r="BX3155" s="17"/>
      <c r="BZ3155" s="17"/>
    </row>
    <row r="3156" spans="4:78" x14ac:dyDescent="0.3">
      <c r="D3156" s="153"/>
      <c r="E3156" s="6"/>
      <c r="G3156" s="6"/>
      <c r="J3156" s="6"/>
      <c r="N3156" s="154"/>
      <c r="O3156" s="6"/>
      <c r="S3156" s="6"/>
      <c r="V3156" s="6"/>
      <c r="X3156" s="6"/>
      <c r="Z3156" s="110"/>
      <c r="AB3156" s="6"/>
      <c r="AD3156" s="6"/>
      <c r="AE3156" s="6"/>
      <c r="AF3156" s="126"/>
      <c r="AJ3156" s="6"/>
      <c r="AL3156" s="110"/>
      <c r="AM3156" s="110"/>
      <c r="AN3156" s="110"/>
      <c r="AP3156" s="6"/>
      <c r="AW3156" s="6"/>
      <c r="AX3156" s="6"/>
      <c r="AZ3156" s="110"/>
      <c r="BB3156" s="6"/>
      <c r="BD3156" s="6"/>
      <c r="BE3156" s="6"/>
      <c r="BV3156" s="17"/>
      <c r="BX3156" s="17"/>
      <c r="BZ3156" s="17"/>
    </row>
    <row r="3157" spans="4:78" x14ac:dyDescent="0.3">
      <c r="D3157" s="153"/>
      <c r="E3157" s="6"/>
      <c r="G3157" s="6"/>
      <c r="J3157" s="6"/>
      <c r="N3157" s="154"/>
      <c r="O3157" s="6"/>
      <c r="S3157" s="6"/>
      <c r="V3157" s="6"/>
      <c r="X3157" s="6"/>
      <c r="Z3157" s="110"/>
      <c r="AB3157" s="6"/>
      <c r="AD3157" s="6"/>
      <c r="AE3157" s="6"/>
      <c r="AF3157" s="126"/>
      <c r="AJ3157" s="6"/>
      <c r="AL3157" s="110"/>
      <c r="AM3157" s="110"/>
      <c r="AN3157" s="110"/>
      <c r="AP3157" s="6"/>
      <c r="AW3157" s="6"/>
      <c r="AX3157" s="6"/>
      <c r="AZ3157" s="110"/>
      <c r="BB3157" s="6"/>
      <c r="BD3157" s="6"/>
      <c r="BE3157" s="6"/>
      <c r="BV3157" s="17"/>
      <c r="BX3157" s="17"/>
      <c r="BZ3157" s="17"/>
    </row>
    <row r="3158" spans="4:78" x14ac:dyDescent="0.3">
      <c r="D3158" s="153"/>
      <c r="E3158" s="6"/>
      <c r="G3158" s="6"/>
      <c r="J3158" s="6"/>
      <c r="N3158" s="154"/>
      <c r="O3158" s="6"/>
      <c r="S3158" s="6"/>
      <c r="V3158" s="6"/>
      <c r="X3158" s="6"/>
      <c r="Z3158" s="110"/>
      <c r="AB3158" s="6"/>
      <c r="AD3158" s="6"/>
      <c r="AE3158" s="6"/>
      <c r="AF3158" s="126"/>
      <c r="AJ3158" s="6"/>
      <c r="AL3158" s="110"/>
      <c r="AM3158" s="110"/>
      <c r="AN3158" s="110"/>
      <c r="AP3158" s="6"/>
      <c r="AW3158" s="6"/>
      <c r="AX3158" s="6"/>
      <c r="AZ3158" s="110"/>
      <c r="BB3158" s="6"/>
      <c r="BD3158" s="6"/>
      <c r="BE3158" s="6"/>
      <c r="BV3158" s="17"/>
      <c r="BX3158" s="17"/>
      <c r="BZ3158" s="17"/>
    </row>
    <row r="3159" spans="4:78" x14ac:dyDescent="0.3">
      <c r="D3159" s="153"/>
      <c r="E3159" s="6"/>
      <c r="G3159" s="6"/>
      <c r="J3159" s="6"/>
      <c r="N3159" s="154"/>
      <c r="O3159" s="6"/>
      <c r="S3159" s="6"/>
      <c r="V3159" s="6"/>
      <c r="X3159" s="6"/>
      <c r="Z3159" s="110"/>
      <c r="AB3159" s="6"/>
      <c r="AD3159" s="6"/>
      <c r="AE3159" s="6"/>
      <c r="AF3159" s="126"/>
      <c r="AJ3159" s="6"/>
      <c r="AL3159" s="110"/>
      <c r="AM3159" s="110"/>
      <c r="AN3159" s="110"/>
      <c r="AP3159" s="6"/>
      <c r="AW3159" s="6"/>
      <c r="AX3159" s="6"/>
      <c r="AZ3159" s="110"/>
      <c r="BB3159" s="6"/>
      <c r="BD3159" s="6"/>
      <c r="BE3159" s="6"/>
      <c r="BV3159" s="17"/>
      <c r="BX3159" s="17"/>
      <c r="BZ3159" s="17"/>
    </row>
    <row r="3160" spans="4:78" x14ac:dyDescent="0.3">
      <c r="D3160" s="153"/>
      <c r="E3160" s="6"/>
      <c r="G3160" s="6"/>
      <c r="J3160" s="6"/>
      <c r="N3160" s="154"/>
      <c r="O3160" s="6"/>
      <c r="S3160" s="6"/>
      <c r="V3160" s="6"/>
      <c r="X3160" s="6"/>
      <c r="Z3160" s="110"/>
      <c r="AB3160" s="6"/>
      <c r="AD3160" s="6"/>
      <c r="AE3160" s="6"/>
      <c r="AF3160" s="126"/>
      <c r="AJ3160" s="6"/>
      <c r="AL3160" s="110"/>
      <c r="AM3160" s="110"/>
      <c r="AN3160" s="110"/>
      <c r="AP3160" s="6"/>
      <c r="AW3160" s="6"/>
      <c r="AX3160" s="6"/>
      <c r="AZ3160" s="110"/>
      <c r="BB3160" s="6"/>
      <c r="BD3160" s="6"/>
      <c r="BE3160" s="6"/>
      <c r="BV3160" s="17"/>
      <c r="BX3160" s="17"/>
      <c r="BZ3160" s="17"/>
    </row>
    <row r="3161" spans="4:78" x14ac:dyDescent="0.3">
      <c r="D3161" s="153"/>
      <c r="E3161" s="6"/>
      <c r="G3161" s="6"/>
      <c r="J3161" s="6"/>
      <c r="N3161" s="154"/>
      <c r="O3161" s="6"/>
      <c r="S3161" s="6"/>
      <c r="V3161" s="6"/>
      <c r="X3161" s="6"/>
      <c r="Z3161" s="110"/>
      <c r="AB3161" s="6"/>
      <c r="AD3161" s="6"/>
      <c r="AE3161" s="6"/>
      <c r="AF3161" s="126"/>
      <c r="AJ3161" s="6"/>
      <c r="AL3161" s="110"/>
      <c r="AM3161" s="110"/>
      <c r="AN3161" s="110"/>
      <c r="AP3161" s="6"/>
      <c r="AW3161" s="6"/>
      <c r="AX3161" s="6"/>
      <c r="AZ3161" s="110"/>
      <c r="BB3161" s="6"/>
      <c r="BD3161" s="6"/>
      <c r="BE3161" s="6"/>
      <c r="BV3161" s="17"/>
      <c r="BX3161" s="17"/>
      <c r="BZ3161" s="17"/>
    </row>
    <row r="3162" spans="4:78" x14ac:dyDescent="0.3">
      <c r="D3162" s="153"/>
      <c r="E3162" s="6"/>
      <c r="G3162" s="6"/>
      <c r="J3162" s="6"/>
      <c r="N3162" s="154"/>
      <c r="O3162" s="6"/>
      <c r="S3162" s="6"/>
      <c r="V3162" s="6"/>
      <c r="X3162" s="6"/>
      <c r="Z3162" s="110"/>
      <c r="AB3162" s="6"/>
      <c r="AD3162" s="6"/>
      <c r="AE3162" s="6"/>
      <c r="AF3162" s="126"/>
      <c r="AJ3162" s="6"/>
      <c r="AL3162" s="110"/>
      <c r="AM3162" s="110"/>
      <c r="AN3162" s="110"/>
      <c r="AP3162" s="6"/>
      <c r="AW3162" s="6"/>
      <c r="AX3162" s="6"/>
      <c r="AZ3162" s="110"/>
      <c r="BB3162" s="6"/>
      <c r="BD3162" s="6"/>
      <c r="BE3162" s="6"/>
      <c r="BV3162" s="17"/>
      <c r="BX3162" s="17"/>
      <c r="BZ3162" s="17"/>
    </row>
    <row r="3163" spans="4:78" x14ac:dyDescent="0.3">
      <c r="D3163" s="153"/>
      <c r="E3163" s="6"/>
      <c r="G3163" s="6"/>
      <c r="J3163" s="6"/>
      <c r="N3163" s="154"/>
      <c r="O3163" s="6"/>
      <c r="S3163" s="6"/>
      <c r="V3163" s="6"/>
      <c r="X3163" s="6"/>
      <c r="Z3163" s="110"/>
      <c r="AB3163" s="6"/>
      <c r="AD3163" s="6"/>
      <c r="AE3163" s="6"/>
      <c r="AF3163" s="126"/>
      <c r="AJ3163" s="6"/>
      <c r="AL3163" s="110"/>
      <c r="AM3163" s="110"/>
      <c r="AN3163" s="110"/>
      <c r="AP3163" s="6"/>
      <c r="AW3163" s="6"/>
      <c r="AX3163" s="6"/>
      <c r="AZ3163" s="110"/>
      <c r="BB3163" s="6"/>
      <c r="BD3163" s="6"/>
      <c r="BE3163" s="6"/>
      <c r="BV3163" s="17"/>
      <c r="BX3163" s="17"/>
      <c r="BZ3163" s="17"/>
    </row>
    <row r="3164" spans="4:78" x14ac:dyDescent="0.3">
      <c r="D3164" s="153"/>
      <c r="E3164" s="6"/>
      <c r="G3164" s="6"/>
      <c r="J3164" s="6"/>
      <c r="N3164" s="154"/>
      <c r="O3164" s="6"/>
      <c r="S3164" s="6"/>
      <c r="V3164" s="6"/>
      <c r="X3164" s="6"/>
      <c r="Z3164" s="110"/>
      <c r="AB3164" s="6"/>
      <c r="AD3164" s="6"/>
      <c r="AE3164" s="6"/>
      <c r="AF3164" s="126"/>
      <c r="AJ3164" s="6"/>
      <c r="AL3164" s="110"/>
      <c r="AM3164" s="110"/>
      <c r="AN3164" s="110"/>
      <c r="AP3164" s="6"/>
      <c r="AW3164" s="6"/>
      <c r="AX3164" s="6"/>
      <c r="AZ3164" s="110"/>
      <c r="BB3164" s="6"/>
      <c r="BD3164" s="6"/>
      <c r="BE3164" s="6"/>
      <c r="BV3164" s="17"/>
      <c r="BX3164" s="17"/>
      <c r="BZ3164" s="17"/>
    </row>
    <row r="3165" spans="4:78" x14ac:dyDescent="0.3">
      <c r="D3165" s="153"/>
      <c r="E3165" s="6"/>
      <c r="G3165" s="6"/>
      <c r="J3165" s="6"/>
      <c r="N3165" s="154"/>
      <c r="O3165" s="6"/>
      <c r="S3165" s="6"/>
      <c r="V3165" s="6"/>
      <c r="X3165" s="6"/>
      <c r="Z3165" s="110"/>
      <c r="AB3165" s="6"/>
      <c r="AD3165" s="6"/>
      <c r="AE3165" s="6"/>
      <c r="AF3165" s="126"/>
      <c r="AJ3165" s="6"/>
      <c r="AL3165" s="110"/>
      <c r="AM3165" s="110"/>
      <c r="AN3165" s="110"/>
      <c r="AP3165" s="6"/>
      <c r="AW3165" s="6"/>
      <c r="AX3165" s="6"/>
      <c r="AZ3165" s="110"/>
      <c r="BB3165" s="6"/>
      <c r="BD3165" s="6"/>
      <c r="BE3165" s="6"/>
      <c r="BV3165" s="17"/>
      <c r="BX3165" s="17"/>
      <c r="BZ3165" s="17"/>
    </row>
    <row r="3166" spans="4:78" x14ac:dyDescent="0.3">
      <c r="D3166" s="153"/>
      <c r="E3166" s="6"/>
      <c r="G3166" s="6"/>
      <c r="J3166" s="6"/>
      <c r="N3166" s="154"/>
      <c r="O3166" s="6"/>
      <c r="S3166" s="6"/>
      <c r="V3166" s="6"/>
      <c r="X3166" s="6"/>
      <c r="Z3166" s="110"/>
      <c r="AB3166" s="6"/>
      <c r="AD3166" s="6"/>
      <c r="AE3166" s="6"/>
      <c r="AF3166" s="126"/>
      <c r="AJ3166" s="6"/>
      <c r="AL3166" s="110"/>
      <c r="AM3166" s="110"/>
      <c r="AN3166" s="110"/>
      <c r="AP3166" s="6"/>
      <c r="AW3166" s="6"/>
      <c r="AX3166" s="6"/>
      <c r="AZ3166" s="110"/>
      <c r="BB3166" s="6"/>
      <c r="BD3166" s="6"/>
      <c r="BE3166" s="6"/>
      <c r="BV3166" s="17"/>
      <c r="BX3166" s="17"/>
      <c r="BZ3166" s="17"/>
    </row>
    <row r="3167" spans="4:78" x14ac:dyDescent="0.3">
      <c r="D3167" s="153"/>
      <c r="E3167" s="6"/>
      <c r="G3167" s="6"/>
      <c r="J3167" s="6"/>
      <c r="N3167" s="154"/>
      <c r="O3167" s="6"/>
      <c r="S3167" s="6"/>
      <c r="V3167" s="6"/>
      <c r="X3167" s="6"/>
      <c r="Z3167" s="110"/>
      <c r="AB3167" s="6"/>
      <c r="AD3167" s="6"/>
      <c r="AE3167" s="6"/>
      <c r="AF3167" s="126"/>
      <c r="AJ3167" s="6"/>
      <c r="AL3167" s="110"/>
      <c r="AM3167" s="110"/>
      <c r="AN3167" s="110"/>
      <c r="AP3167" s="6"/>
      <c r="AW3167" s="6"/>
      <c r="AX3167" s="6"/>
      <c r="AZ3167" s="110"/>
      <c r="BB3167" s="6"/>
      <c r="BD3167" s="6"/>
      <c r="BE3167" s="6"/>
      <c r="BV3167" s="17"/>
      <c r="BX3167" s="17"/>
      <c r="BZ3167" s="17"/>
    </row>
    <row r="3168" spans="4:78" x14ac:dyDescent="0.3">
      <c r="D3168" s="153"/>
      <c r="E3168" s="6"/>
      <c r="G3168" s="6"/>
      <c r="J3168" s="6"/>
      <c r="N3168" s="154"/>
      <c r="O3168" s="6"/>
      <c r="S3168" s="6"/>
      <c r="V3168" s="6"/>
      <c r="X3168" s="6"/>
      <c r="Z3168" s="110"/>
      <c r="AB3168" s="6"/>
      <c r="AD3168" s="6"/>
      <c r="AE3168" s="6"/>
      <c r="AF3168" s="126"/>
      <c r="AJ3168" s="6"/>
      <c r="AL3168" s="110"/>
      <c r="AM3168" s="110"/>
      <c r="AN3168" s="110"/>
      <c r="AP3168" s="6"/>
      <c r="AW3168" s="6"/>
      <c r="AX3168" s="6"/>
      <c r="AZ3168" s="110"/>
      <c r="BB3168" s="6"/>
      <c r="BD3168" s="6"/>
      <c r="BE3168" s="6"/>
      <c r="BV3168" s="17"/>
      <c r="BX3168" s="17"/>
      <c r="BZ3168" s="17"/>
    </row>
    <row r="3169" spans="4:78" x14ac:dyDescent="0.3">
      <c r="D3169" s="153"/>
      <c r="E3169" s="6"/>
      <c r="G3169" s="6"/>
      <c r="J3169" s="6"/>
      <c r="N3169" s="154"/>
      <c r="O3169" s="6"/>
      <c r="S3169" s="6"/>
      <c r="V3169" s="6"/>
      <c r="X3169" s="6"/>
      <c r="Z3169" s="110"/>
      <c r="AB3169" s="6"/>
      <c r="AD3169" s="6"/>
      <c r="AE3169" s="6"/>
      <c r="AF3169" s="126"/>
      <c r="AJ3169" s="6"/>
      <c r="AL3169" s="110"/>
      <c r="AM3169" s="110"/>
      <c r="AN3169" s="110"/>
      <c r="AP3169" s="6"/>
      <c r="AW3169" s="6"/>
      <c r="AX3169" s="6"/>
      <c r="AZ3169" s="110"/>
      <c r="BB3169" s="6"/>
      <c r="BD3169" s="6"/>
      <c r="BE3169" s="6"/>
      <c r="BV3169" s="17"/>
      <c r="BX3169" s="17"/>
      <c r="BZ3169" s="17"/>
    </row>
    <row r="3170" spans="4:78" x14ac:dyDescent="0.3">
      <c r="D3170" s="153"/>
      <c r="E3170" s="6"/>
      <c r="G3170" s="6"/>
      <c r="J3170" s="6"/>
      <c r="N3170" s="154"/>
      <c r="O3170" s="6"/>
      <c r="S3170" s="6"/>
      <c r="V3170" s="6"/>
      <c r="X3170" s="6"/>
      <c r="Z3170" s="110"/>
      <c r="AB3170" s="6"/>
      <c r="AD3170" s="6"/>
      <c r="AE3170" s="6"/>
      <c r="AF3170" s="126"/>
      <c r="AJ3170" s="6"/>
      <c r="AL3170" s="110"/>
      <c r="AM3170" s="110"/>
      <c r="AN3170" s="110"/>
      <c r="AP3170" s="6"/>
      <c r="AW3170" s="6"/>
      <c r="AX3170" s="6"/>
      <c r="AZ3170" s="110"/>
      <c r="BB3170" s="6"/>
      <c r="BD3170" s="6"/>
      <c r="BE3170" s="6"/>
      <c r="BV3170" s="17"/>
      <c r="BX3170" s="17"/>
      <c r="BZ3170" s="17"/>
    </row>
    <row r="3171" spans="4:78" x14ac:dyDescent="0.3">
      <c r="D3171" s="153"/>
      <c r="E3171" s="6"/>
      <c r="G3171" s="6"/>
      <c r="J3171" s="6"/>
      <c r="N3171" s="154"/>
      <c r="O3171" s="6"/>
      <c r="S3171" s="6"/>
      <c r="V3171" s="6"/>
      <c r="X3171" s="6"/>
      <c r="Z3171" s="110"/>
      <c r="AB3171" s="6"/>
      <c r="AD3171" s="6"/>
      <c r="AE3171" s="6"/>
      <c r="AF3171" s="126"/>
      <c r="AJ3171" s="6"/>
      <c r="AL3171" s="110"/>
      <c r="AM3171" s="110"/>
      <c r="AN3171" s="110"/>
      <c r="AP3171" s="6"/>
      <c r="AW3171" s="6"/>
      <c r="AX3171" s="6"/>
      <c r="AZ3171" s="110"/>
      <c r="BB3171" s="6"/>
      <c r="BD3171" s="6"/>
      <c r="BE3171" s="6"/>
      <c r="BV3171" s="17"/>
      <c r="BX3171" s="17"/>
      <c r="BZ3171" s="17"/>
    </row>
    <row r="3172" spans="4:78" x14ac:dyDescent="0.3">
      <c r="D3172" s="153"/>
      <c r="E3172" s="6"/>
      <c r="G3172" s="6"/>
      <c r="J3172" s="6"/>
      <c r="N3172" s="154"/>
      <c r="O3172" s="6"/>
      <c r="S3172" s="6"/>
      <c r="V3172" s="6"/>
      <c r="X3172" s="6"/>
      <c r="Z3172" s="110"/>
      <c r="AB3172" s="6"/>
      <c r="AD3172" s="6"/>
      <c r="AE3172" s="6"/>
      <c r="AF3172" s="126"/>
      <c r="AJ3172" s="6"/>
      <c r="AL3172" s="110"/>
      <c r="AM3172" s="110"/>
      <c r="AN3172" s="110"/>
      <c r="AP3172" s="6"/>
      <c r="AW3172" s="6"/>
      <c r="AX3172" s="6"/>
      <c r="AZ3172" s="110"/>
      <c r="BB3172" s="6"/>
      <c r="BD3172" s="6"/>
      <c r="BE3172" s="6"/>
      <c r="BV3172" s="17"/>
      <c r="BX3172" s="17"/>
      <c r="BZ3172" s="17"/>
    </row>
    <row r="3173" spans="4:78" x14ac:dyDescent="0.3">
      <c r="D3173" s="153"/>
      <c r="E3173" s="6"/>
      <c r="G3173" s="6"/>
      <c r="J3173" s="6"/>
      <c r="N3173" s="154"/>
      <c r="O3173" s="6"/>
      <c r="S3173" s="6"/>
      <c r="V3173" s="6"/>
      <c r="X3173" s="6"/>
      <c r="Z3173" s="110"/>
      <c r="AB3173" s="6"/>
      <c r="AD3173" s="6"/>
      <c r="AE3173" s="6"/>
      <c r="AF3173" s="126"/>
      <c r="AJ3173" s="6"/>
      <c r="AL3173" s="110"/>
      <c r="AM3173" s="110"/>
      <c r="AN3173" s="110"/>
      <c r="AP3173" s="6"/>
      <c r="AW3173" s="6"/>
      <c r="AX3173" s="6"/>
      <c r="AZ3173" s="110"/>
      <c r="BB3173" s="6"/>
      <c r="BD3173" s="6"/>
      <c r="BE3173" s="6"/>
      <c r="BV3173" s="17"/>
      <c r="BX3173" s="17"/>
      <c r="BZ3173" s="17"/>
    </row>
    <row r="3174" spans="4:78" x14ac:dyDescent="0.3">
      <c r="D3174" s="153"/>
      <c r="E3174" s="6"/>
      <c r="G3174" s="6"/>
      <c r="J3174" s="6"/>
      <c r="N3174" s="154"/>
      <c r="O3174" s="6"/>
      <c r="S3174" s="6"/>
      <c r="V3174" s="6"/>
      <c r="X3174" s="6"/>
      <c r="Z3174" s="110"/>
      <c r="AB3174" s="6"/>
      <c r="AD3174" s="6"/>
      <c r="AE3174" s="6"/>
      <c r="AF3174" s="126"/>
      <c r="AJ3174" s="6"/>
      <c r="AL3174" s="110"/>
      <c r="AM3174" s="110"/>
      <c r="AN3174" s="110"/>
      <c r="AP3174" s="6"/>
      <c r="AW3174" s="6"/>
      <c r="AX3174" s="6"/>
      <c r="AZ3174" s="110"/>
      <c r="BB3174" s="6"/>
      <c r="BD3174" s="6"/>
      <c r="BE3174" s="6"/>
      <c r="BV3174" s="17"/>
      <c r="BX3174" s="17"/>
      <c r="BZ3174" s="17"/>
    </row>
    <row r="3175" spans="4:78" x14ac:dyDescent="0.3">
      <c r="D3175" s="153"/>
      <c r="E3175" s="6"/>
      <c r="G3175" s="6"/>
      <c r="J3175" s="6"/>
      <c r="N3175" s="154"/>
      <c r="O3175" s="6"/>
      <c r="S3175" s="6"/>
      <c r="V3175" s="6"/>
      <c r="X3175" s="6"/>
      <c r="Z3175" s="110"/>
      <c r="AB3175" s="6"/>
      <c r="AD3175" s="6"/>
      <c r="AE3175" s="6"/>
      <c r="AF3175" s="126"/>
      <c r="AJ3175" s="6"/>
      <c r="AL3175" s="110"/>
      <c r="AM3175" s="110"/>
      <c r="AN3175" s="110"/>
      <c r="AP3175" s="6"/>
      <c r="AW3175" s="6"/>
      <c r="AX3175" s="6"/>
      <c r="AZ3175" s="110"/>
      <c r="BB3175" s="6"/>
      <c r="BD3175" s="6"/>
      <c r="BE3175" s="6"/>
      <c r="BV3175" s="17"/>
      <c r="BX3175" s="17"/>
      <c r="BZ3175" s="17"/>
    </row>
    <row r="3176" spans="4:78" x14ac:dyDescent="0.3">
      <c r="D3176" s="153"/>
      <c r="E3176" s="6"/>
      <c r="G3176" s="6"/>
      <c r="J3176" s="6"/>
      <c r="N3176" s="154"/>
      <c r="O3176" s="6"/>
      <c r="S3176" s="6"/>
      <c r="V3176" s="6"/>
      <c r="X3176" s="6"/>
      <c r="Z3176" s="110"/>
      <c r="AB3176" s="6"/>
      <c r="AD3176" s="6"/>
      <c r="AE3176" s="6"/>
      <c r="AF3176" s="126"/>
      <c r="AJ3176" s="6"/>
      <c r="AL3176" s="110"/>
      <c r="AM3176" s="110"/>
      <c r="AN3176" s="110"/>
      <c r="AP3176" s="6"/>
      <c r="AW3176" s="6"/>
      <c r="AX3176" s="6"/>
      <c r="AZ3176" s="110"/>
      <c r="BB3176" s="6"/>
      <c r="BD3176" s="6"/>
      <c r="BE3176" s="6"/>
      <c r="BV3176" s="17"/>
      <c r="BX3176" s="17"/>
      <c r="BZ3176" s="17"/>
    </row>
    <row r="3177" spans="4:78" x14ac:dyDescent="0.3">
      <c r="D3177" s="153"/>
      <c r="E3177" s="6"/>
      <c r="G3177" s="6"/>
      <c r="J3177" s="6"/>
      <c r="N3177" s="154"/>
      <c r="O3177" s="6"/>
      <c r="S3177" s="6"/>
      <c r="V3177" s="6"/>
      <c r="X3177" s="6"/>
      <c r="Z3177" s="110"/>
      <c r="AB3177" s="6"/>
      <c r="AD3177" s="6"/>
      <c r="AE3177" s="6"/>
      <c r="AF3177" s="126"/>
      <c r="AJ3177" s="6"/>
      <c r="AL3177" s="110"/>
      <c r="AM3177" s="110"/>
      <c r="AN3177" s="110"/>
      <c r="AP3177" s="6"/>
      <c r="AW3177" s="6"/>
      <c r="AX3177" s="6"/>
      <c r="AZ3177" s="110"/>
      <c r="BB3177" s="6"/>
      <c r="BD3177" s="6"/>
      <c r="BE3177" s="6"/>
      <c r="BV3177" s="17"/>
      <c r="BX3177" s="17"/>
      <c r="BZ3177" s="17"/>
    </row>
    <row r="3178" spans="4:78" x14ac:dyDescent="0.3">
      <c r="D3178" s="153"/>
      <c r="E3178" s="6"/>
      <c r="G3178" s="6"/>
      <c r="J3178" s="6"/>
      <c r="N3178" s="154"/>
      <c r="O3178" s="6"/>
      <c r="S3178" s="6"/>
      <c r="V3178" s="6"/>
      <c r="X3178" s="6"/>
      <c r="Z3178" s="110"/>
      <c r="AB3178" s="6"/>
      <c r="AD3178" s="6"/>
      <c r="AE3178" s="6"/>
      <c r="AF3178" s="126"/>
      <c r="AJ3178" s="6"/>
      <c r="AL3178" s="110"/>
      <c r="AM3178" s="110"/>
      <c r="AN3178" s="110"/>
      <c r="AP3178" s="6"/>
      <c r="AW3178" s="6"/>
      <c r="AX3178" s="6"/>
      <c r="AZ3178" s="110"/>
      <c r="BB3178" s="6"/>
      <c r="BD3178" s="6"/>
      <c r="BE3178" s="6"/>
      <c r="BV3178" s="17"/>
      <c r="BX3178" s="17"/>
      <c r="BZ3178" s="17"/>
    </row>
    <row r="3179" spans="4:78" x14ac:dyDescent="0.3">
      <c r="D3179" s="153"/>
      <c r="E3179" s="6"/>
      <c r="G3179" s="6"/>
      <c r="J3179" s="6"/>
      <c r="N3179" s="154"/>
      <c r="O3179" s="6"/>
      <c r="S3179" s="6"/>
      <c r="V3179" s="6"/>
      <c r="X3179" s="6"/>
      <c r="Z3179" s="110"/>
      <c r="AB3179" s="6"/>
      <c r="AD3179" s="6"/>
      <c r="AE3179" s="6"/>
      <c r="AF3179" s="126"/>
      <c r="AJ3179" s="6"/>
      <c r="AL3179" s="110"/>
      <c r="AM3179" s="110"/>
      <c r="AN3179" s="110"/>
      <c r="AP3179" s="6"/>
      <c r="AW3179" s="6"/>
      <c r="AX3179" s="6"/>
      <c r="AZ3179" s="110"/>
      <c r="BB3179" s="6"/>
      <c r="BD3179" s="6"/>
      <c r="BE3179" s="6"/>
      <c r="BV3179" s="17"/>
      <c r="BX3179" s="17"/>
      <c r="BZ3179" s="17"/>
    </row>
    <row r="3180" spans="4:78" x14ac:dyDescent="0.3">
      <c r="D3180" s="153"/>
      <c r="E3180" s="6"/>
      <c r="G3180" s="6"/>
      <c r="J3180" s="6"/>
      <c r="N3180" s="154"/>
      <c r="O3180" s="6"/>
      <c r="S3180" s="6"/>
      <c r="V3180" s="6"/>
      <c r="X3180" s="6"/>
      <c r="Z3180" s="110"/>
      <c r="AB3180" s="6"/>
      <c r="AD3180" s="6"/>
      <c r="AE3180" s="6"/>
      <c r="AF3180" s="126"/>
      <c r="AJ3180" s="6"/>
      <c r="AL3180" s="110"/>
      <c r="AM3180" s="110"/>
      <c r="AN3180" s="110"/>
      <c r="AP3180" s="6"/>
      <c r="AW3180" s="6"/>
      <c r="AX3180" s="6"/>
      <c r="AZ3180" s="110"/>
      <c r="BB3180" s="6"/>
      <c r="BD3180" s="6"/>
      <c r="BE3180" s="6"/>
      <c r="BV3180" s="17"/>
      <c r="BX3180" s="17"/>
      <c r="BZ3180" s="17"/>
    </row>
    <row r="3181" spans="4:78" x14ac:dyDescent="0.3">
      <c r="D3181" s="153"/>
      <c r="E3181" s="6"/>
      <c r="G3181" s="6"/>
      <c r="J3181" s="6"/>
      <c r="N3181" s="154"/>
      <c r="O3181" s="6"/>
      <c r="S3181" s="6"/>
      <c r="V3181" s="6"/>
      <c r="X3181" s="6"/>
      <c r="Z3181" s="110"/>
      <c r="AB3181" s="6"/>
      <c r="AD3181" s="6"/>
      <c r="AE3181" s="6"/>
      <c r="AF3181" s="126"/>
      <c r="AJ3181" s="6"/>
      <c r="AL3181" s="110"/>
      <c r="AM3181" s="110"/>
      <c r="AN3181" s="110"/>
      <c r="AP3181" s="6"/>
      <c r="AW3181" s="6"/>
      <c r="AX3181" s="6"/>
      <c r="AZ3181" s="110"/>
      <c r="BB3181" s="6"/>
      <c r="BD3181" s="6"/>
      <c r="BE3181" s="6"/>
      <c r="BV3181" s="17"/>
      <c r="BX3181" s="17"/>
      <c r="BZ3181" s="17"/>
    </row>
    <row r="3182" spans="4:78" x14ac:dyDescent="0.3">
      <c r="D3182" s="153"/>
      <c r="E3182" s="6"/>
      <c r="G3182" s="6"/>
      <c r="J3182" s="6"/>
      <c r="N3182" s="154"/>
      <c r="O3182" s="6"/>
      <c r="S3182" s="6"/>
      <c r="V3182" s="6"/>
      <c r="X3182" s="6"/>
      <c r="Z3182" s="110"/>
      <c r="AB3182" s="6"/>
      <c r="AD3182" s="6"/>
      <c r="AE3182" s="6"/>
      <c r="AF3182" s="126"/>
      <c r="AJ3182" s="6"/>
      <c r="AL3182" s="110"/>
      <c r="AM3182" s="110"/>
      <c r="AN3182" s="110"/>
      <c r="AP3182" s="6"/>
      <c r="AW3182" s="6"/>
      <c r="AX3182" s="6"/>
      <c r="AZ3182" s="110"/>
      <c r="BB3182" s="6"/>
      <c r="BD3182" s="6"/>
      <c r="BE3182" s="6"/>
      <c r="BV3182" s="17"/>
      <c r="BX3182" s="17"/>
      <c r="BZ3182" s="17"/>
    </row>
    <row r="3183" spans="4:78" x14ac:dyDescent="0.3">
      <c r="D3183" s="153"/>
      <c r="E3183" s="6"/>
      <c r="G3183" s="6"/>
      <c r="J3183" s="6"/>
      <c r="N3183" s="154"/>
      <c r="O3183" s="6"/>
      <c r="S3183" s="6"/>
      <c r="V3183" s="6"/>
      <c r="X3183" s="6"/>
      <c r="Z3183" s="110"/>
      <c r="AB3183" s="6"/>
      <c r="AD3183" s="6"/>
      <c r="AE3183" s="6"/>
      <c r="AF3183" s="126"/>
      <c r="AJ3183" s="6"/>
      <c r="AL3183" s="110"/>
      <c r="AM3183" s="110"/>
      <c r="AN3183" s="110"/>
      <c r="AP3183" s="6"/>
      <c r="AW3183" s="6"/>
      <c r="AX3183" s="6"/>
      <c r="AZ3183" s="110"/>
      <c r="BB3183" s="6"/>
      <c r="BD3183" s="6"/>
      <c r="BE3183" s="6"/>
      <c r="BV3183" s="17"/>
      <c r="BX3183" s="17"/>
      <c r="BZ3183" s="17"/>
    </row>
    <row r="3184" spans="4:78" x14ac:dyDescent="0.3">
      <c r="D3184" s="153"/>
      <c r="E3184" s="6"/>
      <c r="G3184" s="6"/>
      <c r="J3184" s="6"/>
      <c r="N3184" s="154"/>
      <c r="O3184" s="6"/>
      <c r="S3184" s="6"/>
      <c r="V3184" s="6"/>
      <c r="X3184" s="6"/>
      <c r="Z3184" s="110"/>
      <c r="AB3184" s="6"/>
      <c r="AD3184" s="6"/>
      <c r="AE3184" s="6"/>
      <c r="AF3184" s="126"/>
      <c r="AJ3184" s="6"/>
      <c r="AL3184" s="110"/>
      <c r="AM3184" s="110"/>
      <c r="AN3184" s="110"/>
      <c r="AP3184" s="6"/>
      <c r="AW3184" s="6"/>
      <c r="AX3184" s="6"/>
      <c r="AZ3184" s="110"/>
      <c r="BB3184" s="6"/>
      <c r="BD3184" s="6"/>
      <c r="BE3184" s="6"/>
      <c r="BV3184" s="17"/>
      <c r="BX3184" s="17"/>
      <c r="BZ3184" s="17"/>
    </row>
    <row r="3185" spans="4:78" x14ac:dyDescent="0.3">
      <c r="D3185" s="153"/>
      <c r="E3185" s="6"/>
      <c r="G3185" s="6"/>
      <c r="J3185" s="6"/>
      <c r="N3185" s="154"/>
      <c r="O3185" s="6"/>
      <c r="S3185" s="6"/>
      <c r="V3185" s="6"/>
      <c r="X3185" s="6"/>
      <c r="Z3185" s="110"/>
      <c r="AB3185" s="6"/>
      <c r="AD3185" s="6"/>
      <c r="AE3185" s="6"/>
      <c r="AF3185" s="126"/>
      <c r="AJ3185" s="6"/>
      <c r="AL3185" s="110"/>
      <c r="AM3185" s="110"/>
      <c r="AN3185" s="110"/>
      <c r="AP3185" s="6"/>
      <c r="AW3185" s="6"/>
      <c r="AX3185" s="6"/>
      <c r="AZ3185" s="110"/>
      <c r="BB3185" s="6"/>
      <c r="BD3185" s="6"/>
      <c r="BE3185" s="6"/>
      <c r="BV3185" s="17"/>
      <c r="BX3185" s="17"/>
      <c r="BZ3185" s="17"/>
    </row>
    <row r="3186" spans="4:78" x14ac:dyDescent="0.3">
      <c r="D3186" s="153"/>
      <c r="E3186" s="6"/>
      <c r="G3186" s="6"/>
      <c r="J3186" s="6"/>
      <c r="N3186" s="154"/>
      <c r="O3186" s="6"/>
      <c r="S3186" s="6"/>
      <c r="V3186" s="6"/>
      <c r="X3186" s="6"/>
      <c r="Z3186" s="110"/>
      <c r="AB3186" s="6"/>
      <c r="AD3186" s="6"/>
      <c r="AE3186" s="6"/>
      <c r="AF3186" s="126"/>
      <c r="AJ3186" s="6"/>
      <c r="AL3186" s="110"/>
      <c r="AM3186" s="110"/>
      <c r="AN3186" s="110"/>
      <c r="AP3186" s="6"/>
      <c r="AW3186" s="6"/>
      <c r="AX3186" s="6"/>
      <c r="AZ3186" s="110"/>
      <c r="BB3186" s="6"/>
      <c r="BD3186" s="6"/>
      <c r="BE3186" s="6"/>
      <c r="BV3186" s="17"/>
      <c r="BX3186" s="17"/>
      <c r="BZ3186" s="17"/>
    </row>
    <row r="3187" spans="4:78" x14ac:dyDescent="0.3">
      <c r="D3187" s="153"/>
      <c r="E3187" s="6"/>
      <c r="G3187" s="6"/>
      <c r="J3187" s="6"/>
      <c r="N3187" s="154"/>
      <c r="O3187" s="6"/>
      <c r="S3187" s="6"/>
      <c r="V3187" s="6"/>
      <c r="X3187" s="6"/>
      <c r="Z3187" s="110"/>
      <c r="AB3187" s="6"/>
      <c r="AD3187" s="6"/>
      <c r="AE3187" s="6"/>
      <c r="AF3187" s="126"/>
      <c r="AJ3187" s="6"/>
      <c r="AL3187" s="110"/>
      <c r="AM3187" s="110"/>
      <c r="AN3187" s="110"/>
      <c r="AP3187" s="6"/>
      <c r="AW3187" s="6"/>
      <c r="AX3187" s="6"/>
      <c r="AZ3187" s="110"/>
      <c r="BB3187" s="6"/>
      <c r="BD3187" s="6"/>
      <c r="BE3187" s="6"/>
      <c r="BV3187" s="17"/>
      <c r="BX3187" s="17"/>
      <c r="BZ3187" s="17"/>
    </row>
    <row r="3188" spans="4:78" x14ac:dyDescent="0.3">
      <c r="D3188" s="153"/>
      <c r="E3188" s="6"/>
      <c r="G3188" s="6"/>
      <c r="J3188" s="6"/>
      <c r="N3188" s="154"/>
      <c r="O3188" s="6"/>
      <c r="S3188" s="6"/>
      <c r="V3188" s="6"/>
      <c r="X3188" s="6"/>
      <c r="Z3188" s="110"/>
      <c r="AB3188" s="6"/>
      <c r="AD3188" s="6"/>
      <c r="AE3188" s="6"/>
      <c r="AF3188" s="126"/>
      <c r="AJ3188" s="6"/>
      <c r="AL3188" s="110"/>
      <c r="AM3188" s="110"/>
      <c r="AN3188" s="110"/>
      <c r="AP3188" s="6"/>
      <c r="AW3188" s="6"/>
      <c r="AX3188" s="6"/>
      <c r="AZ3188" s="110"/>
      <c r="BB3188" s="6"/>
      <c r="BD3188" s="6"/>
      <c r="BE3188" s="6"/>
      <c r="BV3188" s="17"/>
      <c r="BX3188" s="17"/>
      <c r="BZ3188" s="17"/>
    </row>
    <row r="3189" spans="4:78" x14ac:dyDescent="0.3">
      <c r="D3189" s="153"/>
      <c r="E3189" s="6"/>
      <c r="G3189" s="6"/>
      <c r="J3189" s="6"/>
      <c r="N3189" s="154"/>
      <c r="O3189" s="6"/>
      <c r="S3189" s="6"/>
      <c r="V3189" s="6"/>
      <c r="X3189" s="6"/>
      <c r="Z3189" s="110"/>
      <c r="AB3189" s="6"/>
      <c r="AD3189" s="6"/>
      <c r="AE3189" s="6"/>
      <c r="AF3189" s="126"/>
      <c r="AJ3189" s="6"/>
      <c r="AL3189" s="110"/>
      <c r="AM3189" s="110"/>
      <c r="AN3189" s="110"/>
      <c r="AP3189" s="6"/>
      <c r="AW3189" s="6"/>
      <c r="AX3189" s="6"/>
      <c r="AZ3189" s="110"/>
      <c r="BB3189" s="6"/>
      <c r="BD3189" s="6"/>
      <c r="BE3189" s="6"/>
      <c r="BV3189" s="17"/>
      <c r="BX3189" s="17"/>
      <c r="BZ3189" s="17"/>
    </row>
    <row r="3190" spans="4:78" x14ac:dyDescent="0.3">
      <c r="D3190" s="153"/>
      <c r="E3190" s="6"/>
      <c r="G3190" s="6"/>
      <c r="J3190" s="6"/>
      <c r="N3190" s="154"/>
      <c r="O3190" s="6"/>
      <c r="S3190" s="6"/>
      <c r="V3190" s="6"/>
      <c r="X3190" s="6"/>
      <c r="Z3190" s="110"/>
      <c r="AB3190" s="6"/>
      <c r="AD3190" s="6"/>
      <c r="AE3190" s="6"/>
      <c r="AF3190" s="126"/>
      <c r="AJ3190" s="6"/>
      <c r="AL3190" s="110"/>
      <c r="AM3190" s="110"/>
      <c r="AN3190" s="110"/>
      <c r="AP3190" s="6"/>
      <c r="AW3190" s="6"/>
      <c r="AX3190" s="6"/>
      <c r="AZ3190" s="110"/>
      <c r="BB3190" s="6"/>
      <c r="BD3190" s="6"/>
      <c r="BE3190" s="6"/>
      <c r="BV3190" s="17"/>
      <c r="BX3190" s="17"/>
      <c r="BZ3190" s="17"/>
    </row>
    <row r="3191" spans="4:78" x14ac:dyDescent="0.3">
      <c r="D3191" s="153"/>
      <c r="E3191" s="6"/>
      <c r="G3191" s="6"/>
      <c r="J3191" s="6"/>
      <c r="N3191" s="154"/>
      <c r="O3191" s="6"/>
      <c r="S3191" s="6"/>
      <c r="V3191" s="6"/>
      <c r="X3191" s="6"/>
      <c r="Z3191" s="110"/>
      <c r="AB3191" s="6"/>
      <c r="AD3191" s="6"/>
      <c r="AE3191" s="6"/>
      <c r="AF3191" s="126"/>
      <c r="AJ3191" s="6"/>
      <c r="AL3191" s="110"/>
      <c r="AM3191" s="110"/>
      <c r="AN3191" s="110"/>
      <c r="AP3191" s="6"/>
      <c r="AW3191" s="6"/>
      <c r="AX3191" s="6"/>
      <c r="AZ3191" s="110"/>
      <c r="BB3191" s="6"/>
      <c r="BD3191" s="6"/>
      <c r="BE3191" s="6"/>
      <c r="BV3191" s="17"/>
      <c r="BX3191" s="17"/>
      <c r="BZ3191" s="17"/>
    </row>
    <row r="3192" spans="4:78" x14ac:dyDescent="0.3">
      <c r="D3192" s="153"/>
      <c r="E3192" s="6"/>
      <c r="G3192" s="6"/>
      <c r="J3192" s="6"/>
      <c r="N3192" s="154"/>
      <c r="O3192" s="6"/>
      <c r="S3192" s="6"/>
      <c r="V3192" s="6"/>
      <c r="X3192" s="6"/>
      <c r="Z3192" s="110"/>
      <c r="AB3192" s="6"/>
      <c r="AD3192" s="6"/>
      <c r="AE3192" s="6"/>
      <c r="AF3192" s="126"/>
      <c r="AJ3192" s="6"/>
      <c r="AL3192" s="110"/>
      <c r="AM3192" s="110"/>
      <c r="AN3192" s="110"/>
      <c r="AP3192" s="6"/>
      <c r="AW3192" s="6"/>
      <c r="AX3192" s="6"/>
      <c r="AZ3192" s="110"/>
      <c r="BB3192" s="6"/>
      <c r="BD3192" s="6"/>
      <c r="BE3192" s="6"/>
      <c r="BV3192" s="17"/>
      <c r="BX3192" s="17"/>
      <c r="BZ3192" s="17"/>
    </row>
    <row r="3193" spans="4:78" x14ac:dyDescent="0.3">
      <c r="D3193" s="153"/>
      <c r="E3193" s="6"/>
      <c r="G3193" s="6"/>
      <c r="J3193" s="6"/>
      <c r="N3193" s="154"/>
      <c r="O3193" s="6"/>
      <c r="S3193" s="6"/>
      <c r="V3193" s="6"/>
      <c r="X3193" s="6"/>
      <c r="Z3193" s="110"/>
      <c r="AB3193" s="6"/>
      <c r="AD3193" s="6"/>
      <c r="AE3193" s="6"/>
      <c r="AF3193" s="126"/>
      <c r="AJ3193" s="6"/>
      <c r="AL3193" s="110"/>
      <c r="AM3193" s="110"/>
      <c r="AN3193" s="110"/>
      <c r="AP3193" s="6"/>
      <c r="AW3193" s="6"/>
      <c r="AX3193" s="6"/>
      <c r="AZ3193" s="110"/>
      <c r="BB3193" s="6"/>
      <c r="BD3193" s="6"/>
      <c r="BE3193" s="6"/>
      <c r="BV3193" s="17"/>
      <c r="BX3193" s="17"/>
      <c r="BZ3193" s="17"/>
    </row>
    <row r="3194" spans="4:78" x14ac:dyDescent="0.3">
      <c r="D3194" s="153"/>
      <c r="E3194" s="6"/>
      <c r="G3194" s="6"/>
      <c r="J3194" s="6"/>
      <c r="N3194" s="154"/>
      <c r="O3194" s="6"/>
      <c r="S3194" s="6"/>
      <c r="V3194" s="6"/>
      <c r="X3194" s="6"/>
      <c r="Z3194" s="110"/>
      <c r="AB3194" s="6"/>
      <c r="AD3194" s="6"/>
      <c r="AE3194" s="6"/>
      <c r="AF3194" s="126"/>
      <c r="AJ3194" s="6"/>
      <c r="AL3194" s="110"/>
      <c r="AM3194" s="110"/>
      <c r="AN3194" s="110"/>
      <c r="AP3194" s="6"/>
      <c r="AW3194" s="6"/>
      <c r="AX3194" s="6"/>
      <c r="AZ3194" s="110"/>
      <c r="BB3194" s="6"/>
      <c r="BD3194" s="6"/>
      <c r="BE3194" s="6"/>
      <c r="BV3194" s="17"/>
      <c r="BX3194" s="17"/>
      <c r="BZ3194" s="17"/>
    </row>
    <row r="3195" spans="4:78" x14ac:dyDescent="0.3">
      <c r="D3195" s="153"/>
      <c r="E3195" s="6"/>
      <c r="G3195" s="6"/>
      <c r="J3195" s="6"/>
      <c r="N3195" s="154"/>
      <c r="O3195" s="6"/>
      <c r="S3195" s="6"/>
      <c r="V3195" s="6"/>
      <c r="X3195" s="6"/>
      <c r="Z3195" s="110"/>
      <c r="AB3195" s="6"/>
      <c r="AD3195" s="6"/>
      <c r="AE3195" s="6"/>
      <c r="AF3195" s="126"/>
      <c r="AJ3195" s="6"/>
      <c r="AL3195" s="110"/>
      <c r="AM3195" s="110"/>
      <c r="AN3195" s="110"/>
      <c r="AP3195" s="6"/>
      <c r="AW3195" s="6"/>
      <c r="AX3195" s="6"/>
      <c r="AZ3195" s="110"/>
      <c r="BB3195" s="6"/>
      <c r="BD3195" s="6"/>
      <c r="BE3195" s="6"/>
      <c r="BV3195" s="17"/>
      <c r="BX3195" s="17"/>
      <c r="BZ3195" s="17"/>
    </row>
    <row r="3196" spans="4:78" x14ac:dyDescent="0.3">
      <c r="D3196" s="153"/>
      <c r="E3196" s="6"/>
      <c r="G3196" s="6"/>
      <c r="J3196" s="6"/>
      <c r="N3196" s="154"/>
      <c r="O3196" s="6"/>
      <c r="S3196" s="6"/>
      <c r="V3196" s="6"/>
      <c r="X3196" s="6"/>
      <c r="Z3196" s="110"/>
      <c r="AB3196" s="6"/>
      <c r="AD3196" s="6"/>
      <c r="AE3196" s="6"/>
      <c r="AF3196" s="126"/>
      <c r="AJ3196" s="6"/>
      <c r="AL3196" s="110"/>
      <c r="AM3196" s="110"/>
      <c r="AN3196" s="110"/>
      <c r="AP3196" s="6"/>
      <c r="AW3196" s="6"/>
      <c r="AX3196" s="6"/>
      <c r="AZ3196" s="110"/>
      <c r="BB3196" s="6"/>
      <c r="BD3196" s="6"/>
      <c r="BE3196" s="6"/>
      <c r="BV3196" s="17"/>
      <c r="BX3196" s="17"/>
      <c r="BZ3196" s="17"/>
    </row>
    <row r="3197" spans="4:78" x14ac:dyDescent="0.3">
      <c r="D3197" s="153"/>
      <c r="E3197" s="6"/>
      <c r="G3197" s="6"/>
      <c r="J3197" s="6"/>
      <c r="N3197" s="154"/>
      <c r="O3197" s="6"/>
      <c r="S3197" s="6"/>
      <c r="V3197" s="6"/>
      <c r="X3197" s="6"/>
      <c r="Z3197" s="110"/>
      <c r="AB3197" s="6"/>
      <c r="AD3197" s="6"/>
      <c r="AE3197" s="6"/>
      <c r="AF3197" s="126"/>
      <c r="AJ3197" s="6"/>
      <c r="AL3197" s="110"/>
      <c r="AM3197" s="110"/>
      <c r="AN3197" s="110"/>
      <c r="AP3197" s="6"/>
      <c r="AW3197" s="6"/>
      <c r="AX3197" s="6"/>
      <c r="AZ3197" s="110"/>
      <c r="BB3197" s="6"/>
      <c r="BD3197" s="6"/>
      <c r="BE3197" s="6"/>
      <c r="BV3197" s="17"/>
      <c r="BX3197" s="17"/>
      <c r="BZ3197" s="17"/>
    </row>
    <row r="3198" spans="4:78" x14ac:dyDescent="0.3">
      <c r="D3198" s="153"/>
      <c r="E3198" s="6"/>
      <c r="G3198" s="6"/>
      <c r="J3198" s="6"/>
      <c r="N3198" s="154"/>
      <c r="O3198" s="6"/>
      <c r="S3198" s="6"/>
      <c r="V3198" s="6"/>
      <c r="X3198" s="6"/>
      <c r="Z3198" s="110"/>
      <c r="AB3198" s="6"/>
      <c r="AD3198" s="6"/>
      <c r="AE3198" s="6"/>
      <c r="AF3198" s="126"/>
      <c r="AJ3198" s="6"/>
      <c r="AL3198" s="110"/>
      <c r="AM3198" s="110"/>
      <c r="AN3198" s="110"/>
      <c r="AP3198" s="6"/>
      <c r="AW3198" s="6"/>
      <c r="AX3198" s="6"/>
      <c r="AZ3198" s="110"/>
      <c r="BB3198" s="6"/>
      <c r="BD3198" s="6"/>
      <c r="BE3198" s="6"/>
      <c r="BV3198" s="17"/>
      <c r="BX3198" s="17"/>
      <c r="BZ3198" s="17"/>
    </row>
    <row r="3199" spans="4:78" x14ac:dyDescent="0.3">
      <c r="D3199" s="153"/>
      <c r="E3199" s="6"/>
      <c r="G3199" s="6"/>
      <c r="J3199" s="6"/>
      <c r="N3199" s="154"/>
      <c r="O3199" s="6"/>
      <c r="S3199" s="6"/>
      <c r="V3199" s="6"/>
      <c r="X3199" s="6"/>
      <c r="Z3199" s="110"/>
      <c r="AB3199" s="6"/>
      <c r="AD3199" s="6"/>
      <c r="AE3199" s="6"/>
      <c r="AF3199" s="126"/>
      <c r="AJ3199" s="6"/>
      <c r="AL3199" s="110"/>
      <c r="AM3199" s="110"/>
      <c r="AN3199" s="110"/>
      <c r="AP3199" s="6"/>
      <c r="AW3199" s="6"/>
      <c r="AX3199" s="6"/>
      <c r="AZ3199" s="110"/>
      <c r="BB3199" s="6"/>
      <c r="BD3199" s="6"/>
      <c r="BE3199" s="6"/>
      <c r="BV3199" s="17"/>
      <c r="BX3199" s="17"/>
      <c r="BZ3199" s="17"/>
    </row>
    <row r="3200" spans="4:78" x14ac:dyDescent="0.3">
      <c r="D3200" s="153"/>
      <c r="E3200" s="6"/>
      <c r="G3200" s="6"/>
      <c r="J3200" s="6"/>
      <c r="N3200" s="154"/>
      <c r="O3200" s="6"/>
      <c r="S3200" s="6"/>
      <c r="V3200" s="6"/>
      <c r="X3200" s="6"/>
      <c r="Z3200" s="110"/>
      <c r="AB3200" s="6"/>
      <c r="AD3200" s="6"/>
      <c r="AE3200" s="6"/>
      <c r="AF3200" s="126"/>
      <c r="AJ3200" s="6"/>
      <c r="AL3200" s="110"/>
      <c r="AM3200" s="110"/>
      <c r="AN3200" s="110"/>
      <c r="AP3200" s="6"/>
      <c r="AW3200" s="6"/>
      <c r="AX3200" s="6"/>
      <c r="AZ3200" s="110"/>
      <c r="BB3200" s="6"/>
      <c r="BD3200" s="6"/>
      <c r="BE3200" s="6"/>
      <c r="BV3200" s="17"/>
      <c r="BX3200" s="17"/>
      <c r="BZ3200" s="17"/>
    </row>
    <row r="3201" spans="4:78" x14ac:dyDescent="0.3">
      <c r="D3201" s="153"/>
      <c r="E3201" s="6"/>
      <c r="G3201" s="6"/>
      <c r="J3201" s="6"/>
      <c r="N3201" s="154"/>
      <c r="O3201" s="6"/>
      <c r="S3201" s="6"/>
      <c r="V3201" s="6"/>
      <c r="X3201" s="6"/>
      <c r="Z3201" s="110"/>
      <c r="AB3201" s="6"/>
      <c r="AD3201" s="6"/>
      <c r="AE3201" s="6"/>
      <c r="AF3201" s="126"/>
      <c r="AJ3201" s="6"/>
      <c r="AL3201" s="110"/>
      <c r="AM3201" s="110"/>
      <c r="AN3201" s="110"/>
      <c r="AP3201" s="6"/>
      <c r="AW3201" s="6"/>
      <c r="AX3201" s="6"/>
      <c r="AZ3201" s="110"/>
      <c r="BB3201" s="6"/>
      <c r="BD3201" s="6"/>
      <c r="BE3201" s="6"/>
      <c r="BV3201" s="17"/>
      <c r="BX3201" s="17"/>
      <c r="BZ3201" s="17"/>
    </row>
    <row r="3202" spans="4:78" x14ac:dyDescent="0.3">
      <c r="D3202" s="153"/>
      <c r="E3202" s="6"/>
      <c r="G3202" s="6"/>
      <c r="J3202" s="6"/>
      <c r="N3202" s="154"/>
      <c r="O3202" s="6"/>
      <c r="S3202" s="6"/>
      <c r="V3202" s="6"/>
      <c r="X3202" s="6"/>
      <c r="Z3202" s="110"/>
      <c r="AB3202" s="6"/>
      <c r="AD3202" s="6"/>
      <c r="AE3202" s="6"/>
      <c r="AF3202" s="126"/>
      <c r="AJ3202" s="6"/>
      <c r="AL3202" s="110"/>
      <c r="AM3202" s="110"/>
      <c r="AN3202" s="110"/>
      <c r="AP3202" s="6"/>
      <c r="AW3202" s="6"/>
      <c r="AX3202" s="6"/>
      <c r="AZ3202" s="110"/>
      <c r="BB3202" s="6"/>
      <c r="BD3202" s="6"/>
      <c r="BE3202" s="6"/>
      <c r="BV3202" s="17"/>
      <c r="BX3202" s="17"/>
      <c r="BZ3202" s="17"/>
    </row>
    <row r="3203" spans="4:78" x14ac:dyDescent="0.3">
      <c r="D3203" s="153"/>
      <c r="E3203" s="6"/>
      <c r="G3203" s="6"/>
      <c r="J3203" s="6"/>
      <c r="N3203" s="154"/>
      <c r="O3203" s="6"/>
      <c r="S3203" s="6"/>
      <c r="V3203" s="6"/>
      <c r="X3203" s="6"/>
      <c r="Z3203" s="110"/>
      <c r="AB3203" s="6"/>
      <c r="AD3203" s="6"/>
      <c r="AE3203" s="6"/>
      <c r="AF3203" s="126"/>
      <c r="AJ3203" s="6"/>
      <c r="AL3203" s="110"/>
      <c r="AM3203" s="110"/>
      <c r="AN3203" s="110"/>
      <c r="AP3203" s="6"/>
      <c r="AW3203" s="6"/>
      <c r="AX3203" s="6"/>
      <c r="AZ3203" s="110"/>
      <c r="BB3203" s="6"/>
      <c r="BD3203" s="6"/>
      <c r="BE3203" s="6"/>
      <c r="BV3203" s="17"/>
      <c r="BX3203" s="17"/>
      <c r="BZ3203" s="17"/>
    </row>
    <row r="3204" spans="4:78" x14ac:dyDescent="0.3">
      <c r="D3204" s="153"/>
      <c r="E3204" s="6"/>
      <c r="G3204" s="6"/>
      <c r="J3204" s="6"/>
      <c r="N3204" s="154"/>
      <c r="O3204" s="6"/>
      <c r="S3204" s="6"/>
      <c r="V3204" s="6"/>
      <c r="X3204" s="6"/>
      <c r="Z3204" s="110"/>
      <c r="AB3204" s="6"/>
      <c r="AD3204" s="6"/>
      <c r="AE3204" s="6"/>
      <c r="AF3204" s="126"/>
      <c r="AJ3204" s="6"/>
      <c r="AL3204" s="110"/>
      <c r="AM3204" s="110"/>
      <c r="AN3204" s="110"/>
      <c r="AP3204" s="6"/>
      <c r="AW3204" s="6"/>
      <c r="AX3204" s="6"/>
      <c r="AZ3204" s="110"/>
      <c r="BB3204" s="6"/>
      <c r="BD3204" s="6"/>
      <c r="BE3204" s="6"/>
      <c r="BV3204" s="17"/>
      <c r="BX3204" s="17"/>
      <c r="BZ3204" s="17"/>
    </row>
    <row r="3205" spans="4:78" x14ac:dyDescent="0.3">
      <c r="D3205" s="153"/>
      <c r="E3205" s="6"/>
      <c r="G3205" s="6"/>
      <c r="J3205" s="6"/>
      <c r="N3205" s="154"/>
      <c r="O3205" s="6"/>
      <c r="S3205" s="6"/>
      <c r="V3205" s="6"/>
      <c r="X3205" s="6"/>
      <c r="Z3205" s="110"/>
      <c r="AB3205" s="6"/>
      <c r="AD3205" s="6"/>
      <c r="AE3205" s="6"/>
      <c r="AF3205" s="126"/>
      <c r="AJ3205" s="6"/>
      <c r="AL3205" s="110"/>
      <c r="AM3205" s="110"/>
      <c r="AN3205" s="110"/>
      <c r="AP3205" s="6"/>
      <c r="AW3205" s="6"/>
      <c r="AX3205" s="6"/>
      <c r="AZ3205" s="110"/>
      <c r="BB3205" s="6"/>
      <c r="BD3205" s="6"/>
      <c r="BE3205" s="6"/>
      <c r="BV3205" s="17"/>
      <c r="BX3205" s="17"/>
      <c r="BZ3205" s="17"/>
    </row>
    <row r="3206" spans="4:78" x14ac:dyDescent="0.3">
      <c r="D3206" s="153"/>
      <c r="E3206" s="6"/>
      <c r="G3206" s="6"/>
      <c r="J3206" s="6"/>
      <c r="N3206" s="154"/>
      <c r="O3206" s="6"/>
      <c r="S3206" s="6"/>
      <c r="V3206" s="6"/>
      <c r="X3206" s="6"/>
      <c r="Z3206" s="110"/>
      <c r="AB3206" s="6"/>
      <c r="AD3206" s="6"/>
      <c r="AE3206" s="6"/>
      <c r="AF3206" s="126"/>
      <c r="AJ3206" s="6"/>
      <c r="AL3206" s="110"/>
      <c r="AM3206" s="110"/>
      <c r="AN3206" s="110"/>
      <c r="AP3206" s="6"/>
      <c r="AW3206" s="6"/>
      <c r="AX3206" s="6"/>
      <c r="AZ3206" s="110"/>
      <c r="BB3206" s="6"/>
      <c r="BD3206" s="6"/>
      <c r="BE3206" s="6"/>
      <c r="BV3206" s="17"/>
      <c r="BX3206" s="17"/>
      <c r="BZ3206" s="17"/>
    </row>
    <row r="3207" spans="4:78" x14ac:dyDescent="0.3">
      <c r="D3207" s="153"/>
      <c r="E3207" s="6"/>
      <c r="G3207" s="6"/>
      <c r="J3207" s="6"/>
      <c r="N3207" s="154"/>
      <c r="O3207" s="6"/>
      <c r="S3207" s="6"/>
      <c r="V3207" s="6"/>
      <c r="X3207" s="6"/>
      <c r="Z3207" s="110"/>
      <c r="AB3207" s="6"/>
      <c r="AD3207" s="6"/>
      <c r="AE3207" s="6"/>
      <c r="AF3207" s="126"/>
      <c r="AJ3207" s="6"/>
      <c r="AL3207" s="110"/>
      <c r="AM3207" s="110"/>
      <c r="AN3207" s="110"/>
      <c r="AP3207" s="6"/>
      <c r="AW3207" s="6"/>
      <c r="AX3207" s="6"/>
      <c r="AZ3207" s="110"/>
      <c r="BB3207" s="6"/>
      <c r="BD3207" s="6"/>
      <c r="BE3207" s="6"/>
      <c r="BV3207" s="17"/>
      <c r="BX3207" s="17"/>
      <c r="BZ3207" s="17"/>
    </row>
    <row r="3208" spans="4:78" x14ac:dyDescent="0.3">
      <c r="D3208" s="153"/>
      <c r="E3208" s="6"/>
      <c r="G3208" s="6"/>
      <c r="J3208" s="6"/>
      <c r="N3208" s="154"/>
      <c r="O3208" s="6"/>
      <c r="S3208" s="6"/>
      <c r="V3208" s="6"/>
      <c r="X3208" s="6"/>
      <c r="Z3208" s="110"/>
      <c r="AB3208" s="6"/>
      <c r="AD3208" s="6"/>
      <c r="AE3208" s="6"/>
      <c r="AF3208" s="126"/>
      <c r="AJ3208" s="6"/>
      <c r="AL3208" s="110"/>
      <c r="AM3208" s="110"/>
      <c r="AN3208" s="110"/>
      <c r="AP3208" s="6"/>
      <c r="AW3208" s="6"/>
      <c r="AX3208" s="6"/>
      <c r="AZ3208" s="110"/>
      <c r="BB3208" s="6"/>
      <c r="BD3208" s="6"/>
      <c r="BE3208" s="6"/>
      <c r="BV3208" s="17"/>
      <c r="BX3208" s="17"/>
      <c r="BZ3208" s="17"/>
    </row>
    <row r="3209" spans="4:78" x14ac:dyDescent="0.3">
      <c r="D3209" s="153"/>
      <c r="E3209" s="6"/>
      <c r="G3209" s="6"/>
      <c r="J3209" s="6"/>
      <c r="N3209" s="154"/>
      <c r="O3209" s="6"/>
      <c r="S3209" s="6"/>
      <c r="V3209" s="6"/>
      <c r="X3209" s="6"/>
      <c r="Z3209" s="110"/>
      <c r="AB3209" s="6"/>
      <c r="AD3209" s="6"/>
      <c r="AE3209" s="6"/>
      <c r="AF3209" s="126"/>
      <c r="AJ3209" s="6"/>
      <c r="AL3209" s="110"/>
      <c r="AM3209" s="110"/>
      <c r="AN3209" s="110"/>
      <c r="AP3209" s="6"/>
      <c r="AW3209" s="6"/>
      <c r="AX3209" s="6"/>
      <c r="AZ3209" s="110"/>
      <c r="BB3209" s="6"/>
      <c r="BD3209" s="6"/>
      <c r="BE3209" s="6"/>
      <c r="BV3209" s="17"/>
      <c r="BX3209" s="17"/>
      <c r="BZ3209" s="17"/>
    </row>
    <row r="3210" spans="4:78" x14ac:dyDescent="0.3">
      <c r="D3210" s="153"/>
      <c r="E3210" s="6"/>
      <c r="G3210" s="6"/>
      <c r="J3210" s="6"/>
      <c r="N3210" s="154"/>
      <c r="O3210" s="6"/>
      <c r="S3210" s="6"/>
      <c r="V3210" s="6"/>
      <c r="X3210" s="6"/>
      <c r="Z3210" s="110"/>
      <c r="AB3210" s="6"/>
      <c r="AD3210" s="6"/>
      <c r="AE3210" s="6"/>
      <c r="AF3210" s="126"/>
      <c r="AJ3210" s="6"/>
      <c r="AL3210" s="110"/>
      <c r="AM3210" s="110"/>
      <c r="AN3210" s="110"/>
      <c r="AP3210" s="6"/>
      <c r="AW3210" s="6"/>
      <c r="AX3210" s="6"/>
      <c r="AZ3210" s="110"/>
      <c r="BB3210" s="6"/>
      <c r="BD3210" s="6"/>
      <c r="BE3210" s="6"/>
      <c r="BV3210" s="17"/>
      <c r="BX3210" s="17"/>
      <c r="BZ3210" s="17"/>
    </row>
  </sheetData>
  <autoFilter ref="A12:DX1153"/>
  <mergeCells count="73">
    <mergeCell ref="A8:H8"/>
    <mergeCell ref="A9:A11"/>
    <mergeCell ref="AJ9:AK10"/>
    <mergeCell ref="AL9:AM10"/>
    <mergeCell ref="AD9:AD10"/>
    <mergeCell ref="Q9:Q10"/>
    <mergeCell ref="R9:R10"/>
    <mergeCell ref="V9:W10"/>
    <mergeCell ref="X9:Y10"/>
    <mergeCell ref="AH9:AH10"/>
    <mergeCell ref="AI9:AI10"/>
    <mergeCell ref="B9:B11"/>
    <mergeCell ref="C9:C11"/>
    <mergeCell ref="I9:I10"/>
    <mergeCell ref="U9:U10"/>
    <mergeCell ref="J9:K10"/>
    <mergeCell ref="BA1:BB1"/>
    <mergeCell ref="G2:T2"/>
    <mergeCell ref="V2:W3"/>
    <mergeCell ref="Z2:AA3"/>
    <mergeCell ref="AO2:AO3"/>
    <mergeCell ref="AQ2:AT2"/>
    <mergeCell ref="BA2:BB2"/>
    <mergeCell ref="G3:H3"/>
    <mergeCell ref="J3:K3"/>
    <mergeCell ref="O3:P3"/>
    <mergeCell ref="S3:T3"/>
    <mergeCell ref="BA3:BB3"/>
    <mergeCell ref="BX9:BY10"/>
    <mergeCell ref="BZ9:CA10"/>
    <mergeCell ref="G9:H10"/>
    <mergeCell ref="BT9:BT10"/>
    <mergeCell ref="BU9:BU10"/>
    <mergeCell ref="AB9:AC10"/>
    <mergeCell ref="BC9:BC10"/>
    <mergeCell ref="BD9:BE10"/>
    <mergeCell ref="BF9:BF10"/>
    <mergeCell ref="BO9:BO10"/>
    <mergeCell ref="BI9:BI10"/>
    <mergeCell ref="BJ9:BJ10"/>
    <mergeCell ref="Z9:AA10"/>
    <mergeCell ref="AE9:AF9"/>
    <mergeCell ref="BR9:BR10"/>
    <mergeCell ref="BN9:BN10"/>
    <mergeCell ref="BQ9:BQ10"/>
    <mergeCell ref="AG9:AG10"/>
    <mergeCell ref="BK9:BK10"/>
    <mergeCell ref="BS9:BS10"/>
    <mergeCell ref="BV9:BW10"/>
    <mergeCell ref="BB9:BB10"/>
    <mergeCell ref="AR9:AR10"/>
    <mergeCell ref="BM9:BM10"/>
    <mergeCell ref="AN9:AO10"/>
    <mergeCell ref="AP9:AQ10"/>
    <mergeCell ref="BP9:BP10"/>
    <mergeCell ref="BL9:BL10"/>
    <mergeCell ref="AS9:AS10"/>
    <mergeCell ref="AX9:AY10"/>
    <mergeCell ref="A1157:A1164"/>
    <mergeCell ref="D9:F10"/>
    <mergeCell ref="L9:L10"/>
    <mergeCell ref="S9:T10"/>
    <mergeCell ref="M9:M10"/>
    <mergeCell ref="O9:P10"/>
    <mergeCell ref="N9:N10"/>
    <mergeCell ref="BC1157:BC1158"/>
    <mergeCell ref="BH9:BH10"/>
    <mergeCell ref="AT9:AT10"/>
    <mergeCell ref="AV9:AV10"/>
    <mergeCell ref="AW9:AW10"/>
    <mergeCell ref="AU9:AU10"/>
    <mergeCell ref="BG9:BG10"/>
    <mergeCell ref="AZ9:BA10"/>
  </mergeCells>
  <dataValidations count="4">
    <dataValidation type="list" allowBlank="1" showInputMessage="1" showErrorMessage="1" sqref="WUO982805 C12 WUO12 WKS12 WAW12 VRA12 VHE12 UXI12 UNM12 UDQ12 TTU12 TJY12 TAC12 SQG12 SGK12 RWO12 RMS12 RCW12 QTA12 QJE12 PZI12 PPM12 PFQ12 OVU12 OLY12 OCC12 NSG12 NIK12 MYO12 MOS12 MEW12 LVA12 LLE12 LBI12 KRM12 KHQ12 JXU12 JNY12 JEC12 IUG12 IKK12 IAO12 HQS12 HGW12 GXA12 GNE12 GDI12 FTM12 FJQ12 EZU12 EPY12 EGC12 DWG12 DMK12 DCO12 CSS12 CIW12 BZA12 BPE12 BFI12 AVM12 ALQ12 ABU12 RY12 IC12 IC65301 RY65301 ABU65301 ALQ65301 AVM65301 BFI65301 BPE65301 BZA65301 CIW65301 CSS65301 DCO65301 DMK65301 DWG65301 EGC65301 EPY65301 EZU65301 FJQ65301 FTM65301 GDI65301 GNE65301 GXA65301 HGW65301 HQS65301 IAO65301 IKK65301 IUG65301 JEC65301 JNY65301 JXU65301 KHQ65301 KRM65301 LBI65301 LLE65301 LVA65301 MEW65301 MOS65301 MYO65301 NIK65301 NSG65301 OCC65301 OLY65301 OVU65301 PFQ65301 PPM65301 PZI65301 QJE65301 QTA65301 RCW65301 RMS65301 RWO65301 SGK65301 SQG65301 TAC65301 TJY65301 TTU65301 UDQ65301 UNM65301 UXI65301 VHE65301 VRA65301 WAW65301 WKS65301 WUO65301 IC130837 RY130837 ABU130837 ALQ130837 AVM130837 BFI130837 BPE130837 BZA130837 CIW130837 CSS130837 DCO130837 DMK130837 DWG130837 EGC130837 EPY130837 EZU130837 FJQ130837 FTM130837 GDI130837 GNE130837 GXA130837 HGW130837 HQS130837 IAO130837 IKK130837 IUG130837 JEC130837 JNY130837 JXU130837 KHQ130837 KRM130837 LBI130837 LLE130837 LVA130837 MEW130837 MOS130837 MYO130837 NIK130837 NSG130837 OCC130837 OLY130837 OVU130837 PFQ130837 PPM130837 PZI130837 QJE130837 QTA130837 RCW130837 RMS130837 RWO130837 SGK130837 SQG130837 TAC130837 TJY130837 TTU130837 UDQ130837 UNM130837 UXI130837 VHE130837 VRA130837 WAW130837 WKS130837 WUO130837 IC196373 RY196373 ABU196373 ALQ196373 AVM196373 BFI196373 BPE196373 BZA196373 CIW196373 CSS196373 DCO196373 DMK196373 DWG196373 EGC196373 EPY196373 EZU196373 FJQ196373 FTM196373 GDI196373 GNE196373 GXA196373 HGW196373 HQS196373 IAO196373 IKK196373 IUG196373 JEC196373 JNY196373 JXU196373 KHQ196373 KRM196373 LBI196373 LLE196373 LVA196373 MEW196373 MOS196373 MYO196373 NIK196373 NSG196373 OCC196373 OLY196373 OVU196373 PFQ196373 PPM196373 PZI196373 QJE196373 QTA196373 RCW196373 RMS196373 RWO196373 SGK196373 SQG196373 TAC196373 TJY196373 TTU196373 UDQ196373 UNM196373 UXI196373 VHE196373 VRA196373 WAW196373 WKS196373 WUO196373 IC261909 RY261909 ABU261909 ALQ261909 AVM261909 BFI261909 BPE261909 BZA261909 CIW261909 CSS261909 DCO261909 DMK261909 DWG261909 EGC261909 EPY261909 EZU261909 FJQ261909 FTM261909 GDI261909 GNE261909 GXA261909 HGW261909 HQS261909 IAO261909 IKK261909 IUG261909 JEC261909 JNY261909 JXU261909 KHQ261909 KRM261909 LBI261909 LLE261909 LVA261909 MEW261909 MOS261909 MYO261909 NIK261909 NSG261909 OCC261909 OLY261909 OVU261909 PFQ261909 PPM261909 PZI261909 QJE261909 QTA261909 RCW261909 RMS261909 RWO261909 SGK261909 SQG261909 TAC261909 TJY261909 TTU261909 UDQ261909 UNM261909 UXI261909 VHE261909 VRA261909 WAW261909 WKS261909 WUO261909 IC327445 RY327445 ABU327445 ALQ327445 AVM327445 BFI327445 BPE327445 BZA327445 CIW327445 CSS327445 DCO327445 DMK327445 DWG327445 EGC327445 EPY327445 EZU327445 FJQ327445 FTM327445 GDI327445 GNE327445 GXA327445 HGW327445 HQS327445 IAO327445 IKK327445 IUG327445 JEC327445 JNY327445 JXU327445 KHQ327445 KRM327445 LBI327445 LLE327445 LVA327445 MEW327445 MOS327445 MYO327445 NIK327445 NSG327445 OCC327445 OLY327445 OVU327445 PFQ327445 PPM327445 PZI327445 QJE327445 QTA327445 RCW327445 RMS327445 RWO327445 SGK327445 SQG327445 TAC327445 TJY327445 TTU327445 UDQ327445 UNM327445 UXI327445 VHE327445 VRA327445 WAW327445 WKS327445 WUO327445 IC392981 RY392981 ABU392981 ALQ392981 AVM392981 BFI392981 BPE392981 BZA392981 CIW392981 CSS392981 DCO392981 DMK392981 DWG392981 EGC392981 EPY392981 EZU392981 FJQ392981 FTM392981 GDI392981 GNE392981 GXA392981 HGW392981 HQS392981 IAO392981 IKK392981 IUG392981 JEC392981 JNY392981 JXU392981 KHQ392981 KRM392981 LBI392981 LLE392981 LVA392981 MEW392981 MOS392981 MYO392981 NIK392981 NSG392981 OCC392981 OLY392981 OVU392981 PFQ392981 PPM392981 PZI392981 QJE392981 QTA392981 RCW392981 RMS392981 RWO392981 SGK392981 SQG392981 TAC392981 TJY392981 TTU392981 UDQ392981 UNM392981 UXI392981 VHE392981 VRA392981 WAW392981 WKS392981 WUO392981 IC458517 RY458517 ABU458517 ALQ458517 AVM458517 BFI458517 BPE458517 BZA458517 CIW458517 CSS458517 DCO458517 DMK458517 DWG458517 EGC458517 EPY458517 EZU458517 FJQ458517 FTM458517 GDI458517 GNE458517 GXA458517 HGW458517 HQS458517 IAO458517 IKK458517 IUG458517 JEC458517 JNY458517 JXU458517 KHQ458517 KRM458517 LBI458517 LLE458517 LVA458517 MEW458517 MOS458517 MYO458517 NIK458517 NSG458517 OCC458517 OLY458517 OVU458517 PFQ458517 PPM458517 PZI458517 QJE458517 QTA458517 RCW458517 RMS458517 RWO458517 SGK458517 SQG458517 TAC458517 TJY458517 TTU458517 UDQ458517 UNM458517 UXI458517 VHE458517 VRA458517 WAW458517 WKS458517 WUO458517 IC524053 RY524053 ABU524053 ALQ524053 AVM524053 BFI524053 BPE524053 BZA524053 CIW524053 CSS524053 DCO524053 DMK524053 DWG524053 EGC524053 EPY524053 EZU524053 FJQ524053 FTM524053 GDI524053 GNE524053 GXA524053 HGW524053 HQS524053 IAO524053 IKK524053 IUG524053 JEC524053 JNY524053 JXU524053 KHQ524053 KRM524053 LBI524053 LLE524053 LVA524053 MEW524053 MOS524053 MYO524053 NIK524053 NSG524053 OCC524053 OLY524053 OVU524053 PFQ524053 PPM524053 PZI524053 QJE524053 QTA524053 RCW524053 RMS524053 RWO524053 SGK524053 SQG524053 TAC524053 TJY524053 TTU524053 UDQ524053 UNM524053 UXI524053 VHE524053 VRA524053 WAW524053 WKS524053 WUO524053 IC589589 RY589589 ABU589589 ALQ589589 AVM589589 BFI589589 BPE589589 BZA589589 CIW589589 CSS589589 DCO589589 DMK589589 DWG589589 EGC589589 EPY589589 EZU589589 FJQ589589 FTM589589 GDI589589 GNE589589 GXA589589 HGW589589 HQS589589 IAO589589 IKK589589 IUG589589 JEC589589 JNY589589 JXU589589 KHQ589589 KRM589589 LBI589589 LLE589589 LVA589589 MEW589589 MOS589589 MYO589589 NIK589589 NSG589589 OCC589589 OLY589589 OVU589589 PFQ589589 PPM589589 PZI589589 QJE589589 QTA589589 RCW589589 RMS589589 RWO589589 SGK589589 SQG589589 TAC589589 TJY589589 TTU589589 UDQ589589 UNM589589 UXI589589 VHE589589 VRA589589 WAW589589 WKS589589 WUO589589 IC655125 RY655125 ABU655125 ALQ655125 AVM655125 BFI655125 BPE655125 BZA655125 CIW655125 CSS655125 DCO655125 DMK655125 DWG655125 EGC655125 EPY655125 EZU655125 FJQ655125 FTM655125 GDI655125 GNE655125 GXA655125 HGW655125 HQS655125 IAO655125 IKK655125 IUG655125 JEC655125 JNY655125 JXU655125 KHQ655125 KRM655125 LBI655125 LLE655125 LVA655125 MEW655125 MOS655125 MYO655125 NIK655125 NSG655125 OCC655125 OLY655125 OVU655125 PFQ655125 PPM655125 PZI655125 QJE655125 QTA655125 RCW655125 RMS655125 RWO655125 SGK655125 SQG655125 TAC655125 TJY655125 TTU655125 UDQ655125 UNM655125 UXI655125 VHE655125 VRA655125 WAW655125 WKS655125 WUO655125 IC720661 RY720661 ABU720661 ALQ720661 AVM720661 BFI720661 BPE720661 BZA720661 CIW720661 CSS720661 DCO720661 DMK720661 DWG720661 EGC720661 EPY720661 EZU720661 FJQ720661 FTM720661 GDI720661 GNE720661 GXA720661 HGW720661 HQS720661 IAO720661 IKK720661 IUG720661 JEC720661 JNY720661 JXU720661 KHQ720661 KRM720661 LBI720661 LLE720661 LVA720661 MEW720661 MOS720661 MYO720661 NIK720661 NSG720661 OCC720661 OLY720661 OVU720661 PFQ720661 PPM720661 PZI720661 QJE720661 QTA720661 RCW720661 RMS720661 RWO720661 SGK720661 SQG720661 TAC720661 TJY720661 TTU720661 UDQ720661 UNM720661 UXI720661 VHE720661 VRA720661 WAW720661 WKS720661 WUO720661 IC786197 RY786197 ABU786197 ALQ786197 AVM786197 BFI786197 BPE786197 BZA786197 CIW786197 CSS786197 DCO786197 DMK786197 DWG786197 EGC786197 EPY786197 EZU786197 FJQ786197 FTM786197 GDI786197 GNE786197 GXA786197 HGW786197 HQS786197 IAO786197 IKK786197 IUG786197 JEC786197 JNY786197 JXU786197 KHQ786197 KRM786197 LBI786197 LLE786197 LVA786197 MEW786197 MOS786197 MYO786197 NIK786197 NSG786197 OCC786197 OLY786197 OVU786197 PFQ786197 PPM786197 PZI786197 QJE786197 QTA786197 RCW786197 RMS786197 RWO786197 SGK786197 SQG786197 TAC786197 TJY786197 TTU786197 UDQ786197 UNM786197 UXI786197 VHE786197 VRA786197 WAW786197 WKS786197 WUO786197 IC851733 RY851733 ABU851733 ALQ851733 AVM851733 BFI851733 BPE851733 BZA851733 CIW851733 CSS851733 DCO851733 DMK851733 DWG851733 EGC851733 EPY851733 EZU851733 FJQ851733 FTM851733 GDI851733 GNE851733 GXA851733 HGW851733 HQS851733 IAO851733 IKK851733 IUG851733 JEC851733 JNY851733 JXU851733 KHQ851733 KRM851733 LBI851733 LLE851733 LVA851733 MEW851733 MOS851733 MYO851733 NIK851733 NSG851733 OCC851733 OLY851733 OVU851733 PFQ851733 PPM851733 PZI851733 QJE851733 QTA851733 RCW851733 RMS851733 RWO851733 SGK851733 SQG851733 TAC851733 TJY851733 TTU851733 UDQ851733 UNM851733 UXI851733 VHE851733 VRA851733 WAW851733 WKS851733 WUO851733 IC917269 RY917269 ABU917269 ALQ917269 AVM917269 BFI917269 BPE917269 BZA917269 CIW917269 CSS917269 DCO917269 DMK917269 DWG917269 EGC917269 EPY917269 EZU917269 FJQ917269 FTM917269 GDI917269 GNE917269 GXA917269 HGW917269 HQS917269 IAO917269 IKK917269 IUG917269 JEC917269 JNY917269 JXU917269 KHQ917269 KRM917269 LBI917269 LLE917269 LVA917269 MEW917269 MOS917269 MYO917269 NIK917269 NSG917269 OCC917269 OLY917269 OVU917269 PFQ917269 PPM917269 PZI917269 QJE917269 QTA917269 RCW917269 RMS917269 RWO917269 SGK917269 SQG917269 TAC917269 TJY917269 TTU917269 UDQ917269 UNM917269 UXI917269 VHE917269 VRA917269 WAW917269 WKS917269 WUO917269 IC982805 RY982805 ABU982805 ALQ982805 AVM982805 BFI982805 BPE982805 BZA982805 CIW982805 CSS982805 DCO982805 DMK982805 DWG982805 EGC982805 EPY982805 EZU982805 FJQ982805 FTM982805 GDI982805 GNE982805 GXA982805 HGW982805 HQS982805 IAO982805 IKK982805 IUG982805 JEC982805 JNY982805 JXU982805 KHQ982805 KRM982805 LBI982805 LLE982805 LVA982805 MEW982805 MOS982805 MYO982805 NIK982805 NSG982805 OCC982805 OLY982805 OVU982805 PFQ982805 PPM982805 PZI982805 QJE982805 QTA982805 RCW982805 RMS982805 RWO982805 SGK982805 SQG982805 TAC982805 TJY982805 TTU982805 UDQ982805 UNM982805 UXI982805 VHE982805 VRA982805 WAW982805 WKS982805 C65301 C982805 C917269 C851733 C786197 C720661 C655125 C589589 C524053 C458517 C392981 C327445 C261909 C196373 C130837">
      <formula1>оп</formula1>
    </dataValidation>
    <dataValidation type="textLength" allowBlank="1" showInputMessage="1" showErrorMessage="1" errorTitle="Ошибка ввода номера" error="Длина идентификационного номера должна составлять от 1 до 12 символов" sqref="WUP982834 WUP36 WKT36 WAX36 VRB36 VHF36 UXJ36 UNN36 UDR36 TTV36 TJZ36 TAD36 SQH36 SGL36 RWP36 RMT36 RCX36 QTB36 QJF36 PZJ36 PPN36 PFR36 OVV36 OLZ36 OCD36 NSH36 NIL36 MYP36 MOT36 MEX36 LVB36 LLF36 LBJ36 KRN36 KHR36 JXV36 JNZ36 JED36 IUH36 IKL36 IAP36 HQT36 HGX36 GXB36 GNF36 GDJ36 FTN36 FJR36 EZV36 EPZ36 EGD36 DWH36 DML36 DCP36 CST36 CIX36 BZB36 BPF36 BFJ36 AVN36 ALR36 ABV36 RZ36 ID36 ID65375 RZ65375 ABV65375 ALR65375 AVN65375 BFJ65375 BPF65375 BZB65375 CIX65375 CST65375 DCP65375 DML65375 DWH65375 EGD65375 EPZ65375 EZV65375 FJR65375 FTN65375 GDJ65375 GNF65375 GXB65375 HGX65375 HQT65375 IAP65375 IKL65375 IUH65375 JED65375 JNZ65375 JXV65375 KHR65375 KRN65375 LBJ65375 LLF65375 LVB65375 MEX65375 MOT65375 MYP65375 NIL65375 NSH65375 OCD65375 OLZ65375 OVV65375 PFR65375 PPN65375 PZJ65375 QJF65375 QTB65375 RCX65375 RMT65375 RWP65375 SGL65375 SQH65375 TAD65375 TJZ65375 TTV65375 UDR65375 UNN65375 UXJ65375 VHF65375 VRB65375 WAX65375 WKT65375 WUP65375 ID130911 RZ130911 ABV130911 ALR130911 AVN130911 BFJ130911 BPF130911 BZB130911 CIX130911 CST130911 DCP130911 DML130911 DWH130911 EGD130911 EPZ130911 EZV130911 FJR130911 FTN130911 GDJ130911 GNF130911 GXB130911 HGX130911 HQT130911 IAP130911 IKL130911 IUH130911 JED130911 JNZ130911 JXV130911 KHR130911 KRN130911 LBJ130911 LLF130911 LVB130911 MEX130911 MOT130911 MYP130911 NIL130911 NSH130911 OCD130911 OLZ130911 OVV130911 PFR130911 PPN130911 PZJ130911 QJF130911 QTB130911 RCX130911 RMT130911 RWP130911 SGL130911 SQH130911 TAD130911 TJZ130911 TTV130911 UDR130911 UNN130911 UXJ130911 VHF130911 VRB130911 WAX130911 WKT130911 WUP130911 ID196447 RZ196447 ABV196447 ALR196447 AVN196447 BFJ196447 BPF196447 BZB196447 CIX196447 CST196447 DCP196447 DML196447 DWH196447 EGD196447 EPZ196447 EZV196447 FJR196447 FTN196447 GDJ196447 GNF196447 GXB196447 HGX196447 HQT196447 IAP196447 IKL196447 IUH196447 JED196447 JNZ196447 JXV196447 KHR196447 KRN196447 LBJ196447 LLF196447 LVB196447 MEX196447 MOT196447 MYP196447 NIL196447 NSH196447 OCD196447 OLZ196447 OVV196447 PFR196447 PPN196447 PZJ196447 QJF196447 QTB196447 RCX196447 RMT196447 RWP196447 SGL196447 SQH196447 TAD196447 TJZ196447 TTV196447 UDR196447 UNN196447 UXJ196447 VHF196447 VRB196447 WAX196447 WKT196447 WUP196447 ID261983 RZ261983 ABV261983 ALR261983 AVN261983 BFJ261983 BPF261983 BZB261983 CIX261983 CST261983 DCP261983 DML261983 DWH261983 EGD261983 EPZ261983 EZV261983 FJR261983 FTN261983 GDJ261983 GNF261983 GXB261983 HGX261983 HQT261983 IAP261983 IKL261983 IUH261983 JED261983 JNZ261983 JXV261983 KHR261983 KRN261983 LBJ261983 LLF261983 LVB261983 MEX261983 MOT261983 MYP261983 NIL261983 NSH261983 OCD261983 OLZ261983 OVV261983 PFR261983 PPN261983 PZJ261983 QJF261983 QTB261983 RCX261983 RMT261983 RWP261983 SGL261983 SQH261983 TAD261983 TJZ261983 TTV261983 UDR261983 UNN261983 UXJ261983 VHF261983 VRB261983 WAX261983 WKT261983 WUP261983 ID327519 RZ327519 ABV327519 ALR327519 AVN327519 BFJ327519 BPF327519 BZB327519 CIX327519 CST327519 DCP327519 DML327519 DWH327519 EGD327519 EPZ327519 EZV327519 FJR327519 FTN327519 GDJ327519 GNF327519 GXB327519 HGX327519 HQT327519 IAP327519 IKL327519 IUH327519 JED327519 JNZ327519 JXV327519 KHR327519 KRN327519 LBJ327519 LLF327519 LVB327519 MEX327519 MOT327519 MYP327519 NIL327519 NSH327519 OCD327519 OLZ327519 OVV327519 PFR327519 PPN327519 PZJ327519 QJF327519 QTB327519 RCX327519 RMT327519 RWP327519 SGL327519 SQH327519 TAD327519 TJZ327519 TTV327519 UDR327519 UNN327519 UXJ327519 VHF327519 VRB327519 WAX327519 WKT327519 WUP327519 ID393055 RZ393055 ABV393055 ALR393055 AVN393055 BFJ393055 BPF393055 BZB393055 CIX393055 CST393055 DCP393055 DML393055 DWH393055 EGD393055 EPZ393055 EZV393055 FJR393055 FTN393055 GDJ393055 GNF393055 GXB393055 HGX393055 HQT393055 IAP393055 IKL393055 IUH393055 JED393055 JNZ393055 JXV393055 KHR393055 KRN393055 LBJ393055 LLF393055 LVB393055 MEX393055 MOT393055 MYP393055 NIL393055 NSH393055 OCD393055 OLZ393055 OVV393055 PFR393055 PPN393055 PZJ393055 QJF393055 QTB393055 RCX393055 RMT393055 RWP393055 SGL393055 SQH393055 TAD393055 TJZ393055 TTV393055 UDR393055 UNN393055 UXJ393055 VHF393055 VRB393055 WAX393055 WKT393055 WUP393055 ID458591 RZ458591 ABV458591 ALR458591 AVN458591 BFJ458591 BPF458591 BZB458591 CIX458591 CST458591 DCP458591 DML458591 DWH458591 EGD458591 EPZ458591 EZV458591 FJR458591 FTN458591 GDJ458591 GNF458591 GXB458591 HGX458591 HQT458591 IAP458591 IKL458591 IUH458591 JED458591 JNZ458591 JXV458591 KHR458591 KRN458591 LBJ458591 LLF458591 LVB458591 MEX458591 MOT458591 MYP458591 NIL458591 NSH458591 OCD458591 OLZ458591 OVV458591 PFR458591 PPN458591 PZJ458591 QJF458591 QTB458591 RCX458591 RMT458591 RWP458591 SGL458591 SQH458591 TAD458591 TJZ458591 TTV458591 UDR458591 UNN458591 UXJ458591 VHF458591 VRB458591 WAX458591 WKT458591 WUP458591 ID524127 RZ524127 ABV524127 ALR524127 AVN524127 BFJ524127 BPF524127 BZB524127 CIX524127 CST524127 DCP524127 DML524127 DWH524127 EGD524127 EPZ524127 EZV524127 FJR524127 FTN524127 GDJ524127 GNF524127 GXB524127 HGX524127 HQT524127 IAP524127 IKL524127 IUH524127 JED524127 JNZ524127 JXV524127 KHR524127 KRN524127 LBJ524127 LLF524127 LVB524127 MEX524127 MOT524127 MYP524127 NIL524127 NSH524127 OCD524127 OLZ524127 OVV524127 PFR524127 PPN524127 PZJ524127 QJF524127 QTB524127 RCX524127 RMT524127 RWP524127 SGL524127 SQH524127 TAD524127 TJZ524127 TTV524127 UDR524127 UNN524127 UXJ524127 VHF524127 VRB524127 WAX524127 WKT524127 WUP524127 ID589663 RZ589663 ABV589663 ALR589663 AVN589663 BFJ589663 BPF589663 BZB589663 CIX589663 CST589663 DCP589663 DML589663 DWH589663 EGD589663 EPZ589663 EZV589663 FJR589663 FTN589663 GDJ589663 GNF589663 GXB589663 HGX589663 HQT589663 IAP589663 IKL589663 IUH589663 JED589663 JNZ589663 JXV589663 KHR589663 KRN589663 LBJ589663 LLF589663 LVB589663 MEX589663 MOT589663 MYP589663 NIL589663 NSH589663 OCD589663 OLZ589663 OVV589663 PFR589663 PPN589663 PZJ589663 QJF589663 QTB589663 RCX589663 RMT589663 RWP589663 SGL589663 SQH589663 TAD589663 TJZ589663 TTV589663 UDR589663 UNN589663 UXJ589663 VHF589663 VRB589663 WAX589663 WKT589663 WUP589663 ID655199 RZ655199 ABV655199 ALR655199 AVN655199 BFJ655199 BPF655199 BZB655199 CIX655199 CST655199 DCP655199 DML655199 DWH655199 EGD655199 EPZ655199 EZV655199 FJR655199 FTN655199 GDJ655199 GNF655199 GXB655199 HGX655199 HQT655199 IAP655199 IKL655199 IUH655199 JED655199 JNZ655199 JXV655199 KHR655199 KRN655199 LBJ655199 LLF655199 LVB655199 MEX655199 MOT655199 MYP655199 NIL655199 NSH655199 OCD655199 OLZ655199 OVV655199 PFR655199 PPN655199 PZJ655199 QJF655199 QTB655199 RCX655199 RMT655199 RWP655199 SGL655199 SQH655199 TAD655199 TJZ655199 TTV655199 UDR655199 UNN655199 UXJ655199 VHF655199 VRB655199 WAX655199 WKT655199 WUP655199 ID720735 RZ720735 ABV720735 ALR720735 AVN720735 BFJ720735 BPF720735 BZB720735 CIX720735 CST720735 DCP720735 DML720735 DWH720735 EGD720735 EPZ720735 EZV720735 FJR720735 FTN720735 GDJ720735 GNF720735 GXB720735 HGX720735 HQT720735 IAP720735 IKL720735 IUH720735 JED720735 JNZ720735 JXV720735 KHR720735 KRN720735 LBJ720735 LLF720735 LVB720735 MEX720735 MOT720735 MYP720735 NIL720735 NSH720735 OCD720735 OLZ720735 OVV720735 PFR720735 PPN720735 PZJ720735 QJF720735 QTB720735 RCX720735 RMT720735 RWP720735 SGL720735 SQH720735 TAD720735 TJZ720735 TTV720735 UDR720735 UNN720735 UXJ720735 VHF720735 VRB720735 WAX720735 WKT720735 WUP720735 ID786271 RZ786271 ABV786271 ALR786271 AVN786271 BFJ786271 BPF786271 BZB786271 CIX786271 CST786271 DCP786271 DML786271 DWH786271 EGD786271 EPZ786271 EZV786271 FJR786271 FTN786271 GDJ786271 GNF786271 GXB786271 HGX786271 HQT786271 IAP786271 IKL786271 IUH786271 JED786271 JNZ786271 JXV786271 KHR786271 KRN786271 LBJ786271 LLF786271 LVB786271 MEX786271 MOT786271 MYP786271 NIL786271 NSH786271 OCD786271 OLZ786271 OVV786271 PFR786271 PPN786271 PZJ786271 QJF786271 QTB786271 RCX786271 RMT786271 RWP786271 SGL786271 SQH786271 TAD786271 TJZ786271 TTV786271 UDR786271 UNN786271 UXJ786271 VHF786271 VRB786271 WAX786271 WKT786271 WUP786271 ID851807 RZ851807 ABV851807 ALR851807 AVN851807 BFJ851807 BPF851807 BZB851807 CIX851807 CST851807 DCP851807 DML851807 DWH851807 EGD851807 EPZ851807 EZV851807 FJR851807 FTN851807 GDJ851807 GNF851807 GXB851807 HGX851807 HQT851807 IAP851807 IKL851807 IUH851807 JED851807 JNZ851807 JXV851807 KHR851807 KRN851807 LBJ851807 LLF851807 LVB851807 MEX851807 MOT851807 MYP851807 NIL851807 NSH851807 OCD851807 OLZ851807 OVV851807 PFR851807 PPN851807 PZJ851807 QJF851807 QTB851807 RCX851807 RMT851807 RWP851807 SGL851807 SQH851807 TAD851807 TJZ851807 TTV851807 UDR851807 UNN851807 UXJ851807 VHF851807 VRB851807 WAX851807 WKT851807 WUP851807 ID917343 RZ917343 ABV917343 ALR917343 AVN917343 BFJ917343 BPF917343 BZB917343 CIX917343 CST917343 DCP917343 DML917343 DWH917343 EGD917343 EPZ917343 EZV917343 FJR917343 FTN917343 GDJ917343 GNF917343 GXB917343 HGX917343 HQT917343 IAP917343 IKL917343 IUH917343 JED917343 JNZ917343 JXV917343 KHR917343 KRN917343 LBJ917343 LLF917343 LVB917343 MEX917343 MOT917343 MYP917343 NIL917343 NSH917343 OCD917343 OLZ917343 OVV917343 PFR917343 PPN917343 PZJ917343 QJF917343 QTB917343 RCX917343 RMT917343 RWP917343 SGL917343 SQH917343 TAD917343 TJZ917343 TTV917343 UDR917343 UNN917343 UXJ917343 VHF917343 VRB917343 WAX917343 WKT917343 WUP917343 ID982879 RZ982879 ABV982879 ALR982879 AVN982879 BFJ982879 BPF982879 BZB982879 CIX982879 CST982879 DCP982879 DML982879 DWH982879 EGD982879 EPZ982879 EZV982879 FJR982879 FTN982879 GDJ982879 GNF982879 GXB982879 HGX982879 HQT982879 IAP982879 IKL982879 IUH982879 JED982879 JNZ982879 JXV982879 KHR982879 KRN982879 LBJ982879 LLF982879 LVB982879 MEX982879 MOT982879 MYP982879 NIL982879 NSH982879 OCD982879 OLZ982879 OVV982879 PFR982879 PPN982879 PZJ982879 QJF982879 QTB982879 RCX982879 RMT982879 RWP982879 SGL982879 SQH982879 TAD982879 TJZ982879 TTV982879 UDR982879 UNN982879 UXJ982879 VHF982879 VRB982879 WAX982879 WKT982879 WUP982879 ID65330 RZ65330 ABV65330 ALR65330 AVN65330 BFJ65330 BPF65330 BZB65330 CIX65330 CST65330 DCP65330 DML65330 DWH65330 EGD65330 EPZ65330 EZV65330 FJR65330 FTN65330 GDJ65330 GNF65330 GXB65330 HGX65330 HQT65330 IAP65330 IKL65330 IUH65330 JED65330 JNZ65330 JXV65330 KHR65330 KRN65330 LBJ65330 LLF65330 LVB65330 MEX65330 MOT65330 MYP65330 NIL65330 NSH65330 OCD65330 OLZ65330 OVV65330 PFR65330 PPN65330 PZJ65330 QJF65330 QTB65330 RCX65330 RMT65330 RWP65330 SGL65330 SQH65330 TAD65330 TJZ65330 TTV65330 UDR65330 UNN65330 UXJ65330 VHF65330 VRB65330 WAX65330 WKT65330 WUP65330 ID130866 RZ130866 ABV130866 ALR130866 AVN130866 BFJ130866 BPF130866 BZB130866 CIX130866 CST130866 DCP130866 DML130866 DWH130866 EGD130866 EPZ130866 EZV130866 FJR130866 FTN130866 GDJ130866 GNF130866 GXB130866 HGX130866 HQT130866 IAP130866 IKL130866 IUH130866 JED130866 JNZ130866 JXV130866 KHR130866 KRN130866 LBJ130866 LLF130866 LVB130866 MEX130866 MOT130866 MYP130866 NIL130866 NSH130866 OCD130866 OLZ130866 OVV130866 PFR130866 PPN130866 PZJ130866 QJF130866 QTB130866 RCX130866 RMT130866 RWP130866 SGL130866 SQH130866 TAD130866 TJZ130866 TTV130866 UDR130866 UNN130866 UXJ130866 VHF130866 VRB130866 WAX130866 WKT130866 WUP130866 ID196402 RZ196402 ABV196402 ALR196402 AVN196402 BFJ196402 BPF196402 BZB196402 CIX196402 CST196402 DCP196402 DML196402 DWH196402 EGD196402 EPZ196402 EZV196402 FJR196402 FTN196402 GDJ196402 GNF196402 GXB196402 HGX196402 HQT196402 IAP196402 IKL196402 IUH196402 JED196402 JNZ196402 JXV196402 KHR196402 KRN196402 LBJ196402 LLF196402 LVB196402 MEX196402 MOT196402 MYP196402 NIL196402 NSH196402 OCD196402 OLZ196402 OVV196402 PFR196402 PPN196402 PZJ196402 QJF196402 QTB196402 RCX196402 RMT196402 RWP196402 SGL196402 SQH196402 TAD196402 TJZ196402 TTV196402 UDR196402 UNN196402 UXJ196402 VHF196402 VRB196402 WAX196402 WKT196402 WUP196402 ID261938 RZ261938 ABV261938 ALR261938 AVN261938 BFJ261938 BPF261938 BZB261938 CIX261938 CST261938 DCP261938 DML261938 DWH261938 EGD261938 EPZ261938 EZV261938 FJR261938 FTN261938 GDJ261938 GNF261938 GXB261938 HGX261938 HQT261938 IAP261938 IKL261938 IUH261938 JED261938 JNZ261938 JXV261938 KHR261938 KRN261938 LBJ261938 LLF261938 LVB261938 MEX261938 MOT261938 MYP261938 NIL261938 NSH261938 OCD261938 OLZ261938 OVV261938 PFR261938 PPN261938 PZJ261938 QJF261938 QTB261938 RCX261938 RMT261938 RWP261938 SGL261938 SQH261938 TAD261938 TJZ261938 TTV261938 UDR261938 UNN261938 UXJ261938 VHF261938 VRB261938 WAX261938 WKT261938 WUP261938 ID327474 RZ327474 ABV327474 ALR327474 AVN327474 BFJ327474 BPF327474 BZB327474 CIX327474 CST327474 DCP327474 DML327474 DWH327474 EGD327474 EPZ327474 EZV327474 FJR327474 FTN327474 GDJ327474 GNF327474 GXB327474 HGX327474 HQT327474 IAP327474 IKL327474 IUH327474 JED327474 JNZ327474 JXV327474 KHR327474 KRN327474 LBJ327474 LLF327474 LVB327474 MEX327474 MOT327474 MYP327474 NIL327474 NSH327474 OCD327474 OLZ327474 OVV327474 PFR327474 PPN327474 PZJ327474 QJF327474 QTB327474 RCX327474 RMT327474 RWP327474 SGL327474 SQH327474 TAD327474 TJZ327474 TTV327474 UDR327474 UNN327474 UXJ327474 VHF327474 VRB327474 WAX327474 WKT327474 WUP327474 ID393010 RZ393010 ABV393010 ALR393010 AVN393010 BFJ393010 BPF393010 BZB393010 CIX393010 CST393010 DCP393010 DML393010 DWH393010 EGD393010 EPZ393010 EZV393010 FJR393010 FTN393010 GDJ393010 GNF393010 GXB393010 HGX393010 HQT393010 IAP393010 IKL393010 IUH393010 JED393010 JNZ393010 JXV393010 KHR393010 KRN393010 LBJ393010 LLF393010 LVB393010 MEX393010 MOT393010 MYP393010 NIL393010 NSH393010 OCD393010 OLZ393010 OVV393010 PFR393010 PPN393010 PZJ393010 QJF393010 QTB393010 RCX393010 RMT393010 RWP393010 SGL393010 SQH393010 TAD393010 TJZ393010 TTV393010 UDR393010 UNN393010 UXJ393010 VHF393010 VRB393010 WAX393010 WKT393010 WUP393010 ID458546 RZ458546 ABV458546 ALR458546 AVN458546 BFJ458546 BPF458546 BZB458546 CIX458546 CST458546 DCP458546 DML458546 DWH458546 EGD458546 EPZ458546 EZV458546 FJR458546 FTN458546 GDJ458546 GNF458546 GXB458546 HGX458546 HQT458546 IAP458546 IKL458546 IUH458546 JED458546 JNZ458546 JXV458546 KHR458546 KRN458546 LBJ458546 LLF458546 LVB458546 MEX458546 MOT458546 MYP458546 NIL458546 NSH458546 OCD458546 OLZ458546 OVV458546 PFR458546 PPN458546 PZJ458546 QJF458546 QTB458546 RCX458546 RMT458546 RWP458546 SGL458546 SQH458546 TAD458546 TJZ458546 TTV458546 UDR458546 UNN458546 UXJ458546 VHF458546 VRB458546 WAX458546 WKT458546 WUP458546 ID524082 RZ524082 ABV524082 ALR524082 AVN524082 BFJ524082 BPF524082 BZB524082 CIX524082 CST524082 DCP524082 DML524082 DWH524082 EGD524082 EPZ524082 EZV524082 FJR524082 FTN524082 GDJ524082 GNF524082 GXB524082 HGX524082 HQT524082 IAP524082 IKL524082 IUH524082 JED524082 JNZ524082 JXV524082 KHR524082 KRN524082 LBJ524082 LLF524082 LVB524082 MEX524082 MOT524082 MYP524082 NIL524082 NSH524082 OCD524082 OLZ524082 OVV524082 PFR524082 PPN524082 PZJ524082 QJF524082 QTB524082 RCX524082 RMT524082 RWP524082 SGL524082 SQH524082 TAD524082 TJZ524082 TTV524082 UDR524082 UNN524082 UXJ524082 VHF524082 VRB524082 WAX524082 WKT524082 WUP524082 ID589618 RZ589618 ABV589618 ALR589618 AVN589618 BFJ589618 BPF589618 BZB589618 CIX589618 CST589618 DCP589618 DML589618 DWH589618 EGD589618 EPZ589618 EZV589618 FJR589618 FTN589618 GDJ589618 GNF589618 GXB589618 HGX589618 HQT589618 IAP589618 IKL589618 IUH589618 JED589618 JNZ589618 JXV589618 KHR589618 KRN589618 LBJ589618 LLF589618 LVB589618 MEX589618 MOT589618 MYP589618 NIL589618 NSH589618 OCD589618 OLZ589618 OVV589618 PFR589618 PPN589618 PZJ589618 QJF589618 QTB589618 RCX589618 RMT589618 RWP589618 SGL589618 SQH589618 TAD589618 TJZ589618 TTV589618 UDR589618 UNN589618 UXJ589618 VHF589618 VRB589618 WAX589618 WKT589618 WUP589618 ID655154 RZ655154 ABV655154 ALR655154 AVN655154 BFJ655154 BPF655154 BZB655154 CIX655154 CST655154 DCP655154 DML655154 DWH655154 EGD655154 EPZ655154 EZV655154 FJR655154 FTN655154 GDJ655154 GNF655154 GXB655154 HGX655154 HQT655154 IAP655154 IKL655154 IUH655154 JED655154 JNZ655154 JXV655154 KHR655154 KRN655154 LBJ655154 LLF655154 LVB655154 MEX655154 MOT655154 MYP655154 NIL655154 NSH655154 OCD655154 OLZ655154 OVV655154 PFR655154 PPN655154 PZJ655154 QJF655154 QTB655154 RCX655154 RMT655154 RWP655154 SGL655154 SQH655154 TAD655154 TJZ655154 TTV655154 UDR655154 UNN655154 UXJ655154 VHF655154 VRB655154 WAX655154 WKT655154 WUP655154 ID720690 RZ720690 ABV720690 ALR720690 AVN720690 BFJ720690 BPF720690 BZB720690 CIX720690 CST720690 DCP720690 DML720690 DWH720690 EGD720690 EPZ720690 EZV720690 FJR720690 FTN720690 GDJ720690 GNF720690 GXB720690 HGX720690 HQT720690 IAP720690 IKL720690 IUH720690 JED720690 JNZ720690 JXV720690 KHR720690 KRN720690 LBJ720690 LLF720690 LVB720690 MEX720690 MOT720690 MYP720690 NIL720690 NSH720690 OCD720690 OLZ720690 OVV720690 PFR720690 PPN720690 PZJ720690 QJF720690 QTB720690 RCX720690 RMT720690 RWP720690 SGL720690 SQH720690 TAD720690 TJZ720690 TTV720690 UDR720690 UNN720690 UXJ720690 VHF720690 VRB720690 WAX720690 WKT720690 WUP720690 ID786226 RZ786226 ABV786226 ALR786226 AVN786226 BFJ786226 BPF786226 BZB786226 CIX786226 CST786226 DCP786226 DML786226 DWH786226 EGD786226 EPZ786226 EZV786226 FJR786226 FTN786226 GDJ786226 GNF786226 GXB786226 HGX786226 HQT786226 IAP786226 IKL786226 IUH786226 JED786226 JNZ786226 JXV786226 KHR786226 KRN786226 LBJ786226 LLF786226 LVB786226 MEX786226 MOT786226 MYP786226 NIL786226 NSH786226 OCD786226 OLZ786226 OVV786226 PFR786226 PPN786226 PZJ786226 QJF786226 QTB786226 RCX786226 RMT786226 RWP786226 SGL786226 SQH786226 TAD786226 TJZ786226 TTV786226 UDR786226 UNN786226 UXJ786226 VHF786226 VRB786226 WAX786226 WKT786226 WUP786226 ID851762 RZ851762 ABV851762 ALR851762 AVN851762 BFJ851762 BPF851762 BZB851762 CIX851762 CST851762 DCP851762 DML851762 DWH851762 EGD851762 EPZ851762 EZV851762 FJR851762 FTN851762 GDJ851762 GNF851762 GXB851762 HGX851762 HQT851762 IAP851762 IKL851762 IUH851762 JED851762 JNZ851762 JXV851762 KHR851762 KRN851762 LBJ851762 LLF851762 LVB851762 MEX851762 MOT851762 MYP851762 NIL851762 NSH851762 OCD851762 OLZ851762 OVV851762 PFR851762 PPN851762 PZJ851762 QJF851762 QTB851762 RCX851762 RMT851762 RWP851762 SGL851762 SQH851762 TAD851762 TJZ851762 TTV851762 UDR851762 UNN851762 UXJ851762 VHF851762 VRB851762 WAX851762 WKT851762 WUP851762 ID917298 RZ917298 ABV917298 ALR917298 AVN917298 BFJ917298 BPF917298 BZB917298 CIX917298 CST917298 DCP917298 DML917298 DWH917298 EGD917298 EPZ917298 EZV917298 FJR917298 FTN917298 GDJ917298 GNF917298 GXB917298 HGX917298 HQT917298 IAP917298 IKL917298 IUH917298 JED917298 JNZ917298 JXV917298 KHR917298 KRN917298 LBJ917298 LLF917298 LVB917298 MEX917298 MOT917298 MYP917298 NIL917298 NSH917298 OCD917298 OLZ917298 OVV917298 PFR917298 PPN917298 PZJ917298 QJF917298 QTB917298 RCX917298 RMT917298 RWP917298 SGL917298 SQH917298 TAD917298 TJZ917298 TTV917298 UDR917298 UNN917298 UXJ917298 VHF917298 VRB917298 WAX917298 WKT917298 WUP917298 ID982834 RZ982834 ABV982834 ALR982834 AVN982834 BFJ982834 BPF982834 BZB982834 CIX982834 CST982834 DCP982834 DML982834 DWH982834 EGD982834 EPZ982834 EZV982834 FJR982834 FTN982834 GDJ982834 GNF982834 GXB982834 HGX982834 HQT982834 IAP982834 IKL982834 IUH982834 JED982834 JNZ982834 JXV982834 KHR982834 KRN982834 LBJ982834 LLF982834 LVB982834 MEX982834 MOT982834 MYP982834 NIL982834 NSH982834 OCD982834 OLZ982834 OVV982834 PFR982834 PPN982834 PZJ982834 QJF982834 QTB982834 RCX982834 RMT982834 RWP982834 SGL982834 SQH982834 TAD982834 TJZ982834 TTV982834 UDR982834 UNN982834 UXJ982834 VHF982834 VRB982834 WAX982834 WKT982834">
      <formula1>1</formula1>
      <formula2>12</formula2>
    </dataValidation>
    <dataValidation type="textLength" allowBlank="1" showInputMessage="1" showErrorMessage="1" error="Количество символов ИНН может быть 10 или 12 символов" sqref="WUP983136 ID271 RZ271 ABV271 ALR271 AVN271 BFJ271 BPF271 BZB271 CIX271 CST271 DCP271 DML271 DWH271 EGD271 EPZ271 EZV271 FJR271 FTN271 GDJ271 GNF271 GXB271 HGX271 HQT271 IAP271 IKL271 IUH271 JED271 JNZ271 JXV271 KHR271 KRN271 LBJ271 LLF271 LVB271 MEX271 MOT271 MYP271 NIL271 NSH271 OCD271 OLZ271 OVV271 PFR271 PPN271 PZJ271 QJF271 QTB271 RCX271 RMT271 RWP271 SGL271 SQH271 TAD271 TJZ271 TTV271 UDR271 UNN271 UXJ271 VHF271 VRB271 WAX271 WKT271 WUP271 ID65632 RZ65632 ABV65632 ALR65632 AVN65632 BFJ65632 BPF65632 BZB65632 CIX65632 CST65632 DCP65632 DML65632 DWH65632 EGD65632 EPZ65632 EZV65632 FJR65632 FTN65632 GDJ65632 GNF65632 GXB65632 HGX65632 HQT65632 IAP65632 IKL65632 IUH65632 JED65632 JNZ65632 JXV65632 KHR65632 KRN65632 LBJ65632 LLF65632 LVB65632 MEX65632 MOT65632 MYP65632 NIL65632 NSH65632 OCD65632 OLZ65632 OVV65632 PFR65632 PPN65632 PZJ65632 QJF65632 QTB65632 RCX65632 RMT65632 RWP65632 SGL65632 SQH65632 TAD65632 TJZ65632 TTV65632 UDR65632 UNN65632 UXJ65632 VHF65632 VRB65632 WAX65632 WKT65632 WUP65632 ID131168 RZ131168 ABV131168 ALR131168 AVN131168 BFJ131168 BPF131168 BZB131168 CIX131168 CST131168 DCP131168 DML131168 DWH131168 EGD131168 EPZ131168 EZV131168 FJR131168 FTN131168 GDJ131168 GNF131168 GXB131168 HGX131168 HQT131168 IAP131168 IKL131168 IUH131168 JED131168 JNZ131168 JXV131168 KHR131168 KRN131168 LBJ131168 LLF131168 LVB131168 MEX131168 MOT131168 MYP131168 NIL131168 NSH131168 OCD131168 OLZ131168 OVV131168 PFR131168 PPN131168 PZJ131168 QJF131168 QTB131168 RCX131168 RMT131168 RWP131168 SGL131168 SQH131168 TAD131168 TJZ131168 TTV131168 UDR131168 UNN131168 UXJ131168 VHF131168 VRB131168 WAX131168 WKT131168 WUP131168 ID196704 RZ196704 ABV196704 ALR196704 AVN196704 BFJ196704 BPF196704 BZB196704 CIX196704 CST196704 DCP196704 DML196704 DWH196704 EGD196704 EPZ196704 EZV196704 FJR196704 FTN196704 GDJ196704 GNF196704 GXB196704 HGX196704 HQT196704 IAP196704 IKL196704 IUH196704 JED196704 JNZ196704 JXV196704 KHR196704 KRN196704 LBJ196704 LLF196704 LVB196704 MEX196704 MOT196704 MYP196704 NIL196704 NSH196704 OCD196704 OLZ196704 OVV196704 PFR196704 PPN196704 PZJ196704 QJF196704 QTB196704 RCX196704 RMT196704 RWP196704 SGL196704 SQH196704 TAD196704 TJZ196704 TTV196704 UDR196704 UNN196704 UXJ196704 VHF196704 VRB196704 WAX196704 WKT196704 WUP196704 ID262240 RZ262240 ABV262240 ALR262240 AVN262240 BFJ262240 BPF262240 BZB262240 CIX262240 CST262240 DCP262240 DML262240 DWH262240 EGD262240 EPZ262240 EZV262240 FJR262240 FTN262240 GDJ262240 GNF262240 GXB262240 HGX262240 HQT262240 IAP262240 IKL262240 IUH262240 JED262240 JNZ262240 JXV262240 KHR262240 KRN262240 LBJ262240 LLF262240 LVB262240 MEX262240 MOT262240 MYP262240 NIL262240 NSH262240 OCD262240 OLZ262240 OVV262240 PFR262240 PPN262240 PZJ262240 QJF262240 QTB262240 RCX262240 RMT262240 RWP262240 SGL262240 SQH262240 TAD262240 TJZ262240 TTV262240 UDR262240 UNN262240 UXJ262240 VHF262240 VRB262240 WAX262240 WKT262240 WUP262240 ID327776 RZ327776 ABV327776 ALR327776 AVN327776 BFJ327776 BPF327776 BZB327776 CIX327776 CST327776 DCP327776 DML327776 DWH327776 EGD327776 EPZ327776 EZV327776 FJR327776 FTN327776 GDJ327776 GNF327776 GXB327776 HGX327776 HQT327776 IAP327776 IKL327776 IUH327776 JED327776 JNZ327776 JXV327776 KHR327776 KRN327776 LBJ327776 LLF327776 LVB327776 MEX327776 MOT327776 MYP327776 NIL327776 NSH327776 OCD327776 OLZ327776 OVV327776 PFR327776 PPN327776 PZJ327776 QJF327776 QTB327776 RCX327776 RMT327776 RWP327776 SGL327776 SQH327776 TAD327776 TJZ327776 TTV327776 UDR327776 UNN327776 UXJ327776 VHF327776 VRB327776 WAX327776 WKT327776 WUP327776 ID393312 RZ393312 ABV393312 ALR393312 AVN393312 BFJ393312 BPF393312 BZB393312 CIX393312 CST393312 DCP393312 DML393312 DWH393312 EGD393312 EPZ393312 EZV393312 FJR393312 FTN393312 GDJ393312 GNF393312 GXB393312 HGX393312 HQT393312 IAP393312 IKL393312 IUH393312 JED393312 JNZ393312 JXV393312 KHR393312 KRN393312 LBJ393312 LLF393312 LVB393312 MEX393312 MOT393312 MYP393312 NIL393312 NSH393312 OCD393312 OLZ393312 OVV393312 PFR393312 PPN393312 PZJ393312 QJF393312 QTB393312 RCX393312 RMT393312 RWP393312 SGL393312 SQH393312 TAD393312 TJZ393312 TTV393312 UDR393312 UNN393312 UXJ393312 VHF393312 VRB393312 WAX393312 WKT393312 WUP393312 ID458848 RZ458848 ABV458848 ALR458848 AVN458848 BFJ458848 BPF458848 BZB458848 CIX458848 CST458848 DCP458848 DML458848 DWH458848 EGD458848 EPZ458848 EZV458848 FJR458848 FTN458848 GDJ458848 GNF458848 GXB458848 HGX458848 HQT458848 IAP458848 IKL458848 IUH458848 JED458848 JNZ458848 JXV458848 KHR458848 KRN458848 LBJ458848 LLF458848 LVB458848 MEX458848 MOT458848 MYP458848 NIL458848 NSH458848 OCD458848 OLZ458848 OVV458848 PFR458848 PPN458848 PZJ458848 QJF458848 QTB458848 RCX458848 RMT458848 RWP458848 SGL458848 SQH458848 TAD458848 TJZ458848 TTV458848 UDR458848 UNN458848 UXJ458848 VHF458848 VRB458848 WAX458848 WKT458848 WUP458848 ID524384 RZ524384 ABV524384 ALR524384 AVN524384 BFJ524384 BPF524384 BZB524384 CIX524384 CST524384 DCP524384 DML524384 DWH524384 EGD524384 EPZ524384 EZV524384 FJR524384 FTN524384 GDJ524384 GNF524384 GXB524384 HGX524384 HQT524384 IAP524384 IKL524384 IUH524384 JED524384 JNZ524384 JXV524384 KHR524384 KRN524384 LBJ524384 LLF524384 LVB524384 MEX524384 MOT524384 MYP524384 NIL524384 NSH524384 OCD524384 OLZ524384 OVV524384 PFR524384 PPN524384 PZJ524384 QJF524384 QTB524384 RCX524384 RMT524384 RWP524384 SGL524384 SQH524384 TAD524384 TJZ524384 TTV524384 UDR524384 UNN524384 UXJ524384 VHF524384 VRB524384 WAX524384 WKT524384 WUP524384 ID589920 RZ589920 ABV589920 ALR589920 AVN589920 BFJ589920 BPF589920 BZB589920 CIX589920 CST589920 DCP589920 DML589920 DWH589920 EGD589920 EPZ589920 EZV589920 FJR589920 FTN589920 GDJ589920 GNF589920 GXB589920 HGX589920 HQT589920 IAP589920 IKL589920 IUH589920 JED589920 JNZ589920 JXV589920 KHR589920 KRN589920 LBJ589920 LLF589920 LVB589920 MEX589920 MOT589920 MYP589920 NIL589920 NSH589920 OCD589920 OLZ589920 OVV589920 PFR589920 PPN589920 PZJ589920 QJF589920 QTB589920 RCX589920 RMT589920 RWP589920 SGL589920 SQH589920 TAD589920 TJZ589920 TTV589920 UDR589920 UNN589920 UXJ589920 VHF589920 VRB589920 WAX589920 WKT589920 WUP589920 ID655456 RZ655456 ABV655456 ALR655456 AVN655456 BFJ655456 BPF655456 BZB655456 CIX655456 CST655456 DCP655456 DML655456 DWH655456 EGD655456 EPZ655456 EZV655456 FJR655456 FTN655456 GDJ655456 GNF655456 GXB655456 HGX655456 HQT655456 IAP655456 IKL655456 IUH655456 JED655456 JNZ655456 JXV655456 KHR655456 KRN655456 LBJ655456 LLF655456 LVB655456 MEX655456 MOT655456 MYP655456 NIL655456 NSH655456 OCD655456 OLZ655456 OVV655456 PFR655456 PPN655456 PZJ655456 QJF655456 QTB655456 RCX655456 RMT655456 RWP655456 SGL655456 SQH655456 TAD655456 TJZ655456 TTV655456 UDR655456 UNN655456 UXJ655456 VHF655456 VRB655456 WAX655456 WKT655456 WUP655456 ID720992 RZ720992 ABV720992 ALR720992 AVN720992 BFJ720992 BPF720992 BZB720992 CIX720992 CST720992 DCP720992 DML720992 DWH720992 EGD720992 EPZ720992 EZV720992 FJR720992 FTN720992 GDJ720992 GNF720992 GXB720992 HGX720992 HQT720992 IAP720992 IKL720992 IUH720992 JED720992 JNZ720992 JXV720992 KHR720992 KRN720992 LBJ720992 LLF720992 LVB720992 MEX720992 MOT720992 MYP720992 NIL720992 NSH720992 OCD720992 OLZ720992 OVV720992 PFR720992 PPN720992 PZJ720992 QJF720992 QTB720992 RCX720992 RMT720992 RWP720992 SGL720992 SQH720992 TAD720992 TJZ720992 TTV720992 UDR720992 UNN720992 UXJ720992 VHF720992 VRB720992 WAX720992 WKT720992 WUP720992 ID786528 RZ786528 ABV786528 ALR786528 AVN786528 BFJ786528 BPF786528 BZB786528 CIX786528 CST786528 DCP786528 DML786528 DWH786528 EGD786528 EPZ786528 EZV786528 FJR786528 FTN786528 GDJ786528 GNF786528 GXB786528 HGX786528 HQT786528 IAP786528 IKL786528 IUH786528 JED786528 JNZ786528 JXV786528 KHR786528 KRN786528 LBJ786528 LLF786528 LVB786528 MEX786528 MOT786528 MYP786528 NIL786528 NSH786528 OCD786528 OLZ786528 OVV786528 PFR786528 PPN786528 PZJ786528 QJF786528 QTB786528 RCX786528 RMT786528 RWP786528 SGL786528 SQH786528 TAD786528 TJZ786528 TTV786528 UDR786528 UNN786528 UXJ786528 VHF786528 VRB786528 WAX786528 WKT786528 WUP786528 ID852064 RZ852064 ABV852064 ALR852064 AVN852064 BFJ852064 BPF852064 BZB852064 CIX852064 CST852064 DCP852064 DML852064 DWH852064 EGD852064 EPZ852064 EZV852064 FJR852064 FTN852064 GDJ852064 GNF852064 GXB852064 HGX852064 HQT852064 IAP852064 IKL852064 IUH852064 JED852064 JNZ852064 JXV852064 KHR852064 KRN852064 LBJ852064 LLF852064 LVB852064 MEX852064 MOT852064 MYP852064 NIL852064 NSH852064 OCD852064 OLZ852064 OVV852064 PFR852064 PPN852064 PZJ852064 QJF852064 QTB852064 RCX852064 RMT852064 RWP852064 SGL852064 SQH852064 TAD852064 TJZ852064 TTV852064 UDR852064 UNN852064 UXJ852064 VHF852064 VRB852064 WAX852064 WKT852064 WUP852064 ID917600 RZ917600 ABV917600 ALR917600 AVN917600 BFJ917600 BPF917600 BZB917600 CIX917600 CST917600 DCP917600 DML917600 DWH917600 EGD917600 EPZ917600 EZV917600 FJR917600 FTN917600 GDJ917600 GNF917600 GXB917600 HGX917600 HQT917600 IAP917600 IKL917600 IUH917600 JED917600 JNZ917600 JXV917600 KHR917600 KRN917600 LBJ917600 LLF917600 LVB917600 MEX917600 MOT917600 MYP917600 NIL917600 NSH917600 OCD917600 OLZ917600 OVV917600 PFR917600 PPN917600 PZJ917600 QJF917600 QTB917600 RCX917600 RMT917600 RWP917600 SGL917600 SQH917600 TAD917600 TJZ917600 TTV917600 UDR917600 UNN917600 UXJ917600 VHF917600 VRB917600 WAX917600 WKT917600 WUP917600 ID983136 RZ983136 ABV983136 ALR983136 AVN983136 BFJ983136 BPF983136 BZB983136 CIX983136 CST983136 DCP983136 DML983136 DWH983136 EGD983136 EPZ983136 EZV983136 FJR983136 FTN983136 GDJ983136 GNF983136 GXB983136 HGX983136 HQT983136 IAP983136 IKL983136 IUH983136 JED983136 JNZ983136 JXV983136 KHR983136 KRN983136 LBJ983136 LLF983136 LVB983136 MEX983136 MOT983136 MYP983136 NIL983136 NSH983136 OCD983136 OLZ983136 OVV983136 PFR983136 PPN983136 PZJ983136 QJF983136 QTB983136 RCX983136 RMT983136 RWP983136 SGL983136 SQH983136 TAD983136 TJZ983136 TTV983136 UDR983136 UNN983136 UXJ983136 VHF983136 VRB983136 WAX983136 WKT983136">
      <formula1>10</formula1>
      <formula2>12</formula2>
    </dataValidation>
    <dataValidation type="textLength" operator="equal" allowBlank="1" showInputMessage="1" showErrorMessage="1" errorTitle="Ошибка ввода ОКАТО" error="Длина кода ОКАТО должна состалять 11 символов" sqref="IH66264 WUT36 WKX36 WBB36 VRF36 VHJ36 UXN36 UNR36 UDV36 TTZ36 TKD36 TAH36 SQL36 SGP36 RWT36 RMX36 RDB36 QTF36 QJJ36 PZN36 PPR36 PFV36 OVZ36 OMD36 OCH36 NSL36 NIP36 MYT36 MOX36 MFB36 LVF36 LLJ36 LBN36 KRR36 KHV36 JXZ36 JOD36 JEH36 IUL36 IKP36 IAT36 HQX36 HHB36 GXF36 GNJ36 GDN36 FTR36 FJV36 EZZ36 EQD36 EGH36 DWL36 DMP36 DCT36 CSX36 CJB36 BZF36 BPJ36 BFN36 AVR36 ALV36 ABZ36 SD36 IH36 IH787 SD787 ABZ787 ALV787 AVR787 BFN787 BPJ787 BZF787 CJB787 CSX787 DCT787 DMP787 DWL787 EGH787 EQD787 EZZ787 FJV787 FTR787 GDN787 GNJ787 GXF787 HHB787 HQX787 IAT787 IKP787 IUL787 JEH787 JOD787 JXZ787 KHV787 KRR787 LBN787 LLJ787 LVF787 MFB787 MOX787 MYT787 NIP787 NSL787 OCH787 OMD787 OVZ787 PFV787 PPR787 PZN787 QJJ787 QTF787 RDB787 RMX787 RWT787 SGP787 SQL787 TAH787 TKD787 TTZ787 UDV787 UNR787 UXN787 VHJ787 VRF787 WBB787 WKX787 WUT787 IH321:IH322 SD321:SD322 ABZ321:ABZ322 ALV321:ALV322 AVR321:AVR322 BFN321:BFN322 BPJ321:BPJ322 BZF321:BZF322 CJB321:CJB322 CSX321:CSX322 DCT321:DCT322 DMP321:DMP322 DWL321:DWL322 EGH321:EGH322 EQD321:EQD322 EZZ321:EZZ322 FJV321:FJV322 FTR321:FTR322 GDN321:GDN322 GNJ321:GNJ322 GXF321:GXF322 HHB321:HHB322 HQX321:HQX322 IAT321:IAT322 IKP321:IKP322 IUL321:IUL322 JEH321:JEH322 JOD321:JOD322 JXZ321:JXZ322 KHV321:KHV322 KRR321:KRR322 LBN321:LBN322 LLJ321:LLJ322 LVF321:LVF322 MFB321:MFB322 MOX321:MOX322 MYT321:MYT322 NIP321:NIP322 NSL321:NSL322 OCH321:OCH322 OMD321:OMD322 OVZ321:OVZ322 PFV321:PFV322 PPR321:PPR322 PZN321:PZN322 QJJ321:QJJ322 QTF321:QTF322 RDB321:RDB322 RMX321:RMX322 RWT321:RWT322 SGP321:SGP322 SQL321:SQL322 TAH321:TAH322 TKD321:TKD322 TTZ321:TTZ322 UDV321:UDV322 UNR321:UNR322 UXN321:UXN322 VHJ321:VHJ322 VRF321:VRF322 WBB321:WBB322 WKX321:WKX322 WUT321:WUT322 WUT306:WUT307 WKX306:WKX307 WBB306:WBB307 VRF306:VRF307 VHJ306:VHJ307 UXN306:UXN307 UNR306:UNR307 UDV306:UDV307 TTZ306:TTZ307 TKD306:TKD307 TAH306:TAH307 SQL306:SQL307 SGP306:SGP307 RWT306:RWT307 RMX306:RMX307 RDB306:RDB307 QTF306:QTF307 QJJ306:QJJ307 PZN306:PZN307 PPR306:PPR307 PFV306:PFV307 OVZ306:OVZ307 OMD306:OMD307 OCH306:OCH307 NSL306:NSL307 NIP306:NIP307 MYT306:MYT307 MOX306:MOX307 MFB306:MFB307 LVF306:LVF307 LLJ306:LLJ307 LBN306:LBN307 KRR306:KRR307 KHV306:KHV307 JXZ306:JXZ307 JOD306:JOD307 JEH306:JEH307 IUL306:IUL307 IKP306:IKP307 IAT306:IAT307 HQX306:HQX307 HHB306:HHB307 GXF306:GXF307 GNJ306:GNJ307 GDN306:GDN307 FTR306:FTR307 FJV306:FJV307 EZZ306:EZZ307 EQD306:EQD307 EGH306:EGH307 DWL306:DWL307 DMP306:DMP307 DCT306:DCT307 CSX306:CSX307 CJB306:CJB307 BZF306:BZF307 BPJ306:BPJ307 BFN306:BFN307 AVR306:AVR307 ALV306:ALV307 ABZ306:ABZ307 SD306:SD307 IH306:IH307 SD66264 ABZ66264 ALV66264 AVR66264 BFN66264 BPJ66264 BZF66264 CJB66264 CSX66264 DCT66264 DMP66264 DWL66264 EGH66264 EQD66264 EZZ66264 FJV66264 FTR66264 GDN66264 GNJ66264 GXF66264 HHB66264 HQX66264 IAT66264 IKP66264 IUL66264 JEH66264 JOD66264 JXZ66264 KHV66264 KRR66264 LBN66264 LLJ66264 LVF66264 MFB66264 MOX66264 MYT66264 NIP66264 NSL66264 OCH66264 OMD66264 OVZ66264 PFV66264 PPR66264 PZN66264 QJJ66264 QTF66264 RDB66264 RMX66264 RWT66264 SGP66264 SQL66264 TAH66264 TKD66264 TTZ66264 UDV66264 UNR66264 UXN66264 VHJ66264 VRF66264 WBB66264 WKX66264 WUT66264 IH131800 SD131800 ABZ131800 ALV131800 AVR131800 BFN131800 BPJ131800 BZF131800 CJB131800 CSX131800 DCT131800 DMP131800 DWL131800 EGH131800 EQD131800 EZZ131800 FJV131800 FTR131800 GDN131800 GNJ131800 GXF131800 HHB131800 HQX131800 IAT131800 IKP131800 IUL131800 JEH131800 JOD131800 JXZ131800 KHV131800 KRR131800 LBN131800 LLJ131800 LVF131800 MFB131800 MOX131800 MYT131800 NIP131800 NSL131800 OCH131800 OMD131800 OVZ131800 PFV131800 PPR131800 PZN131800 QJJ131800 QTF131800 RDB131800 RMX131800 RWT131800 SGP131800 SQL131800 TAH131800 TKD131800 TTZ131800 UDV131800 UNR131800 UXN131800 VHJ131800 VRF131800 WBB131800 WKX131800 WUT131800 IH197336 SD197336 ABZ197336 ALV197336 AVR197336 BFN197336 BPJ197336 BZF197336 CJB197336 CSX197336 DCT197336 DMP197336 DWL197336 EGH197336 EQD197336 EZZ197336 FJV197336 FTR197336 GDN197336 GNJ197336 GXF197336 HHB197336 HQX197336 IAT197336 IKP197336 IUL197336 JEH197336 JOD197336 JXZ197336 KHV197336 KRR197336 LBN197336 LLJ197336 LVF197336 MFB197336 MOX197336 MYT197336 NIP197336 NSL197336 OCH197336 OMD197336 OVZ197336 PFV197336 PPR197336 PZN197336 QJJ197336 QTF197336 RDB197336 RMX197336 RWT197336 SGP197336 SQL197336 TAH197336 TKD197336 TTZ197336 UDV197336 UNR197336 UXN197336 VHJ197336 VRF197336 WBB197336 WKX197336 WUT197336 IH262872 SD262872 ABZ262872 ALV262872 AVR262872 BFN262872 BPJ262872 BZF262872 CJB262872 CSX262872 DCT262872 DMP262872 DWL262872 EGH262872 EQD262872 EZZ262872 FJV262872 FTR262872 GDN262872 GNJ262872 GXF262872 HHB262872 HQX262872 IAT262872 IKP262872 IUL262872 JEH262872 JOD262872 JXZ262872 KHV262872 KRR262872 LBN262872 LLJ262872 LVF262872 MFB262872 MOX262872 MYT262872 NIP262872 NSL262872 OCH262872 OMD262872 OVZ262872 PFV262872 PPR262872 PZN262872 QJJ262872 QTF262872 RDB262872 RMX262872 RWT262872 SGP262872 SQL262872 TAH262872 TKD262872 TTZ262872 UDV262872 UNR262872 UXN262872 VHJ262872 VRF262872 WBB262872 WKX262872 WUT262872 IH328408 SD328408 ABZ328408 ALV328408 AVR328408 BFN328408 BPJ328408 BZF328408 CJB328408 CSX328408 DCT328408 DMP328408 DWL328408 EGH328408 EQD328408 EZZ328408 FJV328408 FTR328408 GDN328408 GNJ328408 GXF328408 HHB328408 HQX328408 IAT328408 IKP328408 IUL328408 JEH328408 JOD328408 JXZ328408 KHV328408 KRR328408 LBN328408 LLJ328408 LVF328408 MFB328408 MOX328408 MYT328408 NIP328408 NSL328408 OCH328408 OMD328408 OVZ328408 PFV328408 PPR328408 PZN328408 QJJ328408 QTF328408 RDB328408 RMX328408 RWT328408 SGP328408 SQL328408 TAH328408 TKD328408 TTZ328408 UDV328408 UNR328408 UXN328408 VHJ328408 VRF328408 WBB328408 WKX328408 WUT328408 IH393944 SD393944 ABZ393944 ALV393944 AVR393944 BFN393944 BPJ393944 BZF393944 CJB393944 CSX393944 DCT393944 DMP393944 DWL393944 EGH393944 EQD393944 EZZ393944 FJV393944 FTR393944 GDN393944 GNJ393944 GXF393944 HHB393944 HQX393944 IAT393944 IKP393944 IUL393944 JEH393944 JOD393944 JXZ393944 KHV393944 KRR393944 LBN393944 LLJ393944 LVF393944 MFB393944 MOX393944 MYT393944 NIP393944 NSL393944 OCH393944 OMD393944 OVZ393944 PFV393944 PPR393944 PZN393944 QJJ393944 QTF393944 RDB393944 RMX393944 RWT393944 SGP393944 SQL393944 TAH393944 TKD393944 TTZ393944 UDV393944 UNR393944 UXN393944 VHJ393944 VRF393944 WBB393944 WKX393944 WUT393944 IH459480 SD459480 ABZ459480 ALV459480 AVR459480 BFN459480 BPJ459480 BZF459480 CJB459480 CSX459480 DCT459480 DMP459480 DWL459480 EGH459480 EQD459480 EZZ459480 FJV459480 FTR459480 GDN459480 GNJ459480 GXF459480 HHB459480 HQX459480 IAT459480 IKP459480 IUL459480 JEH459480 JOD459480 JXZ459480 KHV459480 KRR459480 LBN459480 LLJ459480 LVF459480 MFB459480 MOX459480 MYT459480 NIP459480 NSL459480 OCH459480 OMD459480 OVZ459480 PFV459480 PPR459480 PZN459480 QJJ459480 QTF459480 RDB459480 RMX459480 RWT459480 SGP459480 SQL459480 TAH459480 TKD459480 TTZ459480 UDV459480 UNR459480 UXN459480 VHJ459480 VRF459480 WBB459480 WKX459480 WUT459480 IH525016 SD525016 ABZ525016 ALV525016 AVR525016 BFN525016 BPJ525016 BZF525016 CJB525016 CSX525016 DCT525016 DMP525016 DWL525016 EGH525016 EQD525016 EZZ525016 FJV525016 FTR525016 GDN525016 GNJ525016 GXF525016 HHB525016 HQX525016 IAT525016 IKP525016 IUL525016 JEH525016 JOD525016 JXZ525016 KHV525016 KRR525016 LBN525016 LLJ525016 LVF525016 MFB525016 MOX525016 MYT525016 NIP525016 NSL525016 OCH525016 OMD525016 OVZ525016 PFV525016 PPR525016 PZN525016 QJJ525016 QTF525016 RDB525016 RMX525016 RWT525016 SGP525016 SQL525016 TAH525016 TKD525016 TTZ525016 UDV525016 UNR525016 UXN525016 VHJ525016 VRF525016 WBB525016 WKX525016 WUT525016 IH590552 SD590552 ABZ590552 ALV590552 AVR590552 BFN590552 BPJ590552 BZF590552 CJB590552 CSX590552 DCT590552 DMP590552 DWL590552 EGH590552 EQD590552 EZZ590552 FJV590552 FTR590552 GDN590552 GNJ590552 GXF590552 HHB590552 HQX590552 IAT590552 IKP590552 IUL590552 JEH590552 JOD590552 JXZ590552 KHV590552 KRR590552 LBN590552 LLJ590552 LVF590552 MFB590552 MOX590552 MYT590552 NIP590552 NSL590552 OCH590552 OMD590552 OVZ590552 PFV590552 PPR590552 PZN590552 QJJ590552 QTF590552 RDB590552 RMX590552 RWT590552 SGP590552 SQL590552 TAH590552 TKD590552 TTZ590552 UDV590552 UNR590552 UXN590552 VHJ590552 VRF590552 WBB590552 WKX590552 WUT590552 IH656088 SD656088 ABZ656088 ALV656088 AVR656088 BFN656088 BPJ656088 BZF656088 CJB656088 CSX656088 DCT656088 DMP656088 DWL656088 EGH656088 EQD656088 EZZ656088 FJV656088 FTR656088 GDN656088 GNJ656088 GXF656088 HHB656088 HQX656088 IAT656088 IKP656088 IUL656088 JEH656088 JOD656088 JXZ656088 KHV656088 KRR656088 LBN656088 LLJ656088 LVF656088 MFB656088 MOX656088 MYT656088 NIP656088 NSL656088 OCH656088 OMD656088 OVZ656088 PFV656088 PPR656088 PZN656088 QJJ656088 QTF656088 RDB656088 RMX656088 RWT656088 SGP656088 SQL656088 TAH656088 TKD656088 TTZ656088 UDV656088 UNR656088 UXN656088 VHJ656088 VRF656088 WBB656088 WKX656088 WUT656088 IH721624 SD721624 ABZ721624 ALV721624 AVR721624 BFN721624 BPJ721624 BZF721624 CJB721624 CSX721624 DCT721624 DMP721624 DWL721624 EGH721624 EQD721624 EZZ721624 FJV721624 FTR721624 GDN721624 GNJ721624 GXF721624 HHB721624 HQX721624 IAT721624 IKP721624 IUL721624 JEH721624 JOD721624 JXZ721624 KHV721624 KRR721624 LBN721624 LLJ721624 LVF721624 MFB721624 MOX721624 MYT721624 NIP721624 NSL721624 OCH721624 OMD721624 OVZ721624 PFV721624 PPR721624 PZN721624 QJJ721624 QTF721624 RDB721624 RMX721624 RWT721624 SGP721624 SQL721624 TAH721624 TKD721624 TTZ721624 UDV721624 UNR721624 UXN721624 VHJ721624 VRF721624 WBB721624 WKX721624 WUT721624 IH787160 SD787160 ABZ787160 ALV787160 AVR787160 BFN787160 BPJ787160 BZF787160 CJB787160 CSX787160 DCT787160 DMP787160 DWL787160 EGH787160 EQD787160 EZZ787160 FJV787160 FTR787160 GDN787160 GNJ787160 GXF787160 HHB787160 HQX787160 IAT787160 IKP787160 IUL787160 JEH787160 JOD787160 JXZ787160 KHV787160 KRR787160 LBN787160 LLJ787160 LVF787160 MFB787160 MOX787160 MYT787160 NIP787160 NSL787160 OCH787160 OMD787160 OVZ787160 PFV787160 PPR787160 PZN787160 QJJ787160 QTF787160 RDB787160 RMX787160 RWT787160 SGP787160 SQL787160 TAH787160 TKD787160 TTZ787160 UDV787160 UNR787160 UXN787160 VHJ787160 VRF787160 WBB787160 WKX787160 WUT787160 IH852696 SD852696 ABZ852696 ALV852696 AVR852696 BFN852696 BPJ852696 BZF852696 CJB852696 CSX852696 DCT852696 DMP852696 DWL852696 EGH852696 EQD852696 EZZ852696 FJV852696 FTR852696 GDN852696 GNJ852696 GXF852696 HHB852696 HQX852696 IAT852696 IKP852696 IUL852696 JEH852696 JOD852696 JXZ852696 KHV852696 KRR852696 LBN852696 LLJ852696 LVF852696 MFB852696 MOX852696 MYT852696 NIP852696 NSL852696 OCH852696 OMD852696 OVZ852696 PFV852696 PPR852696 PZN852696 QJJ852696 QTF852696 RDB852696 RMX852696 RWT852696 SGP852696 SQL852696 TAH852696 TKD852696 TTZ852696 UDV852696 UNR852696 UXN852696 VHJ852696 VRF852696 WBB852696 WKX852696 WUT852696 IH918232 SD918232 ABZ918232 ALV918232 AVR918232 BFN918232 BPJ918232 BZF918232 CJB918232 CSX918232 DCT918232 DMP918232 DWL918232 EGH918232 EQD918232 EZZ918232 FJV918232 FTR918232 GDN918232 GNJ918232 GXF918232 HHB918232 HQX918232 IAT918232 IKP918232 IUL918232 JEH918232 JOD918232 JXZ918232 KHV918232 KRR918232 LBN918232 LLJ918232 LVF918232 MFB918232 MOX918232 MYT918232 NIP918232 NSL918232 OCH918232 OMD918232 OVZ918232 PFV918232 PPR918232 PZN918232 QJJ918232 QTF918232 RDB918232 RMX918232 RWT918232 SGP918232 SQL918232 TAH918232 TKD918232 TTZ918232 UDV918232 UNR918232 UXN918232 VHJ918232 VRF918232 WBB918232 WKX918232 WUT918232 IH983768 SD983768 ABZ983768 ALV983768 AVR983768 BFN983768 BPJ983768 BZF983768 CJB983768 CSX983768 DCT983768 DMP983768 DWL983768 EGH983768 EQD983768 EZZ983768 FJV983768 FTR983768 GDN983768 GNJ983768 GXF983768 HHB983768 HQX983768 IAT983768 IKP983768 IUL983768 JEH983768 JOD983768 JXZ983768 KHV983768 KRR983768 LBN983768 LLJ983768 LVF983768 MFB983768 MOX983768 MYT983768 NIP983768 NSL983768 OCH983768 OMD983768 OVZ983768 PFV983768 PPR983768 PZN983768 QJJ983768 QTF983768 RDB983768 RMX983768 RWT983768 SGP983768 SQL983768 TAH983768 TKD983768 TTZ983768 UDV983768 UNR983768 UXN983768 VHJ983768 VRF983768 WBB983768 WKX983768 WUT983768 IH65706:IH65707 SD65706:SD65707 ABZ65706:ABZ65707 ALV65706:ALV65707 AVR65706:AVR65707 BFN65706:BFN65707 BPJ65706:BPJ65707 BZF65706:BZF65707 CJB65706:CJB65707 CSX65706:CSX65707 DCT65706:DCT65707 DMP65706:DMP65707 DWL65706:DWL65707 EGH65706:EGH65707 EQD65706:EQD65707 EZZ65706:EZZ65707 FJV65706:FJV65707 FTR65706:FTR65707 GDN65706:GDN65707 GNJ65706:GNJ65707 GXF65706:GXF65707 HHB65706:HHB65707 HQX65706:HQX65707 IAT65706:IAT65707 IKP65706:IKP65707 IUL65706:IUL65707 JEH65706:JEH65707 JOD65706:JOD65707 JXZ65706:JXZ65707 KHV65706:KHV65707 KRR65706:KRR65707 LBN65706:LBN65707 LLJ65706:LLJ65707 LVF65706:LVF65707 MFB65706:MFB65707 MOX65706:MOX65707 MYT65706:MYT65707 NIP65706:NIP65707 NSL65706:NSL65707 OCH65706:OCH65707 OMD65706:OMD65707 OVZ65706:OVZ65707 PFV65706:PFV65707 PPR65706:PPR65707 PZN65706:PZN65707 QJJ65706:QJJ65707 QTF65706:QTF65707 RDB65706:RDB65707 RMX65706:RMX65707 RWT65706:RWT65707 SGP65706:SGP65707 SQL65706:SQL65707 TAH65706:TAH65707 TKD65706:TKD65707 TTZ65706:TTZ65707 UDV65706:UDV65707 UNR65706:UNR65707 UXN65706:UXN65707 VHJ65706:VHJ65707 VRF65706:VRF65707 WBB65706:WBB65707 WKX65706:WKX65707 WUT65706:WUT65707 IH131242:IH131243 SD131242:SD131243 ABZ131242:ABZ131243 ALV131242:ALV131243 AVR131242:AVR131243 BFN131242:BFN131243 BPJ131242:BPJ131243 BZF131242:BZF131243 CJB131242:CJB131243 CSX131242:CSX131243 DCT131242:DCT131243 DMP131242:DMP131243 DWL131242:DWL131243 EGH131242:EGH131243 EQD131242:EQD131243 EZZ131242:EZZ131243 FJV131242:FJV131243 FTR131242:FTR131243 GDN131242:GDN131243 GNJ131242:GNJ131243 GXF131242:GXF131243 HHB131242:HHB131243 HQX131242:HQX131243 IAT131242:IAT131243 IKP131242:IKP131243 IUL131242:IUL131243 JEH131242:JEH131243 JOD131242:JOD131243 JXZ131242:JXZ131243 KHV131242:KHV131243 KRR131242:KRR131243 LBN131242:LBN131243 LLJ131242:LLJ131243 LVF131242:LVF131243 MFB131242:MFB131243 MOX131242:MOX131243 MYT131242:MYT131243 NIP131242:NIP131243 NSL131242:NSL131243 OCH131242:OCH131243 OMD131242:OMD131243 OVZ131242:OVZ131243 PFV131242:PFV131243 PPR131242:PPR131243 PZN131242:PZN131243 QJJ131242:QJJ131243 QTF131242:QTF131243 RDB131242:RDB131243 RMX131242:RMX131243 RWT131242:RWT131243 SGP131242:SGP131243 SQL131242:SQL131243 TAH131242:TAH131243 TKD131242:TKD131243 TTZ131242:TTZ131243 UDV131242:UDV131243 UNR131242:UNR131243 UXN131242:UXN131243 VHJ131242:VHJ131243 VRF131242:VRF131243 WBB131242:WBB131243 WKX131242:WKX131243 WUT131242:WUT131243 IH196778:IH196779 SD196778:SD196779 ABZ196778:ABZ196779 ALV196778:ALV196779 AVR196778:AVR196779 BFN196778:BFN196779 BPJ196778:BPJ196779 BZF196778:BZF196779 CJB196778:CJB196779 CSX196778:CSX196779 DCT196778:DCT196779 DMP196778:DMP196779 DWL196778:DWL196779 EGH196778:EGH196779 EQD196778:EQD196779 EZZ196778:EZZ196779 FJV196778:FJV196779 FTR196778:FTR196779 GDN196778:GDN196779 GNJ196778:GNJ196779 GXF196778:GXF196779 HHB196778:HHB196779 HQX196778:HQX196779 IAT196778:IAT196779 IKP196778:IKP196779 IUL196778:IUL196779 JEH196778:JEH196779 JOD196778:JOD196779 JXZ196778:JXZ196779 KHV196778:KHV196779 KRR196778:KRR196779 LBN196778:LBN196779 LLJ196778:LLJ196779 LVF196778:LVF196779 MFB196778:MFB196779 MOX196778:MOX196779 MYT196778:MYT196779 NIP196778:NIP196779 NSL196778:NSL196779 OCH196778:OCH196779 OMD196778:OMD196779 OVZ196778:OVZ196779 PFV196778:PFV196779 PPR196778:PPR196779 PZN196778:PZN196779 QJJ196778:QJJ196779 QTF196778:QTF196779 RDB196778:RDB196779 RMX196778:RMX196779 RWT196778:RWT196779 SGP196778:SGP196779 SQL196778:SQL196779 TAH196778:TAH196779 TKD196778:TKD196779 TTZ196778:TTZ196779 UDV196778:UDV196779 UNR196778:UNR196779 UXN196778:UXN196779 VHJ196778:VHJ196779 VRF196778:VRF196779 WBB196778:WBB196779 WKX196778:WKX196779 WUT196778:WUT196779 IH262314:IH262315 SD262314:SD262315 ABZ262314:ABZ262315 ALV262314:ALV262315 AVR262314:AVR262315 BFN262314:BFN262315 BPJ262314:BPJ262315 BZF262314:BZF262315 CJB262314:CJB262315 CSX262314:CSX262315 DCT262314:DCT262315 DMP262314:DMP262315 DWL262314:DWL262315 EGH262314:EGH262315 EQD262314:EQD262315 EZZ262314:EZZ262315 FJV262314:FJV262315 FTR262314:FTR262315 GDN262314:GDN262315 GNJ262314:GNJ262315 GXF262314:GXF262315 HHB262314:HHB262315 HQX262314:HQX262315 IAT262314:IAT262315 IKP262314:IKP262315 IUL262314:IUL262315 JEH262314:JEH262315 JOD262314:JOD262315 JXZ262314:JXZ262315 KHV262314:KHV262315 KRR262314:KRR262315 LBN262314:LBN262315 LLJ262314:LLJ262315 LVF262314:LVF262315 MFB262314:MFB262315 MOX262314:MOX262315 MYT262314:MYT262315 NIP262314:NIP262315 NSL262314:NSL262315 OCH262314:OCH262315 OMD262314:OMD262315 OVZ262314:OVZ262315 PFV262314:PFV262315 PPR262314:PPR262315 PZN262314:PZN262315 QJJ262314:QJJ262315 QTF262314:QTF262315 RDB262314:RDB262315 RMX262314:RMX262315 RWT262314:RWT262315 SGP262314:SGP262315 SQL262314:SQL262315 TAH262314:TAH262315 TKD262314:TKD262315 TTZ262314:TTZ262315 UDV262314:UDV262315 UNR262314:UNR262315 UXN262314:UXN262315 VHJ262314:VHJ262315 VRF262314:VRF262315 WBB262314:WBB262315 WKX262314:WKX262315 WUT262314:WUT262315 IH327850:IH327851 SD327850:SD327851 ABZ327850:ABZ327851 ALV327850:ALV327851 AVR327850:AVR327851 BFN327850:BFN327851 BPJ327850:BPJ327851 BZF327850:BZF327851 CJB327850:CJB327851 CSX327850:CSX327851 DCT327850:DCT327851 DMP327850:DMP327851 DWL327850:DWL327851 EGH327850:EGH327851 EQD327850:EQD327851 EZZ327850:EZZ327851 FJV327850:FJV327851 FTR327850:FTR327851 GDN327850:GDN327851 GNJ327850:GNJ327851 GXF327850:GXF327851 HHB327850:HHB327851 HQX327850:HQX327851 IAT327850:IAT327851 IKP327850:IKP327851 IUL327850:IUL327851 JEH327850:JEH327851 JOD327850:JOD327851 JXZ327850:JXZ327851 KHV327850:KHV327851 KRR327850:KRR327851 LBN327850:LBN327851 LLJ327850:LLJ327851 LVF327850:LVF327851 MFB327850:MFB327851 MOX327850:MOX327851 MYT327850:MYT327851 NIP327850:NIP327851 NSL327850:NSL327851 OCH327850:OCH327851 OMD327850:OMD327851 OVZ327850:OVZ327851 PFV327850:PFV327851 PPR327850:PPR327851 PZN327850:PZN327851 QJJ327850:QJJ327851 QTF327850:QTF327851 RDB327850:RDB327851 RMX327850:RMX327851 RWT327850:RWT327851 SGP327850:SGP327851 SQL327850:SQL327851 TAH327850:TAH327851 TKD327850:TKD327851 TTZ327850:TTZ327851 UDV327850:UDV327851 UNR327850:UNR327851 UXN327850:UXN327851 VHJ327850:VHJ327851 VRF327850:VRF327851 WBB327850:WBB327851 WKX327850:WKX327851 WUT327850:WUT327851 IH393386:IH393387 SD393386:SD393387 ABZ393386:ABZ393387 ALV393386:ALV393387 AVR393386:AVR393387 BFN393386:BFN393387 BPJ393386:BPJ393387 BZF393386:BZF393387 CJB393386:CJB393387 CSX393386:CSX393387 DCT393386:DCT393387 DMP393386:DMP393387 DWL393386:DWL393387 EGH393386:EGH393387 EQD393386:EQD393387 EZZ393386:EZZ393387 FJV393386:FJV393387 FTR393386:FTR393387 GDN393386:GDN393387 GNJ393386:GNJ393387 GXF393386:GXF393387 HHB393386:HHB393387 HQX393386:HQX393387 IAT393386:IAT393387 IKP393386:IKP393387 IUL393386:IUL393387 JEH393386:JEH393387 JOD393386:JOD393387 JXZ393386:JXZ393387 KHV393386:KHV393387 KRR393386:KRR393387 LBN393386:LBN393387 LLJ393386:LLJ393387 LVF393386:LVF393387 MFB393386:MFB393387 MOX393386:MOX393387 MYT393386:MYT393387 NIP393386:NIP393387 NSL393386:NSL393387 OCH393386:OCH393387 OMD393386:OMD393387 OVZ393386:OVZ393387 PFV393386:PFV393387 PPR393386:PPR393387 PZN393386:PZN393387 QJJ393386:QJJ393387 QTF393386:QTF393387 RDB393386:RDB393387 RMX393386:RMX393387 RWT393386:RWT393387 SGP393386:SGP393387 SQL393386:SQL393387 TAH393386:TAH393387 TKD393386:TKD393387 TTZ393386:TTZ393387 UDV393386:UDV393387 UNR393386:UNR393387 UXN393386:UXN393387 VHJ393386:VHJ393387 VRF393386:VRF393387 WBB393386:WBB393387 WKX393386:WKX393387 WUT393386:WUT393387 IH458922:IH458923 SD458922:SD458923 ABZ458922:ABZ458923 ALV458922:ALV458923 AVR458922:AVR458923 BFN458922:BFN458923 BPJ458922:BPJ458923 BZF458922:BZF458923 CJB458922:CJB458923 CSX458922:CSX458923 DCT458922:DCT458923 DMP458922:DMP458923 DWL458922:DWL458923 EGH458922:EGH458923 EQD458922:EQD458923 EZZ458922:EZZ458923 FJV458922:FJV458923 FTR458922:FTR458923 GDN458922:GDN458923 GNJ458922:GNJ458923 GXF458922:GXF458923 HHB458922:HHB458923 HQX458922:HQX458923 IAT458922:IAT458923 IKP458922:IKP458923 IUL458922:IUL458923 JEH458922:JEH458923 JOD458922:JOD458923 JXZ458922:JXZ458923 KHV458922:KHV458923 KRR458922:KRR458923 LBN458922:LBN458923 LLJ458922:LLJ458923 LVF458922:LVF458923 MFB458922:MFB458923 MOX458922:MOX458923 MYT458922:MYT458923 NIP458922:NIP458923 NSL458922:NSL458923 OCH458922:OCH458923 OMD458922:OMD458923 OVZ458922:OVZ458923 PFV458922:PFV458923 PPR458922:PPR458923 PZN458922:PZN458923 QJJ458922:QJJ458923 QTF458922:QTF458923 RDB458922:RDB458923 RMX458922:RMX458923 RWT458922:RWT458923 SGP458922:SGP458923 SQL458922:SQL458923 TAH458922:TAH458923 TKD458922:TKD458923 TTZ458922:TTZ458923 UDV458922:UDV458923 UNR458922:UNR458923 UXN458922:UXN458923 VHJ458922:VHJ458923 VRF458922:VRF458923 WBB458922:WBB458923 WKX458922:WKX458923 WUT458922:WUT458923 IH524458:IH524459 SD524458:SD524459 ABZ524458:ABZ524459 ALV524458:ALV524459 AVR524458:AVR524459 BFN524458:BFN524459 BPJ524458:BPJ524459 BZF524458:BZF524459 CJB524458:CJB524459 CSX524458:CSX524459 DCT524458:DCT524459 DMP524458:DMP524459 DWL524458:DWL524459 EGH524458:EGH524459 EQD524458:EQD524459 EZZ524458:EZZ524459 FJV524458:FJV524459 FTR524458:FTR524459 GDN524458:GDN524459 GNJ524458:GNJ524459 GXF524458:GXF524459 HHB524458:HHB524459 HQX524458:HQX524459 IAT524458:IAT524459 IKP524458:IKP524459 IUL524458:IUL524459 JEH524458:JEH524459 JOD524458:JOD524459 JXZ524458:JXZ524459 KHV524458:KHV524459 KRR524458:KRR524459 LBN524458:LBN524459 LLJ524458:LLJ524459 LVF524458:LVF524459 MFB524458:MFB524459 MOX524458:MOX524459 MYT524458:MYT524459 NIP524458:NIP524459 NSL524458:NSL524459 OCH524458:OCH524459 OMD524458:OMD524459 OVZ524458:OVZ524459 PFV524458:PFV524459 PPR524458:PPR524459 PZN524458:PZN524459 QJJ524458:QJJ524459 QTF524458:QTF524459 RDB524458:RDB524459 RMX524458:RMX524459 RWT524458:RWT524459 SGP524458:SGP524459 SQL524458:SQL524459 TAH524458:TAH524459 TKD524458:TKD524459 TTZ524458:TTZ524459 UDV524458:UDV524459 UNR524458:UNR524459 UXN524458:UXN524459 VHJ524458:VHJ524459 VRF524458:VRF524459 WBB524458:WBB524459 WKX524458:WKX524459 WUT524458:WUT524459 IH589994:IH589995 SD589994:SD589995 ABZ589994:ABZ589995 ALV589994:ALV589995 AVR589994:AVR589995 BFN589994:BFN589995 BPJ589994:BPJ589995 BZF589994:BZF589995 CJB589994:CJB589995 CSX589994:CSX589995 DCT589994:DCT589995 DMP589994:DMP589995 DWL589994:DWL589995 EGH589994:EGH589995 EQD589994:EQD589995 EZZ589994:EZZ589995 FJV589994:FJV589995 FTR589994:FTR589995 GDN589994:GDN589995 GNJ589994:GNJ589995 GXF589994:GXF589995 HHB589994:HHB589995 HQX589994:HQX589995 IAT589994:IAT589995 IKP589994:IKP589995 IUL589994:IUL589995 JEH589994:JEH589995 JOD589994:JOD589995 JXZ589994:JXZ589995 KHV589994:KHV589995 KRR589994:KRR589995 LBN589994:LBN589995 LLJ589994:LLJ589995 LVF589994:LVF589995 MFB589994:MFB589995 MOX589994:MOX589995 MYT589994:MYT589995 NIP589994:NIP589995 NSL589994:NSL589995 OCH589994:OCH589995 OMD589994:OMD589995 OVZ589994:OVZ589995 PFV589994:PFV589995 PPR589994:PPR589995 PZN589994:PZN589995 QJJ589994:QJJ589995 QTF589994:QTF589995 RDB589994:RDB589995 RMX589994:RMX589995 RWT589994:RWT589995 SGP589994:SGP589995 SQL589994:SQL589995 TAH589994:TAH589995 TKD589994:TKD589995 TTZ589994:TTZ589995 UDV589994:UDV589995 UNR589994:UNR589995 UXN589994:UXN589995 VHJ589994:VHJ589995 VRF589994:VRF589995 WBB589994:WBB589995 WKX589994:WKX589995 WUT589994:WUT589995 IH655530:IH655531 SD655530:SD655531 ABZ655530:ABZ655531 ALV655530:ALV655531 AVR655530:AVR655531 BFN655530:BFN655531 BPJ655530:BPJ655531 BZF655530:BZF655531 CJB655530:CJB655531 CSX655530:CSX655531 DCT655530:DCT655531 DMP655530:DMP655531 DWL655530:DWL655531 EGH655530:EGH655531 EQD655530:EQD655531 EZZ655530:EZZ655531 FJV655530:FJV655531 FTR655530:FTR655531 GDN655530:GDN655531 GNJ655530:GNJ655531 GXF655530:GXF655531 HHB655530:HHB655531 HQX655530:HQX655531 IAT655530:IAT655531 IKP655530:IKP655531 IUL655530:IUL655531 JEH655530:JEH655531 JOD655530:JOD655531 JXZ655530:JXZ655531 KHV655530:KHV655531 KRR655530:KRR655531 LBN655530:LBN655531 LLJ655530:LLJ655531 LVF655530:LVF655531 MFB655530:MFB655531 MOX655530:MOX655531 MYT655530:MYT655531 NIP655530:NIP655531 NSL655530:NSL655531 OCH655530:OCH655531 OMD655530:OMD655531 OVZ655530:OVZ655531 PFV655530:PFV655531 PPR655530:PPR655531 PZN655530:PZN655531 QJJ655530:QJJ655531 QTF655530:QTF655531 RDB655530:RDB655531 RMX655530:RMX655531 RWT655530:RWT655531 SGP655530:SGP655531 SQL655530:SQL655531 TAH655530:TAH655531 TKD655530:TKD655531 TTZ655530:TTZ655531 UDV655530:UDV655531 UNR655530:UNR655531 UXN655530:UXN655531 VHJ655530:VHJ655531 VRF655530:VRF655531 WBB655530:WBB655531 WKX655530:WKX655531 WUT655530:WUT655531 IH721066:IH721067 SD721066:SD721067 ABZ721066:ABZ721067 ALV721066:ALV721067 AVR721066:AVR721067 BFN721066:BFN721067 BPJ721066:BPJ721067 BZF721066:BZF721067 CJB721066:CJB721067 CSX721066:CSX721067 DCT721066:DCT721067 DMP721066:DMP721067 DWL721066:DWL721067 EGH721066:EGH721067 EQD721066:EQD721067 EZZ721066:EZZ721067 FJV721066:FJV721067 FTR721066:FTR721067 GDN721066:GDN721067 GNJ721066:GNJ721067 GXF721066:GXF721067 HHB721066:HHB721067 HQX721066:HQX721067 IAT721066:IAT721067 IKP721066:IKP721067 IUL721066:IUL721067 JEH721066:JEH721067 JOD721066:JOD721067 JXZ721066:JXZ721067 KHV721066:KHV721067 KRR721066:KRR721067 LBN721066:LBN721067 LLJ721066:LLJ721067 LVF721066:LVF721067 MFB721066:MFB721067 MOX721066:MOX721067 MYT721066:MYT721067 NIP721066:NIP721067 NSL721066:NSL721067 OCH721066:OCH721067 OMD721066:OMD721067 OVZ721066:OVZ721067 PFV721066:PFV721067 PPR721066:PPR721067 PZN721066:PZN721067 QJJ721066:QJJ721067 QTF721066:QTF721067 RDB721066:RDB721067 RMX721066:RMX721067 RWT721066:RWT721067 SGP721066:SGP721067 SQL721066:SQL721067 TAH721066:TAH721067 TKD721066:TKD721067 TTZ721066:TTZ721067 UDV721066:UDV721067 UNR721066:UNR721067 UXN721066:UXN721067 VHJ721066:VHJ721067 VRF721066:VRF721067 WBB721066:WBB721067 WKX721066:WKX721067 WUT721066:WUT721067 IH786602:IH786603 SD786602:SD786603 ABZ786602:ABZ786603 ALV786602:ALV786603 AVR786602:AVR786603 BFN786602:BFN786603 BPJ786602:BPJ786603 BZF786602:BZF786603 CJB786602:CJB786603 CSX786602:CSX786603 DCT786602:DCT786603 DMP786602:DMP786603 DWL786602:DWL786603 EGH786602:EGH786603 EQD786602:EQD786603 EZZ786602:EZZ786603 FJV786602:FJV786603 FTR786602:FTR786603 GDN786602:GDN786603 GNJ786602:GNJ786603 GXF786602:GXF786603 HHB786602:HHB786603 HQX786602:HQX786603 IAT786602:IAT786603 IKP786602:IKP786603 IUL786602:IUL786603 JEH786602:JEH786603 JOD786602:JOD786603 JXZ786602:JXZ786603 KHV786602:KHV786603 KRR786602:KRR786603 LBN786602:LBN786603 LLJ786602:LLJ786603 LVF786602:LVF786603 MFB786602:MFB786603 MOX786602:MOX786603 MYT786602:MYT786603 NIP786602:NIP786603 NSL786602:NSL786603 OCH786602:OCH786603 OMD786602:OMD786603 OVZ786602:OVZ786603 PFV786602:PFV786603 PPR786602:PPR786603 PZN786602:PZN786603 QJJ786602:QJJ786603 QTF786602:QTF786603 RDB786602:RDB786603 RMX786602:RMX786603 RWT786602:RWT786603 SGP786602:SGP786603 SQL786602:SQL786603 TAH786602:TAH786603 TKD786602:TKD786603 TTZ786602:TTZ786603 UDV786602:UDV786603 UNR786602:UNR786603 UXN786602:UXN786603 VHJ786602:VHJ786603 VRF786602:VRF786603 WBB786602:WBB786603 WKX786602:WKX786603 WUT786602:WUT786603 IH852138:IH852139 SD852138:SD852139 ABZ852138:ABZ852139 ALV852138:ALV852139 AVR852138:AVR852139 BFN852138:BFN852139 BPJ852138:BPJ852139 BZF852138:BZF852139 CJB852138:CJB852139 CSX852138:CSX852139 DCT852138:DCT852139 DMP852138:DMP852139 DWL852138:DWL852139 EGH852138:EGH852139 EQD852138:EQD852139 EZZ852138:EZZ852139 FJV852138:FJV852139 FTR852138:FTR852139 GDN852138:GDN852139 GNJ852138:GNJ852139 GXF852138:GXF852139 HHB852138:HHB852139 HQX852138:HQX852139 IAT852138:IAT852139 IKP852138:IKP852139 IUL852138:IUL852139 JEH852138:JEH852139 JOD852138:JOD852139 JXZ852138:JXZ852139 KHV852138:KHV852139 KRR852138:KRR852139 LBN852138:LBN852139 LLJ852138:LLJ852139 LVF852138:LVF852139 MFB852138:MFB852139 MOX852138:MOX852139 MYT852138:MYT852139 NIP852138:NIP852139 NSL852138:NSL852139 OCH852138:OCH852139 OMD852138:OMD852139 OVZ852138:OVZ852139 PFV852138:PFV852139 PPR852138:PPR852139 PZN852138:PZN852139 QJJ852138:QJJ852139 QTF852138:QTF852139 RDB852138:RDB852139 RMX852138:RMX852139 RWT852138:RWT852139 SGP852138:SGP852139 SQL852138:SQL852139 TAH852138:TAH852139 TKD852138:TKD852139 TTZ852138:TTZ852139 UDV852138:UDV852139 UNR852138:UNR852139 UXN852138:UXN852139 VHJ852138:VHJ852139 VRF852138:VRF852139 WBB852138:WBB852139 WKX852138:WKX852139 WUT852138:WUT852139 IH917674:IH917675 SD917674:SD917675 ABZ917674:ABZ917675 ALV917674:ALV917675 AVR917674:AVR917675 BFN917674:BFN917675 BPJ917674:BPJ917675 BZF917674:BZF917675 CJB917674:CJB917675 CSX917674:CSX917675 DCT917674:DCT917675 DMP917674:DMP917675 DWL917674:DWL917675 EGH917674:EGH917675 EQD917674:EQD917675 EZZ917674:EZZ917675 FJV917674:FJV917675 FTR917674:FTR917675 GDN917674:GDN917675 GNJ917674:GNJ917675 GXF917674:GXF917675 HHB917674:HHB917675 HQX917674:HQX917675 IAT917674:IAT917675 IKP917674:IKP917675 IUL917674:IUL917675 JEH917674:JEH917675 JOD917674:JOD917675 JXZ917674:JXZ917675 KHV917674:KHV917675 KRR917674:KRR917675 LBN917674:LBN917675 LLJ917674:LLJ917675 LVF917674:LVF917675 MFB917674:MFB917675 MOX917674:MOX917675 MYT917674:MYT917675 NIP917674:NIP917675 NSL917674:NSL917675 OCH917674:OCH917675 OMD917674:OMD917675 OVZ917674:OVZ917675 PFV917674:PFV917675 PPR917674:PPR917675 PZN917674:PZN917675 QJJ917674:QJJ917675 QTF917674:QTF917675 RDB917674:RDB917675 RMX917674:RMX917675 RWT917674:RWT917675 SGP917674:SGP917675 SQL917674:SQL917675 TAH917674:TAH917675 TKD917674:TKD917675 TTZ917674:TTZ917675 UDV917674:UDV917675 UNR917674:UNR917675 UXN917674:UXN917675 VHJ917674:VHJ917675 VRF917674:VRF917675 WBB917674:WBB917675 WKX917674:WKX917675 WUT917674:WUT917675 IH983210:IH983211 SD983210:SD983211 ABZ983210:ABZ983211 ALV983210:ALV983211 AVR983210:AVR983211 BFN983210:BFN983211 BPJ983210:BPJ983211 BZF983210:BZF983211 CJB983210:CJB983211 CSX983210:CSX983211 DCT983210:DCT983211 DMP983210:DMP983211 DWL983210:DWL983211 EGH983210:EGH983211 EQD983210:EQD983211 EZZ983210:EZZ983211 FJV983210:FJV983211 FTR983210:FTR983211 GDN983210:GDN983211 GNJ983210:GNJ983211 GXF983210:GXF983211 HHB983210:HHB983211 HQX983210:HQX983211 IAT983210:IAT983211 IKP983210:IKP983211 IUL983210:IUL983211 JEH983210:JEH983211 JOD983210:JOD983211 JXZ983210:JXZ983211 KHV983210:KHV983211 KRR983210:KRR983211 LBN983210:LBN983211 LLJ983210:LLJ983211 LVF983210:LVF983211 MFB983210:MFB983211 MOX983210:MOX983211 MYT983210:MYT983211 NIP983210:NIP983211 NSL983210:NSL983211 OCH983210:OCH983211 OMD983210:OMD983211 OVZ983210:OVZ983211 PFV983210:PFV983211 PPR983210:PPR983211 PZN983210:PZN983211 QJJ983210:QJJ983211 QTF983210:QTF983211 RDB983210:RDB983211 RMX983210:RMX983211 RWT983210:RWT983211 SGP983210:SGP983211 SQL983210:SQL983211 TAH983210:TAH983211 TKD983210:TKD983211 TTZ983210:TTZ983211 UDV983210:UDV983211 UNR983210:UNR983211 UXN983210:UXN983211 VHJ983210:VHJ983211 VRF983210:VRF983211 WBB983210:WBB983211 WKX983210:WKX983211 WUT983210:WUT983211 IH65696:IH65697 SD65696:SD65697 ABZ65696:ABZ65697 ALV65696:ALV65697 AVR65696:AVR65697 BFN65696:BFN65697 BPJ65696:BPJ65697 BZF65696:BZF65697 CJB65696:CJB65697 CSX65696:CSX65697 DCT65696:DCT65697 DMP65696:DMP65697 DWL65696:DWL65697 EGH65696:EGH65697 EQD65696:EQD65697 EZZ65696:EZZ65697 FJV65696:FJV65697 FTR65696:FTR65697 GDN65696:GDN65697 GNJ65696:GNJ65697 GXF65696:GXF65697 HHB65696:HHB65697 HQX65696:HQX65697 IAT65696:IAT65697 IKP65696:IKP65697 IUL65696:IUL65697 JEH65696:JEH65697 JOD65696:JOD65697 JXZ65696:JXZ65697 KHV65696:KHV65697 KRR65696:KRR65697 LBN65696:LBN65697 LLJ65696:LLJ65697 LVF65696:LVF65697 MFB65696:MFB65697 MOX65696:MOX65697 MYT65696:MYT65697 NIP65696:NIP65697 NSL65696:NSL65697 OCH65696:OCH65697 OMD65696:OMD65697 OVZ65696:OVZ65697 PFV65696:PFV65697 PPR65696:PPR65697 PZN65696:PZN65697 QJJ65696:QJJ65697 QTF65696:QTF65697 RDB65696:RDB65697 RMX65696:RMX65697 RWT65696:RWT65697 SGP65696:SGP65697 SQL65696:SQL65697 TAH65696:TAH65697 TKD65696:TKD65697 TTZ65696:TTZ65697 UDV65696:UDV65697 UNR65696:UNR65697 UXN65696:UXN65697 VHJ65696:VHJ65697 VRF65696:VRF65697 WBB65696:WBB65697 WKX65696:WKX65697 WUT65696:WUT65697 IH131232:IH131233 SD131232:SD131233 ABZ131232:ABZ131233 ALV131232:ALV131233 AVR131232:AVR131233 BFN131232:BFN131233 BPJ131232:BPJ131233 BZF131232:BZF131233 CJB131232:CJB131233 CSX131232:CSX131233 DCT131232:DCT131233 DMP131232:DMP131233 DWL131232:DWL131233 EGH131232:EGH131233 EQD131232:EQD131233 EZZ131232:EZZ131233 FJV131232:FJV131233 FTR131232:FTR131233 GDN131232:GDN131233 GNJ131232:GNJ131233 GXF131232:GXF131233 HHB131232:HHB131233 HQX131232:HQX131233 IAT131232:IAT131233 IKP131232:IKP131233 IUL131232:IUL131233 JEH131232:JEH131233 JOD131232:JOD131233 JXZ131232:JXZ131233 KHV131232:KHV131233 KRR131232:KRR131233 LBN131232:LBN131233 LLJ131232:LLJ131233 LVF131232:LVF131233 MFB131232:MFB131233 MOX131232:MOX131233 MYT131232:MYT131233 NIP131232:NIP131233 NSL131232:NSL131233 OCH131232:OCH131233 OMD131232:OMD131233 OVZ131232:OVZ131233 PFV131232:PFV131233 PPR131232:PPR131233 PZN131232:PZN131233 QJJ131232:QJJ131233 QTF131232:QTF131233 RDB131232:RDB131233 RMX131232:RMX131233 RWT131232:RWT131233 SGP131232:SGP131233 SQL131232:SQL131233 TAH131232:TAH131233 TKD131232:TKD131233 TTZ131232:TTZ131233 UDV131232:UDV131233 UNR131232:UNR131233 UXN131232:UXN131233 VHJ131232:VHJ131233 VRF131232:VRF131233 WBB131232:WBB131233 WKX131232:WKX131233 WUT131232:WUT131233 IH196768:IH196769 SD196768:SD196769 ABZ196768:ABZ196769 ALV196768:ALV196769 AVR196768:AVR196769 BFN196768:BFN196769 BPJ196768:BPJ196769 BZF196768:BZF196769 CJB196768:CJB196769 CSX196768:CSX196769 DCT196768:DCT196769 DMP196768:DMP196769 DWL196768:DWL196769 EGH196768:EGH196769 EQD196768:EQD196769 EZZ196768:EZZ196769 FJV196768:FJV196769 FTR196768:FTR196769 GDN196768:GDN196769 GNJ196768:GNJ196769 GXF196768:GXF196769 HHB196768:HHB196769 HQX196768:HQX196769 IAT196768:IAT196769 IKP196768:IKP196769 IUL196768:IUL196769 JEH196768:JEH196769 JOD196768:JOD196769 JXZ196768:JXZ196769 KHV196768:KHV196769 KRR196768:KRR196769 LBN196768:LBN196769 LLJ196768:LLJ196769 LVF196768:LVF196769 MFB196768:MFB196769 MOX196768:MOX196769 MYT196768:MYT196769 NIP196768:NIP196769 NSL196768:NSL196769 OCH196768:OCH196769 OMD196768:OMD196769 OVZ196768:OVZ196769 PFV196768:PFV196769 PPR196768:PPR196769 PZN196768:PZN196769 QJJ196768:QJJ196769 QTF196768:QTF196769 RDB196768:RDB196769 RMX196768:RMX196769 RWT196768:RWT196769 SGP196768:SGP196769 SQL196768:SQL196769 TAH196768:TAH196769 TKD196768:TKD196769 TTZ196768:TTZ196769 UDV196768:UDV196769 UNR196768:UNR196769 UXN196768:UXN196769 VHJ196768:VHJ196769 VRF196768:VRF196769 WBB196768:WBB196769 WKX196768:WKX196769 WUT196768:WUT196769 IH262304:IH262305 SD262304:SD262305 ABZ262304:ABZ262305 ALV262304:ALV262305 AVR262304:AVR262305 BFN262304:BFN262305 BPJ262304:BPJ262305 BZF262304:BZF262305 CJB262304:CJB262305 CSX262304:CSX262305 DCT262304:DCT262305 DMP262304:DMP262305 DWL262304:DWL262305 EGH262304:EGH262305 EQD262304:EQD262305 EZZ262304:EZZ262305 FJV262304:FJV262305 FTR262304:FTR262305 GDN262304:GDN262305 GNJ262304:GNJ262305 GXF262304:GXF262305 HHB262304:HHB262305 HQX262304:HQX262305 IAT262304:IAT262305 IKP262304:IKP262305 IUL262304:IUL262305 JEH262304:JEH262305 JOD262304:JOD262305 JXZ262304:JXZ262305 KHV262304:KHV262305 KRR262304:KRR262305 LBN262304:LBN262305 LLJ262304:LLJ262305 LVF262304:LVF262305 MFB262304:MFB262305 MOX262304:MOX262305 MYT262304:MYT262305 NIP262304:NIP262305 NSL262304:NSL262305 OCH262304:OCH262305 OMD262304:OMD262305 OVZ262304:OVZ262305 PFV262304:PFV262305 PPR262304:PPR262305 PZN262304:PZN262305 QJJ262304:QJJ262305 QTF262304:QTF262305 RDB262304:RDB262305 RMX262304:RMX262305 RWT262304:RWT262305 SGP262304:SGP262305 SQL262304:SQL262305 TAH262304:TAH262305 TKD262304:TKD262305 TTZ262304:TTZ262305 UDV262304:UDV262305 UNR262304:UNR262305 UXN262304:UXN262305 VHJ262304:VHJ262305 VRF262304:VRF262305 WBB262304:WBB262305 WKX262304:WKX262305 WUT262304:WUT262305 IH327840:IH327841 SD327840:SD327841 ABZ327840:ABZ327841 ALV327840:ALV327841 AVR327840:AVR327841 BFN327840:BFN327841 BPJ327840:BPJ327841 BZF327840:BZF327841 CJB327840:CJB327841 CSX327840:CSX327841 DCT327840:DCT327841 DMP327840:DMP327841 DWL327840:DWL327841 EGH327840:EGH327841 EQD327840:EQD327841 EZZ327840:EZZ327841 FJV327840:FJV327841 FTR327840:FTR327841 GDN327840:GDN327841 GNJ327840:GNJ327841 GXF327840:GXF327841 HHB327840:HHB327841 HQX327840:HQX327841 IAT327840:IAT327841 IKP327840:IKP327841 IUL327840:IUL327841 JEH327840:JEH327841 JOD327840:JOD327841 JXZ327840:JXZ327841 KHV327840:KHV327841 KRR327840:KRR327841 LBN327840:LBN327841 LLJ327840:LLJ327841 LVF327840:LVF327841 MFB327840:MFB327841 MOX327840:MOX327841 MYT327840:MYT327841 NIP327840:NIP327841 NSL327840:NSL327841 OCH327840:OCH327841 OMD327840:OMD327841 OVZ327840:OVZ327841 PFV327840:PFV327841 PPR327840:PPR327841 PZN327840:PZN327841 QJJ327840:QJJ327841 QTF327840:QTF327841 RDB327840:RDB327841 RMX327840:RMX327841 RWT327840:RWT327841 SGP327840:SGP327841 SQL327840:SQL327841 TAH327840:TAH327841 TKD327840:TKD327841 TTZ327840:TTZ327841 UDV327840:UDV327841 UNR327840:UNR327841 UXN327840:UXN327841 VHJ327840:VHJ327841 VRF327840:VRF327841 WBB327840:WBB327841 WKX327840:WKX327841 WUT327840:WUT327841 IH393376:IH393377 SD393376:SD393377 ABZ393376:ABZ393377 ALV393376:ALV393377 AVR393376:AVR393377 BFN393376:BFN393377 BPJ393376:BPJ393377 BZF393376:BZF393377 CJB393376:CJB393377 CSX393376:CSX393377 DCT393376:DCT393377 DMP393376:DMP393377 DWL393376:DWL393377 EGH393376:EGH393377 EQD393376:EQD393377 EZZ393376:EZZ393377 FJV393376:FJV393377 FTR393376:FTR393377 GDN393376:GDN393377 GNJ393376:GNJ393377 GXF393376:GXF393377 HHB393376:HHB393377 HQX393376:HQX393377 IAT393376:IAT393377 IKP393376:IKP393377 IUL393376:IUL393377 JEH393376:JEH393377 JOD393376:JOD393377 JXZ393376:JXZ393377 KHV393376:KHV393377 KRR393376:KRR393377 LBN393376:LBN393377 LLJ393376:LLJ393377 LVF393376:LVF393377 MFB393376:MFB393377 MOX393376:MOX393377 MYT393376:MYT393377 NIP393376:NIP393377 NSL393376:NSL393377 OCH393376:OCH393377 OMD393376:OMD393377 OVZ393376:OVZ393377 PFV393376:PFV393377 PPR393376:PPR393377 PZN393376:PZN393377 QJJ393376:QJJ393377 QTF393376:QTF393377 RDB393376:RDB393377 RMX393376:RMX393377 RWT393376:RWT393377 SGP393376:SGP393377 SQL393376:SQL393377 TAH393376:TAH393377 TKD393376:TKD393377 TTZ393376:TTZ393377 UDV393376:UDV393377 UNR393376:UNR393377 UXN393376:UXN393377 VHJ393376:VHJ393377 VRF393376:VRF393377 WBB393376:WBB393377 WKX393376:WKX393377 WUT393376:WUT393377 IH458912:IH458913 SD458912:SD458913 ABZ458912:ABZ458913 ALV458912:ALV458913 AVR458912:AVR458913 BFN458912:BFN458913 BPJ458912:BPJ458913 BZF458912:BZF458913 CJB458912:CJB458913 CSX458912:CSX458913 DCT458912:DCT458913 DMP458912:DMP458913 DWL458912:DWL458913 EGH458912:EGH458913 EQD458912:EQD458913 EZZ458912:EZZ458913 FJV458912:FJV458913 FTR458912:FTR458913 GDN458912:GDN458913 GNJ458912:GNJ458913 GXF458912:GXF458913 HHB458912:HHB458913 HQX458912:HQX458913 IAT458912:IAT458913 IKP458912:IKP458913 IUL458912:IUL458913 JEH458912:JEH458913 JOD458912:JOD458913 JXZ458912:JXZ458913 KHV458912:KHV458913 KRR458912:KRR458913 LBN458912:LBN458913 LLJ458912:LLJ458913 LVF458912:LVF458913 MFB458912:MFB458913 MOX458912:MOX458913 MYT458912:MYT458913 NIP458912:NIP458913 NSL458912:NSL458913 OCH458912:OCH458913 OMD458912:OMD458913 OVZ458912:OVZ458913 PFV458912:PFV458913 PPR458912:PPR458913 PZN458912:PZN458913 QJJ458912:QJJ458913 QTF458912:QTF458913 RDB458912:RDB458913 RMX458912:RMX458913 RWT458912:RWT458913 SGP458912:SGP458913 SQL458912:SQL458913 TAH458912:TAH458913 TKD458912:TKD458913 TTZ458912:TTZ458913 UDV458912:UDV458913 UNR458912:UNR458913 UXN458912:UXN458913 VHJ458912:VHJ458913 VRF458912:VRF458913 WBB458912:WBB458913 WKX458912:WKX458913 WUT458912:WUT458913 IH524448:IH524449 SD524448:SD524449 ABZ524448:ABZ524449 ALV524448:ALV524449 AVR524448:AVR524449 BFN524448:BFN524449 BPJ524448:BPJ524449 BZF524448:BZF524449 CJB524448:CJB524449 CSX524448:CSX524449 DCT524448:DCT524449 DMP524448:DMP524449 DWL524448:DWL524449 EGH524448:EGH524449 EQD524448:EQD524449 EZZ524448:EZZ524449 FJV524448:FJV524449 FTR524448:FTR524449 GDN524448:GDN524449 GNJ524448:GNJ524449 GXF524448:GXF524449 HHB524448:HHB524449 HQX524448:HQX524449 IAT524448:IAT524449 IKP524448:IKP524449 IUL524448:IUL524449 JEH524448:JEH524449 JOD524448:JOD524449 JXZ524448:JXZ524449 KHV524448:KHV524449 KRR524448:KRR524449 LBN524448:LBN524449 LLJ524448:LLJ524449 LVF524448:LVF524449 MFB524448:MFB524449 MOX524448:MOX524449 MYT524448:MYT524449 NIP524448:NIP524449 NSL524448:NSL524449 OCH524448:OCH524449 OMD524448:OMD524449 OVZ524448:OVZ524449 PFV524448:PFV524449 PPR524448:PPR524449 PZN524448:PZN524449 QJJ524448:QJJ524449 QTF524448:QTF524449 RDB524448:RDB524449 RMX524448:RMX524449 RWT524448:RWT524449 SGP524448:SGP524449 SQL524448:SQL524449 TAH524448:TAH524449 TKD524448:TKD524449 TTZ524448:TTZ524449 UDV524448:UDV524449 UNR524448:UNR524449 UXN524448:UXN524449 VHJ524448:VHJ524449 VRF524448:VRF524449 WBB524448:WBB524449 WKX524448:WKX524449 WUT524448:WUT524449 IH589984:IH589985 SD589984:SD589985 ABZ589984:ABZ589985 ALV589984:ALV589985 AVR589984:AVR589985 BFN589984:BFN589985 BPJ589984:BPJ589985 BZF589984:BZF589985 CJB589984:CJB589985 CSX589984:CSX589985 DCT589984:DCT589985 DMP589984:DMP589985 DWL589984:DWL589985 EGH589984:EGH589985 EQD589984:EQD589985 EZZ589984:EZZ589985 FJV589984:FJV589985 FTR589984:FTR589985 GDN589984:GDN589985 GNJ589984:GNJ589985 GXF589984:GXF589985 HHB589984:HHB589985 HQX589984:HQX589985 IAT589984:IAT589985 IKP589984:IKP589985 IUL589984:IUL589985 JEH589984:JEH589985 JOD589984:JOD589985 JXZ589984:JXZ589985 KHV589984:KHV589985 KRR589984:KRR589985 LBN589984:LBN589985 LLJ589984:LLJ589985 LVF589984:LVF589985 MFB589984:MFB589985 MOX589984:MOX589985 MYT589984:MYT589985 NIP589984:NIP589985 NSL589984:NSL589985 OCH589984:OCH589985 OMD589984:OMD589985 OVZ589984:OVZ589985 PFV589984:PFV589985 PPR589984:PPR589985 PZN589984:PZN589985 QJJ589984:QJJ589985 QTF589984:QTF589985 RDB589984:RDB589985 RMX589984:RMX589985 RWT589984:RWT589985 SGP589984:SGP589985 SQL589984:SQL589985 TAH589984:TAH589985 TKD589984:TKD589985 TTZ589984:TTZ589985 UDV589984:UDV589985 UNR589984:UNR589985 UXN589984:UXN589985 VHJ589984:VHJ589985 VRF589984:VRF589985 WBB589984:WBB589985 WKX589984:WKX589985 WUT589984:WUT589985 IH655520:IH655521 SD655520:SD655521 ABZ655520:ABZ655521 ALV655520:ALV655521 AVR655520:AVR655521 BFN655520:BFN655521 BPJ655520:BPJ655521 BZF655520:BZF655521 CJB655520:CJB655521 CSX655520:CSX655521 DCT655520:DCT655521 DMP655520:DMP655521 DWL655520:DWL655521 EGH655520:EGH655521 EQD655520:EQD655521 EZZ655520:EZZ655521 FJV655520:FJV655521 FTR655520:FTR655521 GDN655520:GDN655521 GNJ655520:GNJ655521 GXF655520:GXF655521 HHB655520:HHB655521 HQX655520:HQX655521 IAT655520:IAT655521 IKP655520:IKP655521 IUL655520:IUL655521 JEH655520:JEH655521 JOD655520:JOD655521 JXZ655520:JXZ655521 KHV655520:KHV655521 KRR655520:KRR655521 LBN655520:LBN655521 LLJ655520:LLJ655521 LVF655520:LVF655521 MFB655520:MFB655521 MOX655520:MOX655521 MYT655520:MYT655521 NIP655520:NIP655521 NSL655520:NSL655521 OCH655520:OCH655521 OMD655520:OMD655521 OVZ655520:OVZ655521 PFV655520:PFV655521 PPR655520:PPR655521 PZN655520:PZN655521 QJJ655520:QJJ655521 QTF655520:QTF655521 RDB655520:RDB655521 RMX655520:RMX655521 RWT655520:RWT655521 SGP655520:SGP655521 SQL655520:SQL655521 TAH655520:TAH655521 TKD655520:TKD655521 TTZ655520:TTZ655521 UDV655520:UDV655521 UNR655520:UNR655521 UXN655520:UXN655521 VHJ655520:VHJ655521 VRF655520:VRF655521 WBB655520:WBB655521 WKX655520:WKX655521 WUT655520:WUT655521 IH721056:IH721057 SD721056:SD721057 ABZ721056:ABZ721057 ALV721056:ALV721057 AVR721056:AVR721057 BFN721056:BFN721057 BPJ721056:BPJ721057 BZF721056:BZF721057 CJB721056:CJB721057 CSX721056:CSX721057 DCT721056:DCT721057 DMP721056:DMP721057 DWL721056:DWL721057 EGH721056:EGH721057 EQD721056:EQD721057 EZZ721056:EZZ721057 FJV721056:FJV721057 FTR721056:FTR721057 GDN721056:GDN721057 GNJ721056:GNJ721057 GXF721056:GXF721057 HHB721056:HHB721057 HQX721056:HQX721057 IAT721056:IAT721057 IKP721056:IKP721057 IUL721056:IUL721057 JEH721056:JEH721057 JOD721056:JOD721057 JXZ721056:JXZ721057 KHV721056:KHV721057 KRR721056:KRR721057 LBN721056:LBN721057 LLJ721056:LLJ721057 LVF721056:LVF721057 MFB721056:MFB721057 MOX721056:MOX721057 MYT721056:MYT721057 NIP721056:NIP721057 NSL721056:NSL721057 OCH721056:OCH721057 OMD721056:OMD721057 OVZ721056:OVZ721057 PFV721056:PFV721057 PPR721056:PPR721057 PZN721056:PZN721057 QJJ721056:QJJ721057 QTF721056:QTF721057 RDB721056:RDB721057 RMX721056:RMX721057 RWT721056:RWT721057 SGP721056:SGP721057 SQL721056:SQL721057 TAH721056:TAH721057 TKD721056:TKD721057 TTZ721056:TTZ721057 UDV721056:UDV721057 UNR721056:UNR721057 UXN721056:UXN721057 VHJ721056:VHJ721057 VRF721056:VRF721057 WBB721056:WBB721057 WKX721056:WKX721057 WUT721056:WUT721057 IH786592:IH786593 SD786592:SD786593 ABZ786592:ABZ786593 ALV786592:ALV786593 AVR786592:AVR786593 BFN786592:BFN786593 BPJ786592:BPJ786593 BZF786592:BZF786593 CJB786592:CJB786593 CSX786592:CSX786593 DCT786592:DCT786593 DMP786592:DMP786593 DWL786592:DWL786593 EGH786592:EGH786593 EQD786592:EQD786593 EZZ786592:EZZ786593 FJV786592:FJV786593 FTR786592:FTR786593 GDN786592:GDN786593 GNJ786592:GNJ786593 GXF786592:GXF786593 HHB786592:HHB786593 HQX786592:HQX786593 IAT786592:IAT786593 IKP786592:IKP786593 IUL786592:IUL786593 JEH786592:JEH786593 JOD786592:JOD786593 JXZ786592:JXZ786593 KHV786592:KHV786593 KRR786592:KRR786593 LBN786592:LBN786593 LLJ786592:LLJ786593 LVF786592:LVF786593 MFB786592:MFB786593 MOX786592:MOX786593 MYT786592:MYT786593 NIP786592:NIP786593 NSL786592:NSL786593 OCH786592:OCH786593 OMD786592:OMD786593 OVZ786592:OVZ786593 PFV786592:PFV786593 PPR786592:PPR786593 PZN786592:PZN786593 QJJ786592:QJJ786593 QTF786592:QTF786593 RDB786592:RDB786593 RMX786592:RMX786593 RWT786592:RWT786593 SGP786592:SGP786593 SQL786592:SQL786593 TAH786592:TAH786593 TKD786592:TKD786593 TTZ786592:TTZ786593 UDV786592:UDV786593 UNR786592:UNR786593 UXN786592:UXN786593 VHJ786592:VHJ786593 VRF786592:VRF786593 WBB786592:WBB786593 WKX786592:WKX786593 WUT786592:WUT786593 IH852128:IH852129 SD852128:SD852129 ABZ852128:ABZ852129 ALV852128:ALV852129 AVR852128:AVR852129 BFN852128:BFN852129 BPJ852128:BPJ852129 BZF852128:BZF852129 CJB852128:CJB852129 CSX852128:CSX852129 DCT852128:DCT852129 DMP852128:DMP852129 DWL852128:DWL852129 EGH852128:EGH852129 EQD852128:EQD852129 EZZ852128:EZZ852129 FJV852128:FJV852129 FTR852128:FTR852129 GDN852128:GDN852129 GNJ852128:GNJ852129 GXF852128:GXF852129 HHB852128:HHB852129 HQX852128:HQX852129 IAT852128:IAT852129 IKP852128:IKP852129 IUL852128:IUL852129 JEH852128:JEH852129 JOD852128:JOD852129 JXZ852128:JXZ852129 KHV852128:KHV852129 KRR852128:KRR852129 LBN852128:LBN852129 LLJ852128:LLJ852129 LVF852128:LVF852129 MFB852128:MFB852129 MOX852128:MOX852129 MYT852128:MYT852129 NIP852128:NIP852129 NSL852128:NSL852129 OCH852128:OCH852129 OMD852128:OMD852129 OVZ852128:OVZ852129 PFV852128:PFV852129 PPR852128:PPR852129 PZN852128:PZN852129 QJJ852128:QJJ852129 QTF852128:QTF852129 RDB852128:RDB852129 RMX852128:RMX852129 RWT852128:RWT852129 SGP852128:SGP852129 SQL852128:SQL852129 TAH852128:TAH852129 TKD852128:TKD852129 TTZ852128:TTZ852129 UDV852128:UDV852129 UNR852128:UNR852129 UXN852128:UXN852129 VHJ852128:VHJ852129 VRF852128:VRF852129 WBB852128:WBB852129 WKX852128:WKX852129 WUT852128:WUT852129 IH917664:IH917665 SD917664:SD917665 ABZ917664:ABZ917665 ALV917664:ALV917665 AVR917664:AVR917665 BFN917664:BFN917665 BPJ917664:BPJ917665 BZF917664:BZF917665 CJB917664:CJB917665 CSX917664:CSX917665 DCT917664:DCT917665 DMP917664:DMP917665 DWL917664:DWL917665 EGH917664:EGH917665 EQD917664:EQD917665 EZZ917664:EZZ917665 FJV917664:FJV917665 FTR917664:FTR917665 GDN917664:GDN917665 GNJ917664:GNJ917665 GXF917664:GXF917665 HHB917664:HHB917665 HQX917664:HQX917665 IAT917664:IAT917665 IKP917664:IKP917665 IUL917664:IUL917665 JEH917664:JEH917665 JOD917664:JOD917665 JXZ917664:JXZ917665 KHV917664:KHV917665 KRR917664:KRR917665 LBN917664:LBN917665 LLJ917664:LLJ917665 LVF917664:LVF917665 MFB917664:MFB917665 MOX917664:MOX917665 MYT917664:MYT917665 NIP917664:NIP917665 NSL917664:NSL917665 OCH917664:OCH917665 OMD917664:OMD917665 OVZ917664:OVZ917665 PFV917664:PFV917665 PPR917664:PPR917665 PZN917664:PZN917665 QJJ917664:QJJ917665 QTF917664:QTF917665 RDB917664:RDB917665 RMX917664:RMX917665 RWT917664:RWT917665 SGP917664:SGP917665 SQL917664:SQL917665 TAH917664:TAH917665 TKD917664:TKD917665 TTZ917664:TTZ917665 UDV917664:UDV917665 UNR917664:UNR917665 UXN917664:UXN917665 VHJ917664:VHJ917665 VRF917664:VRF917665 WBB917664:WBB917665 WKX917664:WKX917665 WUT917664:WUT917665 IH983200:IH983201 SD983200:SD983201 ABZ983200:ABZ983201 ALV983200:ALV983201 AVR983200:AVR983201 BFN983200:BFN983201 BPJ983200:BPJ983201 BZF983200:BZF983201 CJB983200:CJB983201 CSX983200:CSX983201 DCT983200:DCT983201 DMP983200:DMP983201 DWL983200:DWL983201 EGH983200:EGH983201 EQD983200:EQD983201 EZZ983200:EZZ983201 FJV983200:FJV983201 FTR983200:FTR983201 GDN983200:GDN983201 GNJ983200:GNJ983201 GXF983200:GXF983201 HHB983200:HHB983201 HQX983200:HQX983201 IAT983200:IAT983201 IKP983200:IKP983201 IUL983200:IUL983201 JEH983200:JEH983201 JOD983200:JOD983201 JXZ983200:JXZ983201 KHV983200:KHV983201 KRR983200:KRR983201 LBN983200:LBN983201 LLJ983200:LLJ983201 LVF983200:LVF983201 MFB983200:MFB983201 MOX983200:MOX983201 MYT983200:MYT983201 NIP983200:NIP983201 NSL983200:NSL983201 OCH983200:OCH983201 OMD983200:OMD983201 OVZ983200:OVZ983201 PFV983200:PFV983201 PPR983200:PPR983201 PZN983200:PZN983201 QJJ983200:QJJ983201 QTF983200:QTF983201 RDB983200:RDB983201 RMX983200:RMX983201 RWT983200:RWT983201 SGP983200:SGP983201 SQL983200:SQL983201 TAH983200:TAH983201 TKD983200:TKD983201 TTZ983200:TTZ983201 UDV983200:UDV983201 UNR983200:UNR983201 UXN983200:UXN983201 VHJ983200:VHJ983201 VRF983200:VRF983201 WBB983200:WBB983201 WKX983200:WKX983201 WUT983200:WUT983201 IH65675:IH65676 SD65675:SD65676 ABZ65675:ABZ65676 ALV65675:ALV65676 AVR65675:AVR65676 BFN65675:BFN65676 BPJ65675:BPJ65676 BZF65675:BZF65676 CJB65675:CJB65676 CSX65675:CSX65676 DCT65675:DCT65676 DMP65675:DMP65676 DWL65675:DWL65676 EGH65675:EGH65676 EQD65675:EQD65676 EZZ65675:EZZ65676 FJV65675:FJV65676 FTR65675:FTR65676 GDN65675:GDN65676 GNJ65675:GNJ65676 GXF65675:GXF65676 HHB65675:HHB65676 HQX65675:HQX65676 IAT65675:IAT65676 IKP65675:IKP65676 IUL65675:IUL65676 JEH65675:JEH65676 JOD65675:JOD65676 JXZ65675:JXZ65676 KHV65675:KHV65676 KRR65675:KRR65676 LBN65675:LBN65676 LLJ65675:LLJ65676 LVF65675:LVF65676 MFB65675:MFB65676 MOX65675:MOX65676 MYT65675:MYT65676 NIP65675:NIP65676 NSL65675:NSL65676 OCH65675:OCH65676 OMD65675:OMD65676 OVZ65675:OVZ65676 PFV65675:PFV65676 PPR65675:PPR65676 PZN65675:PZN65676 QJJ65675:QJJ65676 QTF65675:QTF65676 RDB65675:RDB65676 RMX65675:RMX65676 RWT65675:RWT65676 SGP65675:SGP65676 SQL65675:SQL65676 TAH65675:TAH65676 TKD65675:TKD65676 TTZ65675:TTZ65676 UDV65675:UDV65676 UNR65675:UNR65676 UXN65675:UXN65676 VHJ65675:VHJ65676 VRF65675:VRF65676 WBB65675:WBB65676 WKX65675:WKX65676 WUT65675:WUT65676 IH131211:IH131212 SD131211:SD131212 ABZ131211:ABZ131212 ALV131211:ALV131212 AVR131211:AVR131212 BFN131211:BFN131212 BPJ131211:BPJ131212 BZF131211:BZF131212 CJB131211:CJB131212 CSX131211:CSX131212 DCT131211:DCT131212 DMP131211:DMP131212 DWL131211:DWL131212 EGH131211:EGH131212 EQD131211:EQD131212 EZZ131211:EZZ131212 FJV131211:FJV131212 FTR131211:FTR131212 GDN131211:GDN131212 GNJ131211:GNJ131212 GXF131211:GXF131212 HHB131211:HHB131212 HQX131211:HQX131212 IAT131211:IAT131212 IKP131211:IKP131212 IUL131211:IUL131212 JEH131211:JEH131212 JOD131211:JOD131212 JXZ131211:JXZ131212 KHV131211:KHV131212 KRR131211:KRR131212 LBN131211:LBN131212 LLJ131211:LLJ131212 LVF131211:LVF131212 MFB131211:MFB131212 MOX131211:MOX131212 MYT131211:MYT131212 NIP131211:NIP131212 NSL131211:NSL131212 OCH131211:OCH131212 OMD131211:OMD131212 OVZ131211:OVZ131212 PFV131211:PFV131212 PPR131211:PPR131212 PZN131211:PZN131212 QJJ131211:QJJ131212 QTF131211:QTF131212 RDB131211:RDB131212 RMX131211:RMX131212 RWT131211:RWT131212 SGP131211:SGP131212 SQL131211:SQL131212 TAH131211:TAH131212 TKD131211:TKD131212 TTZ131211:TTZ131212 UDV131211:UDV131212 UNR131211:UNR131212 UXN131211:UXN131212 VHJ131211:VHJ131212 VRF131211:VRF131212 WBB131211:WBB131212 WKX131211:WKX131212 WUT131211:WUT131212 IH196747:IH196748 SD196747:SD196748 ABZ196747:ABZ196748 ALV196747:ALV196748 AVR196747:AVR196748 BFN196747:BFN196748 BPJ196747:BPJ196748 BZF196747:BZF196748 CJB196747:CJB196748 CSX196747:CSX196748 DCT196747:DCT196748 DMP196747:DMP196748 DWL196747:DWL196748 EGH196747:EGH196748 EQD196747:EQD196748 EZZ196747:EZZ196748 FJV196747:FJV196748 FTR196747:FTR196748 GDN196747:GDN196748 GNJ196747:GNJ196748 GXF196747:GXF196748 HHB196747:HHB196748 HQX196747:HQX196748 IAT196747:IAT196748 IKP196747:IKP196748 IUL196747:IUL196748 JEH196747:JEH196748 JOD196747:JOD196748 JXZ196747:JXZ196748 KHV196747:KHV196748 KRR196747:KRR196748 LBN196747:LBN196748 LLJ196747:LLJ196748 LVF196747:LVF196748 MFB196747:MFB196748 MOX196747:MOX196748 MYT196747:MYT196748 NIP196747:NIP196748 NSL196747:NSL196748 OCH196747:OCH196748 OMD196747:OMD196748 OVZ196747:OVZ196748 PFV196747:PFV196748 PPR196747:PPR196748 PZN196747:PZN196748 QJJ196747:QJJ196748 QTF196747:QTF196748 RDB196747:RDB196748 RMX196747:RMX196748 RWT196747:RWT196748 SGP196747:SGP196748 SQL196747:SQL196748 TAH196747:TAH196748 TKD196747:TKD196748 TTZ196747:TTZ196748 UDV196747:UDV196748 UNR196747:UNR196748 UXN196747:UXN196748 VHJ196747:VHJ196748 VRF196747:VRF196748 WBB196747:WBB196748 WKX196747:WKX196748 WUT196747:WUT196748 IH262283:IH262284 SD262283:SD262284 ABZ262283:ABZ262284 ALV262283:ALV262284 AVR262283:AVR262284 BFN262283:BFN262284 BPJ262283:BPJ262284 BZF262283:BZF262284 CJB262283:CJB262284 CSX262283:CSX262284 DCT262283:DCT262284 DMP262283:DMP262284 DWL262283:DWL262284 EGH262283:EGH262284 EQD262283:EQD262284 EZZ262283:EZZ262284 FJV262283:FJV262284 FTR262283:FTR262284 GDN262283:GDN262284 GNJ262283:GNJ262284 GXF262283:GXF262284 HHB262283:HHB262284 HQX262283:HQX262284 IAT262283:IAT262284 IKP262283:IKP262284 IUL262283:IUL262284 JEH262283:JEH262284 JOD262283:JOD262284 JXZ262283:JXZ262284 KHV262283:KHV262284 KRR262283:KRR262284 LBN262283:LBN262284 LLJ262283:LLJ262284 LVF262283:LVF262284 MFB262283:MFB262284 MOX262283:MOX262284 MYT262283:MYT262284 NIP262283:NIP262284 NSL262283:NSL262284 OCH262283:OCH262284 OMD262283:OMD262284 OVZ262283:OVZ262284 PFV262283:PFV262284 PPR262283:PPR262284 PZN262283:PZN262284 QJJ262283:QJJ262284 QTF262283:QTF262284 RDB262283:RDB262284 RMX262283:RMX262284 RWT262283:RWT262284 SGP262283:SGP262284 SQL262283:SQL262284 TAH262283:TAH262284 TKD262283:TKD262284 TTZ262283:TTZ262284 UDV262283:UDV262284 UNR262283:UNR262284 UXN262283:UXN262284 VHJ262283:VHJ262284 VRF262283:VRF262284 WBB262283:WBB262284 WKX262283:WKX262284 WUT262283:WUT262284 IH327819:IH327820 SD327819:SD327820 ABZ327819:ABZ327820 ALV327819:ALV327820 AVR327819:AVR327820 BFN327819:BFN327820 BPJ327819:BPJ327820 BZF327819:BZF327820 CJB327819:CJB327820 CSX327819:CSX327820 DCT327819:DCT327820 DMP327819:DMP327820 DWL327819:DWL327820 EGH327819:EGH327820 EQD327819:EQD327820 EZZ327819:EZZ327820 FJV327819:FJV327820 FTR327819:FTR327820 GDN327819:GDN327820 GNJ327819:GNJ327820 GXF327819:GXF327820 HHB327819:HHB327820 HQX327819:HQX327820 IAT327819:IAT327820 IKP327819:IKP327820 IUL327819:IUL327820 JEH327819:JEH327820 JOD327819:JOD327820 JXZ327819:JXZ327820 KHV327819:KHV327820 KRR327819:KRR327820 LBN327819:LBN327820 LLJ327819:LLJ327820 LVF327819:LVF327820 MFB327819:MFB327820 MOX327819:MOX327820 MYT327819:MYT327820 NIP327819:NIP327820 NSL327819:NSL327820 OCH327819:OCH327820 OMD327819:OMD327820 OVZ327819:OVZ327820 PFV327819:PFV327820 PPR327819:PPR327820 PZN327819:PZN327820 QJJ327819:QJJ327820 QTF327819:QTF327820 RDB327819:RDB327820 RMX327819:RMX327820 RWT327819:RWT327820 SGP327819:SGP327820 SQL327819:SQL327820 TAH327819:TAH327820 TKD327819:TKD327820 TTZ327819:TTZ327820 UDV327819:UDV327820 UNR327819:UNR327820 UXN327819:UXN327820 VHJ327819:VHJ327820 VRF327819:VRF327820 WBB327819:WBB327820 WKX327819:WKX327820 WUT327819:WUT327820 IH393355:IH393356 SD393355:SD393356 ABZ393355:ABZ393356 ALV393355:ALV393356 AVR393355:AVR393356 BFN393355:BFN393356 BPJ393355:BPJ393356 BZF393355:BZF393356 CJB393355:CJB393356 CSX393355:CSX393356 DCT393355:DCT393356 DMP393355:DMP393356 DWL393355:DWL393356 EGH393355:EGH393356 EQD393355:EQD393356 EZZ393355:EZZ393356 FJV393355:FJV393356 FTR393355:FTR393356 GDN393355:GDN393356 GNJ393355:GNJ393356 GXF393355:GXF393356 HHB393355:HHB393356 HQX393355:HQX393356 IAT393355:IAT393356 IKP393355:IKP393356 IUL393355:IUL393356 JEH393355:JEH393356 JOD393355:JOD393356 JXZ393355:JXZ393356 KHV393355:KHV393356 KRR393355:KRR393356 LBN393355:LBN393356 LLJ393355:LLJ393356 LVF393355:LVF393356 MFB393355:MFB393356 MOX393355:MOX393356 MYT393355:MYT393356 NIP393355:NIP393356 NSL393355:NSL393356 OCH393355:OCH393356 OMD393355:OMD393356 OVZ393355:OVZ393356 PFV393355:PFV393356 PPR393355:PPR393356 PZN393355:PZN393356 QJJ393355:QJJ393356 QTF393355:QTF393356 RDB393355:RDB393356 RMX393355:RMX393356 RWT393355:RWT393356 SGP393355:SGP393356 SQL393355:SQL393356 TAH393355:TAH393356 TKD393355:TKD393356 TTZ393355:TTZ393356 UDV393355:UDV393356 UNR393355:UNR393356 UXN393355:UXN393356 VHJ393355:VHJ393356 VRF393355:VRF393356 WBB393355:WBB393356 WKX393355:WKX393356 WUT393355:WUT393356 IH458891:IH458892 SD458891:SD458892 ABZ458891:ABZ458892 ALV458891:ALV458892 AVR458891:AVR458892 BFN458891:BFN458892 BPJ458891:BPJ458892 BZF458891:BZF458892 CJB458891:CJB458892 CSX458891:CSX458892 DCT458891:DCT458892 DMP458891:DMP458892 DWL458891:DWL458892 EGH458891:EGH458892 EQD458891:EQD458892 EZZ458891:EZZ458892 FJV458891:FJV458892 FTR458891:FTR458892 GDN458891:GDN458892 GNJ458891:GNJ458892 GXF458891:GXF458892 HHB458891:HHB458892 HQX458891:HQX458892 IAT458891:IAT458892 IKP458891:IKP458892 IUL458891:IUL458892 JEH458891:JEH458892 JOD458891:JOD458892 JXZ458891:JXZ458892 KHV458891:KHV458892 KRR458891:KRR458892 LBN458891:LBN458892 LLJ458891:LLJ458892 LVF458891:LVF458892 MFB458891:MFB458892 MOX458891:MOX458892 MYT458891:MYT458892 NIP458891:NIP458892 NSL458891:NSL458892 OCH458891:OCH458892 OMD458891:OMD458892 OVZ458891:OVZ458892 PFV458891:PFV458892 PPR458891:PPR458892 PZN458891:PZN458892 QJJ458891:QJJ458892 QTF458891:QTF458892 RDB458891:RDB458892 RMX458891:RMX458892 RWT458891:RWT458892 SGP458891:SGP458892 SQL458891:SQL458892 TAH458891:TAH458892 TKD458891:TKD458892 TTZ458891:TTZ458892 UDV458891:UDV458892 UNR458891:UNR458892 UXN458891:UXN458892 VHJ458891:VHJ458892 VRF458891:VRF458892 WBB458891:WBB458892 WKX458891:WKX458892 WUT458891:WUT458892 IH524427:IH524428 SD524427:SD524428 ABZ524427:ABZ524428 ALV524427:ALV524428 AVR524427:AVR524428 BFN524427:BFN524428 BPJ524427:BPJ524428 BZF524427:BZF524428 CJB524427:CJB524428 CSX524427:CSX524428 DCT524427:DCT524428 DMP524427:DMP524428 DWL524427:DWL524428 EGH524427:EGH524428 EQD524427:EQD524428 EZZ524427:EZZ524428 FJV524427:FJV524428 FTR524427:FTR524428 GDN524427:GDN524428 GNJ524427:GNJ524428 GXF524427:GXF524428 HHB524427:HHB524428 HQX524427:HQX524428 IAT524427:IAT524428 IKP524427:IKP524428 IUL524427:IUL524428 JEH524427:JEH524428 JOD524427:JOD524428 JXZ524427:JXZ524428 KHV524427:KHV524428 KRR524427:KRR524428 LBN524427:LBN524428 LLJ524427:LLJ524428 LVF524427:LVF524428 MFB524427:MFB524428 MOX524427:MOX524428 MYT524427:MYT524428 NIP524427:NIP524428 NSL524427:NSL524428 OCH524427:OCH524428 OMD524427:OMD524428 OVZ524427:OVZ524428 PFV524427:PFV524428 PPR524427:PPR524428 PZN524427:PZN524428 QJJ524427:QJJ524428 QTF524427:QTF524428 RDB524427:RDB524428 RMX524427:RMX524428 RWT524427:RWT524428 SGP524427:SGP524428 SQL524427:SQL524428 TAH524427:TAH524428 TKD524427:TKD524428 TTZ524427:TTZ524428 UDV524427:UDV524428 UNR524427:UNR524428 UXN524427:UXN524428 VHJ524427:VHJ524428 VRF524427:VRF524428 WBB524427:WBB524428 WKX524427:WKX524428 WUT524427:WUT524428 IH589963:IH589964 SD589963:SD589964 ABZ589963:ABZ589964 ALV589963:ALV589964 AVR589963:AVR589964 BFN589963:BFN589964 BPJ589963:BPJ589964 BZF589963:BZF589964 CJB589963:CJB589964 CSX589963:CSX589964 DCT589963:DCT589964 DMP589963:DMP589964 DWL589963:DWL589964 EGH589963:EGH589964 EQD589963:EQD589964 EZZ589963:EZZ589964 FJV589963:FJV589964 FTR589963:FTR589964 GDN589963:GDN589964 GNJ589963:GNJ589964 GXF589963:GXF589964 HHB589963:HHB589964 HQX589963:HQX589964 IAT589963:IAT589964 IKP589963:IKP589964 IUL589963:IUL589964 JEH589963:JEH589964 JOD589963:JOD589964 JXZ589963:JXZ589964 KHV589963:KHV589964 KRR589963:KRR589964 LBN589963:LBN589964 LLJ589963:LLJ589964 LVF589963:LVF589964 MFB589963:MFB589964 MOX589963:MOX589964 MYT589963:MYT589964 NIP589963:NIP589964 NSL589963:NSL589964 OCH589963:OCH589964 OMD589963:OMD589964 OVZ589963:OVZ589964 PFV589963:PFV589964 PPR589963:PPR589964 PZN589963:PZN589964 QJJ589963:QJJ589964 QTF589963:QTF589964 RDB589963:RDB589964 RMX589963:RMX589964 RWT589963:RWT589964 SGP589963:SGP589964 SQL589963:SQL589964 TAH589963:TAH589964 TKD589963:TKD589964 TTZ589963:TTZ589964 UDV589963:UDV589964 UNR589963:UNR589964 UXN589963:UXN589964 VHJ589963:VHJ589964 VRF589963:VRF589964 WBB589963:WBB589964 WKX589963:WKX589964 WUT589963:WUT589964 IH655499:IH655500 SD655499:SD655500 ABZ655499:ABZ655500 ALV655499:ALV655500 AVR655499:AVR655500 BFN655499:BFN655500 BPJ655499:BPJ655500 BZF655499:BZF655500 CJB655499:CJB655500 CSX655499:CSX655500 DCT655499:DCT655500 DMP655499:DMP655500 DWL655499:DWL655500 EGH655499:EGH655500 EQD655499:EQD655500 EZZ655499:EZZ655500 FJV655499:FJV655500 FTR655499:FTR655500 GDN655499:GDN655500 GNJ655499:GNJ655500 GXF655499:GXF655500 HHB655499:HHB655500 HQX655499:HQX655500 IAT655499:IAT655500 IKP655499:IKP655500 IUL655499:IUL655500 JEH655499:JEH655500 JOD655499:JOD655500 JXZ655499:JXZ655500 KHV655499:KHV655500 KRR655499:KRR655500 LBN655499:LBN655500 LLJ655499:LLJ655500 LVF655499:LVF655500 MFB655499:MFB655500 MOX655499:MOX655500 MYT655499:MYT655500 NIP655499:NIP655500 NSL655499:NSL655500 OCH655499:OCH655500 OMD655499:OMD655500 OVZ655499:OVZ655500 PFV655499:PFV655500 PPR655499:PPR655500 PZN655499:PZN655500 QJJ655499:QJJ655500 QTF655499:QTF655500 RDB655499:RDB655500 RMX655499:RMX655500 RWT655499:RWT655500 SGP655499:SGP655500 SQL655499:SQL655500 TAH655499:TAH655500 TKD655499:TKD655500 TTZ655499:TTZ655500 UDV655499:UDV655500 UNR655499:UNR655500 UXN655499:UXN655500 VHJ655499:VHJ655500 VRF655499:VRF655500 WBB655499:WBB655500 WKX655499:WKX655500 WUT655499:WUT655500 IH721035:IH721036 SD721035:SD721036 ABZ721035:ABZ721036 ALV721035:ALV721036 AVR721035:AVR721036 BFN721035:BFN721036 BPJ721035:BPJ721036 BZF721035:BZF721036 CJB721035:CJB721036 CSX721035:CSX721036 DCT721035:DCT721036 DMP721035:DMP721036 DWL721035:DWL721036 EGH721035:EGH721036 EQD721035:EQD721036 EZZ721035:EZZ721036 FJV721035:FJV721036 FTR721035:FTR721036 GDN721035:GDN721036 GNJ721035:GNJ721036 GXF721035:GXF721036 HHB721035:HHB721036 HQX721035:HQX721036 IAT721035:IAT721036 IKP721035:IKP721036 IUL721035:IUL721036 JEH721035:JEH721036 JOD721035:JOD721036 JXZ721035:JXZ721036 KHV721035:KHV721036 KRR721035:KRR721036 LBN721035:LBN721036 LLJ721035:LLJ721036 LVF721035:LVF721036 MFB721035:MFB721036 MOX721035:MOX721036 MYT721035:MYT721036 NIP721035:NIP721036 NSL721035:NSL721036 OCH721035:OCH721036 OMD721035:OMD721036 OVZ721035:OVZ721036 PFV721035:PFV721036 PPR721035:PPR721036 PZN721035:PZN721036 QJJ721035:QJJ721036 QTF721035:QTF721036 RDB721035:RDB721036 RMX721035:RMX721036 RWT721035:RWT721036 SGP721035:SGP721036 SQL721035:SQL721036 TAH721035:TAH721036 TKD721035:TKD721036 TTZ721035:TTZ721036 UDV721035:UDV721036 UNR721035:UNR721036 UXN721035:UXN721036 VHJ721035:VHJ721036 VRF721035:VRF721036 WBB721035:WBB721036 WKX721035:WKX721036 WUT721035:WUT721036 IH786571:IH786572 SD786571:SD786572 ABZ786571:ABZ786572 ALV786571:ALV786572 AVR786571:AVR786572 BFN786571:BFN786572 BPJ786571:BPJ786572 BZF786571:BZF786572 CJB786571:CJB786572 CSX786571:CSX786572 DCT786571:DCT786572 DMP786571:DMP786572 DWL786571:DWL786572 EGH786571:EGH786572 EQD786571:EQD786572 EZZ786571:EZZ786572 FJV786571:FJV786572 FTR786571:FTR786572 GDN786571:GDN786572 GNJ786571:GNJ786572 GXF786571:GXF786572 HHB786571:HHB786572 HQX786571:HQX786572 IAT786571:IAT786572 IKP786571:IKP786572 IUL786571:IUL786572 JEH786571:JEH786572 JOD786571:JOD786572 JXZ786571:JXZ786572 KHV786571:KHV786572 KRR786571:KRR786572 LBN786571:LBN786572 LLJ786571:LLJ786572 LVF786571:LVF786572 MFB786571:MFB786572 MOX786571:MOX786572 MYT786571:MYT786572 NIP786571:NIP786572 NSL786571:NSL786572 OCH786571:OCH786572 OMD786571:OMD786572 OVZ786571:OVZ786572 PFV786571:PFV786572 PPR786571:PPR786572 PZN786571:PZN786572 QJJ786571:QJJ786572 QTF786571:QTF786572 RDB786571:RDB786572 RMX786571:RMX786572 RWT786571:RWT786572 SGP786571:SGP786572 SQL786571:SQL786572 TAH786571:TAH786572 TKD786571:TKD786572 TTZ786571:TTZ786572 UDV786571:UDV786572 UNR786571:UNR786572 UXN786571:UXN786572 VHJ786571:VHJ786572 VRF786571:VRF786572 WBB786571:WBB786572 WKX786571:WKX786572 WUT786571:WUT786572 IH852107:IH852108 SD852107:SD852108 ABZ852107:ABZ852108 ALV852107:ALV852108 AVR852107:AVR852108 BFN852107:BFN852108 BPJ852107:BPJ852108 BZF852107:BZF852108 CJB852107:CJB852108 CSX852107:CSX852108 DCT852107:DCT852108 DMP852107:DMP852108 DWL852107:DWL852108 EGH852107:EGH852108 EQD852107:EQD852108 EZZ852107:EZZ852108 FJV852107:FJV852108 FTR852107:FTR852108 GDN852107:GDN852108 GNJ852107:GNJ852108 GXF852107:GXF852108 HHB852107:HHB852108 HQX852107:HQX852108 IAT852107:IAT852108 IKP852107:IKP852108 IUL852107:IUL852108 JEH852107:JEH852108 JOD852107:JOD852108 JXZ852107:JXZ852108 KHV852107:KHV852108 KRR852107:KRR852108 LBN852107:LBN852108 LLJ852107:LLJ852108 LVF852107:LVF852108 MFB852107:MFB852108 MOX852107:MOX852108 MYT852107:MYT852108 NIP852107:NIP852108 NSL852107:NSL852108 OCH852107:OCH852108 OMD852107:OMD852108 OVZ852107:OVZ852108 PFV852107:PFV852108 PPR852107:PPR852108 PZN852107:PZN852108 QJJ852107:QJJ852108 QTF852107:QTF852108 RDB852107:RDB852108 RMX852107:RMX852108 RWT852107:RWT852108 SGP852107:SGP852108 SQL852107:SQL852108 TAH852107:TAH852108 TKD852107:TKD852108 TTZ852107:TTZ852108 UDV852107:UDV852108 UNR852107:UNR852108 UXN852107:UXN852108 VHJ852107:VHJ852108 VRF852107:VRF852108 WBB852107:WBB852108 WKX852107:WKX852108 WUT852107:WUT852108 IH917643:IH917644 SD917643:SD917644 ABZ917643:ABZ917644 ALV917643:ALV917644 AVR917643:AVR917644 BFN917643:BFN917644 BPJ917643:BPJ917644 BZF917643:BZF917644 CJB917643:CJB917644 CSX917643:CSX917644 DCT917643:DCT917644 DMP917643:DMP917644 DWL917643:DWL917644 EGH917643:EGH917644 EQD917643:EQD917644 EZZ917643:EZZ917644 FJV917643:FJV917644 FTR917643:FTR917644 GDN917643:GDN917644 GNJ917643:GNJ917644 GXF917643:GXF917644 HHB917643:HHB917644 HQX917643:HQX917644 IAT917643:IAT917644 IKP917643:IKP917644 IUL917643:IUL917644 JEH917643:JEH917644 JOD917643:JOD917644 JXZ917643:JXZ917644 KHV917643:KHV917644 KRR917643:KRR917644 LBN917643:LBN917644 LLJ917643:LLJ917644 LVF917643:LVF917644 MFB917643:MFB917644 MOX917643:MOX917644 MYT917643:MYT917644 NIP917643:NIP917644 NSL917643:NSL917644 OCH917643:OCH917644 OMD917643:OMD917644 OVZ917643:OVZ917644 PFV917643:PFV917644 PPR917643:PPR917644 PZN917643:PZN917644 QJJ917643:QJJ917644 QTF917643:QTF917644 RDB917643:RDB917644 RMX917643:RMX917644 RWT917643:RWT917644 SGP917643:SGP917644 SQL917643:SQL917644 TAH917643:TAH917644 TKD917643:TKD917644 TTZ917643:TTZ917644 UDV917643:UDV917644 UNR917643:UNR917644 UXN917643:UXN917644 VHJ917643:VHJ917644 VRF917643:VRF917644 WBB917643:WBB917644 WKX917643:WKX917644 WUT917643:WUT917644 IH983179:IH983180 SD983179:SD983180 ABZ983179:ABZ983180 ALV983179:ALV983180 AVR983179:AVR983180 BFN983179:BFN983180 BPJ983179:BPJ983180 BZF983179:BZF983180 CJB983179:CJB983180 CSX983179:CSX983180 DCT983179:DCT983180 DMP983179:DMP983180 DWL983179:DWL983180 EGH983179:EGH983180 EQD983179:EQD983180 EZZ983179:EZZ983180 FJV983179:FJV983180 FTR983179:FTR983180 GDN983179:GDN983180 GNJ983179:GNJ983180 GXF983179:GXF983180 HHB983179:HHB983180 HQX983179:HQX983180 IAT983179:IAT983180 IKP983179:IKP983180 IUL983179:IUL983180 JEH983179:JEH983180 JOD983179:JOD983180 JXZ983179:JXZ983180 KHV983179:KHV983180 KRR983179:KRR983180 LBN983179:LBN983180 LLJ983179:LLJ983180 LVF983179:LVF983180 MFB983179:MFB983180 MOX983179:MOX983180 MYT983179:MYT983180 NIP983179:NIP983180 NSL983179:NSL983180 OCH983179:OCH983180 OMD983179:OMD983180 OVZ983179:OVZ983180 PFV983179:PFV983180 PPR983179:PPR983180 PZN983179:PZN983180 QJJ983179:QJJ983180 QTF983179:QTF983180 RDB983179:RDB983180 RMX983179:RMX983180 RWT983179:RWT983180 SGP983179:SGP983180 SQL983179:SQL983180 TAH983179:TAH983180 TKD983179:TKD983180 TTZ983179:TTZ983180 UDV983179:UDV983180 UNR983179:UNR983180 UXN983179:UXN983180 VHJ983179:VHJ983180 VRF983179:VRF983180 WBB983179:WBB983180 WKX983179:WKX983180 WUT983179:WUT983180 IH65375 SD65375 ABZ65375 ALV65375 AVR65375 BFN65375 BPJ65375 BZF65375 CJB65375 CSX65375 DCT65375 DMP65375 DWL65375 EGH65375 EQD65375 EZZ65375 FJV65375 FTR65375 GDN65375 GNJ65375 GXF65375 HHB65375 HQX65375 IAT65375 IKP65375 IUL65375 JEH65375 JOD65375 JXZ65375 KHV65375 KRR65375 LBN65375 LLJ65375 LVF65375 MFB65375 MOX65375 MYT65375 NIP65375 NSL65375 OCH65375 OMD65375 OVZ65375 PFV65375 PPR65375 PZN65375 QJJ65375 QTF65375 RDB65375 RMX65375 RWT65375 SGP65375 SQL65375 TAH65375 TKD65375 TTZ65375 UDV65375 UNR65375 UXN65375 VHJ65375 VRF65375 WBB65375 WKX65375 WUT65375 IH130911 SD130911 ABZ130911 ALV130911 AVR130911 BFN130911 BPJ130911 BZF130911 CJB130911 CSX130911 DCT130911 DMP130911 DWL130911 EGH130911 EQD130911 EZZ130911 FJV130911 FTR130911 GDN130911 GNJ130911 GXF130911 HHB130911 HQX130911 IAT130911 IKP130911 IUL130911 JEH130911 JOD130911 JXZ130911 KHV130911 KRR130911 LBN130911 LLJ130911 LVF130911 MFB130911 MOX130911 MYT130911 NIP130911 NSL130911 OCH130911 OMD130911 OVZ130911 PFV130911 PPR130911 PZN130911 QJJ130911 QTF130911 RDB130911 RMX130911 RWT130911 SGP130911 SQL130911 TAH130911 TKD130911 TTZ130911 UDV130911 UNR130911 UXN130911 VHJ130911 VRF130911 WBB130911 WKX130911 WUT130911 IH196447 SD196447 ABZ196447 ALV196447 AVR196447 BFN196447 BPJ196447 BZF196447 CJB196447 CSX196447 DCT196447 DMP196447 DWL196447 EGH196447 EQD196447 EZZ196447 FJV196447 FTR196447 GDN196447 GNJ196447 GXF196447 HHB196447 HQX196447 IAT196447 IKP196447 IUL196447 JEH196447 JOD196447 JXZ196447 KHV196447 KRR196447 LBN196447 LLJ196447 LVF196447 MFB196447 MOX196447 MYT196447 NIP196447 NSL196447 OCH196447 OMD196447 OVZ196447 PFV196447 PPR196447 PZN196447 QJJ196447 QTF196447 RDB196447 RMX196447 RWT196447 SGP196447 SQL196447 TAH196447 TKD196447 TTZ196447 UDV196447 UNR196447 UXN196447 VHJ196447 VRF196447 WBB196447 WKX196447 WUT196447 IH261983 SD261983 ABZ261983 ALV261983 AVR261983 BFN261983 BPJ261983 BZF261983 CJB261983 CSX261983 DCT261983 DMP261983 DWL261983 EGH261983 EQD261983 EZZ261983 FJV261983 FTR261983 GDN261983 GNJ261983 GXF261983 HHB261983 HQX261983 IAT261983 IKP261983 IUL261983 JEH261983 JOD261983 JXZ261983 KHV261983 KRR261983 LBN261983 LLJ261983 LVF261983 MFB261983 MOX261983 MYT261983 NIP261983 NSL261983 OCH261983 OMD261983 OVZ261983 PFV261983 PPR261983 PZN261983 QJJ261983 QTF261983 RDB261983 RMX261983 RWT261983 SGP261983 SQL261983 TAH261983 TKD261983 TTZ261983 UDV261983 UNR261983 UXN261983 VHJ261983 VRF261983 WBB261983 WKX261983 WUT261983 IH327519 SD327519 ABZ327519 ALV327519 AVR327519 BFN327519 BPJ327519 BZF327519 CJB327519 CSX327519 DCT327519 DMP327519 DWL327519 EGH327519 EQD327519 EZZ327519 FJV327519 FTR327519 GDN327519 GNJ327519 GXF327519 HHB327519 HQX327519 IAT327519 IKP327519 IUL327519 JEH327519 JOD327519 JXZ327519 KHV327519 KRR327519 LBN327519 LLJ327519 LVF327519 MFB327519 MOX327519 MYT327519 NIP327519 NSL327519 OCH327519 OMD327519 OVZ327519 PFV327519 PPR327519 PZN327519 QJJ327519 QTF327519 RDB327519 RMX327519 RWT327519 SGP327519 SQL327519 TAH327519 TKD327519 TTZ327519 UDV327519 UNR327519 UXN327519 VHJ327519 VRF327519 WBB327519 WKX327519 WUT327519 IH393055 SD393055 ABZ393055 ALV393055 AVR393055 BFN393055 BPJ393055 BZF393055 CJB393055 CSX393055 DCT393055 DMP393055 DWL393055 EGH393055 EQD393055 EZZ393055 FJV393055 FTR393055 GDN393055 GNJ393055 GXF393055 HHB393055 HQX393055 IAT393055 IKP393055 IUL393055 JEH393055 JOD393055 JXZ393055 KHV393055 KRR393055 LBN393055 LLJ393055 LVF393055 MFB393055 MOX393055 MYT393055 NIP393055 NSL393055 OCH393055 OMD393055 OVZ393055 PFV393055 PPR393055 PZN393055 QJJ393055 QTF393055 RDB393055 RMX393055 RWT393055 SGP393055 SQL393055 TAH393055 TKD393055 TTZ393055 UDV393055 UNR393055 UXN393055 VHJ393055 VRF393055 WBB393055 WKX393055 WUT393055 IH458591 SD458591 ABZ458591 ALV458591 AVR458591 BFN458591 BPJ458591 BZF458591 CJB458591 CSX458591 DCT458591 DMP458591 DWL458591 EGH458591 EQD458591 EZZ458591 FJV458591 FTR458591 GDN458591 GNJ458591 GXF458591 HHB458591 HQX458591 IAT458591 IKP458591 IUL458591 JEH458591 JOD458591 JXZ458591 KHV458591 KRR458591 LBN458591 LLJ458591 LVF458591 MFB458591 MOX458591 MYT458591 NIP458591 NSL458591 OCH458591 OMD458591 OVZ458591 PFV458591 PPR458591 PZN458591 QJJ458591 QTF458591 RDB458591 RMX458591 RWT458591 SGP458591 SQL458591 TAH458591 TKD458591 TTZ458591 UDV458591 UNR458591 UXN458591 VHJ458591 VRF458591 WBB458591 WKX458591 WUT458591 IH524127 SD524127 ABZ524127 ALV524127 AVR524127 BFN524127 BPJ524127 BZF524127 CJB524127 CSX524127 DCT524127 DMP524127 DWL524127 EGH524127 EQD524127 EZZ524127 FJV524127 FTR524127 GDN524127 GNJ524127 GXF524127 HHB524127 HQX524127 IAT524127 IKP524127 IUL524127 JEH524127 JOD524127 JXZ524127 KHV524127 KRR524127 LBN524127 LLJ524127 LVF524127 MFB524127 MOX524127 MYT524127 NIP524127 NSL524127 OCH524127 OMD524127 OVZ524127 PFV524127 PPR524127 PZN524127 QJJ524127 QTF524127 RDB524127 RMX524127 RWT524127 SGP524127 SQL524127 TAH524127 TKD524127 TTZ524127 UDV524127 UNR524127 UXN524127 VHJ524127 VRF524127 WBB524127 WKX524127 WUT524127 IH589663 SD589663 ABZ589663 ALV589663 AVR589663 BFN589663 BPJ589663 BZF589663 CJB589663 CSX589663 DCT589663 DMP589663 DWL589663 EGH589663 EQD589663 EZZ589663 FJV589663 FTR589663 GDN589663 GNJ589663 GXF589663 HHB589663 HQX589663 IAT589663 IKP589663 IUL589663 JEH589663 JOD589663 JXZ589663 KHV589663 KRR589663 LBN589663 LLJ589663 LVF589663 MFB589663 MOX589663 MYT589663 NIP589663 NSL589663 OCH589663 OMD589663 OVZ589663 PFV589663 PPR589663 PZN589663 QJJ589663 QTF589663 RDB589663 RMX589663 RWT589663 SGP589663 SQL589663 TAH589663 TKD589663 TTZ589663 UDV589663 UNR589663 UXN589663 VHJ589663 VRF589663 WBB589663 WKX589663 WUT589663 IH655199 SD655199 ABZ655199 ALV655199 AVR655199 BFN655199 BPJ655199 BZF655199 CJB655199 CSX655199 DCT655199 DMP655199 DWL655199 EGH655199 EQD655199 EZZ655199 FJV655199 FTR655199 GDN655199 GNJ655199 GXF655199 HHB655199 HQX655199 IAT655199 IKP655199 IUL655199 JEH655199 JOD655199 JXZ655199 KHV655199 KRR655199 LBN655199 LLJ655199 LVF655199 MFB655199 MOX655199 MYT655199 NIP655199 NSL655199 OCH655199 OMD655199 OVZ655199 PFV655199 PPR655199 PZN655199 QJJ655199 QTF655199 RDB655199 RMX655199 RWT655199 SGP655199 SQL655199 TAH655199 TKD655199 TTZ655199 UDV655199 UNR655199 UXN655199 VHJ655199 VRF655199 WBB655199 WKX655199 WUT655199 IH720735 SD720735 ABZ720735 ALV720735 AVR720735 BFN720735 BPJ720735 BZF720735 CJB720735 CSX720735 DCT720735 DMP720735 DWL720735 EGH720735 EQD720735 EZZ720735 FJV720735 FTR720735 GDN720735 GNJ720735 GXF720735 HHB720735 HQX720735 IAT720735 IKP720735 IUL720735 JEH720735 JOD720735 JXZ720735 KHV720735 KRR720735 LBN720735 LLJ720735 LVF720735 MFB720735 MOX720735 MYT720735 NIP720735 NSL720735 OCH720735 OMD720735 OVZ720735 PFV720735 PPR720735 PZN720735 QJJ720735 QTF720735 RDB720735 RMX720735 RWT720735 SGP720735 SQL720735 TAH720735 TKD720735 TTZ720735 UDV720735 UNR720735 UXN720735 VHJ720735 VRF720735 WBB720735 WKX720735 WUT720735 IH786271 SD786271 ABZ786271 ALV786271 AVR786271 BFN786271 BPJ786271 BZF786271 CJB786271 CSX786271 DCT786271 DMP786271 DWL786271 EGH786271 EQD786271 EZZ786271 FJV786271 FTR786271 GDN786271 GNJ786271 GXF786271 HHB786271 HQX786271 IAT786271 IKP786271 IUL786271 JEH786271 JOD786271 JXZ786271 KHV786271 KRR786271 LBN786271 LLJ786271 LVF786271 MFB786271 MOX786271 MYT786271 NIP786271 NSL786271 OCH786271 OMD786271 OVZ786271 PFV786271 PPR786271 PZN786271 QJJ786271 QTF786271 RDB786271 RMX786271 RWT786271 SGP786271 SQL786271 TAH786271 TKD786271 TTZ786271 UDV786271 UNR786271 UXN786271 VHJ786271 VRF786271 WBB786271 WKX786271 WUT786271 IH851807 SD851807 ABZ851807 ALV851807 AVR851807 BFN851807 BPJ851807 BZF851807 CJB851807 CSX851807 DCT851807 DMP851807 DWL851807 EGH851807 EQD851807 EZZ851807 FJV851807 FTR851807 GDN851807 GNJ851807 GXF851807 HHB851807 HQX851807 IAT851807 IKP851807 IUL851807 JEH851807 JOD851807 JXZ851807 KHV851807 KRR851807 LBN851807 LLJ851807 LVF851807 MFB851807 MOX851807 MYT851807 NIP851807 NSL851807 OCH851807 OMD851807 OVZ851807 PFV851807 PPR851807 PZN851807 QJJ851807 QTF851807 RDB851807 RMX851807 RWT851807 SGP851807 SQL851807 TAH851807 TKD851807 TTZ851807 UDV851807 UNR851807 UXN851807 VHJ851807 VRF851807 WBB851807 WKX851807 WUT851807 IH917343 SD917343 ABZ917343 ALV917343 AVR917343 BFN917343 BPJ917343 BZF917343 CJB917343 CSX917343 DCT917343 DMP917343 DWL917343 EGH917343 EQD917343 EZZ917343 FJV917343 FTR917343 GDN917343 GNJ917343 GXF917343 HHB917343 HQX917343 IAT917343 IKP917343 IUL917343 JEH917343 JOD917343 JXZ917343 KHV917343 KRR917343 LBN917343 LLJ917343 LVF917343 MFB917343 MOX917343 MYT917343 NIP917343 NSL917343 OCH917343 OMD917343 OVZ917343 PFV917343 PPR917343 PZN917343 QJJ917343 QTF917343 RDB917343 RMX917343 RWT917343 SGP917343 SQL917343 TAH917343 TKD917343 TTZ917343 UDV917343 UNR917343 UXN917343 VHJ917343 VRF917343 WBB917343 WKX917343 WUT917343 IH982879 SD982879 ABZ982879 ALV982879 AVR982879 BFN982879 BPJ982879 BZF982879 CJB982879 CSX982879 DCT982879 DMP982879 DWL982879 EGH982879 EQD982879 EZZ982879 FJV982879 FTR982879 GDN982879 GNJ982879 GXF982879 HHB982879 HQX982879 IAT982879 IKP982879 IUL982879 JEH982879 JOD982879 JXZ982879 KHV982879 KRR982879 LBN982879 LLJ982879 LVF982879 MFB982879 MOX982879 MYT982879 NIP982879 NSL982879 OCH982879 OMD982879 OVZ982879 PFV982879 PPR982879 PZN982879 QJJ982879 QTF982879 RDB982879 RMX982879 RWT982879 SGP982879 SQL982879 TAH982879 TKD982879 TTZ982879 UDV982879 UNR982879 UXN982879 VHJ982879 VRF982879 WBB982879 WKX982879 WUT982879 IH65330 SD65330 ABZ65330 ALV65330 AVR65330 BFN65330 BPJ65330 BZF65330 CJB65330 CSX65330 DCT65330 DMP65330 DWL65330 EGH65330 EQD65330 EZZ65330 FJV65330 FTR65330 GDN65330 GNJ65330 GXF65330 HHB65330 HQX65330 IAT65330 IKP65330 IUL65330 JEH65330 JOD65330 JXZ65330 KHV65330 KRR65330 LBN65330 LLJ65330 LVF65330 MFB65330 MOX65330 MYT65330 NIP65330 NSL65330 OCH65330 OMD65330 OVZ65330 PFV65330 PPR65330 PZN65330 QJJ65330 QTF65330 RDB65330 RMX65330 RWT65330 SGP65330 SQL65330 TAH65330 TKD65330 TTZ65330 UDV65330 UNR65330 UXN65330 VHJ65330 VRF65330 WBB65330 WKX65330 WUT65330 IH130866 SD130866 ABZ130866 ALV130866 AVR130866 BFN130866 BPJ130866 BZF130866 CJB130866 CSX130866 DCT130866 DMP130866 DWL130866 EGH130866 EQD130866 EZZ130866 FJV130866 FTR130866 GDN130866 GNJ130866 GXF130866 HHB130866 HQX130866 IAT130866 IKP130866 IUL130866 JEH130866 JOD130866 JXZ130866 KHV130866 KRR130866 LBN130866 LLJ130866 LVF130866 MFB130866 MOX130866 MYT130866 NIP130866 NSL130866 OCH130866 OMD130866 OVZ130866 PFV130866 PPR130866 PZN130866 QJJ130866 QTF130866 RDB130866 RMX130866 RWT130866 SGP130866 SQL130866 TAH130866 TKD130866 TTZ130866 UDV130866 UNR130866 UXN130866 VHJ130866 VRF130866 WBB130866 WKX130866 WUT130866 IH196402 SD196402 ABZ196402 ALV196402 AVR196402 BFN196402 BPJ196402 BZF196402 CJB196402 CSX196402 DCT196402 DMP196402 DWL196402 EGH196402 EQD196402 EZZ196402 FJV196402 FTR196402 GDN196402 GNJ196402 GXF196402 HHB196402 HQX196402 IAT196402 IKP196402 IUL196402 JEH196402 JOD196402 JXZ196402 KHV196402 KRR196402 LBN196402 LLJ196402 LVF196402 MFB196402 MOX196402 MYT196402 NIP196402 NSL196402 OCH196402 OMD196402 OVZ196402 PFV196402 PPR196402 PZN196402 QJJ196402 QTF196402 RDB196402 RMX196402 RWT196402 SGP196402 SQL196402 TAH196402 TKD196402 TTZ196402 UDV196402 UNR196402 UXN196402 VHJ196402 VRF196402 WBB196402 WKX196402 WUT196402 IH261938 SD261938 ABZ261938 ALV261938 AVR261938 BFN261938 BPJ261938 BZF261938 CJB261938 CSX261938 DCT261938 DMP261938 DWL261938 EGH261938 EQD261938 EZZ261938 FJV261938 FTR261938 GDN261938 GNJ261938 GXF261938 HHB261938 HQX261938 IAT261938 IKP261938 IUL261938 JEH261938 JOD261938 JXZ261938 KHV261938 KRR261938 LBN261938 LLJ261938 LVF261938 MFB261938 MOX261938 MYT261938 NIP261938 NSL261938 OCH261938 OMD261938 OVZ261938 PFV261938 PPR261938 PZN261938 QJJ261938 QTF261938 RDB261938 RMX261938 RWT261938 SGP261938 SQL261938 TAH261938 TKD261938 TTZ261938 UDV261938 UNR261938 UXN261938 VHJ261938 VRF261938 WBB261938 WKX261938 WUT261938 IH327474 SD327474 ABZ327474 ALV327474 AVR327474 BFN327474 BPJ327474 BZF327474 CJB327474 CSX327474 DCT327474 DMP327474 DWL327474 EGH327474 EQD327474 EZZ327474 FJV327474 FTR327474 GDN327474 GNJ327474 GXF327474 HHB327474 HQX327474 IAT327474 IKP327474 IUL327474 JEH327474 JOD327474 JXZ327474 KHV327474 KRR327474 LBN327474 LLJ327474 LVF327474 MFB327474 MOX327474 MYT327474 NIP327474 NSL327474 OCH327474 OMD327474 OVZ327474 PFV327474 PPR327474 PZN327474 QJJ327474 QTF327474 RDB327474 RMX327474 RWT327474 SGP327474 SQL327474 TAH327474 TKD327474 TTZ327474 UDV327474 UNR327474 UXN327474 VHJ327474 VRF327474 WBB327474 WKX327474 WUT327474 IH393010 SD393010 ABZ393010 ALV393010 AVR393010 BFN393010 BPJ393010 BZF393010 CJB393010 CSX393010 DCT393010 DMP393010 DWL393010 EGH393010 EQD393010 EZZ393010 FJV393010 FTR393010 GDN393010 GNJ393010 GXF393010 HHB393010 HQX393010 IAT393010 IKP393010 IUL393010 JEH393010 JOD393010 JXZ393010 KHV393010 KRR393010 LBN393010 LLJ393010 LVF393010 MFB393010 MOX393010 MYT393010 NIP393010 NSL393010 OCH393010 OMD393010 OVZ393010 PFV393010 PPR393010 PZN393010 QJJ393010 QTF393010 RDB393010 RMX393010 RWT393010 SGP393010 SQL393010 TAH393010 TKD393010 TTZ393010 UDV393010 UNR393010 UXN393010 VHJ393010 VRF393010 WBB393010 WKX393010 WUT393010 IH458546 SD458546 ABZ458546 ALV458546 AVR458546 BFN458546 BPJ458546 BZF458546 CJB458546 CSX458546 DCT458546 DMP458546 DWL458546 EGH458546 EQD458546 EZZ458546 FJV458546 FTR458546 GDN458546 GNJ458546 GXF458546 HHB458546 HQX458546 IAT458546 IKP458546 IUL458546 JEH458546 JOD458546 JXZ458546 KHV458546 KRR458546 LBN458546 LLJ458546 LVF458546 MFB458546 MOX458546 MYT458546 NIP458546 NSL458546 OCH458546 OMD458546 OVZ458546 PFV458546 PPR458546 PZN458546 QJJ458546 QTF458546 RDB458546 RMX458546 RWT458546 SGP458546 SQL458546 TAH458546 TKD458546 TTZ458546 UDV458546 UNR458546 UXN458546 VHJ458546 VRF458546 WBB458546 WKX458546 WUT458546 IH524082 SD524082 ABZ524082 ALV524082 AVR524082 BFN524082 BPJ524082 BZF524082 CJB524082 CSX524082 DCT524082 DMP524082 DWL524082 EGH524082 EQD524082 EZZ524082 FJV524082 FTR524082 GDN524082 GNJ524082 GXF524082 HHB524082 HQX524082 IAT524082 IKP524082 IUL524082 JEH524082 JOD524082 JXZ524082 KHV524082 KRR524082 LBN524082 LLJ524082 LVF524082 MFB524082 MOX524082 MYT524082 NIP524082 NSL524082 OCH524082 OMD524082 OVZ524082 PFV524082 PPR524082 PZN524082 QJJ524082 QTF524082 RDB524082 RMX524082 RWT524082 SGP524082 SQL524082 TAH524082 TKD524082 TTZ524082 UDV524082 UNR524082 UXN524082 VHJ524082 VRF524082 WBB524082 WKX524082 WUT524082 IH589618 SD589618 ABZ589618 ALV589618 AVR589618 BFN589618 BPJ589618 BZF589618 CJB589618 CSX589618 DCT589618 DMP589618 DWL589618 EGH589618 EQD589618 EZZ589618 FJV589618 FTR589618 GDN589618 GNJ589618 GXF589618 HHB589618 HQX589618 IAT589618 IKP589618 IUL589618 JEH589618 JOD589618 JXZ589618 KHV589618 KRR589618 LBN589618 LLJ589618 LVF589618 MFB589618 MOX589618 MYT589618 NIP589618 NSL589618 OCH589618 OMD589618 OVZ589618 PFV589618 PPR589618 PZN589618 QJJ589618 QTF589618 RDB589618 RMX589618 RWT589618 SGP589618 SQL589618 TAH589618 TKD589618 TTZ589618 UDV589618 UNR589618 UXN589618 VHJ589618 VRF589618 WBB589618 WKX589618 WUT589618 IH655154 SD655154 ABZ655154 ALV655154 AVR655154 BFN655154 BPJ655154 BZF655154 CJB655154 CSX655154 DCT655154 DMP655154 DWL655154 EGH655154 EQD655154 EZZ655154 FJV655154 FTR655154 GDN655154 GNJ655154 GXF655154 HHB655154 HQX655154 IAT655154 IKP655154 IUL655154 JEH655154 JOD655154 JXZ655154 KHV655154 KRR655154 LBN655154 LLJ655154 LVF655154 MFB655154 MOX655154 MYT655154 NIP655154 NSL655154 OCH655154 OMD655154 OVZ655154 PFV655154 PPR655154 PZN655154 QJJ655154 QTF655154 RDB655154 RMX655154 RWT655154 SGP655154 SQL655154 TAH655154 TKD655154 TTZ655154 UDV655154 UNR655154 UXN655154 VHJ655154 VRF655154 WBB655154 WKX655154 WUT655154 IH720690 SD720690 ABZ720690 ALV720690 AVR720690 BFN720690 BPJ720690 BZF720690 CJB720690 CSX720690 DCT720690 DMP720690 DWL720690 EGH720690 EQD720690 EZZ720690 FJV720690 FTR720690 GDN720690 GNJ720690 GXF720690 HHB720690 HQX720690 IAT720690 IKP720690 IUL720690 JEH720690 JOD720690 JXZ720690 KHV720690 KRR720690 LBN720690 LLJ720690 LVF720690 MFB720690 MOX720690 MYT720690 NIP720690 NSL720690 OCH720690 OMD720690 OVZ720690 PFV720690 PPR720690 PZN720690 QJJ720690 QTF720690 RDB720690 RMX720690 RWT720690 SGP720690 SQL720690 TAH720690 TKD720690 TTZ720690 UDV720690 UNR720690 UXN720690 VHJ720690 VRF720690 WBB720690 WKX720690 WUT720690 IH786226 SD786226 ABZ786226 ALV786226 AVR786226 BFN786226 BPJ786226 BZF786226 CJB786226 CSX786226 DCT786226 DMP786226 DWL786226 EGH786226 EQD786226 EZZ786226 FJV786226 FTR786226 GDN786226 GNJ786226 GXF786226 HHB786226 HQX786226 IAT786226 IKP786226 IUL786226 JEH786226 JOD786226 JXZ786226 KHV786226 KRR786226 LBN786226 LLJ786226 LVF786226 MFB786226 MOX786226 MYT786226 NIP786226 NSL786226 OCH786226 OMD786226 OVZ786226 PFV786226 PPR786226 PZN786226 QJJ786226 QTF786226 RDB786226 RMX786226 RWT786226 SGP786226 SQL786226 TAH786226 TKD786226 TTZ786226 UDV786226 UNR786226 UXN786226 VHJ786226 VRF786226 WBB786226 WKX786226 WUT786226 IH851762 SD851762 ABZ851762 ALV851762 AVR851762 BFN851762 BPJ851762 BZF851762 CJB851762 CSX851762 DCT851762 DMP851762 DWL851762 EGH851762 EQD851762 EZZ851762 FJV851762 FTR851762 GDN851762 GNJ851762 GXF851762 HHB851762 HQX851762 IAT851762 IKP851762 IUL851762 JEH851762 JOD851762 JXZ851762 KHV851762 KRR851762 LBN851762 LLJ851762 LVF851762 MFB851762 MOX851762 MYT851762 NIP851762 NSL851762 OCH851762 OMD851762 OVZ851762 PFV851762 PPR851762 PZN851762 QJJ851762 QTF851762 RDB851762 RMX851762 RWT851762 SGP851762 SQL851762 TAH851762 TKD851762 TTZ851762 UDV851762 UNR851762 UXN851762 VHJ851762 VRF851762 WBB851762 WKX851762 WUT851762 IH917298 SD917298 ABZ917298 ALV917298 AVR917298 BFN917298 BPJ917298 BZF917298 CJB917298 CSX917298 DCT917298 DMP917298 DWL917298 EGH917298 EQD917298 EZZ917298 FJV917298 FTR917298 GDN917298 GNJ917298 GXF917298 HHB917298 HQX917298 IAT917298 IKP917298 IUL917298 JEH917298 JOD917298 JXZ917298 KHV917298 KRR917298 LBN917298 LLJ917298 LVF917298 MFB917298 MOX917298 MYT917298 NIP917298 NSL917298 OCH917298 OMD917298 OVZ917298 PFV917298 PPR917298 PZN917298 QJJ917298 QTF917298 RDB917298 RMX917298 RWT917298 SGP917298 SQL917298 TAH917298 TKD917298 TTZ917298 UDV917298 UNR917298 UXN917298 VHJ917298 VRF917298 WBB917298 WKX917298 WUT917298 IH982834 SD982834 ABZ982834 ALV982834 AVR982834 BFN982834 BPJ982834 BZF982834 CJB982834 CSX982834 DCT982834 DMP982834 DWL982834 EGH982834 EQD982834 EZZ982834 FJV982834 FTR982834 GDN982834 GNJ982834 GXF982834 HHB982834 HQX982834 IAT982834 IKP982834 IUL982834 JEH982834 JOD982834 JXZ982834 KHV982834 KRR982834 LBN982834 LLJ982834 LVF982834 MFB982834 MOX982834 MYT982834 NIP982834 NSL982834 OCH982834 OMD982834 OVZ982834 PFV982834 PPR982834 PZN982834 QJJ982834 QTF982834 RDB982834 RMX982834 RWT982834 SGP982834 SQL982834 TAH982834 TKD982834 TTZ982834 UDV982834 UNR982834 UXN982834 VHJ982834 VRF982834 WBB982834 WKX982834 WUT982834 IH66047:IH66051 SD66047:SD66051 ABZ66047:ABZ66051 ALV66047:ALV66051 AVR66047:AVR66051 BFN66047:BFN66051 BPJ66047:BPJ66051 BZF66047:BZF66051 CJB66047:CJB66051 CSX66047:CSX66051 DCT66047:DCT66051 DMP66047:DMP66051 DWL66047:DWL66051 EGH66047:EGH66051 EQD66047:EQD66051 EZZ66047:EZZ66051 FJV66047:FJV66051 FTR66047:FTR66051 GDN66047:GDN66051 GNJ66047:GNJ66051 GXF66047:GXF66051 HHB66047:HHB66051 HQX66047:HQX66051 IAT66047:IAT66051 IKP66047:IKP66051 IUL66047:IUL66051 JEH66047:JEH66051 JOD66047:JOD66051 JXZ66047:JXZ66051 KHV66047:KHV66051 KRR66047:KRR66051 LBN66047:LBN66051 LLJ66047:LLJ66051 LVF66047:LVF66051 MFB66047:MFB66051 MOX66047:MOX66051 MYT66047:MYT66051 NIP66047:NIP66051 NSL66047:NSL66051 OCH66047:OCH66051 OMD66047:OMD66051 OVZ66047:OVZ66051 PFV66047:PFV66051 PPR66047:PPR66051 PZN66047:PZN66051 QJJ66047:QJJ66051 QTF66047:QTF66051 RDB66047:RDB66051 RMX66047:RMX66051 RWT66047:RWT66051 SGP66047:SGP66051 SQL66047:SQL66051 TAH66047:TAH66051 TKD66047:TKD66051 TTZ66047:TTZ66051 UDV66047:UDV66051 UNR66047:UNR66051 UXN66047:UXN66051 VHJ66047:VHJ66051 VRF66047:VRF66051 WBB66047:WBB66051 WKX66047:WKX66051 WUT66047:WUT66051 IH131583:IH131587 SD131583:SD131587 ABZ131583:ABZ131587 ALV131583:ALV131587 AVR131583:AVR131587 BFN131583:BFN131587 BPJ131583:BPJ131587 BZF131583:BZF131587 CJB131583:CJB131587 CSX131583:CSX131587 DCT131583:DCT131587 DMP131583:DMP131587 DWL131583:DWL131587 EGH131583:EGH131587 EQD131583:EQD131587 EZZ131583:EZZ131587 FJV131583:FJV131587 FTR131583:FTR131587 GDN131583:GDN131587 GNJ131583:GNJ131587 GXF131583:GXF131587 HHB131583:HHB131587 HQX131583:HQX131587 IAT131583:IAT131587 IKP131583:IKP131587 IUL131583:IUL131587 JEH131583:JEH131587 JOD131583:JOD131587 JXZ131583:JXZ131587 KHV131583:KHV131587 KRR131583:KRR131587 LBN131583:LBN131587 LLJ131583:LLJ131587 LVF131583:LVF131587 MFB131583:MFB131587 MOX131583:MOX131587 MYT131583:MYT131587 NIP131583:NIP131587 NSL131583:NSL131587 OCH131583:OCH131587 OMD131583:OMD131587 OVZ131583:OVZ131587 PFV131583:PFV131587 PPR131583:PPR131587 PZN131583:PZN131587 QJJ131583:QJJ131587 QTF131583:QTF131587 RDB131583:RDB131587 RMX131583:RMX131587 RWT131583:RWT131587 SGP131583:SGP131587 SQL131583:SQL131587 TAH131583:TAH131587 TKD131583:TKD131587 TTZ131583:TTZ131587 UDV131583:UDV131587 UNR131583:UNR131587 UXN131583:UXN131587 VHJ131583:VHJ131587 VRF131583:VRF131587 WBB131583:WBB131587 WKX131583:WKX131587 WUT131583:WUT131587 IH197119:IH197123 SD197119:SD197123 ABZ197119:ABZ197123 ALV197119:ALV197123 AVR197119:AVR197123 BFN197119:BFN197123 BPJ197119:BPJ197123 BZF197119:BZF197123 CJB197119:CJB197123 CSX197119:CSX197123 DCT197119:DCT197123 DMP197119:DMP197123 DWL197119:DWL197123 EGH197119:EGH197123 EQD197119:EQD197123 EZZ197119:EZZ197123 FJV197119:FJV197123 FTR197119:FTR197123 GDN197119:GDN197123 GNJ197119:GNJ197123 GXF197119:GXF197123 HHB197119:HHB197123 HQX197119:HQX197123 IAT197119:IAT197123 IKP197119:IKP197123 IUL197119:IUL197123 JEH197119:JEH197123 JOD197119:JOD197123 JXZ197119:JXZ197123 KHV197119:KHV197123 KRR197119:KRR197123 LBN197119:LBN197123 LLJ197119:LLJ197123 LVF197119:LVF197123 MFB197119:MFB197123 MOX197119:MOX197123 MYT197119:MYT197123 NIP197119:NIP197123 NSL197119:NSL197123 OCH197119:OCH197123 OMD197119:OMD197123 OVZ197119:OVZ197123 PFV197119:PFV197123 PPR197119:PPR197123 PZN197119:PZN197123 QJJ197119:QJJ197123 QTF197119:QTF197123 RDB197119:RDB197123 RMX197119:RMX197123 RWT197119:RWT197123 SGP197119:SGP197123 SQL197119:SQL197123 TAH197119:TAH197123 TKD197119:TKD197123 TTZ197119:TTZ197123 UDV197119:UDV197123 UNR197119:UNR197123 UXN197119:UXN197123 VHJ197119:VHJ197123 VRF197119:VRF197123 WBB197119:WBB197123 WKX197119:WKX197123 WUT197119:WUT197123 IH262655:IH262659 SD262655:SD262659 ABZ262655:ABZ262659 ALV262655:ALV262659 AVR262655:AVR262659 BFN262655:BFN262659 BPJ262655:BPJ262659 BZF262655:BZF262659 CJB262655:CJB262659 CSX262655:CSX262659 DCT262655:DCT262659 DMP262655:DMP262659 DWL262655:DWL262659 EGH262655:EGH262659 EQD262655:EQD262659 EZZ262655:EZZ262659 FJV262655:FJV262659 FTR262655:FTR262659 GDN262655:GDN262659 GNJ262655:GNJ262659 GXF262655:GXF262659 HHB262655:HHB262659 HQX262655:HQX262659 IAT262655:IAT262659 IKP262655:IKP262659 IUL262655:IUL262659 JEH262655:JEH262659 JOD262655:JOD262659 JXZ262655:JXZ262659 KHV262655:KHV262659 KRR262655:KRR262659 LBN262655:LBN262659 LLJ262655:LLJ262659 LVF262655:LVF262659 MFB262655:MFB262659 MOX262655:MOX262659 MYT262655:MYT262659 NIP262655:NIP262659 NSL262655:NSL262659 OCH262655:OCH262659 OMD262655:OMD262659 OVZ262655:OVZ262659 PFV262655:PFV262659 PPR262655:PPR262659 PZN262655:PZN262659 QJJ262655:QJJ262659 QTF262655:QTF262659 RDB262655:RDB262659 RMX262655:RMX262659 RWT262655:RWT262659 SGP262655:SGP262659 SQL262655:SQL262659 TAH262655:TAH262659 TKD262655:TKD262659 TTZ262655:TTZ262659 UDV262655:UDV262659 UNR262655:UNR262659 UXN262655:UXN262659 VHJ262655:VHJ262659 VRF262655:VRF262659 WBB262655:WBB262659 WKX262655:WKX262659 WUT262655:WUT262659 IH328191:IH328195 SD328191:SD328195 ABZ328191:ABZ328195 ALV328191:ALV328195 AVR328191:AVR328195 BFN328191:BFN328195 BPJ328191:BPJ328195 BZF328191:BZF328195 CJB328191:CJB328195 CSX328191:CSX328195 DCT328191:DCT328195 DMP328191:DMP328195 DWL328191:DWL328195 EGH328191:EGH328195 EQD328191:EQD328195 EZZ328191:EZZ328195 FJV328191:FJV328195 FTR328191:FTR328195 GDN328191:GDN328195 GNJ328191:GNJ328195 GXF328191:GXF328195 HHB328191:HHB328195 HQX328191:HQX328195 IAT328191:IAT328195 IKP328191:IKP328195 IUL328191:IUL328195 JEH328191:JEH328195 JOD328191:JOD328195 JXZ328191:JXZ328195 KHV328191:KHV328195 KRR328191:KRR328195 LBN328191:LBN328195 LLJ328191:LLJ328195 LVF328191:LVF328195 MFB328191:MFB328195 MOX328191:MOX328195 MYT328191:MYT328195 NIP328191:NIP328195 NSL328191:NSL328195 OCH328191:OCH328195 OMD328191:OMD328195 OVZ328191:OVZ328195 PFV328191:PFV328195 PPR328191:PPR328195 PZN328191:PZN328195 QJJ328191:QJJ328195 QTF328191:QTF328195 RDB328191:RDB328195 RMX328191:RMX328195 RWT328191:RWT328195 SGP328191:SGP328195 SQL328191:SQL328195 TAH328191:TAH328195 TKD328191:TKD328195 TTZ328191:TTZ328195 UDV328191:UDV328195 UNR328191:UNR328195 UXN328191:UXN328195 VHJ328191:VHJ328195 VRF328191:VRF328195 WBB328191:WBB328195 WKX328191:WKX328195 WUT328191:WUT328195 IH393727:IH393731 SD393727:SD393731 ABZ393727:ABZ393731 ALV393727:ALV393731 AVR393727:AVR393731 BFN393727:BFN393731 BPJ393727:BPJ393731 BZF393727:BZF393731 CJB393727:CJB393731 CSX393727:CSX393731 DCT393727:DCT393731 DMP393727:DMP393731 DWL393727:DWL393731 EGH393727:EGH393731 EQD393727:EQD393731 EZZ393727:EZZ393731 FJV393727:FJV393731 FTR393727:FTR393731 GDN393727:GDN393731 GNJ393727:GNJ393731 GXF393727:GXF393731 HHB393727:HHB393731 HQX393727:HQX393731 IAT393727:IAT393731 IKP393727:IKP393731 IUL393727:IUL393731 JEH393727:JEH393731 JOD393727:JOD393731 JXZ393727:JXZ393731 KHV393727:KHV393731 KRR393727:KRR393731 LBN393727:LBN393731 LLJ393727:LLJ393731 LVF393727:LVF393731 MFB393727:MFB393731 MOX393727:MOX393731 MYT393727:MYT393731 NIP393727:NIP393731 NSL393727:NSL393731 OCH393727:OCH393731 OMD393727:OMD393731 OVZ393727:OVZ393731 PFV393727:PFV393731 PPR393727:PPR393731 PZN393727:PZN393731 QJJ393727:QJJ393731 QTF393727:QTF393731 RDB393727:RDB393731 RMX393727:RMX393731 RWT393727:RWT393731 SGP393727:SGP393731 SQL393727:SQL393731 TAH393727:TAH393731 TKD393727:TKD393731 TTZ393727:TTZ393731 UDV393727:UDV393731 UNR393727:UNR393731 UXN393727:UXN393731 VHJ393727:VHJ393731 VRF393727:VRF393731 WBB393727:WBB393731 WKX393727:WKX393731 WUT393727:WUT393731 IH459263:IH459267 SD459263:SD459267 ABZ459263:ABZ459267 ALV459263:ALV459267 AVR459263:AVR459267 BFN459263:BFN459267 BPJ459263:BPJ459267 BZF459263:BZF459267 CJB459263:CJB459267 CSX459263:CSX459267 DCT459263:DCT459267 DMP459263:DMP459267 DWL459263:DWL459267 EGH459263:EGH459267 EQD459263:EQD459267 EZZ459263:EZZ459267 FJV459263:FJV459267 FTR459263:FTR459267 GDN459263:GDN459267 GNJ459263:GNJ459267 GXF459263:GXF459267 HHB459263:HHB459267 HQX459263:HQX459267 IAT459263:IAT459267 IKP459263:IKP459267 IUL459263:IUL459267 JEH459263:JEH459267 JOD459263:JOD459267 JXZ459263:JXZ459267 KHV459263:KHV459267 KRR459263:KRR459267 LBN459263:LBN459267 LLJ459263:LLJ459267 LVF459263:LVF459267 MFB459263:MFB459267 MOX459263:MOX459267 MYT459263:MYT459267 NIP459263:NIP459267 NSL459263:NSL459267 OCH459263:OCH459267 OMD459263:OMD459267 OVZ459263:OVZ459267 PFV459263:PFV459267 PPR459263:PPR459267 PZN459263:PZN459267 QJJ459263:QJJ459267 QTF459263:QTF459267 RDB459263:RDB459267 RMX459263:RMX459267 RWT459263:RWT459267 SGP459263:SGP459267 SQL459263:SQL459267 TAH459263:TAH459267 TKD459263:TKD459267 TTZ459263:TTZ459267 UDV459263:UDV459267 UNR459263:UNR459267 UXN459263:UXN459267 VHJ459263:VHJ459267 VRF459263:VRF459267 WBB459263:WBB459267 WKX459263:WKX459267 WUT459263:WUT459267 IH524799:IH524803 SD524799:SD524803 ABZ524799:ABZ524803 ALV524799:ALV524803 AVR524799:AVR524803 BFN524799:BFN524803 BPJ524799:BPJ524803 BZF524799:BZF524803 CJB524799:CJB524803 CSX524799:CSX524803 DCT524799:DCT524803 DMP524799:DMP524803 DWL524799:DWL524803 EGH524799:EGH524803 EQD524799:EQD524803 EZZ524799:EZZ524803 FJV524799:FJV524803 FTR524799:FTR524803 GDN524799:GDN524803 GNJ524799:GNJ524803 GXF524799:GXF524803 HHB524799:HHB524803 HQX524799:HQX524803 IAT524799:IAT524803 IKP524799:IKP524803 IUL524799:IUL524803 JEH524799:JEH524803 JOD524799:JOD524803 JXZ524799:JXZ524803 KHV524799:KHV524803 KRR524799:KRR524803 LBN524799:LBN524803 LLJ524799:LLJ524803 LVF524799:LVF524803 MFB524799:MFB524803 MOX524799:MOX524803 MYT524799:MYT524803 NIP524799:NIP524803 NSL524799:NSL524803 OCH524799:OCH524803 OMD524799:OMD524803 OVZ524799:OVZ524803 PFV524799:PFV524803 PPR524799:PPR524803 PZN524799:PZN524803 QJJ524799:QJJ524803 QTF524799:QTF524803 RDB524799:RDB524803 RMX524799:RMX524803 RWT524799:RWT524803 SGP524799:SGP524803 SQL524799:SQL524803 TAH524799:TAH524803 TKD524799:TKD524803 TTZ524799:TTZ524803 UDV524799:UDV524803 UNR524799:UNR524803 UXN524799:UXN524803 VHJ524799:VHJ524803 VRF524799:VRF524803 WBB524799:WBB524803 WKX524799:WKX524803 WUT524799:WUT524803 IH590335:IH590339 SD590335:SD590339 ABZ590335:ABZ590339 ALV590335:ALV590339 AVR590335:AVR590339 BFN590335:BFN590339 BPJ590335:BPJ590339 BZF590335:BZF590339 CJB590335:CJB590339 CSX590335:CSX590339 DCT590335:DCT590339 DMP590335:DMP590339 DWL590335:DWL590339 EGH590335:EGH590339 EQD590335:EQD590339 EZZ590335:EZZ590339 FJV590335:FJV590339 FTR590335:FTR590339 GDN590335:GDN590339 GNJ590335:GNJ590339 GXF590335:GXF590339 HHB590335:HHB590339 HQX590335:HQX590339 IAT590335:IAT590339 IKP590335:IKP590339 IUL590335:IUL590339 JEH590335:JEH590339 JOD590335:JOD590339 JXZ590335:JXZ590339 KHV590335:KHV590339 KRR590335:KRR590339 LBN590335:LBN590339 LLJ590335:LLJ590339 LVF590335:LVF590339 MFB590335:MFB590339 MOX590335:MOX590339 MYT590335:MYT590339 NIP590335:NIP590339 NSL590335:NSL590339 OCH590335:OCH590339 OMD590335:OMD590339 OVZ590335:OVZ590339 PFV590335:PFV590339 PPR590335:PPR590339 PZN590335:PZN590339 QJJ590335:QJJ590339 QTF590335:QTF590339 RDB590335:RDB590339 RMX590335:RMX590339 RWT590335:RWT590339 SGP590335:SGP590339 SQL590335:SQL590339 TAH590335:TAH590339 TKD590335:TKD590339 TTZ590335:TTZ590339 UDV590335:UDV590339 UNR590335:UNR590339 UXN590335:UXN590339 VHJ590335:VHJ590339 VRF590335:VRF590339 WBB590335:WBB590339 WKX590335:WKX590339 WUT590335:WUT590339 IH655871:IH655875 SD655871:SD655875 ABZ655871:ABZ655875 ALV655871:ALV655875 AVR655871:AVR655875 BFN655871:BFN655875 BPJ655871:BPJ655875 BZF655871:BZF655875 CJB655871:CJB655875 CSX655871:CSX655875 DCT655871:DCT655875 DMP655871:DMP655875 DWL655871:DWL655875 EGH655871:EGH655875 EQD655871:EQD655875 EZZ655871:EZZ655875 FJV655871:FJV655875 FTR655871:FTR655875 GDN655871:GDN655875 GNJ655871:GNJ655875 GXF655871:GXF655875 HHB655871:HHB655875 HQX655871:HQX655875 IAT655871:IAT655875 IKP655871:IKP655875 IUL655871:IUL655875 JEH655871:JEH655875 JOD655871:JOD655875 JXZ655871:JXZ655875 KHV655871:KHV655875 KRR655871:KRR655875 LBN655871:LBN655875 LLJ655871:LLJ655875 LVF655871:LVF655875 MFB655871:MFB655875 MOX655871:MOX655875 MYT655871:MYT655875 NIP655871:NIP655875 NSL655871:NSL655875 OCH655871:OCH655875 OMD655871:OMD655875 OVZ655871:OVZ655875 PFV655871:PFV655875 PPR655871:PPR655875 PZN655871:PZN655875 QJJ655871:QJJ655875 QTF655871:QTF655875 RDB655871:RDB655875 RMX655871:RMX655875 RWT655871:RWT655875 SGP655871:SGP655875 SQL655871:SQL655875 TAH655871:TAH655875 TKD655871:TKD655875 TTZ655871:TTZ655875 UDV655871:UDV655875 UNR655871:UNR655875 UXN655871:UXN655875 VHJ655871:VHJ655875 VRF655871:VRF655875 WBB655871:WBB655875 WKX655871:WKX655875 WUT655871:WUT655875 IH721407:IH721411 SD721407:SD721411 ABZ721407:ABZ721411 ALV721407:ALV721411 AVR721407:AVR721411 BFN721407:BFN721411 BPJ721407:BPJ721411 BZF721407:BZF721411 CJB721407:CJB721411 CSX721407:CSX721411 DCT721407:DCT721411 DMP721407:DMP721411 DWL721407:DWL721411 EGH721407:EGH721411 EQD721407:EQD721411 EZZ721407:EZZ721411 FJV721407:FJV721411 FTR721407:FTR721411 GDN721407:GDN721411 GNJ721407:GNJ721411 GXF721407:GXF721411 HHB721407:HHB721411 HQX721407:HQX721411 IAT721407:IAT721411 IKP721407:IKP721411 IUL721407:IUL721411 JEH721407:JEH721411 JOD721407:JOD721411 JXZ721407:JXZ721411 KHV721407:KHV721411 KRR721407:KRR721411 LBN721407:LBN721411 LLJ721407:LLJ721411 LVF721407:LVF721411 MFB721407:MFB721411 MOX721407:MOX721411 MYT721407:MYT721411 NIP721407:NIP721411 NSL721407:NSL721411 OCH721407:OCH721411 OMD721407:OMD721411 OVZ721407:OVZ721411 PFV721407:PFV721411 PPR721407:PPR721411 PZN721407:PZN721411 QJJ721407:QJJ721411 QTF721407:QTF721411 RDB721407:RDB721411 RMX721407:RMX721411 RWT721407:RWT721411 SGP721407:SGP721411 SQL721407:SQL721411 TAH721407:TAH721411 TKD721407:TKD721411 TTZ721407:TTZ721411 UDV721407:UDV721411 UNR721407:UNR721411 UXN721407:UXN721411 VHJ721407:VHJ721411 VRF721407:VRF721411 WBB721407:WBB721411 WKX721407:WKX721411 WUT721407:WUT721411 IH786943:IH786947 SD786943:SD786947 ABZ786943:ABZ786947 ALV786943:ALV786947 AVR786943:AVR786947 BFN786943:BFN786947 BPJ786943:BPJ786947 BZF786943:BZF786947 CJB786943:CJB786947 CSX786943:CSX786947 DCT786943:DCT786947 DMP786943:DMP786947 DWL786943:DWL786947 EGH786943:EGH786947 EQD786943:EQD786947 EZZ786943:EZZ786947 FJV786943:FJV786947 FTR786943:FTR786947 GDN786943:GDN786947 GNJ786943:GNJ786947 GXF786943:GXF786947 HHB786943:HHB786947 HQX786943:HQX786947 IAT786943:IAT786947 IKP786943:IKP786947 IUL786943:IUL786947 JEH786943:JEH786947 JOD786943:JOD786947 JXZ786943:JXZ786947 KHV786943:KHV786947 KRR786943:KRR786947 LBN786943:LBN786947 LLJ786943:LLJ786947 LVF786943:LVF786947 MFB786943:MFB786947 MOX786943:MOX786947 MYT786943:MYT786947 NIP786943:NIP786947 NSL786943:NSL786947 OCH786943:OCH786947 OMD786943:OMD786947 OVZ786943:OVZ786947 PFV786943:PFV786947 PPR786943:PPR786947 PZN786943:PZN786947 QJJ786943:QJJ786947 QTF786943:QTF786947 RDB786943:RDB786947 RMX786943:RMX786947 RWT786943:RWT786947 SGP786943:SGP786947 SQL786943:SQL786947 TAH786943:TAH786947 TKD786943:TKD786947 TTZ786943:TTZ786947 UDV786943:UDV786947 UNR786943:UNR786947 UXN786943:UXN786947 VHJ786943:VHJ786947 VRF786943:VRF786947 WBB786943:WBB786947 WKX786943:WKX786947 WUT786943:WUT786947 IH852479:IH852483 SD852479:SD852483 ABZ852479:ABZ852483 ALV852479:ALV852483 AVR852479:AVR852483 BFN852479:BFN852483 BPJ852479:BPJ852483 BZF852479:BZF852483 CJB852479:CJB852483 CSX852479:CSX852483 DCT852479:DCT852483 DMP852479:DMP852483 DWL852479:DWL852483 EGH852479:EGH852483 EQD852479:EQD852483 EZZ852479:EZZ852483 FJV852479:FJV852483 FTR852479:FTR852483 GDN852479:GDN852483 GNJ852479:GNJ852483 GXF852479:GXF852483 HHB852479:HHB852483 HQX852479:HQX852483 IAT852479:IAT852483 IKP852479:IKP852483 IUL852479:IUL852483 JEH852479:JEH852483 JOD852479:JOD852483 JXZ852479:JXZ852483 KHV852479:KHV852483 KRR852479:KRR852483 LBN852479:LBN852483 LLJ852479:LLJ852483 LVF852479:LVF852483 MFB852479:MFB852483 MOX852479:MOX852483 MYT852479:MYT852483 NIP852479:NIP852483 NSL852479:NSL852483 OCH852479:OCH852483 OMD852479:OMD852483 OVZ852479:OVZ852483 PFV852479:PFV852483 PPR852479:PPR852483 PZN852479:PZN852483 QJJ852479:QJJ852483 QTF852479:QTF852483 RDB852479:RDB852483 RMX852479:RMX852483 RWT852479:RWT852483 SGP852479:SGP852483 SQL852479:SQL852483 TAH852479:TAH852483 TKD852479:TKD852483 TTZ852479:TTZ852483 UDV852479:UDV852483 UNR852479:UNR852483 UXN852479:UXN852483 VHJ852479:VHJ852483 VRF852479:VRF852483 WBB852479:WBB852483 WKX852479:WKX852483 WUT852479:WUT852483 IH918015:IH918019 SD918015:SD918019 ABZ918015:ABZ918019 ALV918015:ALV918019 AVR918015:AVR918019 BFN918015:BFN918019 BPJ918015:BPJ918019 BZF918015:BZF918019 CJB918015:CJB918019 CSX918015:CSX918019 DCT918015:DCT918019 DMP918015:DMP918019 DWL918015:DWL918019 EGH918015:EGH918019 EQD918015:EQD918019 EZZ918015:EZZ918019 FJV918015:FJV918019 FTR918015:FTR918019 GDN918015:GDN918019 GNJ918015:GNJ918019 GXF918015:GXF918019 HHB918015:HHB918019 HQX918015:HQX918019 IAT918015:IAT918019 IKP918015:IKP918019 IUL918015:IUL918019 JEH918015:JEH918019 JOD918015:JOD918019 JXZ918015:JXZ918019 KHV918015:KHV918019 KRR918015:KRR918019 LBN918015:LBN918019 LLJ918015:LLJ918019 LVF918015:LVF918019 MFB918015:MFB918019 MOX918015:MOX918019 MYT918015:MYT918019 NIP918015:NIP918019 NSL918015:NSL918019 OCH918015:OCH918019 OMD918015:OMD918019 OVZ918015:OVZ918019 PFV918015:PFV918019 PPR918015:PPR918019 PZN918015:PZN918019 QJJ918015:QJJ918019 QTF918015:QTF918019 RDB918015:RDB918019 RMX918015:RMX918019 RWT918015:RWT918019 SGP918015:SGP918019 SQL918015:SQL918019 TAH918015:TAH918019 TKD918015:TKD918019 TTZ918015:TTZ918019 UDV918015:UDV918019 UNR918015:UNR918019 UXN918015:UXN918019 VHJ918015:VHJ918019 VRF918015:VRF918019 WBB918015:WBB918019 WKX918015:WKX918019 WUT918015:WUT918019 IH983551:IH983555 SD983551:SD983555 ABZ983551:ABZ983555 ALV983551:ALV983555 AVR983551:AVR983555 BFN983551:BFN983555 BPJ983551:BPJ983555 BZF983551:BZF983555 CJB983551:CJB983555 CSX983551:CSX983555 DCT983551:DCT983555 DMP983551:DMP983555 DWL983551:DWL983555 EGH983551:EGH983555 EQD983551:EQD983555 EZZ983551:EZZ983555 FJV983551:FJV983555 FTR983551:FTR983555 GDN983551:GDN983555 GNJ983551:GNJ983555 GXF983551:GXF983555 HHB983551:HHB983555 HQX983551:HQX983555 IAT983551:IAT983555 IKP983551:IKP983555 IUL983551:IUL983555 JEH983551:JEH983555 JOD983551:JOD983555 JXZ983551:JXZ983555 KHV983551:KHV983555 KRR983551:KRR983555 LBN983551:LBN983555 LLJ983551:LLJ983555 LVF983551:LVF983555 MFB983551:MFB983555 MOX983551:MOX983555 MYT983551:MYT983555 NIP983551:NIP983555 NSL983551:NSL983555 OCH983551:OCH983555 OMD983551:OMD983555 OVZ983551:OVZ983555 PFV983551:PFV983555 PPR983551:PPR983555 PZN983551:PZN983555 QJJ983551:QJJ983555 QTF983551:QTF983555 RDB983551:RDB983555 RMX983551:RMX983555 RWT983551:RWT983555 SGP983551:SGP983555 SQL983551:SQL983555 TAH983551:TAH983555 TKD983551:TKD983555 TTZ983551:TTZ983555 UDV983551:UDV983555 UNR983551:UNR983555 UXN983551:UXN983555 VHJ983551:VHJ983555 VRF983551:VRF983555 WBB983551:WBB983555 WKX983551:WKX983555 WUT983551:WUT983555 IH606:IH612 WUT606:WUT612 WKX606:WKX612 WBB606:WBB612 VRF606:VRF612 VHJ606:VHJ612 UXN606:UXN612 UNR606:UNR612 UDV606:UDV612 TTZ606:TTZ612 TKD606:TKD612 TAH606:TAH612 SQL606:SQL612 SGP606:SGP612 RWT606:RWT612 RMX606:RMX612 RDB606:RDB612 QTF606:QTF612 QJJ606:QJJ612 PZN606:PZN612 PPR606:PPR612 PFV606:PFV612 OVZ606:OVZ612 OMD606:OMD612 OCH606:OCH612 NSL606:NSL612 NIP606:NIP612 MYT606:MYT612 MOX606:MOX612 MFB606:MFB612 LVF606:LVF612 LLJ606:LLJ612 LBN606:LBN612 KRR606:KRR612 KHV606:KHV612 JXZ606:JXZ612 JOD606:JOD612 JEH606:JEH612 IUL606:IUL612 IKP606:IKP612 IAT606:IAT612 HQX606:HQX612 HHB606:HHB612 GXF606:GXF612 GNJ606:GNJ612 GDN606:GDN612 FTR606:FTR612 FJV606:FJV612 EZZ606:EZZ612 EQD606:EQD612 EGH606:EGH612 DWL606:DWL612 DMP606:DMP612 DCT606:DCT612 CSX606:CSX612 CJB606:CJB612 BZF606:BZF612 BPJ606:BPJ612 BFN606:BFN612 AVR606:AVR612 ALV606:ALV612 ABZ606:ABZ612 SD606:SD612">
      <formula1>11</formula1>
    </dataValidation>
  </dataValidations>
  <pageMargins left="0" right="0" top="0" bottom="0" header="0.31496062992125984" footer="0.31496062992125984"/>
  <pageSetup paperSize="9" scale="75" orientation="portrait" horizontalDpi="180" verticalDpi="18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Form</xm:f>
          </x14:formula1>
          <xm:sqref>IC66594 C204 IC204 RY204 ABU204 ALQ204 AVM204 BFI204 BPE204 BZA204 CIW204 CSS204 DCO204 DMK204 DWG204 EGC204 EPY204 EZU204 FJQ204 FTM204 GDI204 GNE204 GXA204 HGW204 HQS204 IAO204 IKK204 IUG204 JEC204 JNY204 JXU204 KHQ204 KRM204 LBI204 LLE204 LVA204 MEW204 MOS204 MYO204 NIK204 NSG204 OCC204 OLY204 OVU204 PFQ204 PPM204 PZI204 QJE204 QTA204 RCW204 RMS204 RWO204 SGK204 SQG204 TAC204 TJY204 TTU204 UDQ204 UNM204 UXI204 VHE204 VRA204 WAW204 WKS204 WUO204 C527 IC321:IC322 RY321:RY322 ABU321:ABU322 ALQ321:ALQ322 AVM321:AVM322 BFI321:BFI322 BPE321:BPE322 BZA321:BZA322 CIW321:CIW322 CSS321:CSS322 DCO321:DCO322 DMK321:DMK322 DWG321:DWG322 EGC321:EGC322 EPY321:EPY322 EZU321:EZU322 FJQ321:FJQ322 FTM321:FTM322 GDI321:GDI322 GNE321:GNE322 GXA321:GXA322 HGW321:HGW322 HQS321:HQS322 IAO321:IAO322 IKK321:IKK322 IUG321:IUG322 JEC321:JEC322 JNY321:JNY322 JXU321:JXU322 KHQ321:KHQ322 KRM321:KRM322 LBI321:LBI322 LLE321:LLE322 LVA321:LVA322 MEW321:MEW322 MOS321:MOS322 MYO321:MYO322 NIK321:NIK322 NSG321:NSG322 OCC321:OCC322 OLY321:OLY322 OVU321:OVU322 PFQ321:PFQ322 PPM321:PPM322 PZI321:PZI322 QJE321:QJE322 QTA321:QTA322 RCW321:RCW322 RMS321:RMS322 RWO321:RWO322 SGK321:SGK322 SQG321:SQG322 TAC321:TAC322 TJY321:TJY322 TTU321:TTU322 UDQ321:UDQ322 UNM321:UNM322 UXI321:UXI322 VHE321:VHE322 VRA321:VRA322 WAW321:WAW322 WKS321:WKS322 WUO321:WUO322 WUO306:WUO307 WKS306:WKS307 WAW306:WAW307 VRA306:VRA307 VHE306:VHE307 UXI306:UXI307 UNM306:UNM307 UDQ306:UDQ307 TTU306:TTU307 TJY306:TJY307 TAC306:TAC307 SQG306:SQG307 SGK306:SGK307 RWO306:RWO307 RMS306:RMS307 RCW306:RCW307 QTA306:QTA307 QJE306:QJE307 PZI306:PZI307 PPM306:PPM307 PFQ306:PFQ307 OVU306:OVU307 OLY306:OLY307 OCC306:OCC307 NSG306:NSG307 NIK306:NIK307 MYO306:MYO307 MOS306:MOS307 MEW306:MEW307 LVA306:LVA307 LLE306:LLE307 LBI306:LBI307 KRM306:KRM307 KHQ306:KHQ307 JXU306:JXU307 JNY306:JNY307 JEC306:JEC307 IUG306:IUG307 IKK306:IKK307 IAO306:IAO307 HQS306:HQS307 HGW306:HGW307 GXA306:GXA307 GNE306:GNE307 GDI306:GDI307 FTM306:FTM307 FJQ306:FJQ307 EZU306:EZU307 EPY306:EPY307 EGC306:EGC307 DWG306:DWG307 DMK306:DMK307 DCO306:DCO307 CSS306:CSS307 CIW306:CIW307 BZA306:BZA307 BPE306:BPE307 BFI306:BFI307 AVM306:AVM307 ALQ306:ALQ307 ABU306:ABU307 RY306:RY307 IC306:IC307 C306:C307 C321:C322 IC343 RY343 ABU343 ALQ343 AVM343 BFI343 BPE343 BZA343 CIW343 CSS343 DCO343 DMK343 DWG343 EGC343 EPY343 EZU343 FJQ343 FTM343 GDI343 GNE343 GXA343 HGW343 HQS343 IAO343 IKK343 IUG343 JEC343 JNY343 JXU343 KHQ343 KRM343 LBI343 LLE343 LVA343 MEW343 MOS343 MYO343 NIK343 NSG343 OCC343 OLY343 OVU343 PFQ343 PPM343 PZI343 QJE343 QTA343 RCW343 RMS343 RWO343 SGK343 SQG343 TAC343 TJY343 TTU343 UDQ343 UNM343 UXI343 VHE343 VRA343 WAW343 WKS343 WUO343 C343 C537 IC537 WUO537 WKS537 WAW537 VRA537 VHE537 UXI537 UNM537 UDQ537 TTU537 TJY537 TAC537 SQG537 SGK537 RWO537 RMS537 RCW537 QTA537 QJE537 PZI537 PPM537 PFQ537 OVU537 OLY537 OCC537 NSG537 NIK537 MYO537 MOS537 MEW537 LVA537 LLE537 LBI537 KRM537 KHQ537 JXU537 JNY537 JEC537 IUG537 IKK537 IAO537 HQS537 HGW537 GXA537 GNE537 GDI537 FTM537 FJQ537 EZU537 EPY537 EGC537 DWG537 DMK537 DCO537 CSS537 CIW537 BZA537 BPE537 BFI537 AVM537 ALQ537 ABU537 RY537 C643 WUO643 WKS643 WAW643 VRA643 VHE643 UXI643 UNM643 UDQ643 TTU643 TJY643 TAC643 SQG643 SGK643 RWO643 RMS643 RCW643 QTA643 QJE643 PZI643 PPM643 PFQ643 OVU643 OLY643 OCC643 NSG643 NIK643 MYO643 MOS643 MEW643 LVA643 LLE643 LBI643 KRM643 KHQ643 JXU643 JNY643 JEC643 IUG643 IKK643 IAO643 HQS643 HGW643 GXA643 GNE643 GDI643 FTM643 FJQ643 EZU643 EPY643 EGC643 DWG643 DMK643 DCO643 CSS643 CIW643 BZA643 BPE643 BFI643 AVM643 ALQ643 ABU643 RY643 IC643 IC1081:IC1090 RY1081:RY1090 ABU1081:ABU1090 ALQ1081:ALQ1090 AVM1081:AVM1090 BFI1081:BFI1090 BPE1081:BPE1090 BZA1081:BZA1090 CIW1081:CIW1090 CSS1081:CSS1090 DCO1081:DCO1090 DMK1081:DMK1090 DWG1081:DWG1090 EGC1081:EGC1090 EPY1081:EPY1090 EZU1081:EZU1090 FJQ1081:FJQ1090 FTM1081:FTM1090 GDI1081:GDI1090 GNE1081:GNE1090 GXA1081:GXA1090 HGW1081:HGW1090 HQS1081:HQS1090 IAO1081:IAO1090 IKK1081:IKK1090 IUG1081:IUG1090 JEC1081:JEC1090 JNY1081:JNY1090 JXU1081:JXU1090 KHQ1081:KHQ1090 KRM1081:KRM1090 LBI1081:LBI1090 LLE1081:LLE1090 LVA1081:LVA1090 MEW1081:MEW1090 MOS1081:MOS1090 MYO1081:MYO1090 NIK1081:NIK1090 NSG1081:NSG1090 OCC1081:OCC1090 OLY1081:OLY1090 OVU1081:OVU1090 PFQ1081:PFQ1090 PPM1081:PPM1090 PZI1081:PZI1090 QJE1081:QJE1090 QTA1081:QTA1090 RCW1081:RCW1090 RMS1081:RMS1090 RWO1081:RWO1090 SGK1081:SGK1090 SQG1081:SQG1090 TAC1081:TAC1090 TJY1081:TJY1090 TTU1081:TTU1090 UDQ1081:UDQ1090 UNM1081:UNM1090 UXI1081:UXI1090 VHE1081:VHE1090 VRA1081:VRA1090 WAW1081:WAW1090 WKS1081:WKS1090 WUO1081:WUO1090 C1081 C1083:C1087 C1089:C1090 RY66594 ABU66594 ALQ66594 AVM66594 BFI66594 BPE66594 BZA66594 CIW66594 CSS66594 DCO66594 DMK66594 DWG66594 EGC66594 EPY66594 EZU66594 FJQ66594 FTM66594 GDI66594 GNE66594 GXA66594 HGW66594 HQS66594 IAO66594 IKK66594 IUG66594 JEC66594 JNY66594 JXU66594 KHQ66594 KRM66594 LBI66594 LLE66594 LVA66594 MEW66594 MOS66594 MYO66594 NIK66594 NSG66594 OCC66594 OLY66594 OVU66594 PFQ66594 PPM66594 PZI66594 QJE66594 QTA66594 RCW66594 RMS66594 RWO66594 SGK66594 SQG66594 TAC66594 TJY66594 TTU66594 UDQ66594 UNM66594 UXI66594 VHE66594 VRA66594 WAW66594 WKS66594 WUO66594 IC132130 RY132130 ABU132130 ALQ132130 AVM132130 BFI132130 BPE132130 BZA132130 CIW132130 CSS132130 DCO132130 DMK132130 DWG132130 EGC132130 EPY132130 EZU132130 FJQ132130 FTM132130 GDI132130 GNE132130 GXA132130 HGW132130 HQS132130 IAO132130 IKK132130 IUG132130 JEC132130 JNY132130 JXU132130 KHQ132130 KRM132130 LBI132130 LLE132130 LVA132130 MEW132130 MOS132130 MYO132130 NIK132130 NSG132130 OCC132130 OLY132130 OVU132130 PFQ132130 PPM132130 PZI132130 QJE132130 QTA132130 RCW132130 RMS132130 RWO132130 SGK132130 SQG132130 TAC132130 TJY132130 TTU132130 UDQ132130 UNM132130 UXI132130 VHE132130 VRA132130 WAW132130 WKS132130 WUO132130 IC197666 RY197666 ABU197666 ALQ197666 AVM197666 BFI197666 BPE197666 BZA197666 CIW197666 CSS197666 DCO197666 DMK197666 DWG197666 EGC197666 EPY197666 EZU197666 FJQ197666 FTM197666 GDI197666 GNE197666 GXA197666 HGW197666 HQS197666 IAO197666 IKK197666 IUG197666 JEC197666 JNY197666 JXU197666 KHQ197666 KRM197666 LBI197666 LLE197666 LVA197666 MEW197666 MOS197666 MYO197666 NIK197666 NSG197666 OCC197666 OLY197666 OVU197666 PFQ197666 PPM197666 PZI197666 QJE197666 QTA197666 RCW197666 RMS197666 RWO197666 SGK197666 SQG197666 TAC197666 TJY197666 TTU197666 UDQ197666 UNM197666 UXI197666 VHE197666 VRA197666 WAW197666 WKS197666 WUO197666 IC263202 RY263202 ABU263202 ALQ263202 AVM263202 BFI263202 BPE263202 BZA263202 CIW263202 CSS263202 DCO263202 DMK263202 DWG263202 EGC263202 EPY263202 EZU263202 FJQ263202 FTM263202 GDI263202 GNE263202 GXA263202 HGW263202 HQS263202 IAO263202 IKK263202 IUG263202 JEC263202 JNY263202 JXU263202 KHQ263202 KRM263202 LBI263202 LLE263202 LVA263202 MEW263202 MOS263202 MYO263202 NIK263202 NSG263202 OCC263202 OLY263202 OVU263202 PFQ263202 PPM263202 PZI263202 QJE263202 QTA263202 RCW263202 RMS263202 RWO263202 SGK263202 SQG263202 TAC263202 TJY263202 TTU263202 UDQ263202 UNM263202 UXI263202 VHE263202 VRA263202 WAW263202 WKS263202 WUO263202 IC328738 RY328738 ABU328738 ALQ328738 AVM328738 BFI328738 BPE328738 BZA328738 CIW328738 CSS328738 DCO328738 DMK328738 DWG328738 EGC328738 EPY328738 EZU328738 FJQ328738 FTM328738 GDI328738 GNE328738 GXA328738 HGW328738 HQS328738 IAO328738 IKK328738 IUG328738 JEC328738 JNY328738 JXU328738 KHQ328738 KRM328738 LBI328738 LLE328738 LVA328738 MEW328738 MOS328738 MYO328738 NIK328738 NSG328738 OCC328738 OLY328738 OVU328738 PFQ328738 PPM328738 PZI328738 QJE328738 QTA328738 RCW328738 RMS328738 RWO328738 SGK328738 SQG328738 TAC328738 TJY328738 TTU328738 UDQ328738 UNM328738 UXI328738 VHE328738 VRA328738 WAW328738 WKS328738 WUO328738 IC394274 RY394274 ABU394274 ALQ394274 AVM394274 BFI394274 BPE394274 BZA394274 CIW394274 CSS394274 DCO394274 DMK394274 DWG394274 EGC394274 EPY394274 EZU394274 FJQ394274 FTM394274 GDI394274 GNE394274 GXA394274 HGW394274 HQS394274 IAO394274 IKK394274 IUG394274 JEC394274 JNY394274 JXU394274 KHQ394274 KRM394274 LBI394274 LLE394274 LVA394274 MEW394274 MOS394274 MYO394274 NIK394274 NSG394274 OCC394274 OLY394274 OVU394274 PFQ394274 PPM394274 PZI394274 QJE394274 QTA394274 RCW394274 RMS394274 RWO394274 SGK394274 SQG394274 TAC394274 TJY394274 TTU394274 UDQ394274 UNM394274 UXI394274 VHE394274 VRA394274 WAW394274 WKS394274 WUO394274 IC459810 RY459810 ABU459810 ALQ459810 AVM459810 BFI459810 BPE459810 BZA459810 CIW459810 CSS459810 DCO459810 DMK459810 DWG459810 EGC459810 EPY459810 EZU459810 FJQ459810 FTM459810 GDI459810 GNE459810 GXA459810 HGW459810 HQS459810 IAO459810 IKK459810 IUG459810 JEC459810 JNY459810 JXU459810 KHQ459810 KRM459810 LBI459810 LLE459810 LVA459810 MEW459810 MOS459810 MYO459810 NIK459810 NSG459810 OCC459810 OLY459810 OVU459810 PFQ459810 PPM459810 PZI459810 QJE459810 QTA459810 RCW459810 RMS459810 RWO459810 SGK459810 SQG459810 TAC459810 TJY459810 TTU459810 UDQ459810 UNM459810 UXI459810 VHE459810 VRA459810 WAW459810 WKS459810 WUO459810 IC525346 RY525346 ABU525346 ALQ525346 AVM525346 BFI525346 BPE525346 BZA525346 CIW525346 CSS525346 DCO525346 DMK525346 DWG525346 EGC525346 EPY525346 EZU525346 FJQ525346 FTM525346 GDI525346 GNE525346 GXA525346 HGW525346 HQS525346 IAO525346 IKK525346 IUG525346 JEC525346 JNY525346 JXU525346 KHQ525346 KRM525346 LBI525346 LLE525346 LVA525346 MEW525346 MOS525346 MYO525346 NIK525346 NSG525346 OCC525346 OLY525346 OVU525346 PFQ525346 PPM525346 PZI525346 QJE525346 QTA525346 RCW525346 RMS525346 RWO525346 SGK525346 SQG525346 TAC525346 TJY525346 TTU525346 UDQ525346 UNM525346 UXI525346 VHE525346 VRA525346 WAW525346 WKS525346 WUO525346 IC590882 RY590882 ABU590882 ALQ590882 AVM590882 BFI590882 BPE590882 BZA590882 CIW590882 CSS590882 DCO590882 DMK590882 DWG590882 EGC590882 EPY590882 EZU590882 FJQ590882 FTM590882 GDI590882 GNE590882 GXA590882 HGW590882 HQS590882 IAO590882 IKK590882 IUG590882 JEC590882 JNY590882 JXU590882 KHQ590882 KRM590882 LBI590882 LLE590882 LVA590882 MEW590882 MOS590882 MYO590882 NIK590882 NSG590882 OCC590882 OLY590882 OVU590882 PFQ590882 PPM590882 PZI590882 QJE590882 QTA590882 RCW590882 RMS590882 RWO590882 SGK590882 SQG590882 TAC590882 TJY590882 TTU590882 UDQ590882 UNM590882 UXI590882 VHE590882 VRA590882 WAW590882 WKS590882 WUO590882 IC656418 RY656418 ABU656418 ALQ656418 AVM656418 BFI656418 BPE656418 BZA656418 CIW656418 CSS656418 DCO656418 DMK656418 DWG656418 EGC656418 EPY656418 EZU656418 FJQ656418 FTM656418 GDI656418 GNE656418 GXA656418 HGW656418 HQS656418 IAO656418 IKK656418 IUG656418 JEC656418 JNY656418 JXU656418 KHQ656418 KRM656418 LBI656418 LLE656418 LVA656418 MEW656418 MOS656418 MYO656418 NIK656418 NSG656418 OCC656418 OLY656418 OVU656418 PFQ656418 PPM656418 PZI656418 QJE656418 QTA656418 RCW656418 RMS656418 RWO656418 SGK656418 SQG656418 TAC656418 TJY656418 TTU656418 UDQ656418 UNM656418 UXI656418 VHE656418 VRA656418 WAW656418 WKS656418 WUO656418 IC721954 RY721954 ABU721954 ALQ721954 AVM721954 BFI721954 BPE721954 BZA721954 CIW721954 CSS721954 DCO721954 DMK721954 DWG721954 EGC721954 EPY721954 EZU721954 FJQ721954 FTM721954 GDI721954 GNE721954 GXA721954 HGW721954 HQS721954 IAO721954 IKK721954 IUG721954 JEC721954 JNY721954 JXU721954 KHQ721954 KRM721954 LBI721954 LLE721954 LVA721954 MEW721954 MOS721954 MYO721954 NIK721954 NSG721954 OCC721954 OLY721954 OVU721954 PFQ721954 PPM721954 PZI721954 QJE721954 QTA721954 RCW721954 RMS721954 RWO721954 SGK721954 SQG721954 TAC721954 TJY721954 TTU721954 UDQ721954 UNM721954 UXI721954 VHE721954 VRA721954 WAW721954 WKS721954 WUO721954 IC787490 RY787490 ABU787490 ALQ787490 AVM787490 BFI787490 BPE787490 BZA787490 CIW787490 CSS787490 DCO787490 DMK787490 DWG787490 EGC787490 EPY787490 EZU787490 FJQ787490 FTM787490 GDI787490 GNE787490 GXA787490 HGW787490 HQS787490 IAO787490 IKK787490 IUG787490 JEC787490 JNY787490 JXU787490 KHQ787490 KRM787490 LBI787490 LLE787490 LVA787490 MEW787490 MOS787490 MYO787490 NIK787490 NSG787490 OCC787490 OLY787490 OVU787490 PFQ787490 PPM787490 PZI787490 QJE787490 QTA787490 RCW787490 RMS787490 RWO787490 SGK787490 SQG787490 TAC787490 TJY787490 TTU787490 UDQ787490 UNM787490 UXI787490 VHE787490 VRA787490 WAW787490 WKS787490 WUO787490 IC853026 RY853026 ABU853026 ALQ853026 AVM853026 BFI853026 BPE853026 BZA853026 CIW853026 CSS853026 DCO853026 DMK853026 DWG853026 EGC853026 EPY853026 EZU853026 FJQ853026 FTM853026 GDI853026 GNE853026 GXA853026 HGW853026 HQS853026 IAO853026 IKK853026 IUG853026 JEC853026 JNY853026 JXU853026 KHQ853026 KRM853026 LBI853026 LLE853026 LVA853026 MEW853026 MOS853026 MYO853026 NIK853026 NSG853026 OCC853026 OLY853026 OVU853026 PFQ853026 PPM853026 PZI853026 QJE853026 QTA853026 RCW853026 RMS853026 RWO853026 SGK853026 SQG853026 TAC853026 TJY853026 TTU853026 UDQ853026 UNM853026 UXI853026 VHE853026 VRA853026 WAW853026 WKS853026 WUO853026 IC918562 RY918562 ABU918562 ALQ918562 AVM918562 BFI918562 BPE918562 BZA918562 CIW918562 CSS918562 DCO918562 DMK918562 DWG918562 EGC918562 EPY918562 EZU918562 FJQ918562 FTM918562 GDI918562 GNE918562 GXA918562 HGW918562 HQS918562 IAO918562 IKK918562 IUG918562 JEC918562 JNY918562 JXU918562 KHQ918562 KRM918562 LBI918562 LLE918562 LVA918562 MEW918562 MOS918562 MYO918562 NIK918562 NSG918562 OCC918562 OLY918562 OVU918562 PFQ918562 PPM918562 PZI918562 QJE918562 QTA918562 RCW918562 RMS918562 RWO918562 SGK918562 SQG918562 TAC918562 TJY918562 TTU918562 UDQ918562 UNM918562 UXI918562 VHE918562 VRA918562 WAW918562 WKS918562 WUO918562 IC984098 RY984098 ABU984098 ALQ984098 AVM984098 BFI984098 BPE984098 BZA984098 CIW984098 CSS984098 DCO984098 DMK984098 DWG984098 EGC984098 EPY984098 EZU984098 FJQ984098 FTM984098 GDI984098 GNE984098 GXA984098 HGW984098 HQS984098 IAO984098 IKK984098 IUG984098 JEC984098 JNY984098 JXU984098 KHQ984098 KRM984098 LBI984098 LLE984098 LVA984098 MEW984098 MOS984098 MYO984098 NIK984098 NSG984098 OCC984098 OLY984098 OVU984098 PFQ984098 PPM984098 PZI984098 QJE984098 QTA984098 RCW984098 RMS984098 RWO984098 SGK984098 SQG984098 TAC984098 TJY984098 TTU984098 UDQ984098 UNM984098 UXI984098 VHE984098 VRA984098 WAW984098 WKS984098 WUO984098 IC66154:IC66164 RY66154:RY66164 ABU66154:ABU66164 ALQ66154:ALQ66164 AVM66154:AVM66164 BFI66154:BFI66164 BPE66154:BPE66164 BZA66154:BZA66164 CIW66154:CIW66164 CSS66154:CSS66164 DCO66154:DCO66164 DMK66154:DMK66164 DWG66154:DWG66164 EGC66154:EGC66164 EPY66154:EPY66164 EZU66154:EZU66164 FJQ66154:FJQ66164 FTM66154:FTM66164 GDI66154:GDI66164 GNE66154:GNE66164 GXA66154:GXA66164 HGW66154:HGW66164 HQS66154:HQS66164 IAO66154:IAO66164 IKK66154:IKK66164 IUG66154:IUG66164 JEC66154:JEC66164 JNY66154:JNY66164 JXU66154:JXU66164 KHQ66154:KHQ66164 KRM66154:KRM66164 LBI66154:LBI66164 LLE66154:LLE66164 LVA66154:LVA66164 MEW66154:MEW66164 MOS66154:MOS66164 MYO66154:MYO66164 NIK66154:NIK66164 NSG66154:NSG66164 OCC66154:OCC66164 OLY66154:OLY66164 OVU66154:OVU66164 PFQ66154:PFQ66164 PPM66154:PPM66164 PZI66154:PZI66164 QJE66154:QJE66164 QTA66154:QTA66164 RCW66154:RCW66164 RMS66154:RMS66164 RWO66154:RWO66164 SGK66154:SGK66164 SQG66154:SQG66164 TAC66154:TAC66164 TJY66154:TJY66164 TTU66154:TTU66164 UDQ66154:UDQ66164 UNM66154:UNM66164 UXI66154:UXI66164 VHE66154:VHE66164 VRA66154:VRA66164 WAW66154:WAW66164 WKS66154:WKS66164 WUO66154:WUO66164 IC131690:IC131700 RY131690:RY131700 ABU131690:ABU131700 ALQ131690:ALQ131700 AVM131690:AVM131700 BFI131690:BFI131700 BPE131690:BPE131700 BZA131690:BZA131700 CIW131690:CIW131700 CSS131690:CSS131700 DCO131690:DCO131700 DMK131690:DMK131700 DWG131690:DWG131700 EGC131690:EGC131700 EPY131690:EPY131700 EZU131690:EZU131700 FJQ131690:FJQ131700 FTM131690:FTM131700 GDI131690:GDI131700 GNE131690:GNE131700 GXA131690:GXA131700 HGW131690:HGW131700 HQS131690:HQS131700 IAO131690:IAO131700 IKK131690:IKK131700 IUG131690:IUG131700 JEC131690:JEC131700 JNY131690:JNY131700 JXU131690:JXU131700 KHQ131690:KHQ131700 KRM131690:KRM131700 LBI131690:LBI131700 LLE131690:LLE131700 LVA131690:LVA131700 MEW131690:MEW131700 MOS131690:MOS131700 MYO131690:MYO131700 NIK131690:NIK131700 NSG131690:NSG131700 OCC131690:OCC131700 OLY131690:OLY131700 OVU131690:OVU131700 PFQ131690:PFQ131700 PPM131690:PPM131700 PZI131690:PZI131700 QJE131690:QJE131700 QTA131690:QTA131700 RCW131690:RCW131700 RMS131690:RMS131700 RWO131690:RWO131700 SGK131690:SGK131700 SQG131690:SQG131700 TAC131690:TAC131700 TJY131690:TJY131700 TTU131690:TTU131700 UDQ131690:UDQ131700 UNM131690:UNM131700 UXI131690:UXI131700 VHE131690:VHE131700 VRA131690:VRA131700 WAW131690:WAW131700 WKS131690:WKS131700 WUO131690:WUO131700 IC197226:IC197236 RY197226:RY197236 ABU197226:ABU197236 ALQ197226:ALQ197236 AVM197226:AVM197236 BFI197226:BFI197236 BPE197226:BPE197236 BZA197226:BZA197236 CIW197226:CIW197236 CSS197226:CSS197236 DCO197226:DCO197236 DMK197226:DMK197236 DWG197226:DWG197236 EGC197226:EGC197236 EPY197226:EPY197236 EZU197226:EZU197236 FJQ197226:FJQ197236 FTM197226:FTM197236 GDI197226:GDI197236 GNE197226:GNE197236 GXA197226:GXA197236 HGW197226:HGW197236 HQS197226:HQS197236 IAO197226:IAO197236 IKK197226:IKK197236 IUG197226:IUG197236 JEC197226:JEC197236 JNY197226:JNY197236 JXU197226:JXU197236 KHQ197226:KHQ197236 KRM197226:KRM197236 LBI197226:LBI197236 LLE197226:LLE197236 LVA197226:LVA197236 MEW197226:MEW197236 MOS197226:MOS197236 MYO197226:MYO197236 NIK197226:NIK197236 NSG197226:NSG197236 OCC197226:OCC197236 OLY197226:OLY197236 OVU197226:OVU197236 PFQ197226:PFQ197236 PPM197226:PPM197236 PZI197226:PZI197236 QJE197226:QJE197236 QTA197226:QTA197236 RCW197226:RCW197236 RMS197226:RMS197236 RWO197226:RWO197236 SGK197226:SGK197236 SQG197226:SQG197236 TAC197226:TAC197236 TJY197226:TJY197236 TTU197226:TTU197236 UDQ197226:UDQ197236 UNM197226:UNM197236 UXI197226:UXI197236 VHE197226:VHE197236 VRA197226:VRA197236 WAW197226:WAW197236 WKS197226:WKS197236 WUO197226:WUO197236 IC262762:IC262772 RY262762:RY262772 ABU262762:ABU262772 ALQ262762:ALQ262772 AVM262762:AVM262772 BFI262762:BFI262772 BPE262762:BPE262772 BZA262762:BZA262772 CIW262762:CIW262772 CSS262762:CSS262772 DCO262762:DCO262772 DMK262762:DMK262772 DWG262762:DWG262772 EGC262762:EGC262772 EPY262762:EPY262772 EZU262762:EZU262772 FJQ262762:FJQ262772 FTM262762:FTM262772 GDI262762:GDI262772 GNE262762:GNE262772 GXA262762:GXA262772 HGW262762:HGW262772 HQS262762:HQS262772 IAO262762:IAO262772 IKK262762:IKK262772 IUG262762:IUG262772 JEC262762:JEC262772 JNY262762:JNY262772 JXU262762:JXU262772 KHQ262762:KHQ262772 KRM262762:KRM262772 LBI262762:LBI262772 LLE262762:LLE262772 LVA262762:LVA262772 MEW262762:MEW262772 MOS262762:MOS262772 MYO262762:MYO262772 NIK262762:NIK262772 NSG262762:NSG262772 OCC262762:OCC262772 OLY262762:OLY262772 OVU262762:OVU262772 PFQ262762:PFQ262772 PPM262762:PPM262772 PZI262762:PZI262772 QJE262762:QJE262772 QTA262762:QTA262772 RCW262762:RCW262772 RMS262762:RMS262772 RWO262762:RWO262772 SGK262762:SGK262772 SQG262762:SQG262772 TAC262762:TAC262772 TJY262762:TJY262772 TTU262762:TTU262772 UDQ262762:UDQ262772 UNM262762:UNM262772 UXI262762:UXI262772 VHE262762:VHE262772 VRA262762:VRA262772 WAW262762:WAW262772 WKS262762:WKS262772 WUO262762:WUO262772 IC328298:IC328308 RY328298:RY328308 ABU328298:ABU328308 ALQ328298:ALQ328308 AVM328298:AVM328308 BFI328298:BFI328308 BPE328298:BPE328308 BZA328298:BZA328308 CIW328298:CIW328308 CSS328298:CSS328308 DCO328298:DCO328308 DMK328298:DMK328308 DWG328298:DWG328308 EGC328298:EGC328308 EPY328298:EPY328308 EZU328298:EZU328308 FJQ328298:FJQ328308 FTM328298:FTM328308 GDI328298:GDI328308 GNE328298:GNE328308 GXA328298:GXA328308 HGW328298:HGW328308 HQS328298:HQS328308 IAO328298:IAO328308 IKK328298:IKK328308 IUG328298:IUG328308 JEC328298:JEC328308 JNY328298:JNY328308 JXU328298:JXU328308 KHQ328298:KHQ328308 KRM328298:KRM328308 LBI328298:LBI328308 LLE328298:LLE328308 LVA328298:LVA328308 MEW328298:MEW328308 MOS328298:MOS328308 MYO328298:MYO328308 NIK328298:NIK328308 NSG328298:NSG328308 OCC328298:OCC328308 OLY328298:OLY328308 OVU328298:OVU328308 PFQ328298:PFQ328308 PPM328298:PPM328308 PZI328298:PZI328308 QJE328298:QJE328308 QTA328298:QTA328308 RCW328298:RCW328308 RMS328298:RMS328308 RWO328298:RWO328308 SGK328298:SGK328308 SQG328298:SQG328308 TAC328298:TAC328308 TJY328298:TJY328308 TTU328298:TTU328308 UDQ328298:UDQ328308 UNM328298:UNM328308 UXI328298:UXI328308 VHE328298:VHE328308 VRA328298:VRA328308 WAW328298:WAW328308 WKS328298:WKS328308 WUO328298:WUO328308 IC393834:IC393844 RY393834:RY393844 ABU393834:ABU393844 ALQ393834:ALQ393844 AVM393834:AVM393844 BFI393834:BFI393844 BPE393834:BPE393844 BZA393834:BZA393844 CIW393834:CIW393844 CSS393834:CSS393844 DCO393834:DCO393844 DMK393834:DMK393844 DWG393834:DWG393844 EGC393834:EGC393844 EPY393834:EPY393844 EZU393834:EZU393844 FJQ393834:FJQ393844 FTM393834:FTM393844 GDI393834:GDI393844 GNE393834:GNE393844 GXA393834:GXA393844 HGW393834:HGW393844 HQS393834:HQS393844 IAO393834:IAO393844 IKK393834:IKK393844 IUG393834:IUG393844 JEC393834:JEC393844 JNY393834:JNY393844 JXU393834:JXU393844 KHQ393834:KHQ393844 KRM393834:KRM393844 LBI393834:LBI393844 LLE393834:LLE393844 LVA393834:LVA393844 MEW393834:MEW393844 MOS393834:MOS393844 MYO393834:MYO393844 NIK393834:NIK393844 NSG393834:NSG393844 OCC393834:OCC393844 OLY393834:OLY393844 OVU393834:OVU393844 PFQ393834:PFQ393844 PPM393834:PPM393844 PZI393834:PZI393844 QJE393834:QJE393844 QTA393834:QTA393844 RCW393834:RCW393844 RMS393834:RMS393844 RWO393834:RWO393844 SGK393834:SGK393844 SQG393834:SQG393844 TAC393834:TAC393844 TJY393834:TJY393844 TTU393834:TTU393844 UDQ393834:UDQ393844 UNM393834:UNM393844 UXI393834:UXI393844 VHE393834:VHE393844 VRA393834:VRA393844 WAW393834:WAW393844 WKS393834:WKS393844 WUO393834:WUO393844 IC459370:IC459380 RY459370:RY459380 ABU459370:ABU459380 ALQ459370:ALQ459380 AVM459370:AVM459380 BFI459370:BFI459380 BPE459370:BPE459380 BZA459370:BZA459380 CIW459370:CIW459380 CSS459370:CSS459380 DCO459370:DCO459380 DMK459370:DMK459380 DWG459370:DWG459380 EGC459370:EGC459380 EPY459370:EPY459380 EZU459370:EZU459380 FJQ459370:FJQ459380 FTM459370:FTM459380 GDI459370:GDI459380 GNE459370:GNE459380 GXA459370:GXA459380 HGW459370:HGW459380 HQS459370:HQS459380 IAO459370:IAO459380 IKK459370:IKK459380 IUG459370:IUG459380 JEC459370:JEC459380 JNY459370:JNY459380 JXU459370:JXU459380 KHQ459370:KHQ459380 KRM459370:KRM459380 LBI459370:LBI459380 LLE459370:LLE459380 LVA459370:LVA459380 MEW459370:MEW459380 MOS459370:MOS459380 MYO459370:MYO459380 NIK459370:NIK459380 NSG459370:NSG459380 OCC459370:OCC459380 OLY459370:OLY459380 OVU459370:OVU459380 PFQ459370:PFQ459380 PPM459370:PPM459380 PZI459370:PZI459380 QJE459370:QJE459380 QTA459370:QTA459380 RCW459370:RCW459380 RMS459370:RMS459380 RWO459370:RWO459380 SGK459370:SGK459380 SQG459370:SQG459380 TAC459370:TAC459380 TJY459370:TJY459380 TTU459370:TTU459380 UDQ459370:UDQ459380 UNM459370:UNM459380 UXI459370:UXI459380 VHE459370:VHE459380 VRA459370:VRA459380 WAW459370:WAW459380 WKS459370:WKS459380 WUO459370:WUO459380 IC524906:IC524916 RY524906:RY524916 ABU524906:ABU524916 ALQ524906:ALQ524916 AVM524906:AVM524916 BFI524906:BFI524916 BPE524906:BPE524916 BZA524906:BZA524916 CIW524906:CIW524916 CSS524906:CSS524916 DCO524906:DCO524916 DMK524906:DMK524916 DWG524906:DWG524916 EGC524906:EGC524916 EPY524906:EPY524916 EZU524906:EZU524916 FJQ524906:FJQ524916 FTM524906:FTM524916 GDI524906:GDI524916 GNE524906:GNE524916 GXA524906:GXA524916 HGW524906:HGW524916 HQS524906:HQS524916 IAO524906:IAO524916 IKK524906:IKK524916 IUG524906:IUG524916 JEC524906:JEC524916 JNY524906:JNY524916 JXU524906:JXU524916 KHQ524906:KHQ524916 KRM524906:KRM524916 LBI524906:LBI524916 LLE524906:LLE524916 LVA524906:LVA524916 MEW524906:MEW524916 MOS524906:MOS524916 MYO524906:MYO524916 NIK524906:NIK524916 NSG524906:NSG524916 OCC524906:OCC524916 OLY524906:OLY524916 OVU524906:OVU524916 PFQ524906:PFQ524916 PPM524906:PPM524916 PZI524906:PZI524916 QJE524906:QJE524916 QTA524906:QTA524916 RCW524906:RCW524916 RMS524906:RMS524916 RWO524906:RWO524916 SGK524906:SGK524916 SQG524906:SQG524916 TAC524906:TAC524916 TJY524906:TJY524916 TTU524906:TTU524916 UDQ524906:UDQ524916 UNM524906:UNM524916 UXI524906:UXI524916 VHE524906:VHE524916 VRA524906:VRA524916 WAW524906:WAW524916 WKS524906:WKS524916 WUO524906:WUO524916 IC590442:IC590452 RY590442:RY590452 ABU590442:ABU590452 ALQ590442:ALQ590452 AVM590442:AVM590452 BFI590442:BFI590452 BPE590442:BPE590452 BZA590442:BZA590452 CIW590442:CIW590452 CSS590442:CSS590452 DCO590442:DCO590452 DMK590442:DMK590452 DWG590442:DWG590452 EGC590442:EGC590452 EPY590442:EPY590452 EZU590442:EZU590452 FJQ590442:FJQ590452 FTM590442:FTM590452 GDI590442:GDI590452 GNE590442:GNE590452 GXA590442:GXA590452 HGW590442:HGW590452 HQS590442:HQS590452 IAO590442:IAO590452 IKK590442:IKK590452 IUG590442:IUG590452 JEC590442:JEC590452 JNY590442:JNY590452 JXU590442:JXU590452 KHQ590442:KHQ590452 KRM590442:KRM590452 LBI590442:LBI590452 LLE590442:LLE590452 LVA590442:LVA590452 MEW590442:MEW590452 MOS590442:MOS590452 MYO590442:MYO590452 NIK590442:NIK590452 NSG590442:NSG590452 OCC590442:OCC590452 OLY590442:OLY590452 OVU590442:OVU590452 PFQ590442:PFQ590452 PPM590442:PPM590452 PZI590442:PZI590452 QJE590442:QJE590452 QTA590442:QTA590452 RCW590442:RCW590452 RMS590442:RMS590452 RWO590442:RWO590452 SGK590442:SGK590452 SQG590442:SQG590452 TAC590442:TAC590452 TJY590442:TJY590452 TTU590442:TTU590452 UDQ590442:UDQ590452 UNM590442:UNM590452 UXI590442:UXI590452 VHE590442:VHE590452 VRA590442:VRA590452 WAW590442:WAW590452 WKS590442:WKS590452 WUO590442:WUO590452 IC655978:IC655988 RY655978:RY655988 ABU655978:ABU655988 ALQ655978:ALQ655988 AVM655978:AVM655988 BFI655978:BFI655988 BPE655978:BPE655988 BZA655978:BZA655988 CIW655978:CIW655988 CSS655978:CSS655988 DCO655978:DCO655988 DMK655978:DMK655988 DWG655978:DWG655988 EGC655978:EGC655988 EPY655978:EPY655988 EZU655978:EZU655988 FJQ655978:FJQ655988 FTM655978:FTM655988 GDI655978:GDI655988 GNE655978:GNE655988 GXA655978:GXA655988 HGW655978:HGW655988 HQS655978:HQS655988 IAO655978:IAO655988 IKK655978:IKK655988 IUG655978:IUG655988 JEC655978:JEC655988 JNY655978:JNY655988 JXU655978:JXU655988 KHQ655978:KHQ655988 KRM655978:KRM655988 LBI655978:LBI655988 LLE655978:LLE655988 LVA655978:LVA655988 MEW655978:MEW655988 MOS655978:MOS655988 MYO655978:MYO655988 NIK655978:NIK655988 NSG655978:NSG655988 OCC655978:OCC655988 OLY655978:OLY655988 OVU655978:OVU655988 PFQ655978:PFQ655988 PPM655978:PPM655988 PZI655978:PZI655988 QJE655978:QJE655988 QTA655978:QTA655988 RCW655978:RCW655988 RMS655978:RMS655988 RWO655978:RWO655988 SGK655978:SGK655988 SQG655978:SQG655988 TAC655978:TAC655988 TJY655978:TJY655988 TTU655978:TTU655988 UDQ655978:UDQ655988 UNM655978:UNM655988 UXI655978:UXI655988 VHE655978:VHE655988 VRA655978:VRA655988 WAW655978:WAW655988 WKS655978:WKS655988 WUO655978:WUO655988 IC721514:IC721524 RY721514:RY721524 ABU721514:ABU721524 ALQ721514:ALQ721524 AVM721514:AVM721524 BFI721514:BFI721524 BPE721514:BPE721524 BZA721514:BZA721524 CIW721514:CIW721524 CSS721514:CSS721524 DCO721514:DCO721524 DMK721514:DMK721524 DWG721514:DWG721524 EGC721514:EGC721524 EPY721514:EPY721524 EZU721514:EZU721524 FJQ721514:FJQ721524 FTM721514:FTM721524 GDI721514:GDI721524 GNE721514:GNE721524 GXA721514:GXA721524 HGW721514:HGW721524 HQS721514:HQS721524 IAO721514:IAO721524 IKK721514:IKK721524 IUG721514:IUG721524 JEC721514:JEC721524 JNY721514:JNY721524 JXU721514:JXU721524 KHQ721514:KHQ721524 KRM721514:KRM721524 LBI721514:LBI721524 LLE721514:LLE721524 LVA721514:LVA721524 MEW721514:MEW721524 MOS721514:MOS721524 MYO721514:MYO721524 NIK721514:NIK721524 NSG721514:NSG721524 OCC721514:OCC721524 OLY721514:OLY721524 OVU721514:OVU721524 PFQ721514:PFQ721524 PPM721514:PPM721524 PZI721514:PZI721524 QJE721514:QJE721524 QTA721514:QTA721524 RCW721514:RCW721524 RMS721514:RMS721524 RWO721514:RWO721524 SGK721514:SGK721524 SQG721514:SQG721524 TAC721514:TAC721524 TJY721514:TJY721524 TTU721514:TTU721524 UDQ721514:UDQ721524 UNM721514:UNM721524 UXI721514:UXI721524 VHE721514:VHE721524 VRA721514:VRA721524 WAW721514:WAW721524 WKS721514:WKS721524 WUO721514:WUO721524 IC787050:IC787060 RY787050:RY787060 ABU787050:ABU787060 ALQ787050:ALQ787060 AVM787050:AVM787060 BFI787050:BFI787060 BPE787050:BPE787060 BZA787050:BZA787060 CIW787050:CIW787060 CSS787050:CSS787060 DCO787050:DCO787060 DMK787050:DMK787060 DWG787050:DWG787060 EGC787050:EGC787060 EPY787050:EPY787060 EZU787050:EZU787060 FJQ787050:FJQ787060 FTM787050:FTM787060 GDI787050:GDI787060 GNE787050:GNE787060 GXA787050:GXA787060 HGW787050:HGW787060 HQS787050:HQS787060 IAO787050:IAO787060 IKK787050:IKK787060 IUG787050:IUG787060 JEC787050:JEC787060 JNY787050:JNY787060 JXU787050:JXU787060 KHQ787050:KHQ787060 KRM787050:KRM787060 LBI787050:LBI787060 LLE787050:LLE787060 LVA787050:LVA787060 MEW787050:MEW787060 MOS787050:MOS787060 MYO787050:MYO787060 NIK787050:NIK787060 NSG787050:NSG787060 OCC787050:OCC787060 OLY787050:OLY787060 OVU787050:OVU787060 PFQ787050:PFQ787060 PPM787050:PPM787060 PZI787050:PZI787060 QJE787050:QJE787060 QTA787050:QTA787060 RCW787050:RCW787060 RMS787050:RMS787060 RWO787050:RWO787060 SGK787050:SGK787060 SQG787050:SQG787060 TAC787050:TAC787060 TJY787050:TJY787060 TTU787050:TTU787060 UDQ787050:UDQ787060 UNM787050:UNM787060 UXI787050:UXI787060 VHE787050:VHE787060 VRA787050:VRA787060 WAW787050:WAW787060 WKS787050:WKS787060 WUO787050:WUO787060 IC852586:IC852596 RY852586:RY852596 ABU852586:ABU852596 ALQ852586:ALQ852596 AVM852586:AVM852596 BFI852586:BFI852596 BPE852586:BPE852596 BZA852586:BZA852596 CIW852586:CIW852596 CSS852586:CSS852596 DCO852586:DCO852596 DMK852586:DMK852596 DWG852586:DWG852596 EGC852586:EGC852596 EPY852586:EPY852596 EZU852586:EZU852596 FJQ852586:FJQ852596 FTM852586:FTM852596 GDI852586:GDI852596 GNE852586:GNE852596 GXA852586:GXA852596 HGW852586:HGW852596 HQS852586:HQS852596 IAO852586:IAO852596 IKK852586:IKK852596 IUG852586:IUG852596 JEC852586:JEC852596 JNY852586:JNY852596 JXU852586:JXU852596 KHQ852586:KHQ852596 KRM852586:KRM852596 LBI852586:LBI852596 LLE852586:LLE852596 LVA852586:LVA852596 MEW852586:MEW852596 MOS852586:MOS852596 MYO852586:MYO852596 NIK852586:NIK852596 NSG852586:NSG852596 OCC852586:OCC852596 OLY852586:OLY852596 OVU852586:OVU852596 PFQ852586:PFQ852596 PPM852586:PPM852596 PZI852586:PZI852596 QJE852586:QJE852596 QTA852586:QTA852596 RCW852586:RCW852596 RMS852586:RMS852596 RWO852586:RWO852596 SGK852586:SGK852596 SQG852586:SQG852596 TAC852586:TAC852596 TJY852586:TJY852596 TTU852586:TTU852596 UDQ852586:UDQ852596 UNM852586:UNM852596 UXI852586:UXI852596 VHE852586:VHE852596 VRA852586:VRA852596 WAW852586:WAW852596 WKS852586:WKS852596 WUO852586:WUO852596 IC918122:IC918132 RY918122:RY918132 ABU918122:ABU918132 ALQ918122:ALQ918132 AVM918122:AVM918132 BFI918122:BFI918132 BPE918122:BPE918132 BZA918122:BZA918132 CIW918122:CIW918132 CSS918122:CSS918132 DCO918122:DCO918132 DMK918122:DMK918132 DWG918122:DWG918132 EGC918122:EGC918132 EPY918122:EPY918132 EZU918122:EZU918132 FJQ918122:FJQ918132 FTM918122:FTM918132 GDI918122:GDI918132 GNE918122:GNE918132 GXA918122:GXA918132 HGW918122:HGW918132 HQS918122:HQS918132 IAO918122:IAO918132 IKK918122:IKK918132 IUG918122:IUG918132 JEC918122:JEC918132 JNY918122:JNY918132 JXU918122:JXU918132 KHQ918122:KHQ918132 KRM918122:KRM918132 LBI918122:LBI918132 LLE918122:LLE918132 LVA918122:LVA918132 MEW918122:MEW918132 MOS918122:MOS918132 MYO918122:MYO918132 NIK918122:NIK918132 NSG918122:NSG918132 OCC918122:OCC918132 OLY918122:OLY918132 OVU918122:OVU918132 PFQ918122:PFQ918132 PPM918122:PPM918132 PZI918122:PZI918132 QJE918122:QJE918132 QTA918122:QTA918132 RCW918122:RCW918132 RMS918122:RMS918132 RWO918122:RWO918132 SGK918122:SGK918132 SQG918122:SQG918132 TAC918122:TAC918132 TJY918122:TJY918132 TTU918122:TTU918132 UDQ918122:UDQ918132 UNM918122:UNM918132 UXI918122:UXI918132 VHE918122:VHE918132 VRA918122:VRA918132 WAW918122:WAW918132 WKS918122:WKS918132 WUO918122:WUO918132 IC983658:IC983668 RY983658:RY983668 ABU983658:ABU983668 ALQ983658:ALQ983668 AVM983658:AVM983668 BFI983658:BFI983668 BPE983658:BPE983668 BZA983658:BZA983668 CIW983658:CIW983668 CSS983658:CSS983668 DCO983658:DCO983668 DMK983658:DMK983668 DWG983658:DWG983668 EGC983658:EGC983668 EPY983658:EPY983668 EZU983658:EZU983668 FJQ983658:FJQ983668 FTM983658:FTM983668 GDI983658:GDI983668 GNE983658:GNE983668 GXA983658:GXA983668 HGW983658:HGW983668 HQS983658:HQS983668 IAO983658:IAO983668 IKK983658:IKK983668 IUG983658:IUG983668 JEC983658:JEC983668 JNY983658:JNY983668 JXU983658:JXU983668 KHQ983658:KHQ983668 KRM983658:KRM983668 LBI983658:LBI983668 LLE983658:LLE983668 LVA983658:LVA983668 MEW983658:MEW983668 MOS983658:MOS983668 MYO983658:MYO983668 NIK983658:NIK983668 NSG983658:NSG983668 OCC983658:OCC983668 OLY983658:OLY983668 OVU983658:OVU983668 PFQ983658:PFQ983668 PPM983658:PPM983668 PZI983658:PZI983668 QJE983658:QJE983668 QTA983658:QTA983668 RCW983658:RCW983668 RMS983658:RMS983668 RWO983658:RWO983668 SGK983658:SGK983668 SQG983658:SQG983668 TAC983658:TAC983668 TJY983658:TJY983668 TTU983658:TTU983668 UDQ983658:UDQ983668 UNM983658:UNM983668 UXI983658:UXI983668 VHE983658:VHE983668 VRA983658:VRA983668 WAW983658:WAW983668 WKS983658:WKS983668 WUO983658:WUO983668 IC66077 RY66077 ABU66077 ALQ66077 AVM66077 BFI66077 BPE66077 BZA66077 CIW66077 CSS66077 DCO66077 DMK66077 DWG66077 EGC66077 EPY66077 EZU66077 FJQ66077 FTM66077 GDI66077 GNE66077 GXA66077 HGW66077 HQS66077 IAO66077 IKK66077 IUG66077 JEC66077 JNY66077 JXU66077 KHQ66077 KRM66077 LBI66077 LLE66077 LVA66077 MEW66077 MOS66077 MYO66077 NIK66077 NSG66077 OCC66077 OLY66077 OVU66077 PFQ66077 PPM66077 PZI66077 QJE66077 QTA66077 RCW66077 RMS66077 RWO66077 SGK66077 SQG66077 TAC66077 TJY66077 TTU66077 UDQ66077 UNM66077 UXI66077 VHE66077 VRA66077 WAW66077 WKS66077 WUO66077 IC131613 RY131613 ABU131613 ALQ131613 AVM131613 BFI131613 BPE131613 BZA131613 CIW131613 CSS131613 DCO131613 DMK131613 DWG131613 EGC131613 EPY131613 EZU131613 FJQ131613 FTM131613 GDI131613 GNE131613 GXA131613 HGW131613 HQS131613 IAO131613 IKK131613 IUG131613 JEC131613 JNY131613 JXU131613 KHQ131613 KRM131613 LBI131613 LLE131613 LVA131613 MEW131613 MOS131613 MYO131613 NIK131613 NSG131613 OCC131613 OLY131613 OVU131613 PFQ131613 PPM131613 PZI131613 QJE131613 QTA131613 RCW131613 RMS131613 RWO131613 SGK131613 SQG131613 TAC131613 TJY131613 TTU131613 UDQ131613 UNM131613 UXI131613 VHE131613 VRA131613 WAW131613 WKS131613 WUO131613 IC197149 RY197149 ABU197149 ALQ197149 AVM197149 BFI197149 BPE197149 BZA197149 CIW197149 CSS197149 DCO197149 DMK197149 DWG197149 EGC197149 EPY197149 EZU197149 FJQ197149 FTM197149 GDI197149 GNE197149 GXA197149 HGW197149 HQS197149 IAO197149 IKK197149 IUG197149 JEC197149 JNY197149 JXU197149 KHQ197149 KRM197149 LBI197149 LLE197149 LVA197149 MEW197149 MOS197149 MYO197149 NIK197149 NSG197149 OCC197149 OLY197149 OVU197149 PFQ197149 PPM197149 PZI197149 QJE197149 QTA197149 RCW197149 RMS197149 RWO197149 SGK197149 SQG197149 TAC197149 TJY197149 TTU197149 UDQ197149 UNM197149 UXI197149 VHE197149 VRA197149 WAW197149 WKS197149 WUO197149 IC262685 RY262685 ABU262685 ALQ262685 AVM262685 BFI262685 BPE262685 BZA262685 CIW262685 CSS262685 DCO262685 DMK262685 DWG262685 EGC262685 EPY262685 EZU262685 FJQ262685 FTM262685 GDI262685 GNE262685 GXA262685 HGW262685 HQS262685 IAO262685 IKK262685 IUG262685 JEC262685 JNY262685 JXU262685 KHQ262685 KRM262685 LBI262685 LLE262685 LVA262685 MEW262685 MOS262685 MYO262685 NIK262685 NSG262685 OCC262685 OLY262685 OVU262685 PFQ262685 PPM262685 PZI262685 QJE262685 QTA262685 RCW262685 RMS262685 RWO262685 SGK262685 SQG262685 TAC262685 TJY262685 TTU262685 UDQ262685 UNM262685 UXI262685 VHE262685 VRA262685 WAW262685 WKS262685 WUO262685 IC328221 RY328221 ABU328221 ALQ328221 AVM328221 BFI328221 BPE328221 BZA328221 CIW328221 CSS328221 DCO328221 DMK328221 DWG328221 EGC328221 EPY328221 EZU328221 FJQ328221 FTM328221 GDI328221 GNE328221 GXA328221 HGW328221 HQS328221 IAO328221 IKK328221 IUG328221 JEC328221 JNY328221 JXU328221 KHQ328221 KRM328221 LBI328221 LLE328221 LVA328221 MEW328221 MOS328221 MYO328221 NIK328221 NSG328221 OCC328221 OLY328221 OVU328221 PFQ328221 PPM328221 PZI328221 QJE328221 QTA328221 RCW328221 RMS328221 RWO328221 SGK328221 SQG328221 TAC328221 TJY328221 TTU328221 UDQ328221 UNM328221 UXI328221 VHE328221 VRA328221 WAW328221 WKS328221 WUO328221 IC393757 RY393757 ABU393757 ALQ393757 AVM393757 BFI393757 BPE393757 BZA393757 CIW393757 CSS393757 DCO393757 DMK393757 DWG393757 EGC393757 EPY393757 EZU393757 FJQ393757 FTM393757 GDI393757 GNE393757 GXA393757 HGW393757 HQS393757 IAO393757 IKK393757 IUG393757 JEC393757 JNY393757 JXU393757 KHQ393757 KRM393757 LBI393757 LLE393757 LVA393757 MEW393757 MOS393757 MYO393757 NIK393757 NSG393757 OCC393757 OLY393757 OVU393757 PFQ393757 PPM393757 PZI393757 QJE393757 QTA393757 RCW393757 RMS393757 RWO393757 SGK393757 SQG393757 TAC393757 TJY393757 TTU393757 UDQ393757 UNM393757 UXI393757 VHE393757 VRA393757 WAW393757 WKS393757 WUO393757 IC459293 RY459293 ABU459293 ALQ459293 AVM459293 BFI459293 BPE459293 BZA459293 CIW459293 CSS459293 DCO459293 DMK459293 DWG459293 EGC459293 EPY459293 EZU459293 FJQ459293 FTM459293 GDI459293 GNE459293 GXA459293 HGW459293 HQS459293 IAO459293 IKK459293 IUG459293 JEC459293 JNY459293 JXU459293 KHQ459293 KRM459293 LBI459293 LLE459293 LVA459293 MEW459293 MOS459293 MYO459293 NIK459293 NSG459293 OCC459293 OLY459293 OVU459293 PFQ459293 PPM459293 PZI459293 QJE459293 QTA459293 RCW459293 RMS459293 RWO459293 SGK459293 SQG459293 TAC459293 TJY459293 TTU459293 UDQ459293 UNM459293 UXI459293 VHE459293 VRA459293 WAW459293 WKS459293 WUO459293 IC524829 RY524829 ABU524829 ALQ524829 AVM524829 BFI524829 BPE524829 BZA524829 CIW524829 CSS524829 DCO524829 DMK524829 DWG524829 EGC524829 EPY524829 EZU524829 FJQ524829 FTM524829 GDI524829 GNE524829 GXA524829 HGW524829 HQS524829 IAO524829 IKK524829 IUG524829 JEC524829 JNY524829 JXU524829 KHQ524829 KRM524829 LBI524829 LLE524829 LVA524829 MEW524829 MOS524829 MYO524829 NIK524829 NSG524829 OCC524829 OLY524829 OVU524829 PFQ524829 PPM524829 PZI524829 QJE524829 QTA524829 RCW524829 RMS524829 RWO524829 SGK524829 SQG524829 TAC524829 TJY524829 TTU524829 UDQ524829 UNM524829 UXI524829 VHE524829 VRA524829 WAW524829 WKS524829 WUO524829 IC590365 RY590365 ABU590365 ALQ590365 AVM590365 BFI590365 BPE590365 BZA590365 CIW590365 CSS590365 DCO590365 DMK590365 DWG590365 EGC590365 EPY590365 EZU590365 FJQ590365 FTM590365 GDI590365 GNE590365 GXA590365 HGW590365 HQS590365 IAO590365 IKK590365 IUG590365 JEC590365 JNY590365 JXU590365 KHQ590365 KRM590365 LBI590365 LLE590365 LVA590365 MEW590365 MOS590365 MYO590365 NIK590365 NSG590365 OCC590365 OLY590365 OVU590365 PFQ590365 PPM590365 PZI590365 QJE590365 QTA590365 RCW590365 RMS590365 RWO590365 SGK590365 SQG590365 TAC590365 TJY590365 TTU590365 UDQ590365 UNM590365 UXI590365 VHE590365 VRA590365 WAW590365 WKS590365 WUO590365 IC655901 RY655901 ABU655901 ALQ655901 AVM655901 BFI655901 BPE655901 BZA655901 CIW655901 CSS655901 DCO655901 DMK655901 DWG655901 EGC655901 EPY655901 EZU655901 FJQ655901 FTM655901 GDI655901 GNE655901 GXA655901 HGW655901 HQS655901 IAO655901 IKK655901 IUG655901 JEC655901 JNY655901 JXU655901 KHQ655901 KRM655901 LBI655901 LLE655901 LVA655901 MEW655901 MOS655901 MYO655901 NIK655901 NSG655901 OCC655901 OLY655901 OVU655901 PFQ655901 PPM655901 PZI655901 QJE655901 QTA655901 RCW655901 RMS655901 RWO655901 SGK655901 SQG655901 TAC655901 TJY655901 TTU655901 UDQ655901 UNM655901 UXI655901 VHE655901 VRA655901 WAW655901 WKS655901 WUO655901 IC721437 RY721437 ABU721437 ALQ721437 AVM721437 BFI721437 BPE721437 BZA721437 CIW721437 CSS721437 DCO721437 DMK721437 DWG721437 EGC721437 EPY721437 EZU721437 FJQ721437 FTM721437 GDI721437 GNE721437 GXA721437 HGW721437 HQS721437 IAO721437 IKK721437 IUG721437 JEC721437 JNY721437 JXU721437 KHQ721437 KRM721437 LBI721437 LLE721437 LVA721437 MEW721437 MOS721437 MYO721437 NIK721437 NSG721437 OCC721437 OLY721437 OVU721437 PFQ721437 PPM721437 PZI721437 QJE721437 QTA721437 RCW721437 RMS721437 RWO721437 SGK721437 SQG721437 TAC721437 TJY721437 TTU721437 UDQ721437 UNM721437 UXI721437 VHE721437 VRA721437 WAW721437 WKS721437 WUO721437 IC786973 RY786973 ABU786973 ALQ786973 AVM786973 BFI786973 BPE786973 BZA786973 CIW786973 CSS786973 DCO786973 DMK786973 DWG786973 EGC786973 EPY786973 EZU786973 FJQ786973 FTM786973 GDI786973 GNE786973 GXA786973 HGW786973 HQS786973 IAO786973 IKK786973 IUG786973 JEC786973 JNY786973 JXU786973 KHQ786973 KRM786973 LBI786973 LLE786973 LVA786973 MEW786973 MOS786973 MYO786973 NIK786973 NSG786973 OCC786973 OLY786973 OVU786973 PFQ786973 PPM786973 PZI786973 QJE786973 QTA786973 RCW786973 RMS786973 RWO786973 SGK786973 SQG786973 TAC786973 TJY786973 TTU786973 UDQ786973 UNM786973 UXI786973 VHE786973 VRA786973 WAW786973 WKS786973 WUO786973 IC852509 RY852509 ABU852509 ALQ852509 AVM852509 BFI852509 BPE852509 BZA852509 CIW852509 CSS852509 DCO852509 DMK852509 DWG852509 EGC852509 EPY852509 EZU852509 FJQ852509 FTM852509 GDI852509 GNE852509 GXA852509 HGW852509 HQS852509 IAO852509 IKK852509 IUG852509 JEC852509 JNY852509 JXU852509 KHQ852509 KRM852509 LBI852509 LLE852509 LVA852509 MEW852509 MOS852509 MYO852509 NIK852509 NSG852509 OCC852509 OLY852509 OVU852509 PFQ852509 PPM852509 PZI852509 QJE852509 QTA852509 RCW852509 RMS852509 RWO852509 SGK852509 SQG852509 TAC852509 TJY852509 TTU852509 UDQ852509 UNM852509 UXI852509 VHE852509 VRA852509 WAW852509 WKS852509 WUO852509 IC918045 RY918045 ABU918045 ALQ918045 AVM918045 BFI918045 BPE918045 BZA918045 CIW918045 CSS918045 DCO918045 DMK918045 DWG918045 EGC918045 EPY918045 EZU918045 FJQ918045 FTM918045 GDI918045 GNE918045 GXA918045 HGW918045 HQS918045 IAO918045 IKK918045 IUG918045 JEC918045 JNY918045 JXU918045 KHQ918045 KRM918045 LBI918045 LLE918045 LVA918045 MEW918045 MOS918045 MYO918045 NIK918045 NSG918045 OCC918045 OLY918045 OVU918045 PFQ918045 PPM918045 PZI918045 QJE918045 QTA918045 RCW918045 RMS918045 RWO918045 SGK918045 SQG918045 TAC918045 TJY918045 TTU918045 UDQ918045 UNM918045 UXI918045 VHE918045 VRA918045 WAW918045 WKS918045 WUO918045 IC983581 RY983581 ABU983581 ALQ983581 AVM983581 BFI983581 BPE983581 BZA983581 CIW983581 CSS983581 DCO983581 DMK983581 DWG983581 EGC983581 EPY983581 EZU983581 FJQ983581 FTM983581 GDI983581 GNE983581 GXA983581 HGW983581 HQS983581 IAO983581 IKK983581 IUG983581 JEC983581 JNY983581 JXU983581 KHQ983581 KRM983581 LBI983581 LLE983581 LVA983581 MEW983581 MOS983581 MYO983581 NIK983581 NSG983581 OCC983581 OLY983581 OVU983581 PFQ983581 PPM983581 PZI983581 QJE983581 QTA983581 RCW983581 RMS983581 RWO983581 SGK983581 SQG983581 TAC983581 TJY983581 TTU983581 UDQ983581 UNM983581 UXI983581 VHE983581 VRA983581 WAW983581 WKS983581 WUO983581 IC65966 RY65966 ABU65966 ALQ65966 AVM65966 BFI65966 BPE65966 BZA65966 CIW65966 CSS65966 DCO65966 DMK65966 DWG65966 EGC65966 EPY65966 EZU65966 FJQ65966 FTM65966 GDI65966 GNE65966 GXA65966 HGW65966 HQS65966 IAO65966 IKK65966 IUG65966 JEC65966 JNY65966 JXU65966 KHQ65966 KRM65966 LBI65966 LLE65966 LVA65966 MEW65966 MOS65966 MYO65966 NIK65966 NSG65966 OCC65966 OLY65966 OVU65966 PFQ65966 PPM65966 PZI65966 QJE65966 QTA65966 RCW65966 RMS65966 RWO65966 SGK65966 SQG65966 TAC65966 TJY65966 TTU65966 UDQ65966 UNM65966 UXI65966 VHE65966 VRA65966 WAW65966 WKS65966 WUO65966 IC131502 RY131502 ABU131502 ALQ131502 AVM131502 BFI131502 BPE131502 BZA131502 CIW131502 CSS131502 DCO131502 DMK131502 DWG131502 EGC131502 EPY131502 EZU131502 FJQ131502 FTM131502 GDI131502 GNE131502 GXA131502 HGW131502 HQS131502 IAO131502 IKK131502 IUG131502 JEC131502 JNY131502 JXU131502 KHQ131502 KRM131502 LBI131502 LLE131502 LVA131502 MEW131502 MOS131502 MYO131502 NIK131502 NSG131502 OCC131502 OLY131502 OVU131502 PFQ131502 PPM131502 PZI131502 QJE131502 QTA131502 RCW131502 RMS131502 RWO131502 SGK131502 SQG131502 TAC131502 TJY131502 TTU131502 UDQ131502 UNM131502 UXI131502 VHE131502 VRA131502 WAW131502 WKS131502 WUO131502 IC197038 RY197038 ABU197038 ALQ197038 AVM197038 BFI197038 BPE197038 BZA197038 CIW197038 CSS197038 DCO197038 DMK197038 DWG197038 EGC197038 EPY197038 EZU197038 FJQ197038 FTM197038 GDI197038 GNE197038 GXA197038 HGW197038 HQS197038 IAO197038 IKK197038 IUG197038 JEC197038 JNY197038 JXU197038 KHQ197038 KRM197038 LBI197038 LLE197038 LVA197038 MEW197038 MOS197038 MYO197038 NIK197038 NSG197038 OCC197038 OLY197038 OVU197038 PFQ197038 PPM197038 PZI197038 QJE197038 QTA197038 RCW197038 RMS197038 RWO197038 SGK197038 SQG197038 TAC197038 TJY197038 TTU197038 UDQ197038 UNM197038 UXI197038 VHE197038 VRA197038 WAW197038 WKS197038 WUO197038 IC262574 RY262574 ABU262574 ALQ262574 AVM262574 BFI262574 BPE262574 BZA262574 CIW262574 CSS262574 DCO262574 DMK262574 DWG262574 EGC262574 EPY262574 EZU262574 FJQ262574 FTM262574 GDI262574 GNE262574 GXA262574 HGW262574 HQS262574 IAO262574 IKK262574 IUG262574 JEC262574 JNY262574 JXU262574 KHQ262574 KRM262574 LBI262574 LLE262574 LVA262574 MEW262574 MOS262574 MYO262574 NIK262574 NSG262574 OCC262574 OLY262574 OVU262574 PFQ262574 PPM262574 PZI262574 QJE262574 QTA262574 RCW262574 RMS262574 RWO262574 SGK262574 SQG262574 TAC262574 TJY262574 TTU262574 UDQ262574 UNM262574 UXI262574 VHE262574 VRA262574 WAW262574 WKS262574 WUO262574 IC328110 RY328110 ABU328110 ALQ328110 AVM328110 BFI328110 BPE328110 BZA328110 CIW328110 CSS328110 DCO328110 DMK328110 DWG328110 EGC328110 EPY328110 EZU328110 FJQ328110 FTM328110 GDI328110 GNE328110 GXA328110 HGW328110 HQS328110 IAO328110 IKK328110 IUG328110 JEC328110 JNY328110 JXU328110 KHQ328110 KRM328110 LBI328110 LLE328110 LVA328110 MEW328110 MOS328110 MYO328110 NIK328110 NSG328110 OCC328110 OLY328110 OVU328110 PFQ328110 PPM328110 PZI328110 QJE328110 QTA328110 RCW328110 RMS328110 RWO328110 SGK328110 SQG328110 TAC328110 TJY328110 TTU328110 UDQ328110 UNM328110 UXI328110 VHE328110 VRA328110 WAW328110 WKS328110 WUO328110 IC393646 RY393646 ABU393646 ALQ393646 AVM393646 BFI393646 BPE393646 BZA393646 CIW393646 CSS393646 DCO393646 DMK393646 DWG393646 EGC393646 EPY393646 EZU393646 FJQ393646 FTM393646 GDI393646 GNE393646 GXA393646 HGW393646 HQS393646 IAO393646 IKK393646 IUG393646 JEC393646 JNY393646 JXU393646 KHQ393646 KRM393646 LBI393646 LLE393646 LVA393646 MEW393646 MOS393646 MYO393646 NIK393646 NSG393646 OCC393646 OLY393646 OVU393646 PFQ393646 PPM393646 PZI393646 QJE393646 QTA393646 RCW393646 RMS393646 RWO393646 SGK393646 SQG393646 TAC393646 TJY393646 TTU393646 UDQ393646 UNM393646 UXI393646 VHE393646 VRA393646 WAW393646 WKS393646 WUO393646 IC459182 RY459182 ABU459182 ALQ459182 AVM459182 BFI459182 BPE459182 BZA459182 CIW459182 CSS459182 DCO459182 DMK459182 DWG459182 EGC459182 EPY459182 EZU459182 FJQ459182 FTM459182 GDI459182 GNE459182 GXA459182 HGW459182 HQS459182 IAO459182 IKK459182 IUG459182 JEC459182 JNY459182 JXU459182 KHQ459182 KRM459182 LBI459182 LLE459182 LVA459182 MEW459182 MOS459182 MYO459182 NIK459182 NSG459182 OCC459182 OLY459182 OVU459182 PFQ459182 PPM459182 PZI459182 QJE459182 QTA459182 RCW459182 RMS459182 RWO459182 SGK459182 SQG459182 TAC459182 TJY459182 TTU459182 UDQ459182 UNM459182 UXI459182 VHE459182 VRA459182 WAW459182 WKS459182 WUO459182 IC524718 RY524718 ABU524718 ALQ524718 AVM524718 BFI524718 BPE524718 BZA524718 CIW524718 CSS524718 DCO524718 DMK524718 DWG524718 EGC524718 EPY524718 EZU524718 FJQ524718 FTM524718 GDI524718 GNE524718 GXA524718 HGW524718 HQS524718 IAO524718 IKK524718 IUG524718 JEC524718 JNY524718 JXU524718 KHQ524718 KRM524718 LBI524718 LLE524718 LVA524718 MEW524718 MOS524718 MYO524718 NIK524718 NSG524718 OCC524718 OLY524718 OVU524718 PFQ524718 PPM524718 PZI524718 QJE524718 QTA524718 RCW524718 RMS524718 RWO524718 SGK524718 SQG524718 TAC524718 TJY524718 TTU524718 UDQ524718 UNM524718 UXI524718 VHE524718 VRA524718 WAW524718 WKS524718 WUO524718 IC590254 RY590254 ABU590254 ALQ590254 AVM590254 BFI590254 BPE590254 BZA590254 CIW590254 CSS590254 DCO590254 DMK590254 DWG590254 EGC590254 EPY590254 EZU590254 FJQ590254 FTM590254 GDI590254 GNE590254 GXA590254 HGW590254 HQS590254 IAO590254 IKK590254 IUG590254 JEC590254 JNY590254 JXU590254 KHQ590254 KRM590254 LBI590254 LLE590254 LVA590254 MEW590254 MOS590254 MYO590254 NIK590254 NSG590254 OCC590254 OLY590254 OVU590254 PFQ590254 PPM590254 PZI590254 QJE590254 QTA590254 RCW590254 RMS590254 RWO590254 SGK590254 SQG590254 TAC590254 TJY590254 TTU590254 UDQ590254 UNM590254 UXI590254 VHE590254 VRA590254 WAW590254 WKS590254 WUO590254 IC655790 RY655790 ABU655790 ALQ655790 AVM655790 BFI655790 BPE655790 BZA655790 CIW655790 CSS655790 DCO655790 DMK655790 DWG655790 EGC655790 EPY655790 EZU655790 FJQ655790 FTM655790 GDI655790 GNE655790 GXA655790 HGW655790 HQS655790 IAO655790 IKK655790 IUG655790 JEC655790 JNY655790 JXU655790 KHQ655790 KRM655790 LBI655790 LLE655790 LVA655790 MEW655790 MOS655790 MYO655790 NIK655790 NSG655790 OCC655790 OLY655790 OVU655790 PFQ655790 PPM655790 PZI655790 QJE655790 QTA655790 RCW655790 RMS655790 RWO655790 SGK655790 SQG655790 TAC655790 TJY655790 TTU655790 UDQ655790 UNM655790 UXI655790 VHE655790 VRA655790 WAW655790 WKS655790 WUO655790 IC721326 RY721326 ABU721326 ALQ721326 AVM721326 BFI721326 BPE721326 BZA721326 CIW721326 CSS721326 DCO721326 DMK721326 DWG721326 EGC721326 EPY721326 EZU721326 FJQ721326 FTM721326 GDI721326 GNE721326 GXA721326 HGW721326 HQS721326 IAO721326 IKK721326 IUG721326 JEC721326 JNY721326 JXU721326 KHQ721326 KRM721326 LBI721326 LLE721326 LVA721326 MEW721326 MOS721326 MYO721326 NIK721326 NSG721326 OCC721326 OLY721326 OVU721326 PFQ721326 PPM721326 PZI721326 QJE721326 QTA721326 RCW721326 RMS721326 RWO721326 SGK721326 SQG721326 TAC721326 TJY721326 TTU721326 UDQ721326 UNM721326 UXI721326 VHE721326 VRA721326 WAW721326 WKS721326 WUO721326 IC786862 RY786862 ABU786862 ALQ786862 AVM786862 BFI786862 BPE786862 BZA786862 CIW786862 CSS786862 DCO786862 DMK786862 DWG786862 EGC786862 EPY786862 EZU786862 FJQ786862 FTM786862 GDI786862 GNE786862 GXA786862 HGW786862 HQS786862 IAO786862 IKK786862 IUG786862 JEC786862 JNY786862 JXU786862 KHQ786862 KRM786862 LBI786862 LLE786862 LVA786862 MEW786862 MOS786862 MYO786862 NIK786862 NSG786862 OCC786862 OLY786862 OVU786862 PFQ786862 PPM786862 PZI786862 QJE786862 QTA786862 RCW786862 RMS786862 RWO786862 SGK786862 SQG786862 TAC786862 TJY786862 TTU786862 UDQ786862 UNM786862 UXI786862 VHE786862 VRA786862 WAW786862 WKS786862 WUO786862 IC852398 RY852398 ABU852398 ALQ852398 AVM852398 BFI852398 BPE852398 BZA852398 CIW852398 CSS852398 DCO852398 DMK852398 DWG852398 EGC852398 EPY852398 EZU852398 FJQ852398 FTM852398 GDI852398 GNE852398 GXA852398 HGW852398 HQS852398 IAO852398 IKK852398 IUG852398 JEC852398 JNY852398 JXU852398 KHQ852398 KRM852398 LBI852398 LLE852398 LVA852398 MEW852398 MOS852398 MYO852398 NIK852398 NSG852398 OCC852398 OLY852398 OVU852398 PFQ852398 PPM852398 PZI852398 QJE852398 QTA852398 RCW852398 RMS852398 RWO852398 SGK852398 SQG852398 TAC852398 TJY852398 TTU852398 UDQ852398 UNM852398 UXI852398 VHE852398 VRA852398 WAW852398 WKS852398 WUO852398 IC917934 RY917934 ABU917934 ALQ917934 AVM917934 BFI917934 BPE917934 BZA917934 CIW917934 CSS917934 DCO917934 DMK917934 DWG917934 EGC917934 EPY917934 EZU917934 FJQ917934 FTM917934 GDI917934 GNE917934 GXA917934 HGW917934 HQS917934 IAO917934 IKK917934 IUG917934 JEC917934 JNY917934 JXU917934 KHQ917934 KRM917934 LBI917934 LLE917934 LVA917934 MEW917934 MOS917934 MYO917934 NIK917934 NSG917934 OCC917934 OLY917934 OVU917934 PFQ917934 PPM917934 PZI917934 QJE917934 QTA917934 RCW917934 RMS917934 RWO917934 SGK917934 SQG917934 TAC917934 TJY917934 TTU917934 UDQ917934 UNM917934 UXI917934 VHE917934 VRA917934 WAW917934 WKS917934 WUO917934 IC983470 RY983470 ABU983470 ALQ983470 AVM983470 BFI983470 BPE983470 BZA983470 CIW983470 CSS983470 DCO983470 DMK983470 DWG983470 EGC983470 EPY983470 EZU983470 FJQ983470 FTM983470 GDI983470 GNE983470 GXA983470 HGW983470 HQS983470 IAO983470 IKK983470 IUG983470 JEC983470 JNY983470 JXU983470 KHQ983470 KRM983470 LBI983470 LLE983470 LVA983470 MEW983470 MOS983470 MYO983470 NIK983470 NSG983470 OCC983470 OLY983470 OVU983470 PFQ983470 PPM983470 PZI983470 QJE983470 QTA983470 RCW983470 RMS983470 RWO983470 SGK983470 SQG983470 TAC983470 TJY983470 TTU983470 UDQ983470 UNM983470 UXI983470 VHE983470 VRA983470 WAW983470 WKS983470 WUO983470 IC65784 RY65784 ABU65784 ALQ65784 AVM65784 BFI65784 BPE65784 BZA65784 CIW65784 CSS65784 DCO65784 DMK65784 DWG65784 EGC65784 EPY65784 EZU65784 FJQ65784 FTM65784 GDI65784 GNE65784 GXA65784 HGW65784 HQS65784 IAO65784 IKK65784 IUG65784 JEC65784 JNY65784 JXU65784 KHQ65784 KRM65784 LBI65784 LLE65784 LVA65784 MEW65784 MOS65784 MYO65784 NIK65784 NSG65784 OCC65784 OLY65784 OVU65784 PFQ65784 PPM65784 PZI65784 QJE65784 QTA65784 RCW65784 RMS65784 RWO65784 SGK65784 SQG65784 TAC65784 TJY65784 TTU65784 UDQ65784 UNM65784 UXI65784 VHE65784 VRA65784 WAW65784 WKS65784 WUO65784 IC131320 RY131320 ABU131320 ALQ131320 AVM131320 BFI131320 BPE131320 BZA131320 CIW131320 CSS131320 DCO131320 DMK131320 DWG131320 EGC131320 EPY131320 EZU131320 FJQ131320 FTM131320 GDI131320 GNE131320 GXA131320 HGW131320 HQS131320 IAO131320 IKK131320 IUG131320 JEC131320 JNY131320 JXU131320 KHQ131320 KRM131320 LBI131320 LLE131320 LVA131320 MEW131320 MOS131320 MYO131320 NIK131320 NSG131320 OCC131320 OLY131320 OVU131320 PFQ131320 PPM131320 PZI131320 QJE131320 QTA131320 RCW131320 RMS131320 RWO131320 SGK131320 SQG131320 TAC131320 TJY131320 TTU131320 UDQ131320 UNM131320 UXI131320 VHE131320 VRA131320 WAW131320 WKS131320 WUO131320 IC196856 RY196856 ABU196856 ALQ196856 AVM196856 BFI196856 BPE196856 BZA196856 CIW196856 CSS196856 DCO196856 DMK196856 DWG196856 EGC196856 EPY196856 EZU196856 FJQ196856 FTM196856 GDI196856 GNE196856 GXA196856 HGW196856 HQS196856 IAO196856 IKK196856 IUG196856 JEC196856 JNY196856 JXU196856 KHQ196856 KRM196856 LBI196856 LLE196856 LVA196856 MEW196856 MOS196856 MYO196856 NIK196856 NSG196856 OCC196856 OLY196856 OVU196856 PFQ196856 PPM196856 PZI196856 QJE196856 QTA196856 RCW196856 RMS196856 RWO196856 SGK196856 SQG196856 TAC196856 TJY196856 TTU196856 UDQ196856 UNM196856 UXI196856 VHE196856 VRA196856 WAW196856 WKS196856 WUO196856 IC262392 RY262392 ABU262392 ALQ262392 AVM262392 BFI262392 BPE262392 BZA262392 CIW262392 CSS262392 DCO262392 DMK262392 DWG262392 EGC262392 EPY262392 EZU262392 FJQ262392 FTM262392 GDI262392 GNE262392 GXA262392 HGW262392 HQS262392 IAO262392 IKK262392 IUG262392 JEC262392 JNY262392 JXU262392 KHQ262392 KRM262392 LBI262392 LLE262392 LVA262392 MEW262392 MOS262392 MYO262392 NIK262392 NSG262392 OCC262392 OLY262392 OVU262392 PFQ262392 PPM262392 PZI262392 QJE262392 QTA262392 RCW262392 RMS262392 RWO262392 SGK262392 SQG262392 TAC262392 TJY262392 TTU262392 UDQ262392 UNM262392 UXI262392 VHE262392 VRA262392 WAW262392 WKS262392 WUO262392 IC327928 RY327928 ABU327928 ALQ327928 AVM327928 BFI327928 BPE327928 BZA327928 CIW327928 CSS327928 DCO327928 DMK327928 DWG327928 EGC327928 EPY327928 EZU327928 FJQ327928 FTM327928 GDI327928 GNE327928 GXA327928 HGW327928 HQS327928 IAO327928 IKK327928 IUG327928 JEC327928 JNY327928 JXU327928 KHQ327928 KRM327928 LBI327928 LLE327928 LVA327928 MEW327928 MOS327928 MYO327928 NIK327928 NSG327928 OCC327928 OLY327928 OVU327928 PFQ327928 PPM327928 PZI327928 QJE327928 QTA327928 RCW327928 RMS327928 RWO327928 SGK327928 SQG327928 TAC327928 TJY327928 TTU327928 UDQ327928 UNM327928 UXI327928 VHE327928 VRA327928 WAW327928 WKS327928 WUO327928 IC393464 RY393464 ABU393464 ALQ393464 AVM393464 BFI393464 BPE393464 BZA393464 CIW393464 CSS393464 DCO393464 DMK393464 DWG393464 EGC393464 EPY393464 EZU393464 FJQ393464 FTM393464 GDI393464 GNE393464 GXA393464 HGW393464 HQS393464 IAO393464 IKK393464 IUG393464 JEC393464 JNY393464 JXU393464 KHQ393464 KRM393464 LBI393464 LLE393464 LVA393464 MEW393464 MOS393464 MYO393464 NIK393464 NSG393464 OCC393464 OLY393464 OVU393464 PFQ393464 PPM393464 PZI393464 QJE393464 QTA393464 RCW393464 RMS393464 RWO393464 SGK393464 SQG393464 TAC393464 TJY393464 TTU393464 UDQ393464 UNM393464 UXI393464 VHE393464 VRA393464 WAW393464 WKS393464 WUO393464 IC459000 RY459000 ABU459000 ALQ459000 AVM459000 BFI459000 BPE459000 BZA459000 CIW459000 CSS459000 DCO459000 DMK459000 DWG459000 EGC459000 EPY459000 EZU459000 FJQ459000 FTM459000 GDI459000 GNE459000 GXA459000 HGW459000 HQS459000 IAO459000 IKK459000 IUG459000 JEC459000 JNY459000 JXU459000 KHQ459000 KRM459000 LBI459000 LLE459000 LVA459000 MEW459000 MOS459000 MYO459000 NIK459000 NSG459000 OCC459000 OLY459000 OVU459000 PFQ459000 PPM459000 PZI459000 QJE459000 QTA459000 RCW459000 RMS459000 RWO459000 SGK459000 SQG459000 TAC459000 TJY459000 TTU459000 UDQ459000 UNM459000 UXI459000 VHE459000 VRA459000 WAW459000 WKS459000 WUO459000 IC524536 RY524536 ABU524536 ALQ524536 AVM524536 BFI524536 BPE524536 BZA524536 CIW524536 CSS524536 DCO524536 DMK524536 DWG524536 EGC524536 EPY524536 EZU524536 FJQ524536 FTM524536 GDI524536 GNE524536 GXA524536 HGW524536 HQS524536 IAO524536 IKK524536 IUG524536 JEC524536 JNY524536 JXU524536 KHQ524536 KRM524536 LBI524536 LLE524536 LVA524536 MEW524536 MOS524536 MYO524536 NIK524536 NSG524536 OCC524536 OLY524536 OVU524536 PFQ524536 PPM524536 PZI524536 QJE524536 QTA524536 RCW524536 RMS524536 RWO524536 SGK524536 SQG524536 TAC524536 TJY524536 TTU524536 UDQ524536 UNM524536 UXI524536 VHE524536 VRA524536 WAW524536 WKS524536 WUO524536 IC590072 RY590072 ABU590072 ALQ590072 AVM590072 BFI590072 BPE590072 BZA590072 CIW590072 CSS590072 DCO590072 DMK590072 DWG590072 EGC590072 EPY590072 EZU590072 FJQ590072 FTM590072 GDI590072 GNE590072 GXA590072 HGW590072 HQS590072 IAO590072 IKK590072 IUG590072 JEC590072 JNY590072 JXU590072 KHQ590072 KRM590072 LBI590072 LLE590072 LVA590072 MEW590072 MOS590072 MYO590072 NIK590072 NSG590072 OCC590072 OLY590072 OVU590072 PFQ590072 PPM590072 PZI590072 QJE590072 QTA590072 RCW590072 RMS590072 RWO590072 SGK590072 SQG590072 TAC590072 TJY590072 TTU590072 UDQ590072 UNM590072 UXI590072 VHE590072 VRA590072 WAW590072 WKS590072 WUO590072 IC655608 RY655608 ABU655608 ALQ655608 AVM655608 BFI655608 BPE655608 BZA655608 CIW655608 CSS655608 DCO655608 DMK655608 DWG655608 EGC655608 EPY655608 EZU655608 FJQ655608 FTM655608 GDI655608 GNE655608 GXA655608 HGW655608 HQS655608 IAO655608 IKK655608 IUG655608 JEC655608 JNY655608 JXU655608 KHQ655608 KRM655608 LBI655608 LLE655608 LVA655608 MEW655608 MOS655608 MYO655608 NIK655608 NSG655608 OCC655608 OLY655608 OVU655608 PFQ655608 PPM655608 PZI655608 QJE655608 QTA655608 RCW655608 RMS655608 RWO655608 SGK655608 SQG655608 TAC655608 TJY655608 TTU655608 UDQ655608 UNM655608 UXI655608 VHE655608 VRA655608 WAW655608 WKS655608 WUO655608 IC721144 RY721144 ABU721144 ALQ721144 AVM721144 BFI721144 BPE721144 BZA721144 CIW721144 CSS721144 DCO721144 DMK721144 DWG721144 EGC721144 EPY721144 EZU721144 FJQ721144 FTM721144 GDI721144 GNE721144 GXA721144 HGW721144 HQS721144 IAO721144 IKK721144 IUG721144 JEC721144 JNY721144 JXU721144 KHQ721144 KRM721144 LBI721144 LLE721144 LVA721144 MEW721144 MOS721144 MYO721144 NIK721144 NSG721144 OCC721144 OLY721144 OVU721144 PFQ721144 PPM721144 PZI721144 QJE721144 QTA721144 RCW721144 RMS721144 RWO721144 SGK721144 SQG721144 TAC721144 TJY721144 TTU721144 UDQ721144 UNM721144 UXI721144 VHE721144 VRA721144 WAW721144 WKS721144 WUO721144 IC786680 RY786680 ABU786680 ALQ786680 AVM786680 BFI786680 BPE786680 BZA786680 CIW786680 CSS786680 DCO786680 DMK786680 DWG786680 EGC786680 EPY786680 EZU786680 FJQ786680 FTM786680 GDI786680 GNE786680 GXA786680 HGW786680 HQS786680 IAO786680 IKK786680 IUG786680 JEC786680 JNY786680 JXU786680 KHQ786680 KRM786680 LBI786680 LLE786680 LVA786680 MEW786680 MOS786680 MYO786680 NIK786680 NSG786680 OCC786680 OLY786680 OVU786680 PFQ786680 PPM786680 PZI786680 QJE786680 QTA786680 RCW786680 RMS786680 RWO786680 SGK786680 SQG786680 TAC786680 TJY786680 TTU786680 UDQ786680 UNM786680 UXI786680 VHE786680 VRA786680 WAW786680 WKS786680 WUO786680 IC852216 RY852216 ABU852216 ALQ852216 AVM852216 BFI852216 BPE852216 BZA852216 CIW852216 CSS852216 DCO852216 DMK852216 DWG852216 EGC852216 EPY852216 EZU852216 FJQ852216 FTM852216 GDI852216 GNE852216 GXA852216 HGW852216 HQS852216 IAO852216 IKK852216 IUG852216 JEC852216 JNY852216 JXU852216 KHQ852216 KRM852216 LBI852216 LLE852216 LVA852216 MEW852216 MOS852216 MYO852216 NIK852216 NSG852216 OCC852216 OLY852216 OVU852216 PFQ852216 PPM852216 PZI852216 QJE852216 QTA852216 RCW852216 RMS852216 RWO852216 SGK852216 SQG852216 TAC852216 TJY852216 TTU852216 UDQ852216 UNM852216 UXI852216 VHE852216 VRA852216 WAW852216 WKS852216 WUO852216 IC917752 RY917752 ABU917752 ALQ917752 AVM917752 BFI917752 BPE917752 BZA917752 CIW917752 CSS917752 DCO917752 DMK917752 DWG917752 EGC917752 EPY917752 EZU917752 FJQ917752 FTM917752 GDI917752 GNE917752 GXA917752 HGW917752 HQS917752 IAO917752 IKK917752 IUG917752 JEC917752 JNY917752 JXU917752 KHQ917752 KRM917752 LBI917752 LLE917752 LVA917752 MEW917752 MOS917752 MYO917752 NIK917752 NSG917752 OCC917752 OLY917752 OVU917752 PFQ917752 PPM917752 PZI917752 QJE917752 QTA917752 RCW917752 RMS917752 RWO917752 SGK917752 SQG917752 TAC917752 TJY917752 TTU917752 UDQ917752 UNM917752 UXI917752 VHE917752 VRA917752 WAW917752 WKS917752 WUO917752 IC983288 RY983288 ABU983288 ALQ983288 AVM983288 BFI983288 BPE983288 BZA983288 CIW983288 CSS983288 DCO983288 DMK983288 DWG983288 EGC983288 EPY983288 EZU983288 FJQ983288 FTM983288 GDI983288 GNE983288 GXA983288 HGW983288 HQS983288 IAO983288 IKK983288 IUG983288 JEC983288 JNY983288 JXU983288 KHQ983288 KRM983288 LBI983288 LLE983288 LVA983288 MEW983288 MOS983288 MYO983288 NIK983288 NSG983288 OCC983288 OLY983288 OVU983288 PFQ983288 PPM983288 PZI983288 QJE983288 QTA983288 RCW983288 RMS983288 RWO983288 SGK983288 SQG983288 TAC983288 TJY983288 TTU983288 UDQ983288 UNM983288 UXI983288 VHE983288 VRA983288 WAW983288 WKS983288 WUO983288 IC65730 RY65730 ABU65730 ALQ65730 AVM65730 BFI65730 BPE65730 BZA65730 CIW65730 CSS65730 DCO65730 DMK65730 DWG65730 EGC65730 EPY65730 EZU65730 FJQ65730 FTM65730 GDI65730 GNE65730 GXA65730 HGW65730 HQS65730 IAO65730 IKK65730 IUG65730 JEC65730 JNY65730 JXU65730 KHQ65730 KRM65730 LBI65730 LLE65730 LVA65730 MEW65730 MOS65730 MYO65730 NIK65730 NSG65730 OCC65730 OLY65730 OVU65730 PFQ65730 PPM65730 PZI65730 QJE65730 QTA65730 RCW65730 RMS65730 RWO65730 SGK65730 SQG65730 TAC65730 TJY65730 TTU65730 UDQ65730 UNM65730 UXI65730 VHE65730 VRA65730 WAW65730 WKS65730 WUO65730 IC131266 RY131266 ABU131266 ALQ131266 AVM131266 BFI131266 BPE131266 BZA131266 CIW131266 CSS131266 DCO131266 DMK131266 DWG131266 EGC131266 EPY131266 EZU131266 FJQ131266 FTM131266 GDI131266 GNE131266 GXA131266 HGW131266 HQS131266 IAO131266 IKK131266 IUG131266 JEC131266 JNY131266 JXU131266 KHQ131266 KRM131266 LBI131266 LLE131266 LVA131266 MEW131266 MOS131266 MYO131266 NIK131266 NSG131266 OCC131266 OLY131266 OVU131266 PFQ131266 PPM131266 PZI131266 QJE131266 QTA131266 RCW131266 RMS131266 RWO131266 SGK131266 SQG131266 TAC131266 TJY131266 TTU131266 UDQ131266 UNM131266 UXI131266 VHE131266 VRA131266 WAW131266 WKS131266 WUO131266 IC196802 RY196802 ABU196802 ALQ196802 AVM196802 BFI196802 BPE196802 BZA196802 CIW196802 CSS196802 DCO196802 DMK196802 DWG196802 EGC196802 EPY196802 EZU196802 FJQ196802 FTM196802 GDI196802 GNE196802 GXA196802 HGW196802 HQS196802 IAO196802 IKK196802 IUG196802 JEC196802 JNY196802 JXU196802 KHQ196802 KRM196802 LBI196802 LLE196802 LVA196802 MEW196802 MOS196802 MYO196802 NIK196802 NSG196802 OCC196802 OLY196802 OVU196802 PFQ196802 PPM196802 PZI196802 QJE196802 QTA196802 RCW196802 RMS196802 RWO196802 SGK196802 SQG196802 TAC196802 TJY196802 TTU196802 UDQ196802 UNM196802 UXI196802 VHE196802 VRA196802 WAW196802 WKS196802 WUO196802 IC262338 RY262338 ABU262338 ALQ262338 AVM262338 BFI262338 BPE262338 BZA262338 CIW262338 CSS262338 DCO262338 DMK262338 DWG262338 EGC262338 EPY262338 EZU262338 FJQ262338 FTM262338 GDI262338 GNE262338 GXA262338 HGW262338 HQS262338 IAO262338 IKK262338 IUG262338 JEC262338 JNY262338 JXU262338 KHQ262338 KRM262338 LBI262338 LLE262338 LVA262338 MEW262338 MOS262338 MYO262338 NIK262338 NSG262338 OCC262338 OLY262338 OVU262338 PFQ262338 PPM262338 PZI262338 QJE262338 QTA262338 RCW262338 RMS262338 RWO262338 SGK262338 SQG262338 TAC262338 TJY262338 TTU262338 UDQ262338 UNM262338 UXI262338 VHE262338 VRA262338 WAW262338 WKS262338 WUO262338 IC327874 RY327874 ABU327874 ALQ327874 AVM327874 BFI327874 BPE327874 BZA327874 CIW327874 CSS327874 DCO327874 DMK327874 DWG327874 EGC327874 EPY327874 EZU327874 FJQ327874 FTM327874 GDI327874 GNE327874 GXA327874 HGW327874 HQS327874 IAO327874 IKK327874 IUG327874 JEC327874 JNY327874 JXU327874 KHQ327874 KRM327874 LBI327874 LLE327874 LVA327874 MEW327874 MOS327874 MYO327874 NIK327874 NSG327874 OCC327874 OLY327874 OVU327874 PFQ327874 PPM327874 PZI327874 QJE327874 QTA327874 RCW327874 RMS327874 RWO327874 SGK327874 SQG327874 TAC327874 TJY327874 TTU327874 UDQ327874 UNM327874 UXI327874 VHE327874 VRA327874 WAW327874 WKS327874 WUO327874 IC393410 RY393410 ABU393410 ALQ393410 AVM393410 BFI393410 BPE393410 BZA393410 CIW393410 CSS393410 DCO393410 DMK393410 DWG393410 EGC393410 EPY393410 EZU393410 FJQ393410 FTM393410 GDI393410 GNE393410 GXA393410 HGW393410 HQS393410 IAO393410 IKK393410 IUG393410 JEC393410 JNY393410 JXU393410 KHQ393410 KRM393410 LBI393410 LLE393410 LVA393410 MEW393410 MOS393410 MYO393410 NIK393410 NSG393410 OCC393410 OLY393410 OVU393410 PFQ393410 PPM393410 PZI393410 QJE393410 QTA393410 RCW393410 RMS393410 RWO393410 SGK393410 SQG393410 TAC393410 TJY393410 TTU393410 UDQ393410 UNM393410 UXI393410 VHE393410 VRA393410 WAW393410 WKS393410 WUO393410 IC458946 RY458946 ABU458946 ALQ458946 AVM458946 BFI458946 BPE458946 BZA458946 CIW458946 CSS458946 DCO458946 DMK458946 DWG458946 EGC458946 EPY458946 EZU458946 FJQ458946 FTM458946 GDI458946 GNE458946 GXA458946 HGW458946 HQS458946 IAO458946 IKK458946 IUG458946 JEC458946 JNY458946 JXU458946 KHQ458946 KRM458946 LBI458946 LLE458946 LVA458946 MEW458946 MOS458946 MYO458946 NIK458946 NSG458946 OCC458946 OLY458946 OVU458946 PFQ458946 PPM458946 PZI458946 QJE458946 QTA458946 RCW458946 RMS458946 RWO458946 SGK458946 SQG458946 TAC458946 TJY458946 TTU458946 UDQ458946 UNM458946 UXI458946 VHE458946 VRA458946 WAW458946 WKS458946 WUO458946 IC524482 RY524482 ABU524482 ALQ524482 AVM524482 BFI524482 BPE524482 BZA524482 CIW524482 CSS524482 DCO524482 DMK524482 DWG524482 EGC524482 EPY524482 EZU524482 FJQ524482 FTM524482 GDI524482 GNE524482 GXA524482 HGW524482 HQS524482 IAO524482 IKK524482 IUG524482 JEC524482 JNY524482 JXU524482 KHQ524482 KRM524482 LBI524482 LLE524482 LVA524482 MEW524482 MOS524482 MYO524482 NIK524482 NSG524482 OCC524482 OLY524482 OVU524482 PFQ524482 PPM524482 PZI524482 QJE524482 QTA524482 RCW524482 RMS524482 RWO524482 SGK524482 SQG524482 TAC524482 TJY524482 TTU524482 UDQ524482 UNM524482 UXI524482 VHE524482 VRA524482 WAW524482 WKS524482 WUO524482 IC590018 RY590018 ABU590018 ALQ590018 AVM590018 BFI590018 BPE590018 BZA590018 CIW590018 CSS590018 DCO590018 DMK590018 DWG590018 EGC590018 EPY590018 EZU590018 FJQ590018 FTM590018 GDI590018 GNE590018 GXA590018 HGW590018 HQS590018 IAO590018 IKK590018 IUG590018 JEC590018 JNY590018 JXU590018 KHQ590018 KRM590018 LBI590018 LLE590018 LVA590018 MEW590018 MOS590018 MYO590018 NIK590018 NSG590018 OCC590018 OLY590018 OVU590018 PFQ590018 PPM590018 PZI590018 QJE590018 QTA590018 RCW590018 RMS590018 RWO590018 SGK590018 SQG590018 TAC590018 TJY590018 TTU590018 UDQ590018 UNM590018 UXI590018 VHE590018 VRA590018 WAW590018 WKS590018 WUO590018 IC655554 RY655554 ABU655554 ALQ655554 AVM655554 BFI655554 BPE655554 BZA655554 CIW655554 CSS655554 DCO655554 DMK655554 DWG655554 EGC655554 EPY655554 EZU655554 FJQ655554 FTM655554 GDI655554 GNE655554 GXA655554 HGW655554 HQS655554 IAO655554 IKK655554 IUG655554 JEC655554 JNY655554 JXU655554 KHQ655554 KRM655554 LBI655554 LLE655554 LVA655554 MEW655554 MOS655554 MYO655554 NIK655554 NSG655554 OCC655554 OLY655554 OVU655554 PFQ655554 PPM655554 PZI655554 QJE655554 QTA655554 RCW655554 RMS655554 RWO655554 SGK655554 SQG655554 TAC655554 TJY655554 TTU655554 UDQ655554 UNM655554 UXI655554 VHE655554 VRA655554 WAW655554 WKS655554 WUO655554 IC721090 RY721090 ABU721090 ALQ721090 AVM721090 BFI721090 BPE721090 BZA721090 CIW721090 CSS721090 DCO721090 DMK721090 DWG721090 EGC721090 EPY721090 EZU721090 FJQ721090 FTM721090 GDI721090 GNE721090 GXA721090 HGW721090 HQS721090 IAO721090 IKK721090 IUG721090 JEC721090 JNY721090 JXU721090 KHQ721090 KRM721090 LBI721090 LLE721090 LVA721090 MEW721090 MOS721090 MYO721090 NIK721090 NSG721090 OCC721090 OLY721090 OVU721090 PFQ721090 PPM721090 PZI721090 QJE721090 QTA721090 RCW721090 RMS721090 RWO721090 SGK721090 SQG721090 TAC721090 TJY721090 TTU721090 UDQ721090 UNM721090 UXI721090 VHE721090 VRA721090 WAW721090 WKS721090 WUO721090 IC786626 RY786626 ABU786626 ALQ786626 AVM786626 BFI786626 BPE786626 BZA786626 CIW786626 CSS786626 DCO786626 DMK786626 DWG786626 EGC786626 EPY786626 EZU786626 FJQ786626 FTM786626 GDI786626 GNE786626 GXA786626 HGW786626 HQS786626 IAO786626 IKK786626 IUG786626 JEC786626 JNY786626 JXU786626 KHQ786626 KRM786626 LBI786626 LLE786626 LVA786626 MEW786626 MOS786626 MYO786626 NIK786626 NSG786626 OCC786626 OLY786626 OVU786626 PFQ786626 PPM786626 PZI786626 QJE786626 QTA786626 RCW786626 RMS786626 RWO786626 SGK786626 SQG786626 TAC786626 TJY786626 TTU786626 UDQ786626 UNM786626 UXI786626 VHE786626 VRA786626 WAW786626 WKS786626 WUO786626 IC852162 RY852162 ABU852162 ALQ852162 AVM852162 BFI852162 BPE852162 BZA852162 CIW852162 CSS852162 DCO852162 DMK852162 DWG852162 EGC852162 EPY852162 EZU852162 FJQ852162 FTM852162 GDI852162 GNE852162 GXA852162 HGW852162 HQS852162 IAO852162 IKK852162 IUG852162 JEC852162 JNY852162 JXU852162 KHQ852162 KRM852162 LBI852162 LLE852162 LVA852162 MEW852162 MOS852162 MYO852162 NIK852162 NSG852162 OCC852162 OLY852162 OVU852162 PFQ852162 PPM852162 PZI852162 QJE852162 QTA852162 RCW852162 RMS852162 RWO852162 SGK852162 SQG852162 TAC852162 TJY852162 TTU852162 UDQ852162 UNM852162 UXI852162 VHE852162 VRA852162 WAW852162 WKS852162 WUO852162 IC917698 RY917698 ABU917698 ALQ917698 AVM917698 BFI917698 BPE917698 BZA917698 CIW917698 CSS917698 DCO917698 DMK917698 DWG917698 EGC917698 EPY917698 EZU917698 FJQ917698 FTM917698 GDI917698 GNE917698 GXA917698 HGW917698 HQS917698 IAO917698 IKK917698 IUG917698 JEC917698 JNY917698 JXU917698 KHQ917698 KRM917698 LBI917698 LLE917698 LVA917698 MEW917698 MOS917698 MYO917698 NIK917698 NSG917698 OCC917698 OLY917698 OVU917698 PFQ917698 PPM917698 PZI917698 QJE917698 QTA917698 RCW917698 RMS917698 RWO917698 SGK917698 SQG917698 TAC917698 TJY917698 TTU917698 UDQ917698 UNM917698 UXI917698 VHE917698 VRA917698 WAW917698 WKS917698 WUO917698 IC983234 RY983234 ABU983234 ALQ983234 AVM983234 BFI983234 BPE983234 BZA983234 CIW983234 CSS983234 DCO983234 DMK983234 DWG983234 EGC983234 EPY983234 EZU983234 FJQ983234 FTM983234 GDI983234 GNE983234 GXA983234 HGW983234 HQS983234 IAO983234 IKK983234 IUG983234 JEC983234 JNY983234 JXU983234 KHQ983234 KRM983234 LBI983234 LLE983234 LVA983234 MEW983234 MOS983234 MYO983234 NIK983234 NSG983234 OCC983234 OLY983234 OVU983234 PFQ983234 PPM983234 PZI983234 QJE983234 QTA983234 RCW983234 RMS983234 RWO983234 SGK983234 SQG983234 TAC983234 TJY983234 TTU983234 UDQ983234 UNM983234 UXI983234 VHE983234 VRA983234 WAW983234 WKS983234 WUO983234 IC65706:IC65707 RY65706:RY65707 ABU65706:ABU65707 ALQ65706:ALQ65707 AVM65706:AVM65707 BFI65706:BFI65707 BPE65706:BPE65707 BZA65706:BZA65707 CIW65706:CIW65707 CSS65706:CSS65707 DCO65706:DCO65707 DMK65706:DMK65707 DWG65706:DWG65707 EGC65706:EGC65707 EPY65706:EPY65707 EZU65706:EZU65707 FJQ65706:FJQ65707 FTM65706:FTM65707 GDI65706:GDI65707 GNE65706:GNE65707 GXA65706:GXA65707 HGW65706:HGW65707 HQS65706:HQS65707 IAO65706:IAO65707 IKK65706:IKK65707 IUG65706:IUG65707 JEC65706:JEC65707 JNY65706:JNY65707 JXU65706:JXU65707 KHQ65706:KHQ65707 KRM65706:KRM65707 LBI65706:LBI65707 LLE65706:LLE65707 LVA65706:LVA65707 MEW65706:MEW65707 MOS65706:MOS65707 MYO65706:MYO65707 NIK65706:NIK65707 NSG65706:NSG65707 OCC65706:OCC65707 OLY65706:OLY65707 OVU65706:OVU65707 PFQ65706:PFQ65707 PPM65706:PPM65707 PZI65706:PZI65707 QJE65706:QJE65707 QTA65706:QTA65707 RCW65706:RCW65707 RMS65706:RMS65707 RWO65706:RWO65707 SGK65706:SGK65707 SQG65706:SQG65707 TAC65706:TAC65707 TJY65706:TJY65707 TTU65706:TTU65707 UDQ65706:UDQ65707 UNM65706:UNM65707 UXI65706:UXI65707 VHE65706:VHE65707 VRA65706:VRA65707 WAW65706:WAW65707 WKS65706:WKS65707 WUO65706:WUO65707 IC131242:IC131243 RY131242:RY131243 ABU131242:ABU131243 ALQ131242:ALQ131243 AVM131242:AVM131243 BFI131242:BFI131243 BPE131242:BPE131243 BZA131242:BZA131243 CIW131242:CIW131243 CSS131242:CSS131243 DCO131242:DCO131243 DMK131242:DMK131243 DWG131242:DWG131243 EGC131242:EGC131243 EPY131242:EPY131243 EZU131242:EZU131243 FJQ131242:FJQ131243 FTM131242:FTM131243 GDI131242:GDI131243 GNE131242:GNE131243 GXA131242:GXA131243 HGW131242:HGW131243 HQS131242:HQS131243 IAO131242:IAO131243 IKK131242:IKK131243 IUG131242:IUG131243 JEC131242:JEC131243 JNY131242:JNY131243 JXU131242:JXU131243 KHQ131242:KHQ131243 KRM131242:KRM131243 LBI131242:LBI131243 LLE131242:LLE131243 LVA131242:LVA131243 MEW131242:MEW131243 MOS131242:MOS131243 MYO131242:MYO131243 NIK131242:NIK131243 NSG131242:NSG131243 OCC131242:OCC131243 OLY131242:OLY131243 OVU131242:OVU131243 PFQ131242:PFQ131243 PPM131242:PPM131243 PZI131242:PZI131243 QJE131242:QJE131243 QTA131242:QTA131243 RCW131242:RCW131243 RMS131242:RMS131243 RWO131242:RWO131243 SGK131242:SGK131243 SQG131242:SQG131243 TAC131242:TAC131243 TJY131242:TJY131243 TTU131242:TTU131243 UDQ131242:UDQ131243 UNM131242:UNM131243 UXI131242:UXI131243 VHE131242:VHE131243 VRA131242:VRA131243 WAW131242:WAW131243 WKS131242:WKS131243 WUO131242:WUO131243 IC196778:IC196779 RY196778:RY196779 ABU196778:ABU196779 ALQ196778:ALQ196779 AVM196778:AVM196779 BFI196778:BFI196779 BPE196778:BPE196779 BZA196778:BZA196779 CIW196778:CIW196779 CSS196778:CSS196779 DCO196778:DCO196779 DMK196778:DMK196779 DWG196778:DWG196779 EGC196778:EGC196779 EPY196778:EPY196779 EZU196778:EZU196779 FJQ196778:FJQ196779 FTM196778:FTM196779 GDI196778:GDI196779 GNE196778:GNE196779 GXA196778:GXA196779 HGW196778:HGW196779 HQS196778:HQS196779 IAO196778:IAO196779 IKK196778:IKK196779 IUG196778:IUG196779 JEC196778:JEC196779 JNY196778:JNY196779 JXU196778:JXU196779 KHQ196778:KHQ196779 KRM196778:KRM196779 LBI196778:LBI196779 LLE196778:LLE196779 LVA196778:LVA196779 MEW196778:MEW196779 MOS196778:MOS196779 MYO196778:MYO196779 NIK196778:NIK196779 NSG196778:NSG196779 OCC196778:OCC196779 OLY196778:OLY196779 OVU196778:OVU196779 PFQ196778:PFQ196779 PPM196778:PPM196779 PZI196778:PZI196779 QJE196778:QJE196779 QTA196778:QTA196779 RCW196778:RCW196779 RMS196778:RMS196779 RWO196778:RWO196779 SGK196778:SGK196779 SQG196778:SQG196779 TAC196778:TAC196779 TJY196778:TJY196779 TTU196778:TTU196779 UDQ196778:UDQ196779 UNM196778:UNM196779 UXI196778:UXI196779 VHE196778:VHE196779 VRA196778:VRA196779 WAW196778:WAW196779 WKS196778:WKS196779 WUO196778:WUO196779 IC262314:IC262315 RY262314:RY262315 ABU262314:ABU262315 ALQ262314:ALQ262315 AVM262314:AVM262315 BFI262314:BFI262315 BPE262314:BPE262315 BZA262314:BZA262315 CIW262314:CIW262315 CSS262314:CSS262315 DCO262314:DCO262315 DMK262314:DMK262315 DWG262314:DWG262315 EGC262314:EGC262315 EPY262314:EPY262315 EZU262314:EZU262315 FJQ262314:FJQ262315 FTM262314:FTM262315 GDI262314:GDI262315 GNE262314:GNE262315 GXA262314:GXA262315 HGW262314:HGW262315 HQS262314:HQS262315 IAO262314:IAO262315 IKK262314:IKK262315 IUG262314:IUG262315 JEC262314:JEC262315 JNY262314:JNY262315 JXU262314:JXU262315 KHQ262314:KHQ262315 KRM262314:KRM262315 LBI262314:LBI262315 LLE262314:LLE262315 LVA262314:LVA262315 MEW262314:MEW262315 MOS262314:MOS262315 MYO262314:MYO262315 NIK262314:NIK262315 NSG262314:NSG262315 OCC262314:OCC262315 OLY262314:OLY262315 OVU262314:OVU262315 PFQ262314:PFQ262315 PPM262314:PPM262315 PZI262314:PZI262315 QJE262314:QJE262315 QTA262314:QTA262315 RCW262314:RCW262315 RMS262314:RMS262315 RWO262314:RWO262315 SGK262314:SGK262315 SQG262314:SQG262315 TAC262314:TAC262315 TJY262314:TJY262315 TTU262314:TTU262315 UDQ262314:UDQ262315 UNM262314:UNM262315 UXI262314:UXI262315 VHE262314:VHE262315 VRA262314:VRA262315 WAW262314:WAW262315 WKS262314:WKS262315 WUO262314:WUO262315 IC327850:IC327851 RY327850:RY327851 ABU327850:ABU327851 ALQ327850:ALQ327851 AVM327850:AVM327851 BFI327850:BFI327851 BPE327850:BPE327851 BZA327850:BZA327851 CIW327850:CIW327851 CSS327850:CSS327851 DCO327850:DCO327851 DMK327850:DMK327851 DWG327850:DWG327851 EGC327850:EGC327851 EPY327850:EPY327851 EZU327850:EZU327851 FJQ327850:FJQ327851 FTM327850:FTM327851 GDI327850:GDI327851 GNE327850:GNE327851 GXA327850:GXA327851 HGW327850:HGW327851 HQS327850:HQS327851 IAO327850:IAO327851 IKK327850:IKK327851 IUG327850:IUG327851 JEC327850:JEC327851 JNY327850:JNY327851 JXU327850:JXU327851 KHQ327850:KHQ327851 KRM327850:KRM327851 LBI327850:LBI327851 LLE327850:LLE327851 LVA327850:LVA327851 MEW327850:MEW327851 MOS327850:MOS327851 MYO327850:MYO327851 NIK327850:NIK327851 NSG327850:NSG327851 OCC327850:OCC327851 OLY327850:OLY327851 OVU327850:OVU327851 PFQ327850:PFQ327851 PPM327850:PPM327851 PZI327850:PZI327851 QJE327850:QJE327851 QTA327850:QTA327851 RCW327850:RCW327851 RMS327850:RMS327851 RWO327850:RWO327851 SGK327850:SGK327851 SQG327850:SQG327851 TAC327850:TAC327851 TJY327850:TJY327851 TTU327850:TTU327851 UDQ327850:UDQ327851 UNM327850:UNM327851 UXI327850:UXI327851 VHE327850:VHE327851 VRA327850:VRA327851 WAW327850:WAW327851 WKS327850:WKS327851 WUO327850:WUO327851 IC393386:IC393387 RY393386:RY393387 ABU393386:ABU393387 ALQ393386:ALQ393387 AVM393386:AVM393387 BFI393386:BFI393387 BPE393386:BPE393387 BZA393386:BZA393387 CIW393386:CIW393387 CSS393386:CSS393387 DCO393386:DCO393387 DMK393386:DMK393387 DWG393386:DWG393387 EGC393386:EGC393387 EPY393386:EPY393387 EZU393386:EZU393387 FJQ393386:FJQ393387 FTM393386:FTM393387 GDI393386:GDI393387 GNE393386:GNE393387 GXA393386:GXA393387 HGW393386:HGW393387 HQS393386:HQS393387 IAO393386:IAO393387 IKK393386:IKK393387 IUG393386:IUG393387 JEC393386:JEC393387 JNY393386:JNY393387 JXU393386:JXU393387 KHQ393386:KHQ393387 KRM393386:KRM393387 LBI393386:LBI393387 LLE393386:LLE393387 LVA393386:LVA393387 MEW393386:MEW393387 MOS393386:MOS393387 MYO393386:MYO393387 NIK393386:NIK393387 NSG393386:NSG393387 OCC393386:OCC393387 OLY393386:OLY393387 OVU393386:OVU393387 PFQ393386:PFQ393387 PPM393386:PPM393387 PZI393386:PZI393387 QJE393386:QJE393387 QTA393386:QTA393387 RCW393386:RCW393387 RMS393386:RMS393387 RWO393386:RWO393387 SGK393386:SGK393387 SQG393386:SQG393387 TAC393386:TAC393387 TJY393386:TJY393387 TTU393386:TTU393387 UDQ393386:UDQ393387 UNM393386:UNM393387 UXI393386:UXI393387 VHE393386:VHE393387 VRA393386:VRA393387 WAW393386:WAW393387 WKS393386:WKS393387 WUO393386:WUO393387 IC458922:IC458923 RY458922:RY458923 ABU458922:ABU458923 ALQ458922:ALQ458923 AVM458922:AVM458923 BFI458922:BFI458923 BPE458922:BPE458923 BZA458922:BZA458923 CIW458922:CIW458923 CSS458922:CSS458923 DCO458922:DCO458923 DMK458922:DMK458923 DWG458922:DWG458923 EGC458922:EGC458923 EPY458922:EPY458923 EZU458922:EZU458923 FJQ458922:FJQ458923 FTM458922:FTM458923 GDI458922:GDI458923 GNE458922:GNE458923 GXA458922:GXA458923 HGW458922:HGW458923 HQS458922:HQS458923 IAO458922:IAO458923 IKK458922:IKK458923 IUG458922:IUG458923 JEC458922:JEC458923 JNY458922:JNY458923 JXU458922:JXU458923 KHQ458922:KHQ458923 KRM458922:KRM458923 LBI458922:LBI458923 LLE458922:LLE458923 LVA458922:LVA458923 MEW458922:MEW458923 MOS458922:MOS458923 MYO458922:MYO458923 NIK458922:NIK458923 NSG458922:NSG458923 OCC458922:OCC458923 OLY458922:OLY458923 OVU458922:OVU458923 PFQ458922:PFQ458923 PPM458922:PPM458923 PZI458922:PZI458923 QJE458922:QJE458923 QTA458922:QTA458923 RCW458922:RCW458923 RMS458922:RMS458923 RWO458922:RWO458923 SGK458922:SGK458923 SQG458922:SQG458923 TAC458922:TAC458923 TJY458922:TJY458923 TTU458922:TTU458923 UDQ458922:UDQ458923 UNM458922:UNM458923 UXI458922:UXI458923 VHE458922:VHE458923 VRA458922:VRA458923 WAW458922:WAW458923 WKS458922:WKS458923 WUO458922:WUO458923 IC524458:IC524459 RY524458:RY524459 ABU524458:ABU524459 ALQ524458:ALQ524459 AVM524458:AVM524459 BFI524458:BFI524459 BPE524458:BPE524459 BZA524458:BZA524459 CIW524458:CIW524459 CSS524458:CSS524459 DCO524458:DCO524459 DMK524458:DMK524459 DWG524458:DWG524459 EGC524458:EGC524459 EPY524458:EPY524459 EZU524458:EZU524459 FJQ524458:FJQ524459 FTM524458:FTM524459 GDI524458:GDI524459 GNE524458:GNE524459 GXA524458:GXA524459 HGW524458:HGW524459 HQS524458:HQS524459 IAO524458:IAO524459 IKK524458:IKK524459 IUG524458:IUG524459 JEC524458:JEC524459 JNY524458:JNY524459 JXU524458:JXU524459 KHQ524458:KHQ524459 KRM524458:KRM524459 LBI524458:LBI524459 LLE524458:LLE524459 LVA524458:LVA524459 MEW524458:MEW524459 MOS524458:MOS524459 MYO524458:MYO524459 NIK524458:NIK524459 NSG524458:NSG524459 OCC524458:OCC524459 OLY524458:OLY524459 OVU524458:OVU524459 PFQ524458:PFQ524459 PPM524458:PPM524459 PZI524458:PZI524459 QJE524458:QJE524459 QTA524458:QTA524459 RCW524458:RCW524459 RMS524458:RMS524459 RWO524458:RWO524459 SGK524458:SGK524459 SQG524458:SQG524459 TAC524458:TAC524459 TJY524458:TJY524459 TTU524458:TTU524459 UDQ524458:UDQ524459 UNM524458:UNM524459 UXI524458:UXI524459 VHE524458:VHE524459 VRA524458:VRA524459 WAW524458:WAW524459 WKS524458:WKS524459 WUO524458:WUO524459 IC589994:IC589995 RY589994:RY589995 ABU589994:ABU589995 ALQ589994:ALQ589995 AVM589994:AVM589995 BFI589994:BFI589995 BPE589994:BPE589995 BZA589994:BZA589995 CIW589994:CIW589995 CSS589994:CSS589995 DCO589994:DCO589995 DMK589994:DMK589995 DWG589994:DWG589995 EGC589994:EGC589995 EPY589994:EPY589995 EZU589994:EZU589995 FJQ589994:FJQ589995 FTM589994:FTM589995 GDI589994:GDI589995 GNE589994:GNE589995 GXA589994:GXA589995 HGW589994:HGW589995 HQS589994:HQS589995 IAO589994:IAO589995 IKK589994:IKK589995 IUG589994:IUG589995 JEC589994:JEC589995 JNY589994:JNY589995 JXU589994:JXU589995 KHQ589994:KHQ589995 KRM589994:KRM589995 LBI589994:LBI589995 LLE589994:LLE589995 LVA589994:LVA589995 MEW589994:MEW589995 MOS589994:MOS589995 MYO589994:MYO589995 NIK589994:NIK589995 NSG589994:NSG589995 OCC589994:OCC589995 OLY589994:OLY589995 OVU589994:OVU589995 PFQ589994:PFQ589995 PPM589994:PPM589995 PZI589994:PZI589995 QJE589994:QJE589995 QTA589994:QTA589995 RCW589994:RCW589995 RMS589994:RMS589995 RWO589994:RWO589995 SGK589994:SGK589995 SQG589994:SQG589995 TAC589994:TAC589995 TJY589994:TJY589995 TTU589994:TTU589995 UDQ589994:UDQ589995 UNM589994:UNM589995 UXI589994:UXI589995 VHE589994:VHE589995 VRA589994:VRA589995 WAW589994:WAW589995 WKS589994:WKS589995 WUO589994:WUO589995 IC655530:IC655531 RY655530:RY655531 ABU655530:ABU655531 ALQ655530:ALQ655531 AVM655530:AVM655531 BFI655530:BFI655531 BPE655530:BPE655531 BZA655530:BZA655531 CIW655530:CIW655531 CSS655530:CSS655531 DCO655530:DCO655531 DMK655530:DMK655531 DWG655530:DWG655531 EGC655530:EGC655531 EPY655530:EPY655531 EZU655530:EZU655531 FJQ655530:FJQ655531 FTM655530:FTM655531 GDI655530:GDI655531 GNE655530:GNE655531 GXA655530:GXA655531 HGW655530:HGW655531 HQS655530:HQS655531 IAO655530:IAO655531 IKK655530:IKK655531 IUG655530:IUG655531 JEC655530:JEC655531 JNY655530:JNY655531 JXU655530:JXU655531 KHQ655530:KHQ655531 KRM655530:KRM655531 LBI655530:LBI655531 LLE655530:LLE655531 LVA655530:LVA655531 MEW655530:MEW655531 MOS655530:MOS655531 MYO655530:MYO655531 NIK655530:NIK655531 NSG655530:NSG655531 OCC655530:OCC655531 OLY655530:OLY655531 OVU655530:OVU655531 PFQ655530:PFQ655531 PPM655530:PPM655531 PZI655530:PZI655531 QJE655530:QJE655531 QTA655530:QTA655531 RCW655530:RCW655531 RMS655530:RMS655531 RWO655530:RWO655531 SGK655530:SGK655531 SQG655530:SQG655531 TAC655530:TAC655531 TJY655530:TJY655531 TTU655530:TTU655531 UDQ655530:UDQ655531 UNM655530:UNM655531 UXI655530:UXI655531 VHE655530:VHE655531 VRA655530:VRA655531 WAW655530:WAW655531 WKS655530:WKS655531 WUO655530:WUO655531 IC721066:IC721067 RY721066:RY721067 ABU721066:ABU721067 ALQ721066:ALQ721067 AVM721066:AVM721067 BFI721066:BFI721067 BPE721066:BPE721067 BZA721066:BZA721067 CIW721066:CIW721067 CSS721066:CSS721067 DCO721066:DCO721067 DMK721066:DMK721067 DWG721066:DWG721067 EGC721066:EGC721067 EPY721066:EPY721067 EZU721066:EZU721067 FJQ721066:FJQ721067 FTM721066:FTM721067 GDI721066:GDI721067 GNE721066:GNE721067 GXA721066:GXA721067 HGW721066:HGW721067 HQS721066:HQS721067 IAO721066:IAO721067 IKK721066:IKK721067 IUG721066:IUG721067 JEC721066:JEC721067 JNY721066:JNY721067 JXU721066:JXU721067 KHQ721066:KHQ721067 KRM721066:KRM721067 LBI721066:LBI721067 LLE721066:LLE721067 LVA721066:LVA721067 MEW721066:MEW721067 MOS721066:MOS721067 MYO721066:MYO721067 NIK721066:NIK721067 NSG721066:NSG721067 OCC721066:OCC721067 OLY721066:OLY721067 OVU721066:OVU721067 PFQ721066:PFQ721067 PPM721066:PPM721067 PZI721066:PZI721067 QJE721066:QJE721067 QTA721066:QTA721067 RCW721066:RCW721067 RMS721066:RMS721067 RWO721066:RWO721067 SGK721066:SGK721067 SQG721066:SQG721067 TAC721066:TAC721067 TJY721066:TJY721067 TTU721066:TTU721067 UDQ721066:UDQ721067 UNM721066:UNM721067 UXI721066:UXI721067 VHE721066:VHE721067 VRA721066:VRA721067 WAW721066:WAW721067 WKS721066:WKS721067 WUO721066:WUO721067 IC786602:IC786603 RY786602:RY786603 ABU786602:ABU786603 ALQ786602:ALQ786603 AVM786602:AVM786603 BFI786602:BFI786603 BPE786602:BPE786603 BZA786602:BZA786603 CIW786602:CIW786603 CSS786602:CSS786603 DCO786602:DCO786603 DMK786602:DMK786603 DWG786602:DWG786603 EGC786602:EGC786603 EPY786602:EPY786603 EZU786602:EZU786603 FJQ786602:FJQ786603 FTM786602:FTM786603 GDI786602:GDI786603 GNE786602:GNE786603 GXA786602:GXA786603 HGW786602:HGW786603 HQS786602:HQS786603 IAO786602:IAO786603 IKK786602:IKK786603 IUG786602:IUG786603 JEC786602:JEC786603 JNY786602:JNY786603 JXU786602:JXU786603 KHQ786602:KHQ786603 KRM786602:KRM786603 LBI786602:LBI786603 LLE786602:LLE786603 LVA786602:LVA786603 MEW786602:MEW786603 MOS786602:MOS786603 MYO786602:MYO786603 NIK786602:NIK786603 NSG786602:NSG786603 OCC786602:OCC786603 OLY786602:OLY786603 OVU786602:OVU786603 PFQ786602:PFQ786603 PPM786602:PPM786603 PZI786602:PZI786603 QJE786602:QJE786603 QTA786602:QTA786603 RCW786602:RCW786603 RMS786602:RMS786603 RWO786602:RWO786603 SGK786602:SGK786603 SQG786602:SQG786603 TAC786602:TAC786603 TJY786602:TJY786603 TTU786602:TTU786603 UDQ786602:UDQ786603 UNM786602:UNM786603 UXI786602:UXI786603 VHE786602:VHE786603 VRA786602:VRA786603 WAW786602:WAW786603 WKS786602:WKS786603 WUO786602:WUO786603 IC852138:IC852139 RY852138:RY852139 ABU852138:ABU852139 ALQ852138:ALQ852139 AVM852138:AVM852139 BFI852138:BFI852139 BPE852138:BPE852139 BZA852138:BZA852139 CIW852138:CIW852139 CSS852138:CSS852139 DCO852138:DCO852139 DMK852138:DMK852139 DWG852138:DWG852139 EGC852138:EGC852139 EPY852138:EPY852139 EZU852138:EZU852139 FJQ852138:FJQ852139 FTM852138:FTM852139 GDI852138:GDI852139 GNE852138:GNE852139 GXA852138:GXA852139 HGW852138:HGW852139 HQS852138:HQS852139 IAO852138:IAO852139 IKK852138:IKK852139 IUG852138:IUG852139 JEC852138:JEC852139 JNY852138:JNY852139 JXU852138:JXU852139 KHQ852138:KHQ852139 KRM852138:KRM852139 LBI852138:LBI852139 LLE852138:LLE852139 LVA852138:LVA852139 MEW852138:MEW852139 MOS852138:MOS852139 MYO852138:MYO852139 NIK852138:NIK852139 NSG852138:NSG852139 OCC852138:OCC852139 OLY852138:OLY852139 OVU852138:OVU852139 PFQ852138:PFQ852139 PPM852138:PPM852139 PZI852138:PZI852139 QJE852138:QJE852139 QTA852138:QTA852139 RCW852138:RCW852139 RMS852138:RMS852139 RWO852138:RWO852139 SGK852138:SGK852139 SQG852138:SQG852139 TAC852138:TAC852139 TJY852138:TJY852139 TTU852138:TTU852139 UDQ852138:UDQ852139 UNM852138:UNM852139 UXI852138:UXI852139 VHE852138:VHE852139 VRA852138:VRA852139 WAW852138:WAW852139 WKS852138:WKS852139 WUO852138:WUO852139 IC917674:IC917675 RY917674:RY917675 ABU917674:ABU917675 ALQ917674:ALQ917675 AVM917674:AVM917675 BFI917674:BFI917675 BPE917674:BPE917675 BZA917674:BZA917675 CIW917674:CIW917675 CSS917674:CSS917675 DCO917674:DCO917675 DMK917674:DMK917675 DWG917674:DWG917675 EGC917674:EGC917675 EPY917674:EPY917675 EZU917674:EZU917675 FJQ917674:FJQ917675 FTM917674:FTM917675 GDI917674:GDI917675 GNE917674:GNE917675 GXA917674:GXA917675 HGW917674:HGW917675 HQS917674:HQS917675 IAO917674:IAO917675 IKK917674:IKK917675 IUG917674:IUG917675 JEC917674:JEC917675 JNY917674:JNY917675 JXU917674:JXU917675 KHQ917674:KHQ917675 KRM917674:KRM917675 LBI917674:LBI917675 LLE917674:LLE917675 LVA917674:LVA917675 MEW917674:MEW917675 MOS917674:MOS917675 MYO917674:MYO917675 NIK917674:NIK917675 NSG917674:NSG917675 OCC917674:OCC917675 OLY917674:OLY917675 OVU917674:OVU917675 PFQ917674:PFQ917675 PPM917674:PPM917675 PZI917674:PZI917675 QJE917674:QJE917675 QTA917674:QTA917675 RCW917674:RCW917675 RMS917674:RMS917675 RWO917674:RWO917675 SGK917674:SGK917675 SQG917674:SQG917675 TAC917674:TAC917675 TJY917674:TJY917675 TTU917674:TTU917675 UDQ917674:UDQ917675 UNM917674:UNM917675 UXI917674:UXI917675 VHE917674:VHE917675 VRA917674:VRA917675 WAW917674:WAW917675 WKS917674:WKS917675 WUO917674:WUO917675 IC983210:IC983211 RY983210:RY983211 ABU983210:ABU983211 ALQ983210:ALQ983211 AVM983210:AVM983211 BFI983210:BFI983211 BPE983210:BPE983211 BZA983210:BZA983211 CIW983210:CIW983211 CSS983210:CSS983211 DCO983210:DCO983211 DMK983210:DMK983211 DWG983210:DWG983211 EGC983210:EGC983211 EPY983210:EPY983211 EZU983210:EZU983211 FJQ983210:FJQ983211 FTM983210:FTM983211 GDI983210:GDI983211 GNE983210:GNE983211 GXA983210:GXA983211 HGW983210:HGW983211 HQS983210:HQS983211 IAO983210:IAO983211 IKK983210:IKK983211 IUG983210:IUG983211 JEC983210:JEC983211 JNY983210:JNY983211 JXU983210:JXU983211 KHQ983210:KHQ983211 KRM983210:KRM983211 LBI983210:LBI983211 LLE983210:LLE983211 LVA983210:LVA983211 MEW983210:MEW983211 MOS983210:MOS983211 MYO983210:MYO983211 NIK983210:NIK983211 NSG983210:NSG983211 OCC983210:OCC983211 OLY983210:OLY983211 OVU983210:OVU983211 PFQ983210:PFQ983211 PPM983210:PPM983211 PZI983210:PZI983211 QJE983210:QJE983211 QTA983210:QTA983211 RCW983210:RCW983211 RMS983210:RMS983211 RWO983210:RWO983211 SGK983210:SGK983211 SQG983210:SQG983211 TAC983210:TAC983211 TJY983210:TJY983211 TTU983210:TTU983211 UDQ983210:UDQ983211 UNM983210:UNM983211 UXI983210:UXI983211 VHE983210:VHE983211 VRA983210:VRA983211 WAW983210:WAW983211 WKS983210:WKS983211 WUO983210:WUO983211 IC65696:IC65697 RY65696:RY65697 ABU65696:ABU65697 ALQ65696:ALQ65697 AVM65696:AVM65697 BFI65696:BFI65697 BPE65696:BPE65697 BZA65696:BZA65697 CIW65696:CIW65697 CSS65696:CSS65697 DCO65696:DCO65697 DMK65696:DMK65697 DWG65696:DWG65697 EGC65696:EGC65697 EPY65696:EPY65697 EZU65696:EZU65697 FJQ65696:FJQ65697 FTM65696:FTM65697 GDI65696:GDI65697 GNE65696:GNE65697 GXA65696:GXA65697 HGW65696:HGW65697 HQS65696:HQS65697 IAO65696:IAO65697 IKK65696:IKK65697 IUG65696:IUG65697 JEC65696:JEC65697 JNY65696:JNY65697 JXU65696:JXU65697 KHQ65696:KHQ65697 KRM65696:KRM65697 LBI65696:LBI65697 LLE65696:LLE65697 LVA65696:LVA65697 MEW65696:MEW65697 MOS65696:MOS65697 MYO65696:MYO65697 NIK65696:NIK65697 NSG65696:NSG65697 OCC65696:OCC65697 OLY65696:OLY65697 OVU65696:OVU65697 PFQ65696:PFQ65697 PPM65696:PPM65697 PZI65696:PZI65697 QJE65696:QJE65697 QTA65696:QTA65697 RCW65696:RCW65697 RMS65696:RMS65697 RWO65696:RWO65697 SGK65696:SGK65697 SQG65696:SQG65697 TAC65696:TAC65697 TJY65696:TJY65697 TTU65696:TTU65697 UDQ65696:UDQ65697 UNM65696:UNM65697 UXI65696:UXI65697 VHE65696:VHE65697 VRA65696:VRA65697 WAW65696:WAW65697 WKS65696:WKS65697 WUO65696:WUO65697 IC131232:IC131233 RY131232:RY131233 ABU131232:ABU131233 ALQ131232:ALQ131233 AVM131232:AVM131233 BFI131232:BFI131233 BPE131232:BPE131233 BZA131232:BZA131233 CIW131232:CIW131233 CSS131232:CSS131233 DCO131232:DCO131233 DMK131232:DMK131233 DWG131232:DWG131233 EGC131232:EGC131233 EPY131232:EPY131233 EZU131232:EZU131233 FJQ131232:FJQ131233 FTM131232:FTM131233 GDI131232:GDI131233 GNE131232:GNE131233 GXA131232:GXA131233 HGW131232:HGW131233 HQS131232:HQS131233 IAO131232:IAO131233 IKK131232:IKK131233 IUG131232:IUG131233 JEC131232:JEC131233 JNY131232:JNY131233 JXU131232:JXU131233 KHQ131232:KHQ131233 KRM131232:KRM131233 LBI131232:LBI131233 LLE131232:LLE131233 LVA131232:LVA131233 MEW131232:MEW131233 MOS131232:MOS131233 MYO131232:MYO131233 NIK131232:NIK131233 NSG131232:NSG131233 OCC131232:OCC131233 OLY131232:OLY131233 OVU131232:OVU131233 PFQ131232:PFQ131233 PPM131232:PPM131233 PZI131232:PZI131233 QJE131232:QJE131233 QTA131232:QTA131233 RCW131232:RCW131233 RMS131232:RMS131233 RWO131232:RWO131233 SGK131232:SGK131233 SQG131232:SQG131233 TAC131232:TAC131233 TJY131232:TJY131233 TTU131232:TTU131233 UDQ131232:UDQ131233 UNM131232:UNM131233 UXI131232:UXI131233 VHE131232:VHE131233 VRA131232:VRA131233 WAW131232:WAW131233 WKS131232:WKS131233 WUO131232:WUO131233 IC196768:IC196769 RY196768:RY196769 ABU196768:ABU196769 ALQ196768:ALQ196769 AVM196768:AVM196769 BFI196768:BFI196769 BPE196768:BPE196769 BZA196768:BZA196769 CIW196768:CIW196769 CSS196768:CSS196769 DCO196768:DCO196769 DMK196768:DMK196769 DWG196768:DWG196769 EGC196768:EGC196769 EPY196768:EPY196769 EZU196768:EZU196769 FJQ196768:FJQ196769 FTM196768:FTM196769 GDI196768:GDI196769 GNE196768:GNE196769 GXA196768:GXA196769 HGW196768:HGW196769 HQS196768:HQS196769 IAO196768:IAO196769 IKK196768:IKK196769 IUG196768:IUG196769 JEC196768:JEC196769 JNY196768:JNY196769 JXU196768:JXU196769 KHQ196768:KHQ196769 KRM196768:KRM196769 LBI196768:LBI196769 LLE196768:LLE196769 LVA196768:LVA196769 MEW196768:MEW196769 MOS196768:MOS196769 MYO196768:MYO196769 NIK196768:NIK196769 NSG196768:NSG196769 OCC196768:OCC196769 OLY196768:OLY196769 OVU196768:OVU196769 PFQ196768:PFQ196769 PPM196768:PPM196769 PZI196768:PZI196769 QJE196768:QJE196769 QTA196768:QTA196769 RCW196768:RCW196769 RMS196768:RMS196769 RWO196768:RWO196769 SGK196768:SGK196769 SQG196768:SQG196769 TAC196768:TAC196769 TJY196768:TJY196769 TTU196768:TTU196769 UDQ196768:UDQ196769 UNM196768:UNM196769 UXI196768:UXI196769 VHE196768:VHE196769 VRA196768:VRA196769 WAW196768:WAW196769 WKS196768:WKS196769 WUO196768:WUO196769 IC262304:IC262305 RY262304:RY262305 ABU262304:ABU262305 ALQ262304:ALQ262305 AVM262304:AVM262305 BFI262304:BFI262305 BPE262304:BPE262305 BZA262304:BZA262305 CIW262304:CIW262305 CSS262304:CSS262305 DCO262304:DCO262305 DMK262304:DMK262305 DWG262304:DWG262305 EGC262304:EGC262305 EPY262304:EPY262305 EZU262304:EZU262305 FJQ262304:FJQ262305 FTM262304:FTM262305 GDI262304:GDI262305 GNE262304:GNE262305 GXA262304:GXA262305 HGW262304:HGW262305 HQS262304:HQS262305 IAO262304:IAO262305 IKK262304:IKK262305 IUG262304:IUG262305 JEC262304:JEC262305 JNY262304:JNY262305 JXU262304:JXU262305 KHQ262304:KHQ262305 KRM262304:KRM262305 LBI262304:LBI262305 LLE262304:LLE262305 LVA262304:LVA262305 MEW262304:MEW262305 MOS262304:MOS262305 MYO262304:MYO262305 NIK262304:NIK262305 NSG262304:NSG262305 OCC262304:OCC262305 OLY262304:OLY262305 OVU262304:OVU262305 PFQ262304:PFQ262305 PPM262304:PPM262305 PZI262304:PZI262305 QJE262304:QJE262305 QTA262304:QTA262305 RCW262304:RCW262305 RMS262304:RMS262305 RWO262304:RWO262305 SGK262304:SGK262305 SQG262304:SQG262305 TAC262304:TAC262305 TJY262304:TJY262305 TTU262304:TTU262305 UDQ262304:UDQ262305 UNM262304:UNM262305 UXI262304:UXI262305 VHE262304:VHE262305 VRA262304:VRA262305 WAW262304:WAW262305 WKS262304:WKS262305 WUO262304:WUO262305 IC327840:IC327841 RY327840:RY327841 ABU327840:ABU327841 ALQ327840:ALQ327841 AVM327840:AVM327841 BFI327840:BFI327841 BPE327840:BPE327841 BZA327840:BZA327841 CIW327840:CIW327841 CSS327840:CSS327841 DCO327840:DCO327841 DMK327840:DMK327841 DWG327840:DWG327841 EGC327840:EGC327841 EPY327840:EPY327841 EZU327840:EZU327841 FJQ327840:FJQ327841 FTM327840:FTM327841 GDI327840:GDI327841 GNE327840:GNE327841 GXA327840:GXA327841 HGW327840:HGW327841 HQS327840:HQS327841 IAO327840:IAO327841 IKK327840:IKK327841 IUG327840:IUG327841 JEC327840:JEC327841 JNY327840:JNY327841 JXU327840:JXU327841 KHQ327840:KHQ327841 KRM327840:KRM327841 LBI327840:LBI327841 LLE327840:LLE327841 LVA327840:LVA327841 MEW327840:MEW327841 MOS327840:MOS327841 MYO327840:MYO327841 NIK327840:NIK327841 NSG327840:NSG327841 OCC327840:OCC327841 OLY327840:OLY327841 OVU327840:OVU327841 PFQ327840:PFQ327841 PPM327840:PPM327841 PZI327840:PZI327841 QJE327840:QJE327841 QTA327840:QTA327841 RCW327840:RCW327841 RMS327840:RMS327841 RWO327840:RWO327841 SGK327840:SGK327841 SQG327840:SQG327841 TAC327840:TAC327841 TJY327840:TJY327841 TTU327840:TTU327841 UDQ327840:UDQ327841 UNM327840:UNM327841 UXI327840:UXI327841 VHE327840:VHE327841 VRA327840:VRA327841 WAW327840:WAW327841 WKS327840:WKS327841 WUO327840:WUO327841 IC393376:IC393377 RY393376:RY393377 ABU393376:ABU393377 ALQ393376:ALQ393377 AVM393376:AVM393377 BFI393376:BFI393377 BPE393376:BPE393377 BZA393376:BZA393377 CIW393376:CIW393377 CSS393376:CSS393377 DCO393376:DCO393377 DMK393376:DMK393377 DWG393376:DWG393377 EGC393376:EGC393377 EPY393376:EPY393377 EZU393376:EZU393377 FJQ393376:FJQ393377 FTM393376:FTM393377 GDI393376:GDI393377 GNE393376:GNE393377 GXA393376:GXA393377 HGW393376:HGW393377 HQS393376:HQS393377 IAO393376:IAO393377 IKK393376:IKK393377 IUG393376:IUG393377 JEC393376:JEC393377 JNY393376:JNY393377 JXU393376:JXU393377 KHQ393376:KHQ393377 KRM393376:KRM393377 LBI393376:LBI393377 LLE393376:LLE393377 LVA393376:LVA393377 MEW393376:MEW393377 MOS393376:MOS393377 MYO393376:MYO393377 NIK393376:NIK393377 NSG393376:NSG393377 OCC393376:OCC393377 OLY393376:OLY393377 OVU393376:OVU393377 PFQ393376:PFQ393377 PPM393376:PPM393377 PZI393376:PZI393377 QJE393376:QJE393377 QTA393376:QTA393377 RCW393376:RCW393377 RMS393376:RMS393377 RWO393376:RWO393377 SGK393376:SGK393377 SQG393376:SQG393377 TAC393376:TAC393377 TJY393376:TJY393377 TTU393376:TTU393377 UDQ393376:UDQ393377 UNM393376:UNM393377 UXI393376:UXI393377 VHE393376:VHE393377 VRA393376:VRA393377 WAW393376:WAW393377 WKS393376:WKS393377 WUO393376:WUO393377 IC458912:IC458913 RY458912:RY458913 ABU458912:ABU458913 ALQ458912:ALQ458913 AVM458912:AVM458913 BFI458912:BFI458913 BPE458912:BPE458913 BZA458912:BZA458913 CIW458912:CIW458913 CSS458912:CSS458913 DCO458912:DCO458913 DMK458912:DMK458913 DWG458912:DWG458913 EGC458912:EGC458913 EPY458912:EPY458913 EZU458912:EZU458913 FJQ458912:FJQ458913 FTM458912:FTM458913 GDI458912:GDI458913 GNE458912:GNE458913 GXA458912:GXA458913 HGW458912:HGW458913 HQS458912:HQS458913 IAO458912:IAO458913 IKK458912:IKK458913 IUG458912:IUG458913 JEC458912:JEC458913 JNY458912:JNY458913 JXU458912:JXU458913 KHQ458912:KHQ458913 KRM458912:KRM458913 LBI458912:LBI458913 LLE458912:LLE458913 LVA458912:LVA458913 MEW458912:MEW458913 MOS458912:MOS458913 MYO458912:MYO458913 NIK458912:NIK458913 NSG458912:NSG458913 OCC458912:OCC458913 OLY458912:OLY458913 OVU458912:OVU458913 PFQ458912:PFQ458913 PPM458912:PPM458913 PZI458912:PZI458913 QJE458912:QJE458913 QTA458912:QTA458913 RCW458912:RCW458913 RMS458912:RMS458913 RWO458912:RWO458913 SGK458912:SGK458913 SQG458912:SQG458913 TAC458912:TAC458913 TJY458912:TJY458913 TTU458912:TTU458913 UDQ458912:UDQ458913 UNM458912:UNM458913 UXI458912:UXI458913 VHE458912:VHE458913 VRA458912:VRA458913 WAW458912:WAW458913 WKS458912:WKS458913 WUO458912:WUO458913 IC524448:IC524449 RY524448:RY524449 ABU524448:ABU524449 ALQ524448:ALQ524449 AVM524448:AVM524449 BFI524448:BFI524449 BPE524448:BPE524449 BZA524448:BZA524449 CIW524448:CIW524449 CSS524448:CSS524449 DCO524448:DCO524449 DMK524448:DMK524449 DWG524448:DWG524449 EGC524448:EGC524449 EPY524448:EPY524449 EZU524448:EZU524449 FJQ524448:FJQ524449 FTM524448:FTM524449 GDI524448:GDI524449 GNE524448:GNE524449 GXA524448:GXA524449 HGW524448:HGW524449 HQS524448:HQS524449 IAO524448:IAO524449 IKK524448:IKK524449 IUG524448:IUG524449 JEC524448:JEC524449 JNY524448:JNY524449 JXU524448:JXU524449 KHQ524448:KHQ524449 KRM524448:KRM524449 LBI524448:LBI524449 LLE524448:LLE524449 LVA524448:LVA524449 MEW524448:MEW524449 MOS524448:MOS524449 MYO524448:MYO524449 NIK524448:NIK524449 NSG524448:NSG524449 OCC524448:OCC524449 OLY524448:OLY524449 OVU524448:OVU524449 PFQ524448:PFQ524449 PPM524448:PPM524449 PZI524448:PZI524449 QJE524448:QJE524449 QTA524448:QTA524449 RCW524448:RCW524449 RMS524448:RMS524449 RWO524448:RWO524449 SGK524448:SGK524449 SQG524448:SQG524449 TAC524448:TAC524449 TJY524448:TJY524449 TTU524448:TTU524449 UDQ524448:UDQ524449 UNM524448:UNM524449 UXI524448:UXI524449 VHE524448:VHE524449 VRA524448:VRA524449 WAW524448:WAW524449 WKS524448:WKS524449 WUO524448:WUO524449 IC589984:IC589985 RY589984:RY589985 ABU589984:ABU589985 ALQ589984:ALQ589985 AVM589984:AVM589985 BFI589984:BFI589985 BPE589984:BPE589985 BZA589984:BZA589985 CIW589984:CIW589985 CSS589984:CSS589985 DCO589984:DCO589985 DMK589984:DMK589985 DWG589984:DWG589985 EGC589984:EGC589985 EPY589984:EPY589985 EZU589984:EZU589985 FJQ589984:FJQ589985 FTM589984:FTM589985 GDI589984:GDI589985 GNE589984:GNE589985 GXA589984:GXA589985 HGW589984:HGW589985 HQS589984:HQS589985 IAO589984:IAO589985 IKK589984:IKK589985 IUG589984:IUG589985 JEC589984:JEC589985 JNY589984:JNY589985 JXU589984:JXU589985 KHQ589984:KHQ589985 KRM589984:KRM589985 LBI589984:LBI589985 LLE589984:LLE589985 LVA589984:LVA589985 MEW589984:MEW589985 MOS589984:MOS589985 MYO589984:MYO589985 NIK589984:NIK589985 NSG589984:NSG589985 OCC589984:OCC589985 OLY589984:OLY589985 OVU589984:OVU589985 PFQ589984:PFQ589985 PPM589984:PPM589985 PZI589984:PZI589985 QJE589984:QJE589985 QTA589984:QTA589985 RCW589984:RCW589985 RMS589984:RMS589985 RWO589984:RWO589985 SGK589984:SGK589985 SQG589984:SQG589985 TAC589984:TAC589985 TJY589984:TJY589985 TTU589984:TTU589985 UDQ589984:UDQ589985 UNM589984:UNM589985 UXI589984:UXI589985 VHE589984:VHE589985 VRA589984:VRA589985 WAW589984:WAW589985 WKS589984:WKS589985 WUO589984:WUO589985 IC655520:IC655521 RY655520:RY655521 ABU655520:ABU655521 ALQ655520:ALQ655521 AVM655520:AVM655521 BFI655520:BFI655521 BPE655520:BPE655521 BZA655520:BZA655521 CIW655520:CIW655521 CSS655520:CSS655521 DCO655520:DCO655521 DMK655520:DMK655521 DWG655520:DWG655521 EGC655520:EGC655521 EPY655520:EPY655521 EZU655520:EZU655521 FJQ655520:FJQ655521 FTM655520:FTM655521 GDI655520:GDI655521 GNE655520:GNE655521 GXA655520:GXA655521 HGW655520:HGW655521 HQS655520:HQS655521 IAO655520:IAO655521 IKK655520:IKK655521 IUG655520:IUG655521 JEC655520:JEC655521 JNY655520:JNY655521 JXU655520:JXU655521 KHQ655520:KHQ655521 KRM655520:KRM655521 LBI655520:LBI655521 LLE655520:LLE655521 LVA655520:LVA655521 MEW655520:MEW655521 MOS655520:MOS655521 MYO655520:MYO655521 NIK655520:NIK655521 NSG655520:NSG655521 OCC655520:OCC655521 OLY655520:OLY655521 OVU655520:OVU655521 PFQ655520:PFQ655521 PPM655520:PPM655521 PZI655520:PZI655521 QJE655520:QJE655521 QTA655520:QTA655521 RCW655520:RCW655521 RMS655520:RMS655521 RWO655520:RWO655521 SGK655520:SGK655521 SQG655520:SQG655521 TAC655520:TAC655521 TJY655520:TJY655521 TTU655520:TTU655521 UDQ655520:UDQ655521 UNM655520:UNM655521 UXI655520:UXI655521 VHE655520:VHE655521 VRA655520:VRA655521 WAW655520:WAW655521 WKS655520:WKS655521 WUO655520:WUO655521 IC721056:IC721057 RY721056:RY721057 ABU721056:ABU721057 ALQ721056:ALQ721057 AVM721056:AVM721057 BFI721056:BFI721057 BPE721056:BPE721057 BZA721056:BZA721057 CIW721056:CIW721057 CSS721056:CSS721057 DCO721056:DCO721057 DMK721056:DMK721057 DWG721056:DWG721057 EGC721056:EGC721057 EPY721056:EPY721057 EZU721056:EZU721057 FJQ721056:FJQ721057 FTM721056:FTM721057 GDI721056:GDI721057 GNE721056:GNE721057 GXA721056:GXA721057 HGW721056:HGW721057 HQS721056:HQS721057 IAO721056:IAO721057 IKK721056:IKK721057 IUG721056:IUG721057 JEC721056:JEC721057 JNY721056:JNY721057 JXU721056:JXU721057 KHQ721056:KHQ721057 KRM721056:KRM721057 LBI721056:LBI721057 LLE721056:LLE721057 LVA721056:LVA721057 MEW721056:MEW721057 MOS721056:MOS721057 MYO721056:MYO721057 NIK721056:NIK721057 NSG721056:NSG721057 OCC721056:OCC721057 OLY721056:OLY721057 OVU721056:OVU721057 PFQ721056:PFQ721057 PPM721056:PPM721057 PZI721056:PZI721057 QJE721056:QJE721057 QTA721056:QTA721057 RCW721056:RCW721057 RMS721056:RMS721057 RWO721056:RWO721057 SGK721056:SGK721057 SQG721056:SQG721057 TAC721056:TAC721057 TJY721056:TJY721057 TTU721056:TTU721057 UDQ721056:UDQ721057 UNM721056:UNM721057 UXI721056:UXI721057 VHE721056:VHE721057 VRA721056:VRA721057 WAW721056:WAW721057 WKS721056:WKS721057 WUO721056:WUO721057 IC786592:IC786593 RY786592:RY786593 ABU786592:ABU786593 ALQ786592:ALQ786593 AVM786592:AVM786593 BFI786592:BFI786593 BPE786592:BPE786593 BZA786592:BZA786593 CIW786592:CIW786593 CSS786592:CSS786593 DCO786592:DCO786593 DMK786592:DMK786593 DWG786592:DWG786593 EGC786592:EGC786593 EPY786592:EPY786593 EZU786592:EZU786593 FJQ786592:FJQ786593 FTM786592:FTM786593 GDI786592:GDI786593 GNE786592:GNE786593 GXA786592:GXA786593 HGW786592:HGW786593 HQS786592:HQS786593 IAO786592:IAO786593 IKK786592:IKK786593 IUG786592:IUG786593 JEC786592:JEC786593 JNY786592:JNY786593 JXU786592:JXU786593 KHQ786592:KHQ786593 KRM786592:KRM786593 LBI786592:LBI786593 LLE786592:LLE786593 LVA786592:LVA786593 MEW786592:MEW786593 MOS786592:MOS786593 MYO786592:MYO786593 NIK786592:NIK786593 NSG786592:NSG786593 OCC786592:OCC786593 OLY786592:OLY786593 OVU786592:OVU786593 PFQ786592:PFQ786593 PPM786592:PPM786593 PZI786592:PZI786593 QJE786592:QJE786593 QTA786592:QTA786593 RCW786592:RCW786593 RMS786592:RMS786593 RWO786592:RWO786593 SGK786592:SGK786593 SQG786592:SQG786593 TAC786592:TAC786593 TJY786592:TJY786593 TTU786592:TTU786593 UDQ786592:UDQ786593 UNM786592:UNM786593 UXI786592:UXI786593 VHE786592:VHE786593 VRA786592:VRA786593 WAW786592:WAW786593 WKS786592:WKS786593 WUO786592:WUO786593 IC852128:IC852129 RY852128:RY852129 ABU852128:ABU852129 ALQ852128:ALQ852129 AVM852128:AVM852129 BFI852128:BFI852129 BPE852128:BPE852129 BZA852128:BZA852129 CIW852128:CIW852129 CSS852128:CSS852129 DCO852128:DCO852129 DMK852128:DMK852129 DWG852128:DWG852129 EGC852128:EGC852129 EPY852128:EPY852129 EZU852128:EZU852129 FJQ852128:FJQ852129 FTM852128:FTM852129 GDI852128:GDI852129 GNE852128:GNE852129 GXA852128:GXA852129 HGW852128:HGW852129 HQS852128:HQS852129 IAO852128:IAO852129 IKK852128:IKK852129 IUG852128:IUG852129 JEC852128:JEC852129 JNY852128:JNY852129 JXU852128:JXU852129 KHQ852128:KHQ852129 KRM852128:KRM852129 LBI852128:LBI852129 LLE852128:LLE852129 LVA852128:LVA852129 MEW852128:MEW852129 MOS852128:MOS852129 MYO852128:MYO852129 NIK852128:NIK852129 NSG852128:NSG852129 OCC852128:OCC852129 OLY852128:OLY852129 OVU852128:OVU852129 PFQ852128:PFQ852129 PPM852128:PPM852129 PZI852128:PZI852129 QJE852128:QJE852129 QTA852128:QTA852129 RCW852128:RCW852129 RMS852128:RMS852129 RWO852128:RWO852129 SGK852128:SGK852129 SQG852128:SQG852129 TAC852128:TAC852129 TJY852128:TJY852129 TTU852128:TTU852129 UDQ852128:UDQ852129 UNM852128:UNM852129 UXI852128:UXI852129 VHE852128:VHE852129 VRA852128:VRA852129 WAW852128:WAW852129 WKS852128:WKS852129 WUO852128:WUO852129 IC917664:IC917665 RY917664:RY917665 ABU917664:ABU917665 ALQ917664:ALQ917665 AVM917664:AVM917665 BFI917664:BFI917665 BPE917664:BPE917665 BZA917664:BZA917665 CIW917664:CIW917665 CSS917664:CSS917665 DCO917664:DCO917665 DMK917664:DMK917665 DWG917664:DWG917665 EGC917664:EGC917665 EPY917664:EPY917665 EZU917664:EZU917665 FJQ917664:FJQ917665 FTM917664:FTM917665 GDI917664:GDI917665 GNE917664:GNE917665 GXA917664:GXA917665 HGW917664:HGW917665 HQS917664:HQS917665 IAO917664:IAO917665 IKK917664:IKK917665 IUG917664:IUG917665 JEC917664:JEC917665 JNY917664:JNY917665 JXU917664:JXU917665 KHQ917664:KHQ917665 KRM917664:KRM917665 LBI917664:LBI917665 LLE917664:LLE917665 LVA917664:LVA917665 MEW917664:MEW917665 MOS917664:MOS917665 MYO917664:MYO917665 NIK917664:NIK917665 NSG917664:NSG917665 OCC917664:OCC917665 OLY917664:OLY917665 OVU917664:OVU917665 PFQ917664:PFQ917665 PPM917664:PPM917665 PZI917664:PZI917665 QJE917664:QJE917665 QTA917664:QTA917665 RCW917664:RCW917665 RMS917664:RMS917665 RWO917664:RWO917665 SGK917664:SGK917665 SQG917664:SQG917665 TAC917664:TAC917665 TJY917664:TJY917665 TTU917664:TTU917665 UDQ917664:UDQ917665 UNM917664:UNM917665 UXI917664:UXI917665 VHE917664:VHE917665 VRA917664:VRA917665 WAW917664:WAW917665 WKS917664:WKS917665 WUO917664:WUO917665 IC983200:IC983201 RY983200:RY983201 ABU983200:ABU983201 ALQ983200:ALQ983201 AVM983200:AVM983201 BFI983200:BFI983201 BPE983200:BPE983201 BZA983200:BZA983201 CIW983200:CIW983201 CSS983200:CSS983201 DCO983200:DCO983201 DMK983200:DMK983201 DWG983200:DWG983201 EGC983200:EGC983201 EPY983200:EPY983201 EZU983200:EZU983201 FJQ983200:FJQ983201 FTM983200:FTM983201 GDI983200:GDI983201 GNE983200:GNE983201 GXA983200:GXA983201 HGW983200:HGW983201 HQS983200:HQS983201 IAO983200:IAO983201 IKK983200:IKK983201 IUG983200:IUG983201 JEC983200:JEC983201 JNY983200:JNY983201 JXU983200:JXU983201 KHQ983200:KHQ983201 KRM983200:KRM983201 LBI983200:LBI983201 LLE983200:LLE983201 LVA983200:LVA983201 MEW983200:MEW983201 MOS983200:MOS983201 MYO983200:MYO983201 NIK983200:NIK983201 NSG983200:NSG983201 OCC983200:OCC983201 OLY983200:OLY983201 OVU983200:OVU983201 PFQ983200:PFQ983201 PPM983200:PPM983201 PZI983200:PZI983201 QJE983200:QJE983201 QTA983200:QTA983201 RCW983200:RCW983201 RMS983200:RMS983201 RWO983200:RWO983201 SGK983200:SGK983201 SQG983200:SQG983201 TAC983200:TAC983201 TJY983200:TJY983201 TTU983200:TTU983201 UDQ983200:UDQ983201 UNM983200:UNM983201 UXI983200:UXI983201 VHE983200:VHE983201 VRA983200:VRA983201 WAW983200:WAW983201 WKS983200:WKS983201 WUO983200:WUO983201 IC65675:IC65676 RY65675:RY65676 ABU65675:ABU65676 ALQ65675:ALQ65676 AVM65675:AVM65676 BFI65675:BFI65676 BPE65675:BPE65676 BZA65675:BZA65676 CIW65675:CIW65676 CSS65675:CSS65676 DCO65675:DCO65676 DMK65675:DMK65676 DWG65675:DWG65676 EGC65675:EGC65676 EPY65675:EPY65676 EZU65675:EZU65676 FJQ65675:FJQ65676 FTM65675:FTM65676 GDI65675:GDI65676 GNE65675:GNE65676 GXA65675:GXA65676 HGW65675:HGW65676 HQS65675:HQS65676 IAO65675:IAO65676 IKK65675:IKK65676 IUG65675:IUG65676 JEC65675:JEC65676 JNY65675:JNY65676 JXU65675:JXU65676 KHQ65675:KHQ65676 KRM65675:KRM65676 LBI65675:LBI65676 LLE65675:LLE65676 LVA65675:LVA65676 MEW65675:MEW65676 MOS65675:MOS65676 MYO65675:MYO65676 NIK65675:NIK65676 NSG65675:NSG65676 OCC65675:OCC65676 OLY65675:OLY65676 OVU65675:OVU65676 PFQ65675:PFQ65676 PPM65675:PPM65676 PZI65675:PZI65676 QJE65675:QJE65676 QTA65675:QTA65676 RCW65675:RCW65676 RMS65675:RMS65676 RWO65675:RWO65676 SGK65675:SGK65676 SQG65675:SQG65676 TAC65675:TAC65676 TJY65675:TJY65676 TTU65675:TTU65676 UDQ65675:UDQ65676 UNM65675:UNM65676 UXI65675:UXI65676 VHE65675:VHE65676 VRA65675:VRA65676 WAW65675:WAW65676 WKS65675:WKS65676 WUO65675:WUO65676 IC131211:IC131212 RY131211:RY131212 ABU131211:ABU131212 ALQ131211:ALQ131212 AVM131211:AVM131212 BFI131211:BFI131212 BPE131211:BPE131212 BZA131211:BZA131212 CIW131211:CIW131212 CSS131211:CSS131212 DCO131211:DCO131212 DMK131211:DMK131212 DWG131211:DWG131212 EGC131211:EGC131212 EPY131211:EPY131212 EZU131211:EZU131212 FJQ131211:FJQ131212 FTM131211:FTM131212 GDI131211:GDI131212 GNE131211:GNE131212 GXA131211:GXA131212 HGW131211:HGW131212 HQS131211:HQS131212 IAO131211:IAO131212 IKK131211:IKK131212 IUG131211:IUG131212 JEC131211:JEC131212 JNY131211:JNY131212 JXU131211:JXU131212 KHQ131211:KHQ131212 KRM131211:KRM131212 LBI131211:LBI131212 LLE131211:LLE131212 LVA131211:LVA131212 MEW131211:MEW131212 MOS131211:MOS131212 MYO131211:MYO131212 NIK131211:NIK131212 NSG131211:NSG131212 OCC131211:OCC131212 OLY131211:OLY131212 OVU131211:OVU131212 PFQ131211:PFQ131212 PPM131211:PPM131212 PZI131211:PZI131212 QJE131211:QJE131212 QTA131211:QTA131212 RCW131211:RCW131212 RMS131211:RMS131212 RWO131211:RWO131212 SGK131211:SGK131212 SQG131211:SQG131212 TAC131211:TAC131212 TJY131211:TJY131212 TTU131211:TTU131212 UDQ131211:UDQ131212 UNM131211:UNM131212 UXI131211:UXI131212 VHE131211:VHE131212 VRA131211:VRA131212 WAW131211:WAW131212 WKS131211:WKS131212 WUO131211:WUO131212 IC196747:IC196748 RY196747:RY196748 ABU196747:ABU196748 ALQ196747:ALQ196748 AVM196747:AVM196748 BFI196747:BFI196748 BPE196747:BPE196748 BZA196747:BZA196748 CIW196747:CIW196748 CSS196747:CSS196748 DCO196747:DCO196748 DMK196747:DMK196748 DWG196747:DWG196748 EGC196747:EGC196748 EPY196747:EPY196748 EZU196747:EZU196748 FJQ196747:FJQ196748 FTM196747:FTM196748 GDI196747:GDI196748 GNE196747:GNE196748 GXA196747:GXA196748 HGW196747:HGW196748 HQS196747:HQS196748 IAO196747:IAO196748 IKK196747:IKK196748 IUG196747:IUG196748 JEC196747:JEC196748 JNY196747:JNY196748 JXU196747:JXU196748 KHQ196747:KHQ196748 KRM196747:KRM196748 LBI196747:LBI196748 LLE196747:LLE196748 LVA196747:LVA196748 MEW196747:MEW196748 MOS196747:MOS196748 MYO196747:MYO196748 NIK196747:NIK196748 NSG196747:NSG196748 OCC196747:OCC196748 OLY196747:OLY196748 OVU196747:OVU196748 PFQ196747:PFQ196748 PPM196747:PPM196748 PZI196747:PZI196748 QJE196747:QJE196748 QTA196747:QTA196748 RCW196747:RCW196748 RMS196747:RMS196748 RWO196747:RWO196748 SGK196747:SGK196748 SQG196747:SQG196748 TAC196747:TAC196748 TJY196747:TJY196748 TTU196747:TTU196748 UDQ196747:UDQ196748 UNM196747:UNM196748 UXI196747:UXI196748 VHE196747:VHE196748 VRA196747:VRA196748 WAW196747:WAW196748 WKS196747:WKS196748 WUO196747:WUO196748 IC262283:IC262284 RY262283:RY262284 ABU262283:ABU262284 ALQ262283:ALQ262284 AVM262283:AVM262284 BFI262283:BFI262284 BPE262283:BPE262284 BZA262283:BZA262284 CIW262283:CIW262284 CSS262283:CSS262284 DCO262283:DCO262284 DMK262283:DMK262284 DWG262283:DWG262284 EGC262283:EGC262284 EPY262283:EPY262284 EZU262283:EZU262284 FJQ262283:FJQ262284 FTM262283:FTM262284 GDI262283:GDI262284 GNE262283:GNE262284 GXA262283:GXA262284 HGW262283:HGW262284 HQS262283:HQS262284 IAO262283:IAO262284 IKK262283:IKK262284 IUG262283:IUG262284 JEC262283:JEC262284 JNY262283:JNY262284 JXU262283:JXU262284 KHQ262283:KHQ262284 KRM262283:KRM262284 LBI262283:LBI262284 LLE262283:LLE262284 LVA262283:LVA262284 MEW262283:MEW262284 MOS262283:MOS262284 MYO262283:MYO262284 NIK262283:NIK262284 NSG262283:NSG262284 OCC262283:OCC262284 OLY262283:OLY262284 OVU262283:OVU262284 PFQ262283:PFQ262284 PPM262283:PPM262284 PZI262283:PZI262284 QJE262283:QJE262284 QTA262283:QTA262284 RCW262283:RCW262284 RMS262283:RMS262284 RWO262283:RWO262284 SGK262283:SGK262284 SQG262283:SQG262284 TAC262283:TAC262284 TJY262283:TJY262284 TTU262283:TTU262284 UDQ262283:UDQ262284 UNM262283:UNM262284 UXI262283:UXI262284 VHE262283:VHE262284 VRA262283:VRA262284 WAW262283:WAW262284 WKS262283:WKS262284 WUO262283:WUO262284 IC327819:IC327820 RY327819:RY327820 ABU327819:ABU327820 ALQ327819:ALQ327820 AVM327819:AVM327820 BFI327819:BFI327820 BPE327819:BPE327820 BZA327819:BZA327820 CIW327819:CIW327820 CSS327819:CSS327820 DCO327819:DCO327820 DMK327819:DMK327820 DWG327819:DWG327820 EGC327819:EGC327820 EPY327819:EPY327820 EZU327819:EZU327820 FJQ327819:FJQ327820 FTM327819:FTM327820 GDI327819:GDI327820 GNE327819:GNE327820 GXA327819:GXA327820 HGW327819:HGW327820 HQS327819:HQS327820 IAO327819:IAO327820 IKK327819:IKK327820 IUG327819:IUG327820 JEC327819:JEC327820 JNY327819:JNY327820 JXU327819:JXU327820 KHQ327819:KHQ327820 KRM327819:KRM327820 LBI327819:LBI327820 LLE327819:LLE327820 LVA327819:LVA327820 MEW327819:MEW327820 MOS327819:MOS327820 MYO327819:MYO327820 NIK327819:NIK327820 NSG327819:NSG327820 OCC327819:OCC327820 OLY327819:OLY327820 OVU327819:OVU327820 PFQ327819:PFQ327820 PPM327819:PPM327820 PZI327819:PZI327820 QJE327819:QJE327820 QTA327819:QTA327820 RCW327819:RCW327820 RMS327819:RMS327820 RWO327819:RWO327820 SGK327819:SGK327820 SQG327819:SQG327820 TAC327819:TAC327820 TJY327819:TJY327820 TTU327819:TTU327820 UDQ327819:UDQ327820 UNM327819:UNM327820 UXI327819:UXI327820 VHE327819:VHE327820 VRA327819:VRA327820 WAW327819:WAW327820 WKS327819:WKS327820 WUO327819:WUO327820 IC393355:IC393356 RY393355:RY393356 ABU393355:ABU393356 ALQ393355:ALQ393356 AVM393355:AVM393356 BFI393355:BFI393356 BPE393355:BPE393356 BZA393355:BZA393356 CIW393355:CIW393356 CSS393355:CSS393356 DCO393355:DCO393356 DMK393355:DMK393356 DWG393355:DWG393356 EGC393355:EGC393356 EPY393355:EPY393356 EZU393355:EZU393356 FJQ393355:FJQ393356 FTM393355:FTM393356 GDI393355:GDI393356 GNE393355:GNE393356 GXA393355:GXA393356 HGW393355:HGW393356 HQS393355:HQS393356 IAO393355:IAO393356 IKK393355:IKK393356 IUG393355:IUG393356 JEC393355:JEC393356 JNY393355:JNY393356 JXU393355:JXU393356 KHQ393355:KHQ393356 KRM393355:KRM393356 LBI393355:LBI393356 LLE393355:LLE393356 LVA393355:LVA393356 MEW393355:MEW393356 MOS393355:MOS393356 MYO393355:MYO393356 NIK393355:NIK393356 NSG393355:NSG393356 OCC393355:OCC393356 OLY393355:OLY393356 OVU393355:OVU393356 PFQ393355:PFQ393356 PPM393355:PPM393356 PZI393355:PZI393356 QJE393355:QJE393356 QTA393355:QTA393356 RCW393355:RCW393356 RMS393355:RMS393356 RWO393355:RWO393356 SGK393355:SGK393356 SQG393355:SQG393356 TAC393355:TAC393356 TJY393355:TJY393356 TTU393355:TTU393356 UDQ393355:UDQ393356 UNM393355:UNM393356 UXI393355:UXI393356 VHE393355:VHE393356 VRA393355:VRA393356 WAW393355:WAW393356 WKS393355:WKS393356 WUO393355:WUO393356 IC458891:IC458892 RY458891:RY458892 ABU458891:ABU458892 ALQ458891:ALQ458892 AVM458891:AVM458892 BFI458891:BFI458892 BPE458891:BPE458892 BZA458891:BZA458892 CIW458891:CIW458892 CSS458891:CSS458892 DCO458891:DCO458892 DMK458891:DMK458892 DWG458891:DWG458892 EGC458891:EGC458892 EPY458891:EPY458892 EZU458891:EZU458892 FJQ458891:FJQ458892 FTM458891:FTM458892 GDI458891:GDI458892 GNE458891:GNE458892 GXA458891:GXA458892 HGW458891:HGW458892 HQS458891:HQS458892 IAO458891:IAO458892 IKK458891:IKK458892 IUG458891:IUG458892 JEC458891:JEC458892 JNY458891:JNY458892 JXU458891:JXU458892 KHQ458891:KHQ458892 KRM458891:KRM458892 LBI458891:LBI458892 LLE458891:LLE458892 LVA458891:LVA458892 MEW458891:MEW458892 MOS458891:MOS458892 MYO458891:MYO458892 NIK458891:NIK458892 NSG458891:NSG458892 OCC458891:OCC458892 OLY458891:OLY458892 OVU458891:OVU458892 PFQ458891:PFQ458892 PPM458891:PPM458892 PZI458891:PZI458892 QJE458891:QJE458892 QTA458891:QTA458892 RCW458891:RCW458892 RMS458891:RMS458892 RWO458891:RWO458892 SGK458891:SGK458892 SQG458891:SQG458892 TAC458891:TAC458892 TJY458891:TJY458892 TTU458891:TTU458892 UDQ458891:UDQ458892 UNM458891:UNM458892 UXI458891:UXI458892 VHE458891:VHE458892 VRA458891:VRA458892 WAW458891:WAW458892 WKS458891:WKS458892 WUO458891:WUO458892 IC524427:IC524428 RY524427:RY524428 ABU524427:ABU524428 ALQ524427:ALQ524428 AVM524427:AVM524428 BFI524427:BFI524428 BPE524427:BPE524428 BZA524427:BZA524428 CIW524427:CIW524428 CSS524427:CSS524428 DCO524427:DCO524428 DMK524427:DMK524428 DWG524427:DWG524428 EGC524427:EGC524428 EPY524427:EPY524428 EZU524427:EZU524428 FJQ524427:FJQ524428 FTM524427:FTM524428 GDI524427:GDI524428 GNE524427:GNE524428 GXA524427:GXA524428 HGW524427:HGW524428 HQS524427:HQS524428 IAO524427:IAO524428 IKK524427:IKK524428 IUG524427:IUG524428 JEC524427:JEC524428 JNY524427:JNY524428 JXU524427:JXU524428 KHQ524427:KHQ524428 KRM524427:KRM524428 LBI524427:LBI524428 LLE524427:LLE524428 LVA524427:LVA524428 MEW524427:MEW524428 MOS524427:MOS524428 MYO524427:MYO524428 NIK524427:NIK524428 NSG524427:NSG524428 OCC524427:OCC524428 OLY524427:OLY524428 OVU524427:OVU524428 PFQ524427:PFQ524428 PPM524427:PPM524428 PZI524427:PZI524428 QJE524427:QJE524428 QTA524427:QTA524428 RCW524427:RCW524428 RMS524427:RMS524428 RWO524427:RWO524428 SGK524427:SGK524428 SQG524427:SQG524428 TAC524427:TAC524428 TJY524427:TJY524428 TTU524427:TTU524428 UDQ524427:UDQ524428 UNM524427:UNM524428 UXI524427:UXI524428 VHE524427:VHE524428 VRA524427:VRA524428 WAW524427:WAW524428 WKS524427:WKS524428 WUO524427:WUO524428 IC589963:IC589964 RY589963:RY589964 ABU589963:ABU589964 ALQ589963:ALQ589964 AVM589963:AVM589964 BFI589963:BFI589964 BPE589963:BPE589964 BZA589963:BZA589964 CIW589963:CIW589964 CSS589963:CSS589964 DCO589963:DCO589964 DMK589963:DMK589964 DWG589963:DWG589964 EGC589963:EGC589964 EPY589963:EPY589964 EZU589963:EZU589964 FJQ589963:FJQ589964 FTM589963:FTM589964 GDI589963:GDI589964 GNE589963:GNE589964 GXA589963:GXA589964 HGW589963:HGW589964 HQS589963:HQS589964 IAO589963:IAO589964 IKK589963:IKK589964 IUG589963:IUG589964 JEC589963:JEC589964 JNY589963:JNY589964 JXU589963:JXU589964 KHQ589963:KHQ589964 KRM589963:KRM589964 LBI589963:LBI589964 LLE589963:LLE589964 LVA589963:LVA589964 MEW589963:MEW589964 MOS589963:MOS589964 MYO589963:MYO589964 NIK589963:NIK589964 NSG589963:NSG589964 OCC589963:OCC589964 OLY589963:OLY589964 OVU589963:OVU589964 PFQ589963:PFQ589964 PPM589963:PPM589964 PZI589963:PZI589964 QJE589963:QJE589964 QTA589963:QTA589964 RCW589963:RCW589964 RMS589963:RMS589964 RWO589963:RWO589964 SGK589963:SGK589964 SQG589963:SQG589964 TAC589963:TAC589964 TJY589963:TJY589964 TTU589963:TTU589964 UDQ589963:UDQ589964 UNM589963:UNM589964 UXI589963:UXI589964 VHE589963:VHE589964 VRA589963:VRA589964 WAW589963:WAW589964 WKS589963:WKS589964 WUO589963:WUO589964 IC655499:IC655500 RY655499:RY655500 ABU655499:ABU655500 ALQ655499:ALQ655500 AVM655499:AVM655500 BFI655499:BFI655500 BPE655499:BPE655500 BZA655499:BZA655500 CIW655499:CIW655500 CSS655499:CSS655500 DCO655499:DCO655500 DMK655499:DMK655500 DWG655499:DWG655500 EGC655499:EGC655500 EPY655499:EPY655500 EZU655499:EZU655500 FJQ655499:FJQ655500 FTM655499:FTM655500 GDI655499:GDI655500 GNE655499:GNE655500 GXA655499:GXA655500 HGW655499:HGW655500 HQS655499:HQS655500 IAO655499:IAO655500 IKK655499:IKK655500 IUG655499:IUG655500 JEC655499:JEC655500 JNY655499:JNY655500 JXU655499:JXU655500 KHQ655499:KHQ655500 KRM655499:KRM655500 LBI655499:LBI655500 LLE655499:LLE655500 LVA655499:LVA655500 MEW655499:MEW655500 MOS655499:MOS655500 MYO655499:MYO655500 NIK655499:NIK655500 NSG655499:NSG655500 OCC655499:OCC655500 OLY655499:OLY655500 OVU655499:OVU655500 PFQ655499:PFQ655500 PPM655499:PPM655500 PZI655499:PZI655500 QJE655499:QJE655500 QTA655499:QTA655500 RCW655499:RCW655500 RMS655499:RMS655500 RWO655499:RWO655500 SGK655499:SGK655500 SQG655499:SQG655500 TAC655499:TAC655500 TJY655499:TJY655500 TTU655499:TTU655500 UDQ655499:UDQ655500 UNM655499:UNM655500 UXI655499:UXI655500 VHE655499:VHE655500 VRA655499:VRA655500 WAW655499:WAW655500 WKS655499:WKS655500 WUO655499:WUO655500 IC721035:IC721036 RY721035:RY721036 ABU721035:ABU721036 ALQ721035:ALQ721036 AVM721035:AVM721036 BFI721035:BFI721036 BPE721035:BPE721036 BZA721035:BZA721036 CIW721035:CIW721036 CSS721035:CSS721036 DCO721035:DCO721036 DMK721035:DMK721036 DWG721035:DWG721036 EGC721035:EGC721036 EPY721035:EPY721036 EZU721035:EZU721036 FJQ721035:FJQ721036 FTM721035:FTM721036 GDI721035:GDI721036 GNE721035:GNE721036 GXA721035:GXA721036 HGW721035:HGW721036 HQS721035:HQS721036 IAO721035:IAO721036 IKK721035:IKK721036 IUG721035:IUG721036 JEC721035:JEC721036 JNY721035:JNY721036 JXU721035:JXU721036 KHQ721035:KHQ721036 KRM721035:KRM721036 LBI721035:LBI721036 LLE721035:LLE721036 LVA721035:LVA721036 MEW721035:MEW721036 MOS721035:MOS721036 MYO721035:MYO721036 NIK721035:NIK721036 NSG721035:NSG721036 OCC721035:OCC721036 OLY721035:OLY721036 OVU721035:OVU721036 PFQ721035:PFQ721036 PPM721035:PPM721036 PZI721035:PZI721036 QJE721035:QJE721036 QTA721035:QTA721036 RCW721035:RCW721036 RMS721035:RMS721036 RWO721035:RWO721036 SGK721035:SGK721036 SQG721035:SQG721036 TAC721035:TAC721036 TJY721035:TJY721036 TTU721035:TTU721036 UDQ721035:UDQ721036 UNM721035:UNM721036 UXI721035:UXI721036 VHE721035:VHE721036 VRA721035:VRA721036 WAW721035:WAW721036 WKS721035:WKS721036 WUO721035:WUO721036 IC786571:IC786572 RY786571:RY786572 ABU786571:ABU786572 ALQ786571:ALQ786572 AVM786571:AVM786572 BFI786571:BFI786572 BPE786571:BPE786572 BZA786571:BZA786572 CIW786571:CIW786572 CSS786571:CSS786572 DCO786571:DCO786572 DMK786571:DMK786572 DWG786571:DWG786572 EGC786571:EGC786572 EPY786571:EPY786572 EZU786571:EZU786572 FJQ786571:FJQ786572 FTM786571:FTM786572 GDI786571:GDI786572 GNE786571:GNE786572 GXA786571:GXA786572 HGW786571:HGW786572 HQS786571:HQS786572 IAO786571:IAO786572 IKK786571:IKK786572 IUG786571:IUG786572 JEC786571:JEC786572 JNY786571:JNY786572 JXU786571:JXU786572 KHQ786571:KHQ786572 KRM786571:KRM786572 LBI786571:LBI786572 LLE786571:LLE786572 LVA786571:LVA786572 MEW786571:MEW786572 MOS786571:MOS786572 MYO786571:MYO786572 NIK786571:NIK786572 NSG786571:NSG786572 OCC786571:OCC786572 OLY786571:OLY786572 OVU786571:OVU786572 PFQ786571:PFQ786572 PPM786571:PPM786572 PZI786571:PZI786572 QJE786571:QJE786572 QTA786571:QTA786572 RCW786571:RCW786572 RMS786571:RMS786572 RWO786571:RWO786572 SGK786571:SGK786572 SQG786571:SQG786572 TAC786571:TAC786572 TJY786571:TJY786572 TTU786571:TTU786572 UDQ786571:UDQ786572 UNM786571:UNM786572 UXI786571:UXI786572 VHE786571:VHE786572 VRA786571:VRA786572 WAW786571:WAW786572 WKS786571:WKS786572 WUO786571:WUO786572 IC852107:IC852108 RY852107:RY852108 ABU852107:ABU852108 ALQ852107:ALQ852108 AVM852107:AVM852108 BFI852107:BFI852108 BPE852107:BPE852108 BZA852107:BZA852108 CIW852107:CIW852108 CSS852107:CSS852108 DCO852107:DCO852108 DMK852107:DMK852108 DWG852107:DWG852108 EGC852107:EGC852108 EPY852107:EPY852108 EZU852107:EZU852108 FJQ852107:FJQ852108 FTM852107:FTM852108 GDI852107:GDI852108 GNE852107:GNE852108 GXA852107:GXA852108 HGW852107:HGW852108 HQS852107:HQS852108 IAO852107:IAO852108 IKK852107:IKK852108 IUG852107:IUG852108 JEC852107:JEC852108 JNY852107:JNY852108 JXU852107:JXU852108 KHQ852107:KHQ852108 KRM852107:KRM852108 LBI852107:LBI852108 LLE852107:LLE852108 LVA852107:LVA852108 MEW852107:MEW852108 MOS852107:MOS852108 MYO852107:MYO852108 NIK852107:NIK852108 NSG852107:NSG852108 OCC852107:OCC852108 OLY852107:OLY852108 OVU852107:OVU852108 PFQ852107:PFQ852108 PPM852107:PPM852108 PZI852107:PZI852108 QJE852107:QJE852108 QTA852107:QTA852108 RCW852107:RCW852108 RMS852107:RMS852108 RWO852107:RWO852108 SGK852107:SGK852108 SQG852107:SQG852108 TAC852107:TAC852108 TJY852107:TJY852108 TTU852107:TTU852108 UDQ852107:UDQ852108 UNM852107:UNM852108 UXI852107:UXI852108 VHE852107:VHE852108 VRA852107:VRA852108 WAW852107:WAW852108 WKS852107:WKS852108 WUO852107:WUO852108 IC917643:IC917644 RY917643:RY917644 ABU917643:ABU917644 ALQ917643:ALQ917644 AVM917643:AVM917644 BFI917643:BFI917644 BPE917643:BPE917644 BZA917643:BZA917644 CIW917643:CIW917644 CSS917643:CSS917644 DCO917643:DCO917644 DMK917643:DMK917644 DWG917643:DWG917644 EGC917643:EGC917644 EPY917643:EPY917644 EZU917643:EZU917644 FJQ917643:FJQ917644 FTM917643:FTM917644 GDI917643:GDI917644 GNE917643:GNE917644 GXA917643:GXA917644 HGW917643:HGW917644 HQS917643:HQS917644 IAO917643:IAO917644 IKK917643:IKK917644 IUG917643:IUG917644 JEC917643:JEC917644 JNY917643:JNY917644 JXU917643:JXU917644 KHQ917643:KHQ917644 KRM917643:KRM917644 LBI917643:LBI917644 LLE917643:LLE917644 LVA917643:LVA917644 MEW917643:MEW917644 MOS917643:MOS917644 MYO917643:MYO917644 NIK917643:NIK917644 NSG917643:NSG917644 OCC917643:OCC917644 OLY917643:OLY917644 OVU917643:OVU917644 PFQ917643:PFQ917644 PPM917643:PPM917644 PZI917643:PZI917644 QJE917643:QJE917644 QTA917643:QTA917644 RCW917643:RCW917644 RMS917643:RMS917644 RWO917643:RWO917644 SGK917643:SGK917644 SQG917643:SQG917644 TAC917643:TAC917644 TJY917643:TJY917644 TTU917643:TTU917644 UDQ917643:UDQ917644 UNM917643:UNM917644 UXI917643:UXI917644 VHE917643:VHE917644 VRA917643:VRA917644 WAW917643:WAW917644 WKS917643:WKS917644 WUO917643:WUO917644 IC983179:IC983180 RY983179:RY983180 ABU983179:ABU983180 ALQ983179:ALQ983180 AVM983179:AVM983180 BFI983179:BFI983180 BPE983179:BPE983180 BZA983179:BZA983180 CIW983179:CIW983180 CSS983179:CSS983180 DCO983179:DCO983180 DMK983179:DMK983180 DWG983179:DWG983180 EGC983179:EGC983180 EPY983179:EPY983180 EZU983179:EZU983180 FJQ983179:FJQ983180 FTM983179:FTM983180 GDI983179:GDI983180 GNE983179:GNE983180 GXA983179:GXA983180 HGW983179:HGW983180 HQS983179:HQS983180 IAO983179:IAO983180 IKK983179:IKK983180 IUG983179:IUG983180 JEC983179:JEC983180 JNY983179:JNY983180 JXU983179:JXU983180 KHQ983179:KHQ983180 KRM983179:KRM983180 LBI983179:LBI983180 LLE983179:LLE983180 LVA983179:LVA983180 MEW983179:MEW983180 MOS983179:MOS983180 MYO983179:MYO983180 NIK983179:NIK983180 NSG983179:NSG983180 OCC983179:OCC983180 OLY983179:OLY983180 OVU983179:OVU983180 PFQ983179:PFQ983180 PPM983179:PPM983180 PZI983179:PZI983180 QJE983179:QJE983180 QTA983179:QTA983180 RCW983179:RCW983180 RMS983179:RMS983180 RWO983179:RWO983180 SGK983179:SGK983180 SQG983179:SQG983180 TAC983179:TAC983180 TJY983179:TJY983180 TTU983179:TTU983180 UDQ983179:UDQ983180 UNM983179:UNM983180 UXI983179:UXI983180 VHE983179:VHE983180 VRA983179:VRA983180 WAW983179:WAW983180 WKS983179:WKS983180 WUO983179:WUO983180 IC65537 RY65537 ABU65537 ALQ65537 AVM65537 BFI65537 BPE65537 BZA65537 CIW65537 CSS65537 DCO65537 DMK65537 DWG65537 EGC65537 EPY65537 EZU65537 FJQ65537 FTM65537 GDI65537 GNE65537 GXA65537 HGW65537 HQS65537 IAO65537 IKK65537 IUG65537 JEC65537 JNY65537 JXU65537 KHQ65537 KRM65537 LBI65537 LLE65537 LVA65537 MEW65537 MOS65537 MYO65537 NIK65537 NSG65537 OCC65537 OLY65537 OVU65537 PFQ65537 PPM65537 PZI65537 QJE65537 QTA65537 RCW65537 RMS65537 RWO65537 SGK65537 SQG65537 TAC65537 TJY65537 TTU65537 UDQ65537 UNM65537 UXI65537 VHE65537 VRA65537 WAW65537 WKS65537 WUO65537 IC131073 RY131073 ABU131073 ALQ131073 AVM131073 BFI131073 BPE131073 BZA131073 CIW131073 CSS131073 DCO131073 DMK131073 DWG131073 EGC131073 EPY131073 EZU131073 FJQ131073 FTM131073 GDI131073 GNE131073 GXA131073 HGW131073 HQS131073 IAO131073 IKK131073 IUG131073 JEC131073 JNY131073 JXU131073 KHQ131073 KRM131073 LBI131073 LLE131073 LVA131073 MEW131073 MOS131073 MYO131073 NIK131073 NSG131073 OCC131073 OLY131073 OVU131073 PFQ131073 PPM131073 PZI131073 QJE131073 QTA131073 RCW131073 RMS131073 RWO131073 SGK131073 SQG131073 TAC131073 TJY131073 TTU131073 UDQ131073 UNM131073 UXI131073 VHE131073 VRA131073 WAW131073 WKS131073 WUO131073 IC196609 RY196609 ABU196609 ALQ196609 AVM196609 BFI196609 BPE196609 BZA196609 CIW196609 CSS196609 DCO196609 DMK196609 DWG196609 EGC196609 EPY196609 EZU196609 FJQ196609 FTM196609 GDI196609 GNE196609 GXA196609 HGW196609 HQS196609 IAO196609 IKK196609 IUG196609 JEC196609 JNY196609 JXU196609 KHQ196609 KRM196609 LBI196609 LLE196609 LVA196609 MEW196609 MOS196609 MYO196609 NIK196609 NSG196609 OCC196609 OLY196609 OVU196609 PFQ196609 PPM196609 PZI196609 QJE196609 QTA196609 RCW196609 RMS196609 RWO196609 SGK196609 SQG196609 TAC196609 TJY196609 TTU196609 UDQ196609 UNM196609 UXI196609 VHE196609 VRA196609 WAW196609 WKS196609 WUO196609 IC262145 RY262145 ABU262145 ALQ262145 AVM262145 BFI262145 BPE262145 BZA262145 CIW262145 CSS262145 DCO262145 DMK262145 DWG262145 EGC262145 EPY262145 EZU262145 FJQ262145 FTM262145 GDI262145 GNE262145 GXA262145 HGW262145 HQS262145 IAO262145 IKK262145 IUG262145 JEC262145 JNY262145 JXU262145 KHQ262145 KRM262145 LBI262145 LLE262145 LVA262145 MEW262145 MOS262145 MYO262145 NIK262145 NSG262145 OCC262145 OLY262145 OVU262145 PFQ262145 PPM262145 PZI262145 QJE262145 QTA262145 RCW262145 RMS262145 RWO262145 SGK262145 SQG262145 TAC262145 TJY262145 TTU262145 UDQ262145 UNM262145 UXI262145 VHE262145 VRA262145 WAW262145 WKS262145 WUO262145 IC327681 RY327681 ABU327681 ALQ327681 AVM327681 BFI327681 BPE327681 BZA327681 CIW327681 CSS327681 DCO327681 DMK327681 DWG327681 EGC327681 EPY327681 EZU327681 FJQ327681 FTM327681 GDI327681 GNE327681 GXA327681 HGW327681 HQS327681 IAO327681 IKK327681 IUG327681 JEC327681 JNY327681 JXU327681 KHQ327681 KRM327681 LBI327681 LLE327681 LVA327681 MEW327681 MOS327681 MYO327681 NIK327681 NSG327681 OCC327681 OLY327681 OVU327681 PFQ327681 PPM327681 PZI327681 QJE327681 QTA327681 RCW327681 RMS327681 RWO327681 SGK327681 SQG327681 TAC327681 TJY327681 TTU327681 UDQ327681 UNM327681 UXI327681 VHE327681 VRA327681 WAW327681 WKS327681 WUO327681 IC393217 RY393217 ABU393217 ALQ393217 AVM393217 BFI393217 BPE393217 BZA393217 CIW393217 CSS393217 DCO393217 DMK393217 DWG393217 EGC393217 EPY393217 EZU393217 FJQ393217 FTM393217 GDI393217 GNE393217 GXA393217 HGW393217 HQS393217 IAO393217 IKK393217 IUG393217 JEC393217 JNY393217 JXU393217 KHQ393217 KRM393217 LBI393217 LLE393217 LVA393217 MEW393217 MOS393217 MYO393217 NIK393217 NSG393217 OCC393217 OLY393217 OVU393217 PFQ393217 PPM393217 PZI393217 QJE393217 QTA393217 RCW393217 RMS393217 RWO393217 SGK393217 SQG393217 TAC393217 TJY393217 TTU393217 UDQ393217 UNM393217 UXI393217 VHE393217 VRA393217 WAW393217 WKS393217 WUO393217 IC458753 RY458753 ABU458753 ALQ458753 AVM458753 BFI458753 BPE458753 BZA458753 CIW458753 CSS458753 DCO458753 DMK458753 DWG458753 EGC458753 EPY458753 EZU458753 FJQ458753 FTM458753 GDI458753 GNE458753 GXA458753 HGW458753 HQS458753 IAO458753 IKK458753 IUG458753 JEC458753 JNY458753 JXU458753 KHQ458753 KRM458753 LBI458753 LLE458753 LVA458753 MEW458753 MOS458753 MYO458753 NIK458753 NSG458753 OCC458753 OLY458753 OVU458753 PFQ458753 PPM458753 PZI458753 QJE458753 QTA458753 RCW458753 RMS458753 RWO458753 SGK458753 SQG458753 TAC458753 TJY458753 TTU458753 UDQ458753 UNM458753 UXI458753 VHE458753 VRA458753 WAW458753 WKS458753 WUO458753 IC524289 RY524289 ABU524289 ALQ524289 AVM524289 BFI524289 BPE524289 BZA524289 CIW524289 CSS524289 DCO524289 DMK524289 DWG524289 EGC524289 EPY524289 EZU524289 FJQ524289 FTM524289 GDI524289 GNE524289 GXA524289 HGW524289 HQS524289 IAO524289 IKK524289 IUG524289 JEC524289 JNY524289 JXU524289 KHQ524289 KRM524289 LBI524289 LLE524289 LVA524289 MEW524289 MOS524289 MYO524289 NIK524289 NSG524289 OCC524289 OLY524289 OVU524289 PFQ524289 PPM524289 PZI524289 QJE524289 QTA524289 RCW524289 RMS524289 RWO524289 SGK524289 SQG524289 TAC524289 TJY524289 TTU524289 UDQ524289 UNM524289 UXI524289 VHE524289 VRA524289 WAW524289 WKS524289 WUO524289 IC589825 RY589825 ABU589825 ALQ589825 AVM589825 BFI589825 BPE589825 BZA589825 CIW589825 CSS589825 DCO589825 DMK589825 DWG589825 EGC589825 EPY589825 EZU589825 FJQ589825 FTM589825 GDI589825 GNE589825 GXA589825 HGW589825 HQS589825 IAO589825 IKK589825 IUG589825 JEC589825 JNY589825 JXU589825 KHQ589825 KRM589825 LBI589825 LLE589825 LVA589825 MEW589825 MOS589825 MYO589825 NIK589825 NSG589825 OCC589825 OLY589825 OVU589825 PFQ589825 PPM589825 PZI589825 QJE589825 QTA589825 RCW589825 RMS589825 RWO589825 SGK589825 SQG589825 TAC589825 TJY589825 TTU589825 UDQ589825 UNM589825 UXI589825 VHE589825 VRA589825 WAW589825 WKS589825 WUO589825 IC655361 RY655361 ABU655361 ALQ655361 AVM655361 BFI655361 BPE655361 BZA655361 CIW655361 CSS655361 DCO655361 DMK655361 DWG655361 EGC655361 EPY655361 EZU655361 FJQ655361 FTM655361 GDI655361 GNE655361 GXA655361 HGW655361 HQS655361 IAO655361 IKK655361 IUG655361 JEC655361 JNY655361 JXU655361 KHQ655361 KRM655361 LBI655361 LLE655361 LVA655361 MEW655361 MOS655361 MYO655361 NIK655361 NSG655361 OCC655361 OLY655361 OVU655361 PFQ655361 PPM655361 PZI655361 QJE655361 QTA655361 RCW655361 RMS655361 RWO655361 SGK655361 SQG655361 TAC655361 TJY655361 TTU655361 UDQ655361 UNM655361 UXI655361 VHE655361 VRA655361 WAW655361 WKS655361 WUO655361 IC720897 RY720897 ABU720897 ALQ720897 AVM720897 BFI720897 BPE720897 BZA720897 CIW720897 CSS720897 DCO720897 DMK720897 DWG720897 EGC720897 EPY720897 EZU720897 FJQ720897 FTM720897 GDI720897 GNE720897 GXA720897 HGW720897 HQS720897 IAO720897 IKK720897 IUG720897 JEC720897 JNY720897 JXU720897 KHQ720897 KRM720897 LBI720897 LLE720897 LVA720897 MEW720897 MOS720897 MYO720897 NIK720897 NSG720897 OCC720897 OLY720897 OVU720897 PFQ720897 PPM720897 PZI720897 QJE720897 QTA720897 RCW720897 RMS720897 RWO720897 SGK720897 SQG720897 TAC720897 TJY720897 TTU720897 UDQ720897 UNM720897 UXI720897 VHE720897 VRA720897 WAW720897 WKS720897 WUO720897 IC786433 RY786433 ABU786433 ALQ786433 AVM786433 BFI786433 BPE786433 BZA786433 CIW786433 CSS786433 DCO786433 DMK786433 DWG786433 EGC786433 EPY786433 EZU786433 FJQ786433 FTM786433 GDI786433 GNE786433 GXA786433 HGW786433 HQS786433 IAO786433 IKK786433 IUG786433 JEC786433 JNY786433 JXU786433 KHQ786433 KRM786433 LBI786433 LLE786433 LVA786433 MEW786433 MOS786433 MYO786433 NIK786433 NSG786433 OCC786433 OLY786433 OVU786433 PFQ786433 PPM786433 PZI786433 QJE786433 QTA786433 RCW786433 RMS786433 RWO786433 SGK786433 SQG786433 TAC786433 TJY786433 TTU786433 UDQ786433 UNM786433 UXI786433 VHE786433 VRA786433 WAW786433 WKS786433 WUO786433 IC851969 RY851969 ABU851969 ALQ851969 AVM851969 BFI851969 BPE851969 BZA851969 CIW851969 CSS851969 DCO851969 DMK851969 DWG851969 EGC851969 EPY851969 EZU851969 FJQ851969 FTM851969 GDI851969 GNE851969 GXA851969 HGW851969 HQS851969 IAO851969 IKK851969 IUG851969 JEC851969 JNY851969 JXU851969 KHQ851969 KRM851969 LBI851969 LLE851969 LVA851969 MEW851969 MOS851969 MYO851969 NIK851969 NSG851969 OCC851969 OLY851969 OVU851969 PFQ851969 PPM851969 PZI851969 QJE851969 QTA851969 RCW851969 RMS851969 RWO851969 SGK851969 SQG851969 TAC851969 TJY851969 TTU851969 UDQ851969 UNM851969 UXI851969 VHE851969 VRA851969 WAW851969 WKS851969 WUO851969 IC917505 RY917505 ABU917505 ALQ917505 AVM917505 BFI917505 BPE917505 BZA917505 CIW917505 CSS917505 DCO917505 DMK917505 DWG917505 EGC917505 EPY917505 EZU917505 FJQ917505 FTM917505 GDI917505 GNE917505 GXA917505 HGW917505 HQS917505 IAO917505 IKK917505 IUG917505 JEC917505 JNY917505 JXU917505 KHQ917505 KRM917505 LBI917505 LLE917505 LVA917505 MEW917505 MOS917505 MYO917505 NIK917505 NSG917505 OCC917505 OLY917505 OVU917505 PFQ917505 PPM917505 PZI917505 QJE917505 QTA917505 RCW917505 RMS917505 RWO917505 SGK917505 SQG917505 TAC917505 TJY917505 TTU917505 UDQ917505 UNM917505 UXI917505 VHE917505 VRA917505 WAW917505 WKS917505 WUO917505 IC983041 RY983041 ABU983041 ALQ983041 AVM983041 BFI983041 BPE983041 BZA983041 CIW983041 CSS983041 DCO983041 DMK983041 DWG983041 EGC983041 EPY983041 EZU983041 FJQ983041 FTM983041 GDI983041 GNE983041 GXA983041 HGW983041 HQS983041 IAO983041 IKK983041 IUG983041 JEC983041 JNY983041 JXU983041 KHQ983041 KRM983041 LBI983041 LLE983041 LVA983041 MEW983041 MOS983041 MYO983041 NIK983041 NSG983041 OCC983041 OLY983041 OVU983041 PFQ983041 PPM983041 PZI983041 QJE983041 QTA983041 RCW983041 RMS983041 RWO983041 SGK983041 SQG983041 TAC983041 TJY983041 TTU983041 UDQ983041 UNM983041 UXI983041 VHE983041 VRA983041 WAW983041 WKS983041 WUO983041 IC65586:IC65591 RY65586:RY65591 ABU65586:ABU65591 ALQ65586:ALQ65591 AVM65586:AVM65591 BFI65586:BFI65591 BPE65586:BPE65591 BZA65586:BZA65591 CIW65586:CIW65591 CSS65586:CSS65591 DCO65586:DCO65591 DMK65586:DMK65591 DWG65586:DWG65591 EGC65586:EGC65591 EPY65586:EPY65591 EZU65586:EZU65591 FJQ65586:FJQ65591 FTM65586:FTM65591 GDI65586:GDI65591 GNE65586:GNE65591 GXA65586:GXA65591 HGW65586:HGW65591 HQS65586:HQS65591 IAO65586:IAO65591 IKK65586:IKK65591 IUG65586:IUG65591 JEC65586:JEC65591 JNY65586:JNY65591 JXU65586:JXU65591 KHQ65586:KHQ65591 KRM65586:KRM65591 LBI65586:LBI65591 LLE65586:LLE65591 LVA65586:LVA65591 MEW65586:MEW65591 MOS65586:MOS65591 MYO65586:MYO65591 NIK65586:NIK65591 NSG65586:NSG65591 OCC65586:OCC65591 OLY65586:OLY65591 OVU65586:OVU65591 PFQ65586:PFQ65591 PPM65586:PPM65591 PZI65586:PZI65591 QJE65586:QJE65591 QTA65586:QTA65591 RCW65586:RCW65591 RMS65586:RMS65591 RWO65586:RWO65591 SGK65586:SGK65591 SQG65586:SQG65591 TAC65586:TAC65591 TJY65586:TJY65591 TTU65586:TTU65591 UDQ65586:UDQ65591 UNM65586:UNM65591 UXI65586:UXI65591 VHE65586:VHE65591 VRA65586:VRA65591 WAW65586:WAW65591 WKS65586:WKS65591 WUO65586:WUO65591 IC131122:IC131127 RY131122:RY131127 ABU131122:ABU131127 ALQ131122:ALQ131127 AVM131122:AVM131127 BFI131122:BFI131127 BPE131122:BPE131127 BZA131122:BZA131127 CIW131122:CIW131127 CSS131122:CSS131127 DCO131122:DCO131127 DMK131122:DMK131127 DWG131122:DWG131127 EGC131122:EGC131127 EPY131122:EPY131127 EZU131122:EZU131127 FJQ131122:FJQ131127 FTM131122:FTM131127 GDI131122:GDI131127 GNE131122:GNE131127 GXA131122:GXA131127 HGW131122:HGW131127 HQS131122:HQS131127 IAO131122:IAO131127 IKK131122:IKK131127 IUG131122:IUG131127 JEC131122:JEC131127 JNY131122:JNY131127 JXU131122:JXU131127 KHQ131122:KHQ131127 KRM131122:KRM131127 LBI131122:LBI131127 LLE131122:LLE131127 LVA131122:LVA131127 MEW131122:MEW131127 MOS131122:MOS131127 MYO131122:MYO131127 NIK131122:NIK131127 NSG131122:NSG131127 OCC131122:OCC131127 OLY131122:OLY131127 OVU131122:OVU131127 PFQ131122:PFQ131127 PPM131122:PPM131127 PZI131122:PZI131127 QJE131122:QJE131127 QTA131122:QTA131127 RCW131122:RCW131127 RMS131122:RMS131127 RWO131122:RWO131127 SGK131122:SGK131127 SQG131122:SQG131127 TAC131122:TAC131127 TJY131122:TJY131127 TTU131122:TTU131127 UDQ131122:UDQ131127 UNM131122:UNM131127 UXI131122:UXI131127 VHE131122:VHE131127 VRA131122:VRA131127 WAW131122:WAW131127 WKS131122:WKS131127 WUO131122:WUO131127 IC196658:IC196663 RY196658:RY196663 ABU196658:ABU196663 ALQ196658:ALQ196663 AVM196658:AVM196663 BFI196658:BFI196663 BPE196658:BPE196663 BZA196658:BZA196663 CIW196658:CIW196663 CSS196658:CSS196663 DCO196658:DCO196663 DMK196658:DMK196663 DWG196658:DWG196663 EGC196658:EGC196663 EPY196658:EPY196663 EZU196658:EZU196663 FJQ196658:FJQ196663 FTM196658:FTM196663 GDI196658:GDI196663 GNE196658:GNE196663 GXA196658:GXA196663 HGW196658:HGW196663 HQS196658:HQS196663 IAO196658:IAO196663 IKK196658:IKK196663 IUG196658:IUG196663 JEC196658:JEC196663 JNY196658:JNY196663 JXU196658:JXU196663 KHQ196658:KHQ196663 KRM196658:KRM196663 LBI196658:LBI196663 LLE196658:LLE196663 LVA196658:LVA196663 MEW196658:MEW196663 MOS196658:MOS196663 MYO196658:MYO196663 NIK196658:NIK196663 NSG196658:NSG196663 OCC196658:OCC196663 OLY196658:OLY196663 OVU196658:OVU196663 PFQ196658:PFQ196663 PPM196658:PPM196663 PZI196658:PZI196663 QJE196658:QJE196663 QTA196658:QTA196663 RCW196658:RCW196663 RMS196658:RMS196663 RWO196658:RWO196663 SGK196658:SGK196663 SQG196658:SQG196663 TAC196658:TAC196663 TJY196658:TJY196663 TTU196658:TTU196663 UDQ196658:UDQ196663 UNM196658:UNM196663 UXI196658:UXI196663 VHE196658:VHE196663 VRA196658:VRA196663 WAW196658:WAW196663 WKS196658:WKS196663 WUO196658:WUO196663 IC262194:IC262199 RY262194:RY262199 ABU262194:ABU262199 ALQ262194:ALQ262199 AVM262194:AVM262199 BFI262194:BFI262199 BPE262194:BPE262199 BZA262194:BZA262199 CIW262194:CIW262199 CSS262194:CSS262199 DCO262194:DCO262199 DMK262194:DMK262199 DWG262194:DWG262199 EGC262194:EGC262199 EPY262194:EPY262199 EZU262194:EZU262199 FJQ262194:FJQ262199 FTM262194:FTM262199 GDI262194:GDI262199 GNE262194:GNE262199 GXA262194:GXA262199 HGW262194:HGW262199 HQS262194:HQS262199 IAO262194:IAO262199 IKK262194:IKK262199 IUG262194:IUG262199 JEC262194:JEC262199 JNY262194:JNY262199 JXU262194:JXU262199 KHQ262194:KHQ262199 KRM262194:KRM262199 LBI262194:LBI262199 LLE262194:LLE262199 LVA262194:LVA262199 MEW262194:MEW262199 MOS262194:MOS262199 MYO262194:MYO262199 NIK262194:NIK262199 NSG262194:NSG262199 OCC262194:OCC262199 OLY262194:OLY262199 OVU262194:OVU262199 PFQ262194:PFQ262199 PPM262194:PPM262199 PZI262194:PZI262199 QJE262194:QJE262199 QTA262194:QTA262199 RCW262194:RCW262199 RMS262194:RMS262199 RWO262194:RWO262199 SGK262194:SGK262199 SQG262194:SQG262199 TAC262194:TAC262199 TJY262194:TJY262199 TTU262194:TTU262199 UDQ262194:UDQ262199 UNM262194:UNM262199 UXI262194:UXI262199 VHE262194:VHE262199 VRA262194:VRA262199 WAW262194:WAW262199 WKS262194:WKS262199 WUO262194:WUO262199 IC327730:IC327735 RY327730:RY327735 ABU327730:ABU327735 ALQ327730:ALQ327735 AVM327730:AVM327735 BFI327730:BFI327735 BPE327730:BPE327735 BZA327730:BZA327735 CIW327730:CIW327735 CSS327730:CSS327735 DCO327730:DCO327735 DMK327730:DMK327735 DWG327730:DWG327735 EGC327730:EGC327735 EPY327730:EPY327735 EZU327730:EZU327735 FJQ327730:FJQ327735 FTM327730:FTM327735 GDI327730:GDI327735 GNE327730:GNE327735 GXA327730:GXA327735 HGW327730:HGW327735 HQS327730:HQS327735 IAO327730:IAO327735 IKK327730:IKK327735 IUG327730:IUG327735 JEC327730:JEC327735 JNY327730:JNY327735 JXU327730:JXU327735 KHQ327730:KHQ327735 KRM327730:KRM327735 LBI327730:LBI327735 LLE327730:LLE327735 LVA327730:LVA327735 MEW327730:MEW327735 MOS327730:MOS327735 MYO327730:MYO327735 NIK327730:NIK327735 NSG327730:NSG327735 OCC327730:OCC327735 OLY327730:OLY327735 OVU327730:OVU327735 PFQ327730:PFQ327735 PPM327730:PPM327735 PZI327730:PZI327735 QJE327730:QJE327735 QTA327730:QTA327735 RCW327730:RCW327735 RMS327730:RMS327735 RWO327730:RWO327735 SGK327730:SGK327735 SQG327730:SQG327735 TAC327730:TAC327735 TJY327730:TJY327735 TTU327730:TTU327735 UDQ327730:UDQ327735 UNM327730:UNM327735 UXI327730:UXI327735 VHE327730:VHE327735 VRA327730:VRA327735 WAW327730:WAW327735 WKS327730:WKS327735 WUO327730:WUO327735 IC393266:IC393271 RY393266:RY393271 ABU393266:ABU393271 ALQ393266:ALQ393271 AVM393266:AVM393271 BFI393266:BFI393271 BPE393266:BPE393271 BZA393266:BZA393271 CIW393266:CIW393271 CSS393266:CSS393271 DCO393266:DCO393271 DMK393266:DMK393271 DWG393266:DWG393271 EGC393266:EGC393271 EPY393266:EPY393271 EZU393266:EZU393271 FJQ393266:FJQ393271 FTM393266:FTM393271 GDI393266:GDI393271 GNE393266:GNE393271 GXA393266:GXA393271 HGW393266:HGW393271 HQS393266:HQS393271 IAO393266:IAO393271 IKK393266:IKK393271 IUG393266:IUG393271 JEC393266:JEC393271 JNY393266:JNY393271 JXU393266:JXU393271 KHQ393266:KHQ393271 KRM393266:KRM393271 LBI393266:LBI393271 LLE393266:LLE393271 LVA393266:LVA393271 MEW393266:MEW393271 MOS393266:MOS393271 MYO393266:MYO393271 NIK393266:NIK393271 NSG393266:NSG393271 OCC393266:OCC393271 OLY393266:OLY393271 OVU393266:OVU393271 PFQ393266:PFQ393271 PPM393266:PPM393271 PZI393266:PZI393271 QJE393266:QJE393271 QTA393266:QTA393271 RCW393266:RCW393271 RMS393266:RMS393271 RWO393266:RWO393271 SGK393266:SGK393271 SQG393266:SQG393271 TAC393266:TAC393271 TJY393266:TJY393271 TTU393266:TTU393271 UDQ393266:UDQ393271 UNM393266:UNM393271 UXI393266:UXI393271 VHE393266:VHE393271 VRA393266:VRA393271 WAW393266:WAW393271 WKS393266:WKS393271 WUO393266:WUO393271 IC458802:IC458807 RY458802:RY458807 ABU458802:ABU458807 ALQ458802:ALQ458807 AVM458802:AVM458807 BFI458802:BFI458807 BPE458802:BPE458807 BZA458802:BZA458807 CIW458802:CIW458807 CSS458802:CSS458807 DCO458802:DCO458807 DMK458802:DMK458807 DWG458802:DWG458807 EGC458802:EGC458807 EPY458802:EPY458807 EZU458802:EZU458807 FJQ458802:FJQ458807 FTM458802:FTM458807 GDI458802:GDI458807 GNE458802:GNE458807 GXA458802:GXA458807 HGW458802:HGW458807 HQS458802:HQS458807 IAO458802:IAO458807 IKK458802:IKK458807 IUG458802:IUG458807 JEC458802:JEC458807 JNY458802:JNY458807 JXU458802:JXU458807 KHQ458802:KHQ458807 KRM458802:KRM458807 LBI458802:LBI458807 LLE458802:LLE458807 LVA458802:LVA458807 MEW458802:MEW458807 MOS458802:MOS458807 MYO458802:MYO458807 NIK458802:NIK458807 NSG458802:NSG458807 OCC458802:OCC458807 OLY458802:OLY458807 OVU458802:OVU458807 PFQ458802:PFQ458807 PPM458802:PPM458807 PZI458802:PZI458807 QJE458802:QJE458807 QTA458802:QTA458807 RCW458802:RCW458807 RMS458802:RMS458807 RWO458802:RWO458807 SGK458802:SGK458807 SQG458802:SQG458807 TAC458802:TAC458807 TJY458802:TJY458807 TTU458802:TTU458807 UDQ458802:UDQ458807 UNM458802:UNM458807 UXI458802:UXI458807 VHE458802:VHE458807 VRA458802:VRA458807 WAW458802:WAW458807 WKS458802:WKS458807 WUO458802:WUO458807 IC524338:IC524343 RY524338:RY524343 ABU524338:ABU524343 ALQ524338:ALQ524343 AVM524338:AVM524343 BFI524338:BFI524343 BPE524338:BPE524343 BZA524338:BZA524343 CIW524338:CIW524343 CSS524338:CSS524343 DCO524338:DCO524343 DMK524338:DMK524343 DWG524338:DWG524343 EGC524338:EGC524343 EPY524338:EPY524343 EZU524338:EZU524343 FJQ524338:FJQ524343 FTM524338:FTM524343 GDI524338:GDI524343 GNE524338:GNE524343 GXA524338:GXA524343 HGW524338:HGW524343 HQS524338:HQS524343 IAO524338:IAO524343 IKK524338:IKK524343 IUG524338:IUG524343 JEC524338:JEC524343 JNY524338:JNY524343 JXU524338:JXU524343 KHQ524338:KHQ524343 KRM524338:KRM524343 LBI524338:LBI524343 LLE524338:LLE524343 LVA524338:LVA524343 MEW524338:MEW524343 MOS524338:MOS524343 MYO524338:MYO524343 NIK524338:NIK524343 NSG524338:NSG524343 OCC524338:OCC524343 OLY524338:OLY524343 OVU524338:OVU524343 PFQ524338:PFQ524343 PPM524338:PPM524343 PZI524338:PZI524343 QJE524338:QJE524343 QTA524338:QTA524343 RCW524338:RCW524343 RMS524338:RMS524343 RWO524338:RWO524343 SGK524338:SGK524343 SQG524338:SQG524343 TAC524338:TAC524343 TJY524338:TJY524343 TTU524338:TTU524343 UDQ524338:UDQ524343 UNM524338:UNM524343 UXI524338:UXI524343 VHE524338:VHE524343 VRA524338:VRA524343 WAW524338:WAW524343 WKS524338:WKS524343 WUO524338:WUO524343 IC589874:IC589879 RY589874:RY589879 ABU589874:ABU589879 ALQ589874:ALQ589879 AVM589874:AVM589879 BFI589874:BFI589879 BPE589874:BPE589879 BZA589874:BZA589879 CIW589874:CIW589879 CSS589874:CSS589879 DCO589874:DCO589879 DMK589874:DMK589879 DWG589874:DWG589879 EGC589874:EGC589879 EPY589874:EPY589879 EZU589874:EZU589879 FJQ589874:FJQ589879 FTM589874:FTM589879 GDI589874:GDI589879 GNE589874:GNE589879 GXA589874:GXA589879 HGW589874:HGW589879 HQS589874:HQS589879 IAO589874:IAO589879 IKK589874:IKK589879 IUG589874:IUG589879 JEC589874:JEC589879 JNY589874:JNY589879 JXU589874:JXU589879 KHQ589874:KHQ589879 KRM589874:KRM589879 LBI589874:LBI589879 LLE589874:LLE589879 LVA589874:LVA589879 MEW589874:MEW589879 MOS589874:MOS589879 MYO589874:MYO589879 NIK589874:NIK589879 NSG589874:NSG589879 OCC589874:OCC589879 OLY589874:OLY589879 OVU589874:OVU589879 PFQ589874:PFQ589879 PPM589874:PPM589879 PZI589874:PZI589879 QJE589874:QJE589879 QTA589874:QTA589879 RCW589874:RCW589879 RMS589874:RMS589879 RWO589874:RWO589879 SGK589874:SGK589879 SQG589874:SQG589879 TAC589874:TAC589879 TJY589874:TJY589879 TTU589874:TTU589879 UDQ589874:UDQ589879 UNM589874:UNM589879 UXI589874:UXI589879 VHE589874:VHE589879 VRA589874:VRA589879 WAW589874:WAW589879 WKS589874:WKS589879 WUO589874:WUO589879 IC655410:IC655415 RY655410:RY655415 ABU655410:ABU655415 ALQ655410:ALQ655415 AVM655410:AVM655415 BFI655410:BFI655415 BPE655410:BPE655415 BZA655410:BZA655415 CIW655410:CIW655415 CSS655410:CSS655415 DCO655410:DCO655415 DMK655410:DMK655415 DWG655410:DWG655415 EGC655410:EGC655415 EPY655410:EPY655415 EZU655410:EZU655415 FJQ655410:FJQ655415 FTM655410:FTM655415 GDI655410:GDI655415 GNE655410:GNE655415 GXA655410:GXA655415 HGW655410:HGW655415 HQS655410:HQS655415 IAO655410:IAO655415 IKK655410:IKK655415 IUG655410:IUG655415 JEC655410:JEC655415 JNY655410:JNY655415 JXU655410:JXU655415 KHQ655410:KHQ655415 KRM655410:KRM655415 LBI655410:LBI655415 LLE655410:LLE655415 LVA655410:LVA655415 MEW655410:MEW655415 MOS655410:MOS655415 MYO655410:MYO655415 NIK655410:NIK655415 NSG655410:NSG655415 OCC655410:OCC655415 OLY655410:OLY655415 OVU655410:OVU655415 PFQ655410:PFQ655415 PPM655410:PPM655415 PZI655410:PZI655415 QJE655410:QJE655415 QTA655410:QTA655415 RCW655410:RCW655415 RMS655410:RMS655415 RWO655410:RWO655415 SGK655410:SGK655415 SQG655410:SQG655415 TAC655410:TAC655415 TJY655410:TJY655415 TTU655410:TTU655415 UDQ655410:UDQ655415 UNM655410:UNM655415 UXI655410:UXI655415 VHE655410:VHE655415 VRA655410:VRA655415 WAW655410:WAW655415 WKS655410:WKS655415 WUO655410:WUO655415 IC720946:IC720951 RY720946:RY720951 ABU720946:ABU720951 ALQ720946:ALQ720951 AVM720946:AVM720951 BFI720946:BFI720951 BPE720946:BPE720951 BZA720946:BZA720951 CIW720946:CIW720951 CSS720946:CSS720951 DCO720946:DCO720951 DMK720946:DMK720951 DWG720946:DWG720951 EGC720946:EGC720951 EPY720946:EPY720951 EZU720946:EZU720951 FJQ720946:FJQ720951 FTM720946:FTM720951 GDI720946:GDI720951 GNE720946:GNE720951 GXA720946:GXA720951 HGW720946:HGW720951 HQS720946:HQS720951 IAO720946:IAO720951 IKK720946:IKK720951 IUG720946:IUG720951 JEC720946:JEC720951 JNY720946:JNY720951 JXU720946:JXU720951 KHQ720946:KHQ720951 KRM720946:KRM720951 LBI720946:LBI720951 LLE720946:LLE720951 LVA720946:LVA720951 MEW720946:MEW720951 MOS720946:MOS720951 MYO720946:MYO720951 NIK720946:NIK720951 NSG720946:NSG720951 OCC720946:OCC720951 OLY720946:OLY720951 OVU720946:OVU720951 PFQ720946:PFQ720951 PPM720946:PPM720951 PZI720946:PZI720951 QJE720946:QJE720951 QTA720946:QTA720951 RCW720946:RCW720951 RMS720946:RMS720951 RWO720946:RWO720951 SGK720946:SGK720951 SQG720946:SQG720951 TAC720946:TAC720951 TJY720946:TJY720951 TTU720946:TTU720951 UDQ720946:UDQ720951 UNM720946:UNM720951 UXI720946:UXI720951 VHE720946:VHE720951 VRA720946:VRA720951 WAW720946:WAW720951 WKS720946:WKS720951 WUO720946:WUO720951 IC786482:IC786487 RY786482:RY786487 ABU786482:ABU786487 ALQ786482:ALQ786487 AVM786482:AVM786487 BFI786482:BFI786487 BPE786482:BPE786487 BZA786482:BZA786487 CIW786482:CIW786487 CSS786482:CSS786487 DCO786482:DCO786487 DMK786482:DMK786487 DWG786482:DWG786487 EGC786482:EGC786487 EPY786482:EPY786487 EZU786482:EZU786487 FJQ786482:FJQ786487 FTM786482:FTM786487 GDI786482:GDI786487 GNE786482:GNE786487 GXA786482:GXA786487 HGW786482:HGW786487 HQS786482:HQS786487 IAO786482:IAO786487 IKK786482:IKK786487 IUG786482:IUG786487 JEC786482:JEC786487 JNY786482:JNY786487 JXU786482:JXU786487 KHQ786482:KHQ786487 KRM786482:KRM786487 LBI786482:LBI786487 LLE786482:LLE786487 LVA786482:LVA786487 MEW786482:MEW786487 MOS786482:MOS786487 MYO786482:MYO786487 NIK786482:NIK786487 NSG786482:NSG786487 OCC786482:OCC786487 OLY786482:OLY786487 OVU786482:OVU786487 PFQ786482:PFQ786487 PPM786482:PPM786487 PZI786482:PZI786487 QJE786482:QJE786487 QTA786482:QTA786487 RCW786482:RCW786487 RMS786482:RMS786487 RWO786482:RWO786487 SGK786482:SGK786487 SQG786482:SQG786487 TAC786482:TAC786487 TJY786482:TJY786487 TTU786482:TTU786487 UDQ786482:UDQ786487 UNM786482:UNM786487 UXI786482:UXI786487 VHE786482:VHE786487 VRA786482:VRA786487 WAW786482:WAW786487 WKS786482:WKS786487 WUO786482:WUO786487 IC852018:IC852023 RY852018:RY852023 ABU852018:ABU852023 ALQ852018:ALQ852023 AVM852018:AVM852023 BFI852018:BFI852023 BPE852018:BPE852023 BZA852018:BZA852023 CIW852018:CIW852023 CSS852018:CSS852023 DCO852018:DCO852023 DMK852018:DMK852023 DWG852018:DWG852023 EGC852018:EGC852023 EPY852018:EPY852023 EZU852018:EZU852023 FJQ852018:FJQ852023 FTM852018:FTM852023 GDI852018:GDI852023 GNE852018:GNE852023 GXA852018:GXA852023 HGW852018:HGW852023 HQS852018:HQS852023 IAO852018:IAO852023 IKK852018:IKK852023 IUG852018:IUG852023 JEC852018:JEC852023 JNY852018:JNY852023 JXU852018:JXU852023 KHQ852018:KHQ852023 KRM852018:KRM852023 LBI852018:LBI852023 LLE852018:LLE852023 LVA852018:LVA852023 MEW852018:MEW852023 MOS852018:MOS852023 MYO852018:MYO852023 NIK852018:NIK852023 NSG852018:NSG852023 OCC852018:OCC852023 OLY852018:OLY852023 OVU852018:OVU852023 PFQ852018:PFQ852023 PPM852018:PPM852023 PZI852018:PZI852023 QJE852018:QJE852023 QTA852018:QTA852023 RCW852018:RCW852023 RMS852018:RMS852023 RWO852018:RWO852023 SGK852018:SGK852023 SQG852018:SQG852023 TAC852018:TAC852023 TJY852018:TJY852023 TTU852018:TTU852023 UDQ852018:UDQ852023 UNM852018:UNM852023 UXI852018:UXI852023 VHE852018:VHE852023 VRA852018:VRA852023 WAW852018:WAW852023 WKS852018:WKS852023 WUO852018:WUO852023 IC917554:IC917559 RY917554:RY917559 ABU917554:ABU917559 ALQ917554:ALQ917559 AVM917554:AVM917559 BFI917554:BFI917559 BPE917554:BPE917559 BZA917554:BZA917559 CIW917554:CIW917559 CSS917554:CSS917559 DCO917554:DCO917559 DMK917554:DMK917559 DWG917554:DWG917559 EGC917554:EGC917559 EPY917554:EPY917559 EZU917554:EZU917559 FJQ917554:FJQ917559 FTM917554:FTM917559 GDI917554:GDI917559 GNE917554:GNE917559 GXA917554:GXA917559 HGW917554:HGW917559 HQS917554:HQS917559 IAO917554:IAO917559 IKK917554:IKK917559 IUG917554:IUG917559 JEC917554:JEC917559 JNY917554:JNY917559 JXU917554:JXU917559 KHQ917554:KHQ917559 KRM917554:KRM917559 LBI917554:LBI917559 LLE917554:LLE917559 LVA917554:LVA917559 MEW917554:MEW917559 MOS917554:MOS917559 MYO917554:MYO917559 NIK917554:NIK917559 NSG917554:NSG917559 OCC917554:OCC917559 OLY917554:OLY917559 OVU917554:OVU917559 PFQ917554:PFQ917559 PPM917554:PPM917559 PZI917554:PZI917559 QJE917554:QJE917559 QTA917554:QTA917559 RCW917554:RCW917559 RMS917554:RMS917559 RWO917554:RWO917559 SGK917554:SGK917559 SQG917554:SQG917559 TAC917554:TAC917559 TJY917554:TJY917559 TTU917554:TTU917559 UDQ917554:UDQ917559 UNM917554:UNM917559 UXI917554:UXI917559 VHE917554:VHE917559 VRA917554:VRA917559 WAW917554:WAW917559 WKS917554:WKS917559 WUO917554:WUO917559 IC983090:IC983095 RY983090:RY983095 ABU983090:ABU983095 ALQ983090:ALQ983095 AVM983090:AVM983095 BFI983090:BFI983095 BPE983090:BPE983095 BZA983090:BZA983095 CIW983090:CIW983095 CSS983090:CSS983095 DCO983090:DCO983095 DMK983090:DMK983095 DWG983090:DWG983095 EGC983090:EGC983095 EPY983090:EPY983095 EZU983090:EZU983095 FJQ983090:FJQ983095 FTM983090:FTM983095 GDI983090:GDI983095 GNE983090:GNE983095 GXA983090:GXA983095 HGW983090:HGW983095 HQS983090:HQS983095 IAO983090:IAO983095 IKK983090:IKK983095 IUG983090:IUG983095 JEC983090:JEC983095 JNY983090:JNY983095 JXU983090:JXU983095 KHQ983090:KHQ983095 KRM983090:KRM983095 LBI983090:LBI983095 LLE983090:LLE983095 LVA983090:LVA983095 MEW983090:MEW983095 MOS983090:MOS983095 MYO983090:MYO983095 NIK983090:NIK983095 NSG983090:NSG983095 OCC983090:OCC983095 OLY983090:OLY983095 OVU983090:OVU983095 PFQ983090:PFQ983095 PPM983090:PPM983095 PZI983090:PZI983095 QJE983090:QJE983095 QTA983090:QTA983095 RCW983090:RCW983095 RMS983090:RMS983095 RWO983090:RWO983095 SGK983090:SGK983095 SQG983090:SQG983095 TAC983090:TAC983095 TJY983090:TJY983095 TTU983090:TTU983095 UDQ983090:UDQ983095 UNM983090:UNM983095 UXI983090:UXI983095 VHE983090:VHE983095 VRA983090:VRA983095 WAW983090:WAW983095 WKS983090:WKS983095 WUO983090:WUO983095 IC66536 RY66536 ABU66536 ALQ66536 AVM66536 BFI66536 BPE66536 BZA66536 CIW66536 CSS66536 DCO66536 DMK66536 DWG66536 EGC66536 EPY66536 EZU66536 FJQ66536 FTM66536 GDI66536 GNE66536 GXA66536 HGW66536 HQS66536 IAO66536 IKK66536 IUG66536 JEC66536 JNY66536 JXU66536 KHQ66536 KRM66536 LBI66536 LLE66536 LVA66536 MEW66536 MOS66536 MYO66536 NIK66536 NSG66536 OCC66536 OLY66536 OVU66536 PFQ66536 PPM66536 PZI66536 QJE66536 QTA66536 RCW66536 RMS66536 RWO66536 SGK66536 SQG66536 TAC66536 TJY66536 TTU66536 UDQ66536 UNM66536 UXI66536 VHE66536 VRA66536 WAW66536 WKS66536 WUO66536 IC132072 RY132072 ABU132072 ALQ132072 AVM132072 BFI132072 BPE132072 BZA132072 CIW132072 CSS132072 DCO132072 DMK132072 DWG132072 EGC132072 EPY132072 EZU132072 FJQ132072 FTM132072 GDI132072 GNE132072 GXA132072 HGW132072 HQS132072 IAO132072 IKK132072 IUG132072 JEC132072 JNY132072 JXU132072 KHQ132072 KRM132072 LBI132072 LLE132072 LVA132072 MEW132072 MOS132072 MYO132072 NIK132072 NSG132072 OCC132072 OLY132072 OVU132072 PFQ132072 PPM132072 PZI132072 QJE132072 QTA132072 RCW132072 RMS132072 RWO132072 SGK132072 SQG132072 TAC132072 TJY132072 TTU132072 UDQ132072 UNM132072 UXI132072 VHE132072 VRA132072 WAW132072 WKS132072 WUO132072 IC197608 RY197608 ABU197608 ALQ197608 AVM197608 BFI197608 BPE197608 BZA197608 CIW197608 CSS197608 DCO197608 DMK197608 DWG197608 EGC197608 EPY197608 EZU197608 FJQ197608 FTM197608 GDI197608 GNE197608 GXA197608 HGW197608 HQS197608 IAO197608 IKK197608 IUG197608 JEC197608 JNY197608 JXU197608 KHQ197608 KRM197608 LBI197608 LLE197608 LVA197608 MEW197608 MOS197608 MYO197608 NIK197608 NSG197608 OCC197608 OLY197608 OVU197608 PFQ197608 PPM197608 PZI197608 QJE197608 QTA197608 RCW197608 RMS197608 RWO197608 SGK197608 SQG197608 TAC197608 TJY197608 TTU197608 UDQ197608 UNM197608 UXI197608 VHE197608 VRA197608 WAW197608 WKS197608 WUO197608 IC263144 RY263144 ABU263144 ALQ263144 AVM263144 BFI263144 BPE263144 BZA263144 CIW263144 CSS263144 DCO263144 DMK263144 DWG263144 EGC263144 EPY263144 EZU263144 FJQ263144 FTM263144 GDI263144 GNE263144 GXA263144 HGW263144 HQS263144 IAO263144 IKK263144 IUG263144 JEC263144 JNY263144 JXU263144 KHQ263144 KRM263144 LBI263144 LLE263144 LVA263144 MEW263144 MOS263144 MYO263144 NIK263144 NSG263144 OCC263144 OLY263144 OVU263144 PFQ263144 PPM263144 PZI263144 QJE263144 QTA263144 RCW263144 RMS263144 RWO263144 SGK263144 SQG263144 TAC263144 TJY263144 TTU263144 UDQ263144 UNM263144 UXI263144 VHE263144 VRA263144 WAW263144 WKS263144 WUO263144 IC328680 RY328680 ABU328680 ALQ328680 AVM328680 BFI328680 BPE328680 BZA328680 CIW328680 CSS328680 DCO328680 DMK328680 DWG328680 EGC328680 EPY328680 EZU328680 FJQ328680 FTM328680 GDI328680 GNE328680 GXA328680 HGW328680 HQS328680 IAO328680 IKK328680 IUG328680 JEC328680 JNY328680 JXU328680 KHQ328680 KRM328680 LBI328680 LLE328680 LVA328680 MEW328680 MOS328680 MYO328680 NIK328680 NSG328680 OCC328680 OLY328680 OVU328680 PFQ328680 PPM328680 PZI328680 QJE328680 QTA328680 RCW328680 RMS328680 RWO328680 SGK328680 SQG328680 TAC328680 TJY328680 TTU328680 UDQ328680 UNM328680 UXI328680 VHE328680 VRA328680 WAW328680 WKS328680 WUO328680 IC394216 RY394216 ABU394216 ALQ394216 AVM394216 BFI394216 BPE394216 BZA394216 CIW394216 CSS394216 DCO394216 DMK394216 DWG394216 EGC394216 EPY394216 EZU394216 FJQ394216 FTM394216 GDI394216 GNE394216 GXA394216 HGW394216 HQS394216 IAO394216 IKK394216 IUG394216 JEC394216 JNY394216 JXU394216 KHQ394216 KRM394216 LBI394216 LLE394216 LVA394216 MEW394216 MOS394216 MYO394216 NIK394216 NSG394216 OCC394216 OLY394216 OVU394216 PFQ394216 PPM394216 PZI394216 QJE394216 QTA394216 RCW394216 RMS394216 RWO394216 SGK394216 SQG394216 TAC394216 TJY394216 TTU394216 UDQ394216 UNM394216 UXI394216 VHE394216 VRA394216 WAW394216 WKS394216 WUO394216 IC459752 RY459752 ABU459752 ALQ459752 AVM459752 BFI459752 BPE459752 BZA459752 CIW459752 CSS459752 DCO459752 DMK459752 DWG459752 EGC459752 EPY459752 EZU459752 FJQ459752 FTM459752 GDI459752 GNE459752 GXA459752 HGW459752 HQS459752 IAO459752 IKK459752 IUG459752 JEC459752 JNY459752 JXU459752 KHQ459752 KRM459752 LBI459752 LLE459752 LVA459752 MEW459752 MOS459752 MYO459752 NIK459752 NSG459752 OCC459752 OLY459752 OVU459752 PFQ459752 PPM459752 PZI459752 QJE459752 QTA459752 RCW459752 RMS459752 RWO459752 SGK459752 SQG459752 TAC459752 TJY459752 TTU459752 UDQ459752 UNM459752 UXI459752 VHE459752 VRA459752 WAW459752 WKS459752 WUO459752 IC525288 RY525288 ABU525288 ALQ525288 AVM525288 BFI525288 BPE525288 BZA525288 CIW525288 CSS525288 DCO525288 DMK525288 DWG525288 EGC525288 EPY525288 EZU525288 FJQ525288 FTM525288 GDI525288 GNE525288 GXA525288 HGW525288 HQS525288 IAO525288 IKK525288 IUG525288 JEC525288 JNY525288 JXU525288 KHQ525288 KRM525288 LBI525288 LLE525288 LVA525288 MEW525288 MOS525288 MYO525288 NIK525288 NSG525288 OCC525288 OLY525288 OVU525288 PFQ525288 PPM525288 PZI525288 QJE525288 QTA525288 RCW525288 RMS525288 RWO525288 SGK525288 SQG525288 TAC525288 TJY525288 TTU525288 UDQ525288 UNM525288 UXI525288 VHE525288 VRA525288 WAW525288 WKS525288 WUO525288 IC590824 RY590824 ABU590824 ALQ590824 AVM590824 BFI590824 BPE590824 BZA590824 CIW590824 CSS590824 DCO590824 DMK590824 DWG590824 EGC590824 EPY590824 EZU590824 FJQ590824 FTM590824 GDI590824 GNE590824 GXA590824 HGW590824 HQS590824 IAO590824 IKK590824 IUG590824 JEC590824 JNY590824 JXU590824 KHQ590824 KRM590824 LBI590824 LLE590824 LVA590824 MEW590824 MOS590824 MYO590824 NIK590824 NSG590824 OCC590824 OLY590824 OVU590824 PFQ590824 PPM590824 PZI590824 QJE590824 QTA590824 RCW590824 RMS590824 RWO590824 SGK590824 SQG590824 TAC590824 TJY590824 TTU590824 UDQ590824 UNM590824 UXI590824 VHE590824 VRA590824 WAW590824 WKS590824 WUO590824 IC656360 RY656360 ABU656360 ALQ656360 AVM656360 BFI656360 BPE656360 BZA656360 CIW656360 CSS656360 DCO656360 DMK656360 DWG656360 EGC656360 EPY656360 EZU656360 FJQ656360 FTM656360 GDI656360 GNE656360 GXA656360 HGW656360 HQS656360 IAO656360 IKK656360 IUG656360 JEC656360 JNY656360 JXU656360 KHQ656360 KRM656360 LBI656360 LLE656360 LVA656360 MEW656360 MOS656360 MYO656360 NIK656360 NSG656360 OCC656360 OLY656360 OVU656360 PFQ656360 PPM656360 PZI656360 QJE656360 QTA656360 RCW656360 RMS656360 RWO656360 SGK656360 SQG656360 TAC656360 TJY656360 TTU656360 UDQ656360 UNM656360 UXI656360 VHE656360 VRA656360 WAW656360 WKS656360 WUO656360 IC721896 RY721896 ABU721896 ALQ721896 AVM721896 BFI721896 BPE721896 BZA721896 CIW721896 CSS721896 DCO721896 DMK721896 DWG721896 EGC721896 EPY721896 EZU721896 FJQ721896 FTM721896 GDI721896 GNE721896 GXA721896 HGW721896 HQS721896 IAO721896 IKK721896 IUG721896 JEC721896 JNY721896 JXU721896 KHQ721896 KRM721896 LBI721896 LLE721896 LVA721896 MEW721896 MOS721896 MYO721896 NIK721896 NSG721896 OCC721896 OLY721896 OVU721896 PFQ721896 PPM721896 PZI721896 QJE721896 QTA721896 RCW721896 RMS721896 RWO721896 SGK721896 SQG721896 TAC721896 TJY721896 TTU721896 UDQ721896 UNM721896 UXI721896 VHE721896 VRA721896 WAW721896 WKS721896 WUO721896 IC787432 RY787432 ABU787432 ALQ787432 AVM787432 BFI787432 BPE787432 BZA787432 CIW787432 CSS787432 DCO787432 DMK787432 DWG787432 EGC787432 EPY787432 EZU787432 FJQ787432 FTM787432 GDI787432 GNE787432 GXA787432 HGW787432 HQS787432 IAO787432 IKK787432 IUG787432 JEC787432 JNY787432 JXU787432 KHQ787432 KRM787432 LBI787432 LLE787432 LVA787432 MEW787432 MOS787432 MYO787432 NIK787432 NSG787432 OCC787432 OLY787432 OVU787432 PFQ787432 PPM787432 PZI787432 QJE787432 QTA787432 RCW787432 RMS787432 RWO787432 SGK787432 SQG787432 TAC787432 TJY787432 TTU787432 UDQ787432 UNM787432 UXI787432 VHE787432 VRA787432 WAW787432 WKS787432 WUO787432 IC852968 RY852968 ABU852968 ALQ852968 AVM852968 BFI852968 BPE852968 BZA852968 CIW852968 CSS852968 DCO852968 DMK852968 DWG852968 EGC852968 EPY852968 EZU852968 FJQ852968 FTM852968 GDI852968 GNE852968 GXA852968 HGW852968 HQS852968 IAO852968 IKK852968 IUG852968 JEC852968 JNY852968 JXU852968 KHQ852968 KRM852968 LBI852968 LLE852968 LVA852968 MEW852968 MOS852968 MYO852968 NIK852968 NSG852968 OCC852968 OLY852968 OVU852968 PFQ852968 PPM852968 PZI852968 QJE852968 QTA852968 RCW852968 RMS852968 RWO852968 SGK852968 SQG852968 TAC852968 TJY852968 TTU852968 UDQ852968 UNM852968 UXI852968 VHE852968 VRA852968 WAW852968 WKS852968 WUO852968 IC918504 RY918504 ABU918504 ALQ918504 AVM918504 BFI918504 BPE918504 BZA918504 CIW918504 CSS918504 DCO918504 DMK918504 DWG918504 EGC918504 EPY918504 EZU918504 FJQ918504 FTM918504 GDI918504 GNE918504 GXA918504 HGW918504 HQS918504 IAO918504 IKK918504 IUG918504 JEC918504 JNY918504 JXU918504 KHQ918504 KRM918504 LBI918504 LLE918504 LVA918504 MEW918504 MOS918504 MYO918504 NIK918504 NSG918504 OCC918504 OLY918504 OVU918504 PFQ918504 PPM918504 PZI918504 QJE918504 QTA918504 RCW918504 RMS918504 RWO918504 SGK918504 SQG918504 TAC918504 TJY918504 TTU918504 UDQ918504 UNM918504 UXI918504 VHE918504 VRA918504 WAW918504 WKS918504 WUO918504 IC984040 RY984040 ABU984040 ALQ984040 AVM984040 BFI984040 BPE984040 BZA984040 CIW984040 CSS984040 DCO984040 DMK984040 DWG984040 EGC984040 EPY984040 EZU984040 FJQ984040 FTM984040 GDI984040 GNE984040 GXA984040 HGW984040 HQS984040 IAO984040 IKK984040 IUG984040 JEC984040 JNY984040 JXU984040 KHQ984040 KRM984040 LBI984040 LLE984040 LVA984040 MEW984040 MOS984040 MYO984040 NIK984040 NSG984040 OCC984040 OLY984040 OVU984040 PFQ984040 PPM984040 PZI984040 QJE984040 QTA984040 RCW984040 RMS984040 RWO984040 SGK984040 SQG984040 TAC984040 TJY984040 TTU984040 UDQ984040 UNM984040 UXI984040 VHE984040 VRA984040 WAW984040 WKS984040 WUO984040 IC66573:IC66579 RY66573:RY66579 ABU66573:ABU66579 ALQ66573:ALQ66579 AVM66573:AVM66579 BFI66573:BFI66579 BPE66573:BPE66579 BZA66573:BZA66579 CIW66573:CIW66579 CSS66573:CSS66579 DCO66573:DCO66579 DMK66573:DMK66579 DWG66573:DWG66579 EGC66573:EGC66579 EPY66573:EPY66579 EZU66573:EZU66579 FJQ66573:FJQ66579 FTM66573:FTM66579 GDI66573:GDI66579 GNE66573:GNE66579 GXA66573:GXA66579 HGW66573:HGW66579 HQS66573:HQS66579 IAO66573:IAO66579 IKK66573:IKK66579 IUG66573:IUG66579 JEC66573:JEC66579 JNY66573:JNY66579 JXU66573:JXU66579 KHQ66573:KHQ66579 KRM66573:KRM66579 LBI66573:LBI66579 LLE66573:LLE66579 LVA66573:LVA66579 MEW66573:MEW66579 MOS66573:MOS66579 MYO66573:MYO66579 NIK66573:NIK66579 NSG66573:NSG66579 OCC66573:OCC66579 OLY66573:OLY66579 OVU66573:OVU66579 PFQ66573:PFQ66579 PPM66573:PPM66579 PZI66573:PZI66579 QJE66573:QJE66579 QTA66573:QTA66579 RCW66573:RCW66579 RMS66573:RMS66579 RWO66573:RWO66579 SGK66573:SGK66579 SQG66573:SQG66579 TAC66573:TAC66579 TJY66573:TJY66579 TTU66573:TTU66579 UDQ66573:UDQ66579 UNM66573:UNM66579 UXI66573:UXI66579 VHE66573:VHE66579 VRA66573:VRA66579 WAW66573:WAW66579 WKS66573:WKS66579 WUO66573:WUO66579 IC132109:IC132115 RY132109:RY132115 ABU132109:ABU132115 ALQ132109:ALQ132115 AVM132109:AVM132115 BFI132109:BFI132115 BPE132109:BPE132115 BZA132109:BZA132115 CIW132109:CIW132115 CSS132109:CSS132115 DCO132109:DCO132115 DMK132109:DMK132115 DWG132109:DWG132115 EGC132109:EGC132115 EPY132109:EPY132115 EZU132109:EZU132115 FJQ132109:FJQ132115 FTM132109:FTM132115 GDI132109:GDI132115 GNE132109:GNE132115 GXA132109:GXA132115 HGW132109:HGW132115 HQS132109:HQS132115 IAO132109:IAO132115 IKK132109:IKK132115 IUG132109:IUG132115 JEC132109:JEC132115 JNY132109:JNY132115 JXU132109:JXU132115 KHQ132109:KHQ132115 KRM132109:KRM132115 LBI132109:LBI132115 LLE132109:LLE132115 LVA132109:LVA132115 MEW132109:MEW132115 MOS132109:MOS132115 MYO132109:MYO132115 NIK132109:NIK132115 NSG132109:NSG132115 OCC132109:OCC132115 OLY132109:OLY132115 OVU132109:OVU132115 PFQ132109:PFQ132115 PPM132109:PPM132115 PZI132109:PZI132115 QJE132109:QJE132115 QTA132109:QTA132115 RCW132109:RCW132115 RMS132109:RMS132115 RWO132109:RWO132115 SGK132109:SGK132115 SQG132109:SQG132115 TAC132109:TAC132115 TJY132109:TJY132115 TTU132109:TTU132115 UDQ132109:UDQ132115 UNM132109:UNM132115 UXI132109:UXI132115 VHE132109:VHE132115 VRA132109:VRA132115 WAW132109:WAW132115 WKS132109:WKS132115 WUO132109:WUO132115 IC197645:IC197651 RY197645:RY197651 ABU197645:ABU197651 ALQ197645:ALQ197651 AVM197645:AVM197651 BFI197645:BFI197651 BPE197645:BPE197651 BZA197645:BZA197651 CIW197645:CIW197651 CSS197645:CSS197651 DCO197645:DCO197651 DMK197645:DMK197651 DWG197645:DWG197651 EGC197645:EGC197651 EPY197645:EPY197651 EZU197645:EZU197651 FJQ197645:FJQ197651 FTM197645:FTM197651 GDI197645:GDI197651 GNE197645:GNE197651 GXA197645:GXA197651 HGW197645:HGW197651 HQS197645:HQS197651 IAO197645:IAO197651 IKK197645:IKK197651 IUG197645:IUG197651 JEC197645:JEC197651 JNY197645:JNY197651 JXU197645:JXU197651 KHQ197645:KHQ197651 KRM197645:KRM197651 LBI197645:LBI197651 LLE197645:LLE197651 LVA197645:LVA197651 MEW197645:MEW197651 MOS197645:MOS197651 MYO197645:MYO197651 NIK197645:NIK197651 NSG197645:NSG197651 OCC197645:OCC197651 OLY197645:OLY197651 OVU197645:OVU197651 PFQ197645:PFQ197651 PPM197645:PPM197651 PZI197645:PZI197651 QJE197645:QJE197651 QTA197645:QTA197651 RCW197645:RCW197651 RMS197645:RMS197651 RWO197645:RWO197651 SGK197645:SGK197651 SQG197645:SQG197651 TAC197645:TAC197651 TJY197645:TJY197651 TTU197645:TTU197651 UDQ197645:UDQ197651 UNM197645:UNM197651 UXI197645:UXI197651 VHE197645:VHE197651 VRA197645:VRA197651 WAW197645:WAW197651 WKS197645:WKS197651 WUO197645:WUO197651 IC263181:IC263187 RY263181:RY263187 ABU263181:ABU263187 ALQ263181:ALQ263187 AVM263181:AVM263187 BFI263181:BFI263187 BPE263181:BPE263187 BZA263181:BZA263187 CIW263181:CIW263187 CSS263181:CSS263187 DCO263181:DCO263187 DMK263181:DMK263187 DWG263181:DWG263187 EGC263181:EGC263187 EPY263181:EPY263187 EZU263181:EZU263187 FJQ263181:FJQ263187 FTM263181:FTM263187 GDI263181:GDI263187 GNE263181:GNE263187 GXA263181:GXA263187 HGW263181:HGW263187 HQS263181:HQS263187 IAO263181:IAO263187 IKK263181:IKK263187 IUG263181:IUG263187 JEC263181:JEC263187 JNY263181:JNY263187 JXU263181:JXU263187 KHQ263181:KHQ263187 KRM263181:KRM263187 LBI263181:LBI263187 LLE263181:LLE263187 LVA263181:LVA263187 MEW263181:MEW263187 MOS263181:MOS263187 MYO263181:MYO263187 NIK263181:NIK263187 NSG263181:NSG263187 OCC263181:OCC263187 OLY263181:OLY263187 OVU263181:OVU263187 PFQ263181:PFQ263187 PPM263181:PPM263187 PZI263181:PZI263187 QJE263181:QJE263187 QTA263181:QTA263187 RCW263181:RCW263187 RMS263181:RMS263187 RWO263181:RWO263187 SGK263181:SGK263187 SQG263181:SQG263187 TAC263181:TAC263187 TJY263181:TJY263187 TTU263181:TTU263187 UDQ263181:UDQ263187 UNM263181:UNM263187 UXI263181:UXI263187 VHE263181:VHE263187 VRA263181:VRA263187 WAW263181:WAW263187 WKS263181:WKS263187 WUO263181:WUO263187 IC328717:IC328723 RY328717:RY328723 ABU328717:ABU328723 ALQ328717:ALQ328723 AVM328717:AVM328723 BFI328717:BFI328723 BPE328717:BPE328723 BZA328717:BZA328723 CIW328717:CIW328723 CSS328717:CSS328723 DCO328717:DCO328723 DMK328717:DMK328723 DWG328717:DWG328723 EGC328717:EGC328723 EPY328717:EPY328723 EZU328717:EZU328723 FJQ328717:FJQ328723 FTM328717:FTM328723 GDI328717:GDI328723 GNE328717:GNE328723 GXA328717:GXA328723 HGW328717:HGW328723 HQS328717:HQS328723 IAO328717:IAO328723 IKK328717:IKK328723 IUG328717:IUG328723 JEC328717:JEC328723 JNY328717:JNY328723 JXU328717:JXU328723 KHQ328717:KHQ328723 KRM328717:KRM328723 LBI328717:LBI328723 LLE328717:LLE328723 LVA328717:LVA328723 MEW328717:MEW328723 MOS328717:MOS328723 MYO328717:MYO328723 NIK328717:NIK328723 NSG328717:NSG328723 OCC328717:OCC328723 OLY328717:OLY328723 OVU328717:OVU328723 PFQ328717:PFQ328723 PPM328717:PPM328723 PZI328717:PZI328723 QJE328717:QJE328723 QTA328717:QTA328723 RCW328717:RCW328723 RMS328717:RMS328723 RWO328717:RWO328723 SGK328717:SGK328723 SQG328717:SQG328723 TAC328717:TAC328723 TJY328717:TJY328723 TTU328717:TTU328723 UDQ328717:UDQ328723 UNM328717:UNM328723 UXI328717:UXI328723 VHE328717:VHE328723 VRA328717:VRA328723 WAW328717:WAW328723 WKS328717:WKS328723 WUO328717:WUO328723 IC394253:IC394259 RY394253:RY394259 ABU394253:ABU394259 ALQ394253:ALQ394259 AVM394253:AVM394259 BFI394253:BFI394259 BPE394253:BPE394259 BZA394253:BZA394259 CIW394253:CIW394259 CSS394253:CSS394259 DCO394253:DCO394259 DMK394253:DMK394259 DWG394253:DWG394259 EGC394253:EGC394259 EPY394253:EPY394259 EZU394253:EZU394259 FJQ394253:FJQ394259 FTM394253:FTM394259 GDI394253:GDI394259 GNE394253:GNE394259 GXA394253:GXA394259 HGW394253:HGW394259 HQS394253:HQS394259 IAO394253:IAO394259 IKK394253:IKK394259 IUG394253:IUG394259 JEC394253:JEC394259 JNY394253:JNY394259 JXU394253:JXU394259 KHQ394253:KHQ394259 KRM394253:KRM394259 LBI394253:LBI394259 LLE394253:LLE394259 LVA394253:LVA394259 MEW394253:MEW394259 MOS394253:MOS394259 MYO394253:MYO394259 NIK394253:NIK394259 NSG394253:NSG394259 OCC394253:OCC394259 OLY394253:OLY394259 OVU394253:OVU394259 PFQ394253:PFQ394259 PPM394253:PPM394259 PZI394253:PZI394259 QJE394253:QJE394259 QTA394253:QTA394259 RCW394253:RCW394259 RMS394253:RMS394259 RWO394253:RWO394259 SGK394253:SGK394259 SQG394253:SQG394259 TAC394253:TAC394259 TJY394253:TJY394259 TTU394253:TTU394259 UDQ394253:UDQ394259 UNM394253:UNM394259 UXI394253:UXI394259 VHE394253:VHE394259 VRA394253:VRA394259 WAW394253:WAW394259 WKS394253:WKS394259 WUO394253:WUO394259 IC459789:IC459795 RY459789:RY459795 ABU459789:ABU459795 ALQ459789:ALQ459795 AVM459789:AVM459795 BFI459789:BFI459795 BPE459789:BPE459795 BZA459789:BZA459795 CIW459789:CIW459795 CSS459789:CSS459795 DCO459789:DCO459795 DMK459789:DMK459795 DWG459789:DWG459795 EGC459789:EGC459795 EPY459789:EPY459795 EZU459789:EZU459795 FJQ459789:FJQ459795 FTM459789:FTM459795 GDI459789:GDI459795 GNE459789:GNE459795 GXA459789:GXA459795 HGW459789:HGW459795 HQS459789:HQS459795 IAO459789:IAO459795 IKK459789:IKK459795 IUG459789:IUG459795 JEC459789:JEC459795 JNY459789:JNY459795 JXU459789:JXU459795 KHQ459789:KHQ459795 KRM459789:KRM459795 LBI459789:LBI459795 LLE459789:LLE459795 LVA459789:LVA459795 MEW459789:MEW459795 MOS459789:MOS459795 MYO459789:MYO459795 NIK459789:NIK459795 NSG459789:NSG459795 OCC459789:OCC459795 OLY459789:OLY459795 OVU459789:OVU459795 PFQ459789:PFQ459795 PPM459789:PPM459795 PZI459789:PZI459795 QJE459789:QJE459795 QTA459789:QTA459795 RCW459789:RCW459795 RMS459789:RMS459795 RWO459789:RWO459795 SGK459789:SGK459795 SQG459789:SQG459795 TAC459789:TAC459795 TJY459789:TJY459795 TTU459789:TTU459795 UDQ459789:UDQ459795 UNM459789:UNM459795 UXI459789:UXI459795 VHE459789:VHE459795 VRA459789:VRA459795 WAW459789:WAW459795 WKS459789:WKS459795 WUO459789:WUO459795 IC525325:IC525331 RY525325:RY525331 ABU525325:ABU525331 ALQ525325:ALQ525331 AVM525325:AVM525331 BFI525325:BFI525331 BPE525325:BPE525331 BZA525325:BZA525331 CIW525325:CIW525331 CSS525325:CSS525331 DCO525325:DCO525331 DMK525325:DMK525331 DWG525325:DWG525331 EGC525325:EGC525331 EPY525325:EPY525331 EZU525325:EZU525331 FJQ525325:FJQ525331 FTM525325:FTM525331 GDI525325:GDI525331 GNE525325:GNE525331 GXA525325:GXA525331 HGW525325:HGW525331 HQS525325:HQS525331 IAO525325:IAO525331 IKK525325:IKK525331 IUG525325:IUG525331 JEC525325:JEC525331 JNY525325:JNY525331 JXU525325:JXU525331 KHQ525325:KHQ525331 KRM525325:KRM525331 LBI525325:LBI525331 LLE525325:LLE525331 LVA525325:LVA525331 MEW525325:MEW525331 MOS525325:MOS525331 MYO525325:MYO525331 NIK525325:NIK525331 NSG525325:NSG525331 OCC525325:OCC525331 OLY525325:OLY525331 OVU525325:OVU525331 PFQ525325:PFQ525331 PPM525325:PPM525331 PZI525325:PZI525331 QJE525325:QJE525331 QTA525325:QTA525331 RCW525325:RCW525331 RMS525325:RMS525331 RWO525325:RWO525331 SGK525325:SGK525331 SQG525325:SQG525331 TAC525325:TAC525331 TJY525325:TJY525331 TTU525325:TTU525331 UDQ525325:UDQ525331 UNM525325:UNM525331 UXI525325:UXI525331 VHE525325:VHE525331 VRA525325:VRA525331 WAW525325:WAW525331 WKS525325:WKS525331 WUO525325:WUO525331 IC590861:IC590867 RY590861:RY590867 ABU590861:ABU590867 ALQ590861:ALQ590867 AVM590861:AVM590867 BFI590861:BFI590867 BPE590861:BPE590867 BZA590861:BZA590867 CIW590861:CIW590867 CSS590861:CSS590867 DCO590861:DCO590867 DMK590861:DMK590867 DWG590861:DWG590867 EGC590861:EGC590867 EPY590861:EPY590867 EZU590861:EZU590867 FJQ590861:FJQ590867 FTM590861:FTM590867 GDI590861:GDI590867 GNE590861:GNE590867 GXA590861:GXA590867 HGW590861:HGW590867 HQS590861:HQS590867 IAO590861:IAO590867 IKK590861:IKK590867 IUG590861:IUG590867 JEC590861:JEC590867 JNY590861:JNY590867 JXU590861:JXU590867 KHQ590861:KHQ590867 KRM590861:KRM590867 LBI590861:LBI590867 LLE590861:LLE590867 LVA590861:LVA590867 MEW590861:MEW590867 MOS590861:MOS590867 MYO590861:MYO590867 NIK590861:NIK590867 NSG590861:NSG590867 OCC590861:OCC590867 OLY590861:OLY590867 OVU590861:OVU590867 PFQ590861:PFQ590867 PPM590861:PPM590867 PZI590861:PZI590867 QJE590861:QJE590867 QTA590861:QTA590867 RCW590861:RCW590867 RMS590861:RMS590867 RWO590861:RWO590867 SGK590861:SGK590867 SQG590861:SQG590867 TAC590861:TAC590867 TJY590861:TJY590867 TTU590861:TTU590867 UDQ590861:UDQ590867 UNM590861:UNM590867 UXI590861:UXI590867 VHE590861:VHE590867 VRA590861:VRA590867 WAW590861:WAW590867 WKS590861:WKS590867 WUO590861:WUO590867 IC656397:IC656403 RY656397:RY656403 ABU656397:ABU656403 ALQ656397:ALQ656403 AVM656397:AVM656403 BFI656397:BFI656403 BPE656397:BPE656403 BZA656397:BZA656403 CIW656397:CIW656403 CSS656397:CSS656403 DCO656397:DCO656403 DMK656397:DMK656403 DWG656397:DWG656403 EGC656397:EGC656403 EPY656397:EPY656403 EZU656397:EZU656403 FJQ656397:FJQ656403 FTM656397:FTM656403 GDI656397:GDI656403 GNE656397:GNE656403 GXA656397:GXA656403 HGW656397:HGW656403 HQS656397:HQS656403 IAO656397:IAO656403 IKK656397:IKK656403 IUG656397:IUG656403 JEC656397:JEC656403 JNY656397:JNY656403 JXU656397:JXU656403 KHQ656397:KHQ656403 KRM656397:KRM656403 LBI656397:LBI656403 LLE656397:LLE656403 LVA656397:LVA656403 MEW656397:MEW656403 MOS656397:MOS656403 MYO656397:MYO656403 NIK656397:NIK656403 NSG656397:NSG656403 OCC656397:OCC656403 OLY656397:OLY656403 OVU656397:OVU656403 PFQ656397:PFQ656403 PPM656397:PPM656403 PZI656397:PZI656403 QJE656397:QJE656403 QTA656397:QTA656403 RCW656397:RCW656403 RMS656397:RMS656403 RWO656397:RWO656403 SGK656397:SGK656403 SQG656397:SQG656403 TAC656397:TAC656403 TJY656397:TJY656403 TTU656397:TTU656403 UDQ656397:UDQ656403 UNM656397:UNM656403 UXI656397:UXI656403 VHE656397:VHE656403 VRA656397:VRA656403 WAW656397:WAW656403 WKS656397:WKS656403 WUO656397:WUO656403 IC721933:IC721939 RY721933:RY721939 ABU721933:ABU721939 ALQ721933:ALQ721939 AVM721933:AVM721939 BFI721933:BFI721939 BPE721933:BPE721939 BZA721933:BZA721939 CIW721933:CIW721939 CSS721933:CSS721939 DCO721933:DCO721939 DMK721933:DMK721939 DWG721933:DWG721939 EGC721933:EGC721939 EPY721933:EPY721939 EZU721933:EZU721939 FJQ721933:FJQ721939 FTM721933:FTM721939 GDI721933:GDI721939 GNE721933:GNE721939 GXA721933:GXA721939 HGW721933:HGW721939 HQS721933:HQS721939 IAO721933:IAO721939 IKK721933:IKK721939 IUG721933:IUG721939 JEC721933:JEC721939 JNY721933:JNY721939 JXU721933:JXU721939 KHQ721933:KHQ721939 KRM721933:KRM721939 LBI721933:LBI721939 LLE721933:LLE721939 LVA721933:LVA721939 MEW721933:MEW721939 MOS721933:MOS721939 MYO721933:MYO721939 NIK721933:NIK721939 NSG721933:NSG721939 OCC721933:OCC721939 OLY721933:OLY721939 OVU721933:OVU721939 PFQ721933:PFQ721939 PPM721933:PPM721939 PZI721933:PZI721939 QJE721933:QJE721939 QTA721933:QTA721939 RCW721933:RCW721939 RMS721933:RMS721939 RWO721933:RWO721939 SGK721933:SGK721939 SQG721933:SQG721939 TAC721933:TAC721939 TJY721933:TJY721939 TTU721933:TTU721939 UDQ721933:UDQ721939 UNM721933:UNM721939 UXI721933:UXI721939 VHE721933:VHE721939 VRA721933:VRA721939 WAW721933:WAW721939 WKS721933:WKS721939 WUO721933:WUO721939 IC787469:IC787475 RY787469:RY787475 ABU787469:ABU787475 ALQ787469:ALQ787475 AVM787469:AVM787475 BFI787469:BFI787475 BPE787469:BPE787475 BZA787469:BZA787475 CIW787469:CIW787475 CSS787469:CSS787475 DCO787469:DCO787475 DMK787469:DMK787475 DWG787469:DWG787475 EGC787469:EGC787475 EPY787469:EPY787475 EZU787469:EZU787475 FJQ787469:FJQ787475 FTM787469:FTM787475 GDI787469:GDI787475 GNE787469:GNE787475 GXA787469:GXA787475 HGW787469:HGW787475 HQS787469:HQS787475 IAO787469:IAO787475 IKK787469:IKK787475 IUG787469:IUG787475 JEC787469:JEC787475 JNY787469:JNY787475 JXU787469:JXU787475 KHQ787469:KHQ787475 KRM787469:KRM787475 LBI787469:LBI787475 LLE787469:LLE787475 LVA787469:LVA787475 MEW787469:MEW787475 MOS787469:MOS787475 MYO787469:MYO787475 NIK787469:NIK787475 NSG787469:NSG787475 OCC787469:OCC787475 OLY787469:OLY787475 OVU787469:OVU787475 PFQ787469:PFQ787475 PPM787469:PPM787475 PZI787469:PZI787475 QJE787469:QJE787475 QTA787469:QTA787475 RCW787469:RCW787475 RMS787469:RMS787475 RWO787469:RWO787475 SGK787469:SGK787475 SQG787469:SQG787475 TAC787469:TAC787475 TJY787469:TJY787475 TTU787469:TTU787475 UDQ787469:UDQ787475 UNM787469:UNM787475 UXI787469:UXI787475 VHE787469:VHE787475 VRA787469:VRA787475 WAW787469:WAW787475 WKS787469:WKS787475 WUO787469:WUO787475 IC853005:IC853011 RY853005:RY853011 ABU853005:ABU853011 ALQ853005:ALQ853011 AVM853005:AVM853011 BFI853005:BFI853011 BPE853005:BPE853011 BZA853005:BZA853011 CIW853005:CIW853011 CSS853005:CSS853011 DCO853005:DCO853011 DMK853005:DMK853011 DWG853005:DWG853011 EGC853005:EGC853011 EPY853005:EPY853011 EZU853005:EZU853011 FJQ853005:FJQ853011 FTM853005:FTM853011 GDI853005:GDI853011 GNE853005:GNE853011 GXA853005:GXA853011 HGW853005:HGW853011 HQS853005:HQS853011 IAO853005:IAO853011 IKK853005:IKK853011 IUG853005:IUG853011 JEC853005:JEC853011 JNY853005:JNY853011 JXU853005:JXU853011 KHQ853005:KHQ853011 KRM853005:KRM853011 LBI853005:LBI853011 LLE853005:LLE853011 LVA853005:LVA853011 MEW853005:MEW853011 MOS853005:MOS853011 MYO853005:MYO853011 NIK853005:NIK853011 NSG853005:NSG853011 OCC853005:OCC853011 OLY853005:OLY853011 OVU853005:OVU853011 PFQ853005:PFQ853011 PPM853005:PPM853011 PZI853005:PZI853011 QJE853005:QJE853011 QTA853005:QTA853011 RCW853005:RCW853011 RMS853005:RMS853011 RWO853005:RWO853011 SGK853005:SGK853011 SQG853005:SQG853011 TAC853005:TAC853011 TJY853005:TJY853011 TTU853005:TTU853011 UDQ853005:UDQ853011 UNM853005:UNM853011 UXI853005:UXI853011 VHE853005:VHE853011 VRA853005:VRA853011 WAW853005:WAW853011 WKS853005:WKS853011 WUO853005:WUO853011 IC918541:IC918547 RY918541:RY918547 ABU918541:ABU918547 ALQ918541:ALQ918547 AVM918541:AVM918547 BFI918541:BFI918547 BPE918541:BPE918547 BZA918541:BZA918547 CIW918541:CIW918547 CSS918541:CSS918547 DCO918541:DCO918547 DMK918541:DMK918547 DWG918541:DWG918547 EGC918541:EGC918547 EPY918541:EPY918547 EZU918541:EZU918547 FJQ918541:FJQ918547 FTM918541:FTM918547 GDI918541:GDI918547 GNE918541:GNE918547 GXA918541:GXA918547 HGW918541:HGW918547 HQS918541:HQS918547 IAO918541:IAO918547 IKK918541:IKK918547 IUG918541:IUG918547 JEC918541:JEC918547 JNY918541:JNY918547 JXU918541:JXU918547 KHQ918541:KHQ918547 KRM918541:KRM918547 LBI918541:LBI918547 LLE918541:LLE918547 LVA918541:LVA918547 MEW918541:MEW918547 MOS918541:MOS918547 MYO918541:MYO918547 NIK918541:NIK918547 NSG918541:NSG918547 OCC918541:OCC918547 OLY918541:OLY918547 OVU918541:OVU918547 PFQ918541:PFQ918547 PPM918541:PPM918547 PZI918541:PZI918547 QJE918541:QJE918547 QTA918541:QTA918547 RCW918541:RCW918547 RMS918541:RMS918547 RWO918541:RWO918547 SGK918541:SGK918547 SQG918541:SQG918547 TAC918541:TAC918547 TJY918541:TJY918547 TTU918541:TTU918547 UDQ918541:UDQ918547 UNM918541:UNM918547 UXI918541:UXI918547 VHE918541:VHE918547 VRA918541:VRA918547 WAW918541:WAW918547 WKS918541:WKS918547 WUO918541:WUO918547 IC984077:IC984083 RY984077:RY984083 ABU984077:ABU984083 ALQ984077:ALQ984083 AVM984077:AVM984083 BFI984077:BFI984083 BPE984077:BPE984083 BZA984077:BZA984083 CIW984077:CIW984083 CSS984077:CSS984083 DCO984077:DCO984083 DMK984077:DMK984083 DWG984077:DWG984083 EGC984077:EGC984083 EPY984077:EPY984083 EZU984077:EZU984083 FJQ984077:FJQ984083 FTM984077:FTM984083 GDI984077:GDI984083 GNE984077:GNE984083 GXA984077:GXA984083 HGW984077:HGW984083 HQS984077:HQS984083 IAO984077:IAO984083 IKK984077:IKK984083 IUG984077:IUG984083 JEC984077:JEC984083 JNY984077:JNY984083 JXU984077:JXU984083 KHQ984077:KHQ984083 KRM984077:KRM984083 LBI984077:LBI984083 LLE984077:LLE984083 LVA984077:LVA984083 MEW984077:MEW984083 MOS984077:MOS984083 MYO984077:MYO984083 NIK984077:NIK984083 NSG984077:NSG984083 OCC984077:OCC984083 OLY984077:OLY984083 OVU984077:OVU984083 PFQ984077:PFQ984083 PPM984077:PPM984083 PZI984077:PZI984083 QJE984077:QJE984083 QTA984077:QTA984083 RCW984077:RCW984083 RMS984077:RMS984083 RWO984077:RWO984083 SGK984077:SGK984083 SQG984077:SQG984083 TAC984077:TAC984083 TJY984077:TJY984083 TTU984077:TTU984083 UDQ984077:UDQ984083 UNM984077:UNM984083 UXI984077:UXI984083 VHE984077:VHE984083 VRA984077:VRA984083 WAW984077:WAW984083 WKS984077:WKS984083 WUO984077:WUO984083 C66594 C984077:C984083 C918541:C918547 C853005:C853011 C787469:C787475 C721933:C721939 C656397:C656403 C590861:C590867 C525325:C525331 C459789:C459795 C394253:C394259 C328717:C328723 C263181:C263187 C197645:C197651 C132109:C132115 C66573:C66579 C984040 C918504 C852968 C787432 C721896 C656360 C590824 C525288 C459752 C394216 C328680 C263144 C197608 C132072 C66536 C983090:C983095 C917554:C917559 C852018:C852023 C786482:C786487 C720946:C720951 C655410:C655415 C589874:C589879 C524338:C524343 C458802:C458807 C393266:C393271 C327730:C327735 C262194:C262199 C196658:C196663 C131122:C131127 C65586:C65591 C983041 C917505 C851969 C786433 C720897 C655361 C589825 C524289 C458753 C393217 C327681 C262145 C196609 C131073 C65537 C983179:C983180 C917643:C917644 C852107:C852108 C786571:C786572 C721035:C721036 C655499:C655500 C589963:C589964 C524427:C524428 C458891:C458892 C393355:C393356 C327819:C327820 C262283:C262284 C196747:C196748 C131211:C131212 C65675:C65676 C983200:C983201 C917664:C917665 C852128:C852129 C786592:C786593 C721056:C721057 C655520:C655521 C589984:C589985 C524448:C524449 C458912:C458913 C393376:C393377 C327840:C327841 C262304:C262305 C196768:C196769 C131232:C131233 C65696:C65697 C983210:C983211 C917674:C917675 C852138:C852139 C786602:C786603 C721066:C721067 C655530:C655531 C589994:C589995 C524458:C524459 C458922:C458923 C393386:C393387 C327850:C327851 C262314:C262315 C196778:C196779 C131242:C131243 C65706:C65707 C983234 C917698 C852162 C786626 C721090 C655554 C590018 C524482 C458946 C393410 C327874 C262338 C196802 C131266 C65730 C983288 C917752 C852216 C786680 C721144 C655608 C590072 C524536 C459000 C393464 C327928 C262392 C196856 C131320 C65784 C983470 C917934 C852398 C786862 C721326 C655790 C590254 C524718 C459182 C393646 C328110 C262574 C197038 C131502 C65966 C983581 C918045 C852509 C786973 C721437 C655901 C590365 C524829 C459293 C393757 C328221 C262685 C197149 C131613 C66077 C983658:C983668 C918122:C918132 C852586:C852596 C787050:C787060 C721514:C721524 C655978:C655988 C590442:C590452 C524906:C524916 C459370:C459380 C393834:C393844 C328298:C328308 C262762:C262772 C197226:C197236 C131690:C131700 C66154:C66164 C984098 C918562 C853026 C787490 C721954 C656418 C590882 C525346 C459810 C394274 C328738 C263202 C197666 C132130 C702:C705 WUO702:WUO705 WKS702:WKS705 WAW702:WAW705 VRA702:VRA705 VHE702:VHE705 UXI702:UXI705 UNM702:UNM705 UDQ702:UDQ705 TTU702:TTU705 TJY702:TJY705 TAC702:TAC705 SQG702:SQG705 SGK702:SGK705 RWO702:RWO705 RMS702:RMS705 RCW702:RCW705 QTA702:QTA705 QJE702:QJE705 PZI702:PZI705 PPM702:PPM705 PFQ702:PFQ705 OVU702:OVU705 OLY702:OLY705 OCC702:OCC705 NSG702:NSG705 NIK702:NIK705 MYO702:MYO705 MOS702:MOS705 MEW702:MEW705 LVA702:LVA705 LLE702:LLE705 LBI702:LBI705 KRM702:KRM705 KHQ702:KHQ705 JXU702:JXU705 JNY702:JNY705 JEC702:JEC705 IUG702:IUG705 IKK702:IKK705 IAO702:IAO705 HQS702:HQS705 HGW702:HGW705 GXA702:GXA705 GNE702:GNE705 GDI702:GDI705 FTM702:FTM705 FJQ702:FJQ705 EZU702:EZU705 EPY702:EPY705 EGC702:EGC705 DWG702:DWG705 DMK702:DMK705 DCO702:DCO705 CSS702:CSS705 CIW702:CIW705 BZA702:BZA705 BPE702:BPE705 BFI702:BFI705 AVM702:AVM705 ALQ702:ALQ705 ABU702:ABU705 RY702:RY705 IC702:IC705 IC235 RY235 ABU235 ALQ235 AVM235 BFI235 BPE235 BZA235 CIW235 CSS235 DCO235 DMK235 DWG235 EGC235 EPY235 EZU235 FJQ235 FTM235 GDI235 GNE235 GXA235 HGW235 HQS235 IAO235 IKK235 IUG235 JEC235 JNY235 JXU235 KHQ235 KRM235 LBI235 LLE235 LVA235 MEW235 MOS235 MYO235 NIK235 NSG235 OCC235 OLY235 OVU235 PFQ235 PPM235 PZI235 QJE235 QTA235 RCW235 RMS235 RWO235 SGK235 SQG235 TAC235 TJY235 TTU235 UDQ235 UNM235 UXI235 VHE235 VRA235 WAW235 WKS235 WUO235 C235</xm:sqref>
        </x14:dataValidation>
        <x14:dataValidation type="textLength" allowBlank="1" showInputMessage="1" showErrorMessage="1" errorTitle="Ошибка ввода ИНН" error="Длина ИНН должна составлять 10 или 12 сиволов">
          <x14:formula1>
            <xm:f>10</xm:f>
          </x14:formula1>
          <x14:formula2>
            <xm:f>12</xm:f>
          </x14:formula2>
          <xm:sqref>ID66594 ID204 RZ204 ABV204 ALR204 AVN204 BFJ204 BPF204 BZB204 CIX204 CST204 DCP204 DML204 DWH204 EGD204 EPZ204 EZV204 FJR204 FTN204 GDJ204 GNF204 GXB204 HGX204 HQT204 IAP204 IKL204 IUH204 JED204 JNZ204 JXV204 KHR204 KRN204 LBJ204 LLF204 LVB204 MEX204 MOT204 MYP204 NIL204 NSH204 OCD204 OLZ204 OVV204 PFR204 PPN204 PZJ204 QJF204 QTB204 RCX204 RMT204 RWP204 SGL204 SQH204 TAD204 TJZ204 TTV204 UDR204 UNN204 UXJ204 VHF204 VRB204 WAX204 WKT204 WUP204 WUP40:WUP41 WKT40:WKT41 WAX40:WAX41 VRB40:VRB41 VHF40:VHF41 UXJ40:UXJ41 UNN40:UNN41 UDR40:UDR41 TTV40:TTV41 TJZ40:TJZ41 TAD40:TAD41 SQH40:SQH41 SGL40:SGL41 RWP40:RWP41 RMT40:RMT41 RCX40:RCX41 QTB40:QTB41 QJF40:QJF41 PZJ40:PZJ41 PPN40:PPN41 PFR40:PFR41 OVV40:OVV41 OLZ40:OLZ41 OCD40:OCD41 NSH40:NSH41 NIL40:NIL41 MYP40:MYP41 MOT40:MOT41 MEX40:MEX41 LVB40:LVB41 LLF40:LLF41 LBJ40:LBJ41 KRN40:KRN41 KHR40:KHR41 JXV40:JXV41 JNZ40:JNZ41 JED40:JED41 IUH40:IUH41 IKL40:IKL41 IAP40:IAP41 HQT40:HQT41 HGX40:HGX41 GXB40:GXB41 GNF40:GNF41 GDJ40:GDJ41 FTN40:FTN41 FJR40:FJR41 EZV40:EZV41 EPZ40:EPZ41 EGD40:EGD41 DWH40:DWH41 DML40:DML41 DCP40:DCP41 CST40:CST41 CIX40:CIX41 BZB40:BZB41 BPF40:BPF41 BFJ40:BFJ41 AVN40:AVN41 ALR40:ALR41 ABV40:ABV41 RZ40:RZ41 ID40:ID41 ID321:ID322 RZ321:RZ322 ABV321:ABV322 ALR321:ALR322 AVN321:AVN322 BFJ321:BFJ322 BPF321:BPF322 BZB321:BZB322 CIX321:CIX322 CST321:CST322 DCP321:DCP322 DML321:DML322 DWH321:DWH322 EGD321:EGD322 EPZ321:EPZ322 EZV321:EZV322 FJR321:FJR322 FTN321:FTN322 GDJ321:GDJ322 GNF321:GNF322 GXB321:GXB322 HGX321:HGX322 HQT321:HQT322 IAP321:IAP322 IKL321:IKL322 IUH321:IUH322 JED321:JED322 JNZ321:JNZ322 JXV321:JXV322 KHR321:KHR322 KRN321:KRN322 LBJ321:LBJ322 LLF321:LLF322 LVB321:LVB322 MEX321:MEX322 MOT321:MOT322 MYP321:MYP322 NIL321:NIL322 NSH321:NSH322 OCD321:OCD322 OLZ321:OLZ322 OVV321:OVV322 PFR321:PFR322 PPN321:PPN322 PZJ321:PZJ322 QJF321:QJF322 QTB321:QTB322 RCX321:RCX322 RMT321:RMT322 RWP321:RWP322 SGL321:SGL322 SQH321:SQH322 TAD321:TAD322 TJZ321:TJZ322 TTV321:TTV322 UDR321:UDR322 UNN321:UNN322 UXJ321:UXJ322 VHF321:VHF322 VRB321:VRB322 WAX321:WAX322 WKT321:WKT322 WUP321:WUP322 WUP306:WUP307 WKT306:WKT307 WAX306:WAX307 VRB306:VRB307 VHF306:VHF307 UXJ306:UXJ307 UNN306:UNN307 UDR306:UDR307 TTV306:TTV307 TJZ306:TJZ307 TAD306:TAD307 SQH306:SQH307 SGL306:SGL307 RWP306:RWP307 RMT306:RMT307 RCX306:RCX307 QTB306:QTB307 QJF306:QJF307 PZJ306:PZJ307 PPN306:PPN307 PFR306:PFR307 OVV306:OVV307 OLZ306:OLZ307 OCD306:OCD307 NSH306:NSH307 NIL306:NIL307 MYP306:MYP307 MOT306:MOT307 MEX306:MEX307 LVB306:LVB307 LLF306:LLF307 LBJ306:LBJ307 KRN306:KRN307 KHR306:KHR307 JXV306:JXV307 JNZ306:JNZ307 JED306:JED307 IUH306:IUH307 IKL306:IKL307 IAP306:IAP307 HQT306:HQT307 HGX306:HGX307 GXB306:GXB307 GNF306:GNF307 GDJ306:GDJ307 FTN306:FTN307 FJR306:FJR307 EZV306:EZV307 EPZ306:EPZ307 EGD306:EGD307 DWH306:DWH307 DML306:DML307 DCP306:DCP307 CST306:CST307 CIX306:CIX307 BZB306:BZB307 BPF306:BPF307 BFJ306:BFJ307 AVN306:AVN307 ALR306:ALR307 ABV306:ABV307 RZ306:RZ307 ID306:ID307 ID343 RZ343 ABV343 ALR343 AVN343 BFJ343 BPF343 BZB343 CIX343 CST343 DCP343 DML343 DWH343 EGD343 EPZ343 EZV343 FJR343 FTN343 GDJ343 GNF343 GXB343 HGX343 HQT343 IAP343 IKL343 IUH343 JED343 JNZ343 JXV343 KHR343 KRN343 LBJ343 LLF343 LVB343 MEX343 MOT343 MYP343 NIL343 NSH343 OCD343 OLZ343 OVV343 PFR343 PPN343 PZJ343 QJF343 QTB343 RCX343 RMT343 RWP343 SGL343 SQH343 TAD343 TJZ343 TTV343 UDR343 UNN343 UXJ343 VHF343 VRB343 WAX343 WKT343 WUP343 ID537 WUP537 WKT537 WAX537 VRB537 VHF537 UXJ537 UNN537 UDR537 TTV537 TJZ537 TAD537 SQH537 SGL537 RWP537 RMT537 RCX537 QTB537 QJF537 PZJ537 PPN537 PFR537 OVV537 OLZ537 OCD537 NSH537 NIL537 MYP537 MOT537 MEX537 LVB537 LLF537 LBJ537 KRN537 KHR537 JXV537 JNZ537 JED537 IUH537 IKL537 IAP537 HQT537 HGX537 GXB537 GNF537 GDJ537 FTN537 FJR537 EZV537 EPZ537 EGD537 DWH537 DML537 DCP537 CST537 CIX537 BZB537 BPF537 BFJ537 AVN537 ALR537 ABV537 RZ537 WUP643 WKT643 WAX643 VRB643 VHF643 UXJ643 UNN643 UDR643 TTV643 TJZ643 TAD643 SQH643 SGL643 RWP643 RMT643 RCX643 QTB643 QJF643 PZJ643 PPN643 PFR643 OVV643 OLZ643 OCD643 NSH643 NIL643 MYP643 MOT643 MEX643 LVB643 LLF643 LBJ643 KRN643 KHR643 JXV643 JNZ643 JED643 IUH643 IKL643 IAP643 HQT643 HGX643 GXB643 GNF643 GDJ643 FTN643 FJR643 EZV643 EPZ643 EGD643 DWH643 DML643 DCP643 CST643 CIX643 BZB643 BPF643 BFJ643 AVN643 ALR643 ABV643 RZ643 ID643 ID1081:ID1090 RZ1081:RZ1090 ABV1081:ABV1090 ALR1081:ALR1090 AVN1081:AVN1090 BFJ1081:BFJ1090 BPF1081:BPF1090 BZB1081:BZB1090 CIX1081:CIX1090 CST1081:CST1090 DCP1081:DCP1090 DML1081:DML1090 DWH1081:DWH1090 EGD1081:EGD1090 EPZ1081:EPZ1090 EZV1081:EZV1090 FJR1081:FJR1090 FTN1081:FTN1090 GDJ1081:GDJ1090 GNF1081:GNF1090 GXB1081:GXB1090 HGX1081:HGX1090 HQT1081:HQT1090 IAP1081:IAP1090 IKL1081:IKL1090 IUH1081:IUH1090 JED1081:JED1090 JNZ1081:JNZ1090 JXV1081:JXV1090 KHR1081:KHR1090 KRN1081:KRN1090 LBJ1081:LBJ1090 LLF1081:LLF1090 LVB1081:LVB1090 MEX1081:MEX1090 MOT1081:MOT1090 MYP1081:MYP1090 NIL1081:NIL1090 NSH1081:NSH1090 OCD1081:OCD1090 OLZ1081:OLZ1090 OVV1081:OVV1090 PFR1081:PFR1090 PPN1081:PPN1090 PZJ1081:PZJ1090 QJF1081:QJF1090 QTB1081:QTB1090 RCX1081:RCX1090 RMT1081:RMT1090 RWP1081:RWP1090 SGL1081:SGL1090 SQH1081:SQH1090 TAD1081:TAD1090 TJZ1081:TJZ1090 TTV1081:TTV1090 UDR1081:UDR1090 UNN1081:UNN1090 UXJ1081:UXJ1090 VHF1081:VHF1090 VRB1081:VRB1090 WAX1081:WAX1090 WKT1081:WKT1090 WUP1081:WUP1090 RZ66594 ABV66594 ALR66594 AVN66594 BFJ66594 BPF66594 BZB66594 CIX66594 CST66594 DCP66594 DML66594 DWH66594 EGD66594 EPZ66594 EZV66594 FJR66594 FTN66594 GDJ66594 GNF66594 GXB66594 HGX66594 HQT66594 IAP66594 IKL66594 IUH66594 JED66594 JNZ66594 JXV66594 KHR66594 KRN66594 LBJ66594 LLF66594 LVB66594 MEX66594 MOT66594 MYP66594 NIL66594 NSH66594 OCD66594 OLZ66594 OVV66594 PFR66594 PPN66594 PZJ66594 QJF66594 QTB66594 RCX66594 RMT66594 RWP66594 SGL66594 SQH66594 TAD66594 TJZ66594 TTV66594 UDR66594 UNN66594 UXJ66594 VHF66594 VRB66594 WAX66594 WKT66594 WUP66594 ID132130 RZ132130 ABV132130 ALR132130 AVN132130 BFJ132130 BPF132130 BZB132130 CIX132130 CST132130 DCP132130 DML132130 DWH132130 EGD132130 EPZ132130 EZV132130 FJR132130 FTN132130 GDJ132130 GNF132130 GXB132130 HGX132130 HQT132130 IAP132130 IKL132130 IUH132130 JED132130 JNZ132130 JXV132130 KHR132130 KRN132130 LBJ132130 LLF132130 LVB132130 MEX132130 MOT132130 MYP132130 NIL132130 NSH132130 OCD132130 OLZ132130 OVV132130 PFR132130 PPN132130 PZJ132130 QJF132130 QTB132130 RCX132130 RMT132130 RWP132130 SGL132130 SQH132130 TAD132130 TJZ132130 TTV132130 UDR132130 UNN132130 UXJ132130 VHF132130 VRB132130 WAX132130 WKT132130 WUP132130 ID197666 RZ197666 ABV197666 ALR197666 AVN197666 BFJ197666 BPF197666 BZB197666 CIX197666 CST197666 DCP197666 DML197666 DWH197666 EGD197666 EPZ197666 EZV197666 FJR197666 FTN197666 GDJ197666 GNF197666 GXB197666 HGX197666 HQT197666 IAP197666 IKL197666 IUH197666 JED197666 JNZ197666 JXV197666 KHR197666 KRN197666 LBJ197666 LLF197666 LVB197666 MEX197666 MOT197666 MYP197666 NIL197666 NSH197666 OCD197666 OLZ197666 OVV197666 PFR197666 PPN197666 PZJ197666 QJF197666 QTB197666 RCX197666 RMT197666 RWP197666 SGL197666 SQH197666 TAD197666 TJZ197666 TTV197666 UDR197666 UNN197666 UXJ197666 VHF197666 VRB197666 WAX197666 WKT197666 WUP197666 ID263202 RZ263202 ABV263202 ALR263202 AVN263202 BFJ263202 BPF263202 BZB263202 CIX263202 CST263202 DCP263202 DML263202 DWH263202 EGD263202 EPZ263202 EZV263202 FJR263202 FTN263202 GDJ263202 GNF263202 GXB263202 HGX263202 HQT263202 IAP263202 IKL263202 IUH263202 JED263202 JNZ263202 JXV263202 KHR263202 KRN263202 LBJ263202 LLF263202 LVB263202 MEX263202 MOT263202 MYP263202 NIL263202 NSH263202 OCD263202 OLZ263202 OVV263202 PFR263202 PPN263202 PZJ263202 QJF263202 QTB263202 RCX263202 RMT263202 RWP263202 SGL263202 SQH263202 TAD263202 TJZ263202 TTV263202 UDR263202 UNN263202 UXJ263202 VHF263202 VRB263202 WAX263202 WKT263202 WUP263202 ID328738 RZ328738 ABV328738 ALR328738 AVN328738 BFJ328738 BPF328738 BZB328738 CIX328738 CST328738 DCP328738 DML328738 DWH328738 EGD328738 EPZ328738 EZV328738 FJR328738 FTN328738 GDJ328738 GNF328738 GXB328738 HGX328738 HQT328738 IAP328738 IKL328738 IUH328738 JED328738 JNZ328738 JXV328738 KHR328738 KRN328738 LBJ328738 LLF328738 LVB328738 MEX328738 MOT328738 MYP328738 NIL328738 NSH328738 OCD328738 OLZ328738 OVV328738 PFR328738 PPN328738 PZJ328738 QJF328738 QTB328738 RCX328738 RMT328738 RWP328738 SGL328738 SQH328738 TAD328738 TJZ328738 TTV328738 UDR328738 UNN328738 UXJ328738 VHF328738 VRB328738 WAX328738 WKT328738 WUP328738 ID394274 RZ394274 ABV394274 ALR394274 AVN394274 BFJ394274 BPF394274 BZB394274 CIX394274 CST394274 DCP394274 DML394274 DWH394274 EGD394274 EPZ394274 EZV394274 FJR394274 FTN394274 GDJ394274 GNF394274 GXB394274 HGX394274 HQT394274 IAP394274 IKL394274 IUH394274 JED394274 JNZ394274 JXV394274 KHR394274 KRN394274 LBJ394274 LLF394274 LVB394274 MEX394274 MOT394274 MYP394274 NIL394274 NSH394274 OCD394274 OLZ394274 OVV394274 PFR394274 PPN394274 PZJ394274 QJF394274 QTB394274 RCX394274 RMT394274 RWP394274 SGL394274 SQH394274 TAD394274 TJZ394274 TTV394274 UDR394274 UNN394274 UXJ394274 VHF394274 VRB394274 WAX394274 WKT394274 WUP394274 ID459810 RZ459810 ABV459810 ALR459810 AVN459810 BFJ459810 BPF459810 BZB459810 CIX459810 CST459810 DCP459810 DML459810 DWH459810 EGD459810 EPZ459810 EZV459810 FJR459810 FTN459810 GDJ459810 GNF459810 GXB459810 HGX459810 HQT459810 IAP459810 IKL459810 IUH459810 JED459810 JNZ459810 JXV459810 KHR459810 KRN459810 LBJ459810 LLF459810 LVB459810 MEX459810 MOT459810 MYP459810 NIL459810 NSH459810 OCD459810 OLZ459810 OVV459810 PFR459810 PPN459810 PZJ459810 QJF459810 QTB459810 RCX459810 RMT459810 RWP459810 SGL459810 SQH459810 TAD459810 TJZ459810 TTV459810 UDR459810 UNN459810 UXJ459810 VHF459810 VRB459810 WAX459810 WKT459810 WUP459810 ID525346 RZ525346 ABV525346 ALR525346 AVN525346 BFJ525346 BPF525346 BZB525346 CIX525346 CST525346 DCP525346 DML525346 DWH525346 EGD525346 EPZ525346 EZV525346 FJR525346 FTN525346 GDJ525346 GNF525346 GXB525346 HGX525346 HQT525346 IAP525346 IKL525346 IUH525346 JED525346 JNZ525346 JXV525346 KHR525346 KRN525346 LBJ525346 LLF525346 LVB525346 MEX525346 MOT525346 MYP525346 NIL525346 NSH525346 OCD525346 OLZ525346 OVV525346 PFR525346 PPN525346 PZJ525346 QJF525346 QTB525346 RCX525346 RMT525346 RWP525346 SGL525346 SQH525346 TAD525346 TJZ525346 TTV525346 UDR525346 UNN525346 UXJ525346 VHF525346 VRB525346 WAX525346 WKT525346 WUP525346 ID590882 RZ590882 ABV590882 ALR590882 AVN590882 BFJ590882 BPF590882 BZB590882 CIX590882 CST590882 DCP590882 DML590882 DWH590882 EGD590882 EPZ590882 EZV590882 FJR590882 FTN590882 GDJ590882 GNF590882 GXB590882 HGX590882 HQT590882 IAP590882 IKL590882 IUH590882 JED590882 JNZ590882 JXV590882 KHR590882 KRN590882 LBJ590882 LLF590882 LVB590882 MEX590882 MOT590882 MYP590882 NIL590882 NSH590882 OCD590882 OLZ590882 OVV590882 PFR590882 PPN590882 PZJ590882 QJF590882 QTB590882 RCX590882 RMT590882 RWP590882 SGL590882 SQH590882 TAD590882 TJZ590882 TTV590882 UDR590882 UNN590882 UXJ590882 VHF590882 VRB590882 WAX590882 WKT590882 WUP590882 ID656418 RZ656418 ABV656418 ALR656418 AVN656418 BFJ656418 BPF656418 BZB656418 CIX656418 CST656418 DCP656418 DML656418 DWH656418 EGD656418 EPZ656418 EZV656418 FJR656418 FTN656418 GDJ656418 GNF656418 GXB656418 HGX656418 HQT656418 IAP656418 IKL656418 IUH656418 JED656418 JNZ656418 JXV656418 KHR656418 KRN656418 LBJ656418 LLF656418 LVB656418 MEX656418 MOT656418 MYP656418 NIL656418 NSH656418 OCD656418 OLZ656418 OVV656418 PFR656418 PPN656418 PZJ656418 QJF656418 QTB656418 RCX656418 RMT656418 RWP656418 SGL656418 SQH656418 TAD656418 TJZ656418 TTV656418 UDR656418 UNN656418 UXJ656418 VHF656418 VRB656418 WAX656418 WKT656418 WUP656418 ID721954 RZ721954 ABV721954 ALR721954 AVN721954 BFJ721954 BPF721954 BZB721954 CIX721954 CST721954 DCP721954 DML721954 DWH721954 EGD721954 EPZ721954 EZV721954 FJR721954 FTN721954 GDJ721954 GNF721954 GXB721954 HGX721954 HQT721954 IAP721954 IKL721954 IUH721954 JED721954 JNZ721954 JXV721954 KHR721954 KRN721954 LBJ721954 LLF721954 LVB721954 MEX721954 MOT721954 MYP721954 NIL721954 NSH721954 OCD721954 OLZ721954 OVV721954 PFR721954 PPN721954 PZJ721954 QJF721954 QTB721954 RCX721954 RMT721954 RWP721954 SGL721954 SQH721954 TAD721954 TJZ721954 TTV721954 UDR721954 UNN721954 UXJ721954 VHF721954 VRB721954 WAX721954 WKT721954 WUP721954 ID787490 RZ787490 ABV787490 ALR787490 AVN787490 BFJ787490 BPF787490 BZB787490 CIX787490 CST787490 DCP787490 DML787490 DWH787490 EGD787490 EPZ787490 EZV787490 FJR787490 FTN787490 GDJ787490 GNF787490 GXB787490 HGX787490 HQT787490 IAP787490 IKL787490 IUH787490 JED787490 JNZ787490 JXV787490 KHR787490 KRN787490 LBJ787490 LLF787490 LVB787490 MEX787490 MOT787490 MYP787490 NIL787490 NSH787490 OCD787490 OLZ787490 OVV787490 PFR787490 PPN787490 PZJ787490 QJF787490 QTB787490 RCX787490 RMT787490 RWP787490 SGL787490 SQH787490 TAD787490 TJZ787490 TTV787490 UDR787490 UNN787490 UXJ787490 VHF787490 VRB787490 WAX787490 WKT787490 WUP787490 ID853026 RZ853026 ABV853026 ALR853026 AVN853026 BFJ853026 BPF853026 BZB853026 CIX853026 CST853026 DCP853026 DML853026 DWH853026 EGD853026 EPZ853026 EZV853026 FJR853026 FTN853026 GDJ853026 GNF853026 GXB853026 HGX853026 HQT853026 IAP853026 IKL853026 IUH853026 JED853026 JNZ853026 JXV853026 KHR853026 KRN853026 LBJ853026 LLF853026 LVB853026 MEX853026 MOT853026 MYP853026 NIL853026 NSH853026 OCD853026 OLZ853026 OVV853026 PFR853026 PPN853026 PZJ853026 QJF853026 QTB853026 RCX853026 RMT853026 RWP853026 SGL853026 SQH853026 TAD853026 TJZ853026 TTV853026 UDR853026 UNN853026 UXJ853026 VHF853026 VRB853026 WAX853026 WKT853026 WUP853026 ID918562 RZ918562 ABV918562 ALR918562 AVN918562 BFJ918562 BPF918562 BZB918562 CIX918562 CST918562 DCP918562 DML918562 DWH918562 EGD918562 EPZ918562 EZV918562 FJR918562 FTN918562 GDJ918562 GNF918562 GXB918562 HGX918562 HQT918562 IAP918562 IKL918562 IUH918562 JED918562 JNZ918562 JXV918562 KHR918562 KRN918562 LBJ918562 LLF918562 LVB918562 MEX918562 MOT918562 MYP918562 NIL918562 NSH918562 OCD918562 OLZ918562 OVV918562 PFR918562 PPN918562 PZJ918562 QJF918562 QTB918562 RCX918562 RMT918562 RWP918562 SGL918562 SQH918562 TAD918562 TJZ918562 TTV918562 UDR918562 UNN918562 UXJ918562 VHF918562 VRB918562 WAX918562 WKT918562 WUP918562 ID984098 RZ984098 ABV984098 ALR984098 AVN984098 BFJ984098 BPF984098 BZB984098 CIX984098 CST984098 DCP984098 DML984098 DWH984098 EGD984098 EPZ984098 EZV984098 FJR984098 FTN984098 GDJ984098 GNF984098 GXB984098 HGX984098 HQT984098 IAP984098 IKL984098 IUH984098 JED984098 JNZ984098 JXV984098 KHR984098 KRN984098 LBJ984098 LLF984098 LVB984098 MEX984098 MOT984098 MYP984098 NIL984098 NSH984098 OCD984098 OLZ984098 OVV984098 PFR984098 PPN984098 PZJ984098 QJF984098 QTB984098 RCX984098 RMT984098 RWP984098 SGL984098 SQH984098 TAD984098 TJZ984098 TTV984098 UDR984098 UNN984098 UXJ984098 VHF984098 VRB984098 WAX984098 WKT984098 WUP984098 ID65334:ID65336 RZ65334:RZ65336 ABV65334:ABV65336 ALR65334:ALR65336 AVN65334:AVN65336 BFJ65334:BFJ65336 BPF65334:BPF65336 BZB65334:BZB65336 CIX65334:CIX65336 CST65334:CST65336 DCP65334:DCP65336 DML65334:DML65336 DWH65334:DWH65336 EGD65334:EGD65336 EPZ65334:EPZ65336 EZV65334:EZV65336 FJR65334:FJR65336 FTN65334:FTN65336 GDJ65334:GDJ65336 GNF65334:GNF65336 GXB65334:GXB65336 HGX65334:HGX65336 HQT65334:HQT65336 IAP65334:IAP65336 IKL65334:IKL65336 IUH65334:IUH65336 JED65334:JED65336 JNZ65334:JNZ65336 JXV65334:JXV65336 KHR65334:KHR65336 KRN65334:KRN65336 LBJ65334:LBJ65336 LLF65334:LLF65336 LVB65334:LVB65336 MEX65334:MEX65336 MOT65334:MOT65336 MYP65334:MYP65336 NIL65334:NIL65336 NSH65334:NSH65336 OCD65334:OCD65336 OLZ65334:OLZ65336 OVV65334:OVV65336 PFR65334:PFR65336 PPN65334:PPN65336 PZJ65334:PZJ65336 QJF65334:QJF65336 QTB65334:QTB65336 RCX65334:RCX65336 RMT65334:RMT65336 RWP65334:RWP65336 SGL65334:SGL65336 SQH65334:SQH65336 TAD65334:TAD65336 TJZ65334:TJZ65336 TTV65334:TTV65336 UDR65334:UDR65336 UNN65334:UNN65336 UXJ65334:UXJ65336 VHF65334:VHF65336 VRB65334:VRB65336 WAX65334:WAX65336 WKT65334:WKT65336 WUP65334:WUP65336 ID130870:ID130872 RZ130870:RZ130872 ABV130870:ABV130872 ALR130870:ALR130872 AVN130870:AVN130872 BFJ130870:BFJ130872 BPF130870:BPF130872 BZB130870:BZB130872 CIX130870:CIX130872 CST130870:CST130872 DCP130870:DCP130872 DML130870:DML130872 DWH130870:DWH130872 EGD130870:EGD130872 EPZ130870:EPZ130872 EZV130870:EZV130872 FJR130870:FJR130872 FTN130870:FTN130872 GDJ130870:GDJ130872 GNF130870:GNF130872 GXB130870:GXB130872 HGX130870:HGX130872 HQT130870:HQT130872 IAP130870:IAP130872 IKL130870:IKL130872 IUH130870:IUH130872 JED130870:JED130872 JNZ130870:JNZ130872 JXV130870:JXV130872 KHR130870:KHR130872 KRN130870:KRN130872 LBJ130870:LBJ130872 LLF130870:LLF130872 LVB130870:LVB130872 MEX130870:MEX130872 MOT130870:MOT130872 MYP130870:MYP130872 NIL130870:NIL130872 NSH130870:NSH130872 OCD130870:OCD130872 OLZ130870:OLZ130872 OVV130870:OVV130872 PFR130870:PFR130872 PPN130870:PPN130872 PZJ130870:PZJ130872 QJF130870:QJF130872 QTB130870:QTB130872 RCX130870:RCX130872 RMT130870:RMT130872 RWP130870:RWP130872 SGL130870:SGL130872 SQH130870:SQH130872 TAD130870:TAD130872 TJZ130870:TJZ130872 TTV130870:TTV130872 UDR130870:UDR130872 UNN130870:UNN130872 UXJ130870:UXJ130872 VHF130870:VHF130872 VRB130870:VRB130872 WAX130870:WAX130872 WKT130870:WKT130872 WUP130870:WUP130872 ID196406:ID196408 RZ196406:RZ196408 ABV196406:ABV196408 ALR196406:ALR196408 AVN196406:AVN196408 BFJ196406:BFJ196408 BPF196406:BPF196408 BZB196406:BZB196408 CIX196406:CIX196408 CST196406:CST196408 DCP196406:DCP196408 DML196406:DML196408 DWH196406:DWH196408 EGD196406:EGD196408 EPZ196406:EPZ196408 EZV196406:EZV196408 FJR196406:FJR196408 FTN196406:FTN196408 GDJ196406:GDJ196408 GNF196406:GNF196408 GXB196406:GXB196408 HGX196406:HGX196408 HQT196406:HQT196408 IAP196406:IAP196408 IKL196406:IKL196408 IUH196406:IUH196408 JED196406:JED196408 JNZ196406:JNZ196408 JXV196406:JXV196408 KHR196406:KHR196408 KRN196406:KRN196408 LBJ196406:LBJ196408 LLF196406:LLF196408 LVB196406:LVB196408 MEX196406:MEX196408 MOT196406:MOT196408 MYP196406:MYP196408 NIL196406:NIL196408 NSH196406:NSH196408 OCD196406:OCD196408 OLZ196406:OLZ196408 OVV196406:OVV196408 PFR196406:PFR196408 PPN196406:PPN196408 PZJ196406:PZJ196408 QJF196406:QJF196408 QTB196406:QTB196408 RCX196406:RCX196408 RMT196406:RMT196408 RWP196406:RWP196408 SGL196406:SGL196408 SQH196406:SQH196408 TAD196406:TAD196408 TJZ196406:TJZ196408 TTV196406:TTV196408 UDR196406:UDR196408 UNN196406:UNN196408 UXJ196406:UXJ196408 VHF196406:VHF196408 VRB196406:VRB196408 WAX196406:WAX196408 WKT196406:WKT196408 WUP196406:WUP196408 ID261942:ID261944 RZ261942:RZ261944 ABV261942:ABV261944 ALR261942:ALR261944 AVN261942:AVN261944 BFJ261942:BFJ261944 BPF261942:BPF261944 BZB261942:BZB261944 CIX261942:CIX261944 CST261942:CST261944 DCP261942:DCP261944 DML261942:DML261944 DWH261942:DWH261944 EGD261942:EGD261944 EPZ261942:EPZ261944 EZV261942:EZV261944 FJR261942:FJR261944 FTN261942:FTN261944 GDJ261942:GDJ261944 GNF261942:GNF261944 GXB261942:GXB261944 HGX261942:HGX261944 HQT261942:HQT261944 IAP261942:IAP261944 IKL261942:IKL261944 IUH261942:IUH261944 JED261942:JED261944 JNZ261942:JNZ261944 JXV261942:JXV261944 KHR261942:KHR261944 KRN261942:KRN261944 LBJ261942:LBJ261944 LLF261942:LLF261944 LVB261942:LVB261944 MEX261942:MEX261944 MOT261942:MOT261944 MYP261942:MYP261944 NIL261942:NIL261944 NSH261942:NSH261944 OCD261942:OCD261944 OLZ261942:OLZ261944 OVV261942:OVV261944 PFR261942:PFR261944 PPN261942:PPN261944 PZJ261942:PZJ261944 QJF261942:QJF261944 QTB261942:QTB261944 RCX261942:RCX261944 RMT261942:RMT261944 RWP261942:RWP261944 SGL261942:SGL261944 SQH261942:SQH261944 TAD261942:TAD261944 TJZ261942:TJZ261944 TTV261942:TTV261944 UDR261942:UDR261944 UNN261942:UNN261944 UXJ261942:UXJ261944 VHF261942:VHF261944 VRB261942:VRB261944 WAX261942:WAX261944 WKT261942:WKT261944 WUP261942:WUP261944 ID327478:ID327480 RZ327478:RZ327480 ABV327478:ABV327480 ALR327478:ALR327480 AVN327478:AVN327480 BFJ327478:BFJ327480 BPF327478:BPF327480 BZB327478:BZB327480 CIX327478:CIX327480 CST327478:CST327480 DCP327478:DCP327480 DML327478:DML327480 DWH327478:DWH327480 EGD327478:EGD327480 EPZ327478:EPZ327480 EZV327478:EZV327480 FJR327478:FJR327480 FTN327478:FTN327480 GDJ327478:GDJ327480 GNF327478:GNF327480 GXB327478:GXB327480 HGX327478:HGX327480 HQT327478:HQT327480 IAP327478:IAP327480 IKL327478:IKL327480 IUH327478:IUH327480 JED327478:JED327480 JNZ327478:JNZ327480 JXV327478:JXV327480 KHR327478:KHR327480 KRN327478:KRN327480 LBJ327478:LBJ327480 LLF327478:LLF327480 LVB327478:LVB327480 MEX327478:MEX327480 MOT327478:MOT327480 MYP327478:MYP327480 NIL327478:NIL327480 NSH327478:NSH327480 OCD327478:OCD327480 OLZ327478:OLZ327480 OVV327478:OVV327480 PFR327478:PFR327480 PPN327478:PPN327480 PZJ327478:PZJ327480 QJF327478:QJF327480 QTB327478:QTB327480 RCX327478:RCX327480 RMT327478:RMT327480 RWP327478:RWP327480 SGL327478:SGL327480 SQH327478:SQH327480 TAD327478:TAD327480 TJZ327478:TJZ327480 TTV327478:TTV327480 UDR327478:UDR327480 UNN327478:UNN327480 UXJ327478:UXJ327480 VHF327478:VHF327480 VRB327478:VRB327480 WAX327478:WAX327480 WKT327478:WKT327480 WUP327478:WUP327480 ID393014:ID393016 RZ393014:RZ393016 ABV393014:ABV393016 ALR393014:ALR393016 AVN393014:AVN393016 BFJ393014:BFJ393016 BPF393014:BPF393016 BZB393014:BZB393016 CIX393014:CIX393016 CST393014:CST393016 DCP393014:DCP393016 DML393014:DML393016 DWH393014:DWH393016 EGD393014:EGD393016 EPZ393014:EPZ393016 EZV393014:EZV393016 FJR393014:FJR393016 FTN393014:FTN393016 GDJ393014:GDJ393016 GNF393014:GNF393016 GXB393014:GXB393016 HGX393014:HGX393016 HQT393014:HQT393016 IAP393014:IAP393016 IKL393014:IKL393016 IUH393014:IUH393016 JED393014:JED393016 JNZ393014:JNZ393016 JXV393014:JXV393016 KHR393014:KHR393016 KRN393014:KRN393016 LBJ393014:LBJ393016 LLF393014:LLF393016 LVB393014:LVB393016 MEX393014:MEX393016 MOT393014:MOT393016 MYP393014:MYP393016 NIL393014:NIL393016 NSH393014:NSH393016 OCD393014:OCD393016 OLZ393014:OLZ393016 OVV393014:OVV393016 PFR393014:PFR393016 PPN393014:PPN393016 PZJ393014:PZJ393016 QJF393014:QJF393016 QTB393014:QTB393016 RCX393014:RCX393016 RMT393014:RMT393016 RWP393014:RWP393016 SGL393014:SGL393016 SQH393014:SQH393016 TAD393014:TAD393016 TJZ393014:TJZ393016 TTV393014:TTV393016 UDR393014:UDR393016 UNN393014:UNN393016 UXJ393014:UXJ393016 VHF393014:VHF393016 VRB393014:VRB393016 WAX393014:WAX393016 WKT393014:WKT393016 WUP393014:WUP393016 ID458550:ID458552 RZ458550:RZ458552 ABV458550:ABV458552 ALR458550:ALR458552 AVN458550:AVN458552 BFJ458550:BFJ458552 BPF458550:BPF458552 BZB458550:BZB458552 CIX458550:CIX458552 CST458550:CST458552 DCP458550:DCP458552 DML458550:DML458552 DWH458550:DWH458552 EGD458550:EGD458552 EPZ458550:EPZ458552 EZV458550:EZV458552 FJR458550:FJR458552 FTN458550:FTN458552 GDJ458550:GDJ458552 GNF458550:GNF458552 GXB458550:GXB458552 HGX458550:HGX458552 HQT458550:HQT458552 IAP458550:IAP458552 IKL458550:IKL458552 IUH458550:IUH458552 JED458550:JED458552 JNZ458550:JNZ458552 JXV458550:JXV458552 KHR458550:KHR458552 KRN458550:KRN458552 LBJ458550:LBJ458552 LLF458550:LLF458552 LVB458550:LVB458552 MEX458550:MEX458552 MOT458550:MOT458552 MYP458550:MYP458552 NIL458550:NIL458552 NSH458550:NSH458552 OCD458550:OCD458552 OLZ458550:OLZ458552 OVV458550:OVV458552 PFR458550:PFR458552 PPN458550:PPN458552 PZJ458550:PZJ458552 QJF458550:QJF458552 QTB458550:QTB458552 RCX458550:RCX458552 RMT458550:RMT458552 RWP458550:RWP458552 SGL458550:SGL458552 SQH458550:SQH458552 TAD458550:TAD458552 TJZ458550:TJZ458552 TTV458550:TTV458552 UDR458550:UDR458552 UNN458550:UNN458552 UXJ458550:UXJ458552 VHF458550:VHF458552 VRB458550:VRB458552 WAX458550:WAX458552 WKT458550:WKT458552 WUP458550:WUP458552 ID524086:ID524088 RZ524086:RZ524088 ABV524086:ABV524088 ALR524086:ALR524088 AVN524086:AVN524088 BFJ524086:BFJ524088 BPF524086:BPF524088 BZB524086:BZB524088 CIX524086:CIX524088 CST524086:CST524088 DCP524086:DCP524088 DML524086:DML524088 DWH524086:DWH524088 EGD524086:EGD524088 EPZ524086:EPZ524088 EZV524086:EZV524088 FJR524086:FJR524088 FTN524086:FTN524088 GDJ524086:GDJ524088 GNF524086:GNF524088 GXB524086:GXB524088 HGX524086:HGX524088 HQT524086:HQT524088 IAP524086:IAP524088 IKL524086:IKL524088 IUH524086:IUH524088 JED524086:JED524088 JNZ524086:JNZ524088 JXV524086:JXV524088 KHR524086:KHR524088 KRN524086:KRN524088 LBJ524086:LBJ524088 LLF524086:LLF524088 LVB524086:LVB524088 MEX524086:MEX524088 MOT524086:MOT524088 MYP524086:MYP524088 NIL524086:NIL524088 NSH524086:NSH524088 OCD524086:OCD524088 OLZ524086:OLZ524088 OVV524086:OVV524088 PFR524086:PFR524088 PPN524086:PPN524088 PZJ524086:PZJ524088 QJF524086:QJF524088 QTB524086:QTB524088 RCX524086:RCX524088 RMT524086:RMT524088 RWP524086:RWP524088 SGL524086:SGL524088 SQH524086:SQH524088 TAD524086:TAD524088 TJZ524086:TJZ524088 TTV524086:TTV524088 UDR524086:UDR524088 UNN524086:UNN524088 UXJ524086:UXJ524088 VHF524086:VHF524088 VRB524086:VRB524088 WAX524086:WAX524088 WKT524086:WKT524088 WUP524086:WUP524088 ID589622:ID589624 RZ589622:RZ589624 ABV589622:ABV589624 ALR589622:ALR589624 AVN589622:AVN589624 BFJ589622:BFJ589624 BPF589622:BPF589624 BZB589622:BZB589624 CIX589622:CIX589624 CST589622:CST589624 DCP589622:DCP589624 DML589622:DML589624 DWH589622:DWH589624 EGD589622:EGD589624 EPZ589622:EPZ589624 EZV589622:EZV589624 FJR589622:FJR589624 FTN589622:FTN589624 GDJ589622:GDJ589624 GNF589622:GNF589624 GXB589622:GXB589624 HGX589622:HGX589624 HQT589622:HQT589624 IAP589622:IAP589624 IKL589622:IKL589624 IUH589622:IUH589624 JED589622:JED589624 JNZ589622:JNZ589624 JXV589622:JXV589624 KHR589622:KHR589624 KRN589622:KRN589624 LBJ589622:LBJ589624 LLF589622:LLF589624 LVB589622:LVB589624 MEX589622:MEX589624 MOT589622:MOT589624 MYP589622:MYP589624 NIL589622:NIL589624 NSH589622:NSH589624 OCD589622:OCD589624 OLZ589622:OLZ589624 OVV589622:OVV589624 PFR589622:PFR589624 PPN589622:PPN589624 PZJ589622:PZJ589624 QJF589622:QJF589624 QTB589622:QTB589624 RCX589622:RCX589624 RMT589622:RMT589624 RWP589622:RWP589624 SGL589622:SGL589624 SQH589622:SQH589624 TAD589622:TAD589624 TJZ589622:TJZ589624 TTV589622:TTV589624 UDR589622:UDR589624 UNN589622:UNN589624 UXJ589622:UXJ589624 VHF589622:VHF589624 VRB589622:VRB589624 WAX589622:WAX589624 WKT589622:WKT589624 WUP589622:WUP589624 ID655158:ID655160 RZ655158:RZ655160 ABV655158:ABV655160 ALR655158:ALR655160 AVN655158:AVN655160 BFJ655158:BFJ655160 BPF655158:BPF655160 BZB655158:BZB655160 CIX655158:CIX655160 CST655158:CST655160 DCP655158:DCP655160 DML655158:DML655160 DWH655158:DWH655160 EGD655158:EGD655160 EPZ655158:EPZ655160 EZV655158:EZV655160 FJR655158:FJR655160 FTN655158:FTN655160 GDJ655158:GDJ655160 GNF655158:GNF655160 GXB655158:GXB655160 HGX655158:HGX655160 HQT655158:HQT655160 IAP655158:IAP655160 IKL655158:IKL655160 IUH655158:IUH655160 JED655158:JED655160 JNZ655158:JNZ655160 JXV655158:JXV655160 KHR655158:KHR655160 KRN655158:KRN655160 LBJ655158:LBJ655160 LLF655158:LLF655160 LVB655158:LVB655160 MEX655158:MEX655160 MOT655158:MOT655160 MYP655158:MYP655160 NIL655158:NIL655160 NSH655158:NSH655160 OCD655158:OCD655160 OLZ655158:OLZ655160 OVV655158:OVV655160 PFR655158:PFR655160 PPN655158:PPN655160 PZJ655158:PZJ655160 QJF655158:QJF655160 QTB655158:QTB655160 RCX655158:RCX655160 RMT655158:RMT655160 RWP655158:RWP655160 SGL655158:SGL655160 SQH655158:SQH655160 TAD655158:TAD655160 TJZ655158:TJZ655160 TTV655158:TTV655160 UDR655158:UDR655160 UNN655158:UNN655160 UXJ655158:UXJ655160 VHF655158:VHF655160 VRB655158:VRB655160 WAX655158:WAX655160 WKT655158:WKT655160 WUP655158:WUP655160 ID720694:ID720696 RZ720694:RZ720696 ABV720694:ABV720696 ALR720694:ALR720696 AVN720694:AVN720696 BFJ720694:BFJ720696 BPF720694:BPF720696 BZB720694:BZB720696 CIX720694:CIX720696 CST720694:CST720696 DCP720694:DCP720696 DML720694:DML720696 DWH720694:DWH720696 EGD720694:EGD720696 EPZ720694:EPZ720696 EZV720694:EZV720696 FJR720694:FJR720696 FTN720694:FTN720696 GDJ720694:GDJ720696 GNF720694:GNF720696 GXB720694:GXB720696 HGX720694:HGX720696 HQT720694:HQT720696 IAP720694:IAP720696 IKL720694:IKL720696 IUH720694:IUH720696 JED720694:JED720696 JNZ720694:JNZ720696 JXV720694:JXV720696 KHR720694:KHR720696 KRN720694:KRN720696 LBJ720694:LBJ720696 LLF720694:LLF720696 LVB720694:LVB720696 MEX720694:MEX720696 MOT720694:MOT720696 MYP720694:MYP720696 NIL720694:NIL720696 NSH720694:NSH720696 OCD720694:OCD720696 OLZ720694:OLZ720696 OVV720694:OVV720696 PFR720694:PFR720696 PPN720694:PPN720696 PZJ720694:PZJ720696 QJF720694:QJF720696 QTB720694:QTB720696 RCX720694:RCX720696 RMT720694:RMT720696 RWP720694:RWP720696 SGL720694:SGL720696 SQH720694:SQH720696 TAD720694:TAD720696 TJZ720694:TJZ720696 TTV720694:TTV720696 UDR720694:UDR720696 UNN720694:UNN720696 UXJ720694:UXJ720696 VHF720694:VHF720696 VRB720694:VRB720696 WAX720694:WAX720696 WKT720694:WKT720696 WUP720694:WUP720696 ID786230:ID786232 RZ786230:RZ786232 ABV786230:ABV786232 ALR786230:ALR786232 AVN786230:AVN786232 BFJ786230:BFJ786232 BPF786230:BPF786232 BZB786230:BZB786232 CIX786230:CIX786232 CST786230:CST786232 DCP786230:DCP786232 DML786230:DML786232 DWH786230:DWH786232 EGD786230:EGD786232 EPZ786230:EPZ786232 EZV786230:EZV786232 FJR786230:FJR786232 FTN786230:FTN786232 GDJ786230:GDJ786232 GNF786230:GNF786232 GXB786230:GXB786232 HGX786230:HGX786232 HQT786230:HQT786232 IAP786230:IAP786232 IKL786230:IKL786232 IUH786230:IUH786232 JED786230:JED786232 JNZ786230:JNZ786232 JXV786230:JXV786232 KHR786230:KHR786232 KRN786230:KRN786232 LBJ786230:LBJ786232 LLF786230:LLF786232 LVB786230:LVB786232 MEX786230:MEX786232 MOT786230:MOT786232 MYP786230:MYP786232 NIL786230:NIL786232 NSH786230:NSH786232 OCD786230:OCD786232 OLZ786230:OLZ786232 OVV786230:OVV786232 PFR786230:PFR786232 PPN786230:PPN786232 PZJ786230:PZJ786232 QJF786230:QJF786232 QTB786230:QTB786232 RCX786230:RCX786232 RMT786230:RMT786232 RWP786230:RWP786232 SGL786230:SGL786232 SQH786230:SQH786232 TAD786230:TAD786232 TJZ786230:TJZ786232 TTV786230:TTV786232 UDR786230:UDR786232 UNN786230:UNN786232 UXJ786230:UXJ786232 VHF786230:VHF786232 VRB786230:VRB786232 WAX786230:WAX786232 WKT786230:WKT786232 WUP786230:WUP786232 ID851766:ID851768 RZ851766:RZ851768 ABV851766:ABV851768 ALR851766:ALR851768 AVN851766:AVN851768 BFJ851766:BFJ851768 BPF851766:BPF851768 BZB851766:BZB851768 CIX851766:CIX851768 CST851766:CST851768 DCP851766:DCP851768 DML851766:DML851768 DWH851766:DWH851768 EGD851766:EGD851768 EPZ851766:EPZ851768 EZV851766:EZV851768 FJR851766:FJR851768 FTN851766:FTN851768 GDJ851766:GDJ851768 GNF851766:GNF851768 GXB851766:GXB851768 HGX851766:HGX851768 HQT851766:HQT851768 IAP851766:IAP851768 IKL851766:IKL851768 IUH851766:IUH851768 JED851766:JED851768 JNZ851766:JNZ851768 JXV851766:JXV851768 KHR851766:KHR851768 KRN851766:KRN851768 LBJ851766:LBJ851768 LLF851766:LLF851768 LVB851766:LVB851768 MEX851766:MEX851768 MOT851766:MOT851768 MYP851766:MYP851768 NIL851766:NIL851768 NSH851766:NSH851768 OCD851766:OCD851768 OLZ851766:OLZ851768 OVV851766:OVV851768 PFR851766:PFR851768 PPN851766:PPN851768 PZJ851766:PZJ851768 QJF851766:QJF851768 QTB851766:QTB851768 RCX851766:RCX851768 RMT851766:RMT851768 RWP851766:RWP851768 SGL851766:SGL851768 SQH851766:SQH851768 TAD851766:TAD851768 TJZ851766:TJZ851768 TTV851766:TTV851768 UDR851766:UDR851768 UNN851766:UNN851768 UXJ851766:UXJ851768 VHF851766:VHF851768 VRB851766:VRB851768 WAX851766:WAX851768 WKT851766:WKT851768 WUP851766:WUP851768 ID917302:ID917304 RZ917302:RZ917304 ABV917302:ABV917304 ALR917302:ALR917304 AVN917302:AVN917304 BFJ917302:BFJ917304 BPF917302:BPF917304 BZB917302:BZB917304 CIX917302:CIX917304 CST917302:CST917304 DCP917302:DCP917304 DML917302:DML917304 DWH917302:DWH917304 EGD917302:EGD917304 EPZ917302:EPZ917304 EZV917302:EZV917304 FJR917302:FJR917304 FTN917302:FTN917304 GDJ917302:GDJ917304 GNF917302:GNF917304 GXB917302:GXB917304 HGX917302:HGX917304 HQT917302:HQT917304 IAP917302:IAP917304 IKL917302:IKL917304 IUH917302:IUH917304 JED917302:JED917304 JNZ917302:JNZ917304 JXV917302:JXV917304 KHR917302:KHR917304 KRN917302:KRN917304 LBJ917302:LBJ917304 LLF917302:LLF917304 LVB917302:LVB917304 MEX917302:MEX917304 MOT917302:MOT917304 MYP917302:MYP917304 NIL917302:NIL917304 NSH917302:NSH917304 OCD917302:OCD917304 OLZ917302:OLZ917304 OVV917302:OVV917304 PFR917302:PFR917304 PPN917302:PPN917304 PZJ917302:PZJ917304 QJF917302:QJF917304 QTB917302:QTB917304 RCX917302:RCX917304 RMT917302:RMT917304 RWP917302:RWP917304 SGL917302:SGL917304 SQH917302:SQH917304 TAD917302:TAD917304 TJZ917302:TJZ917304 TTV917302:TTV917304 UDR917302:UDR917304 UNN917302:UNN917304 UXJ917302:UXJ917304 VHF917302:VHF917304 VRB917302:VRB917304 WAX917302:WAX917304 WKT917302:WKT917304 WUP917302:WUP917304 ID982838:ID982840 RZ982838:RZ982840 ABV982838:ABV982840 ALR982838:ALR982840 AVN982838:AVN982840 BFJ982838:BFJ982840 BPF982838:BPF982840 BZB982838:BZB982840 CIX982838:CIX982840 CST982838:CST982840 DCP982838:DCP982840 DML982838:DML982840 DWH982838:DWH982840 EGD982838:EGD982840 EPZ982838:EPZ982840 EZV982838:EZV982840 FJR982838:FJR982840 FTN982838:FTN982840 GDJ982838:GDJ982840 GNF982838:GNF982840 GXB982838:GXB982840 HGX982838:HGX982840 HQT982838:HQT982840 IAP982838:IAP982840 IKL982838:IKL982840 IUH982838:IUH982840 JED982838:JED982840 JNZ982838:JNZ982840 JXV982838:JXV982840 KHR982838:KHR982840 KRN982838:KRN982840 LBJ982838:LBJ982840 LLF982838:LLF982840 LVB982838:LVB982840 MEX982838:MEX982840 MOT982838:MOT982840 MYP982838:MYP982840 NIL982838:NIL982840 NSH982838:NSH982840 OCD982838:OCD982840 OLZ982838:OLZ982840 OVV982838:OVV982840 PFR982838:PFR982840 PPN982838:PPN982840 PZJ982838:PZJ982840 QJF982838:QJF982840 QTB982838:QTB982840 RCX982838:RCX982840 RMT982838:RMT982840 RWP982838:RWP982840 SGL982838:SGL982840 SQH982838:SQH982840 TAD982838:TAD982840 TJZ982838:TJZ982840 TTV982838:TTV982840 UDR982838:UDR982840 UNN982838:UNN982840 UXJ982838:UXJ982840 VHF982838:VHF982840 VRB982838:VRB982840 WAX982838:WAX982840 WKT982838:WKT982840 WUP982838:WUP982840 ID66536 RZ66536 ABV66536 ALR66536 AVN66536 BFJ66536 BPF66536 BZB66536 CIX66536 CST66536 DCP66536 DML66536 DWH66536 EGD66536 EPZ66536 EZV66536 FJR66536 FTN66536 GDJ66536 GNF66536 GXB66536 HGX66536 HQT66536 IAP66536 IKL66536 IUH66536 JED66536 JNZ66536 JXV66536 KHR66536 KRN66536 LBJ66536 LLF66536 LVB66536 MEX66536 MOT66536 MYP66536 NIL66536 NSH66536 OCD66536 OLZ66536 OVV66536 PFR66536 PPN66536 PZJ66536 QJF66536 QTB66536 RCX66536 RMT66536 RWP66536 SGL66536 SQH66536 TAD66536 TJZ66536 TTV66536 UDR66536 UNN66536 UXJ66536 VHF66536 VRB66536 WAX66536 WKT66536 WUP66536 ID132072 RZ132072 ABV132072 ALR132072 AVN132072 BFJ132072 BPF132072 BZB132072 CIX132072 CST132072 DCP132072 DML132072 DWH132072 EGD132072 EPZ132072 EZV132072 FJR132072 FTN132072 GDJ132072 GNF132072 GXB132072 HGX132072 HQT132072 IAP132072 IKL132072 IUH132072 JED132072 JNZ132072 JXV132072 KHR132072 KRN132072 LBJ132072 LLF132072 LVB132072 MEX132072 MOT132072 MYP132072 NIL132072 NSH132072 OCD132072 OLZ132072 OVV132072 PFR132072 PPN132072 PZJ132072 QJF132072 QTB132072 RCX132072 RMT132072 RWP132072 SGL132072 SQH132072 TAD132072 TJZ132072 TTV132072 UDR132072 UNN132072 UXJ132072 VHF132072 VRB132072 WAX132072 WKT132072 WUP132072 ID197608 RZ197608 ABV197608 ALR197608 AVN197608 BFJ197608 BPF197608 BZB197608 CIX197608 CST197608 DCP197608 DML197608 DWH197608 EGD197608 EPZ197608 EZV197608 FJR197608 FTN197608 GDJ197608 GNF197608 GXB197608 HGX197608 HQT197608 IAP197608 IKL197608 IUH197608 JED197608 JNZ197608 JXV197608 KHR197608 KRN197608 LBJ197608 LLF197608 LVB197608 MEX197608 MOT197608 MYP197608 NIL197608 NSH197608 OCD197608 OLZ197608 OVV197608 PFR197608 PPN197608 PZJ197608 QJF197608 QTB197608 RCX197608 RMT197608 RWP197608 SGL197608 SQH197608 TAD197608 TJZ197608 TTV197608 UDR197608 UNN197608 UXJ197608 VHF197608 VRB197608 WAX197608 WKT197608 WUP197608 ID263144 RZ263144 ABV263144 ALR263144 AVN263144 BFJ263144 BPF263144 BZB263144 CIX263144 CST263144 DCP263144 DML263144 DWH263144 EGD263144 EPZ263144 EZV263144 FJR263144 FTN263144 GDJ263144 GNF263144 GXB263144 HGX263144 HQT263144 IAP263144 IKL263144 IUH263144 JED263144 JNZ263144 JXV263144 KHR263144 KRN263144 LBJ263144 LLF263144 LVB263144 MEX263144 MOT263144 MYP263144 NIL263144 NSH263144 OCD263144 OLZ263144 OVV263144 PFR263144 PPN263144 PZJ263144 QJF263144 QTB263144 RCX263144 RMT263144 RWP263144 SGL263144 SQH263144 TAD263144 TJZ263144 TTV263144 UDR263144 UNN263144 UXJ263144 VHF263144 VRB263144 WAX263144 WKT263144 WUP263144 ID328680 RZ328680 ABV328680 ALR328680 AVN328680 BFJ328680 BPF328680 BZB328680 CIX328680 CST328680 DCP328680 DML328680 DWH328680 EGD328680 EPZ328680 EZV328680 FJR328680 FTN328680 GDJ328680 GNF328680 GXB328680 HGX328680 HQT328680 IAP328680 IKL328680 IUH328680 JED328680 JNZ328680 JXV328680 KHR328680 KRN328680 LBJ328680 LLF328680 LVB328680 MEX328680 MOT328680 MYP328680 NIL328680 NSH328680 OCD328680 OLZ328680 OVV328680 PFR328680 PPN328680 PZJ328680 QJF328680 QTB328680 RCX328680 RMT328680 RWP328680 SGL328680 SQH328680 TAD328680 TJZ328680 TTV328680 UDR328680 UNN328680 UXJ328680 VHF328680 VRB328680 WAX328680 WKT328680 WUP328680 ID394216 RZ394216 ABV394216 ALR394216 AVN394216 BFJ394216 BPF394216 BZB394216 CIX394216 CST394216 DCP394216 DML394216 DWH394216 EGD394216 EPZ394216 EZV394216 FJR394216 FTN394216 GDJ394216 GNF394216 GXB394216 HGX394216 HQT394216 IAP394216 IKL394216 IUH394216 JED394216 JNZ394216 JXV394216 KHR394216 KRN394216 LBJ394216 LLF394216 LVB394216 MEX394216 MOT394216 MYP394216 NIL394216 NSH394216 OCD394216 OLZ394216 OVV394216 PFR394216 PPN394216 PZJ394216 QJF394216 QTB394216 RCX394216 RMT394216 RWP394216 SGL394216 SQH394216 TAD394216 TJZ394216 TTV394216 UDR394216 UNN394216 UXJ394216 VHF394216 VRB394216 WAX394216 WKT394216 WUP394216 ID459752 RZ459752 ABV459752 ALR459752 AVN459752 BFJ459752 BPF459752 BZB459752 CIX459752 CST459752 DCP459752 DML459752 DWH459752 EGD459752 EPZ459752 EZV459752 FJR459752 FTN459752 GDJ459752 GNF459752 GXB459752 HGX459752 HQT459752 IAP459752 IKL459752 IUH459752 JED459752 JNZ459752 JXV459752 KHR459752 KRN459752 LBJ459752 LLF459752 LVB459752 MEX459752 MOT459752 MYP459752 NIL459752 NSH459752 OCD459752 OLZ459752 OVV459752 PFR459752 PPN459752 PZJ459752 QJF459752 QTB459752 RCX459752 RMT459752 RWP459752 SGL459752 SQH459752 TAD459752 TJZ459752 TTV459752 UDR459752 UNN459752 UXJ459752 VHF459752 VRB459752 WAX459752 WKT459752 WUP459752 ID525288 RZ525288 ABV525288 ALR525288 AVN525288 BFJ525288 BPF525288 BZB525288 CIX525288 CST525288 DCP525288 DML525288 DWH525288 EGD525288 EPZ525288 EZV525288 FJR525288 FTN525288 GDJ525288 GNF525288 GXB525288 HGX525288 HQT525288 IAP525288 IKL525288 IUH525288 JED525288 JNZ525288 JXV525288 KHR525288 KRN525288 LBJ525288 LLF525288 LVB525288 MEX525288 MOT525288 MYP525288 NIL525288 NSH525288 OCD525288 OLZ525288 OVV525288 PFR525288 PPN525288 PZJ525288 QJF525288 QTB525288 RCX525288 RMT525288 RWP525288 SGL525288 SQH525288 TAD525288 TJZ525288 TTV525288 UDR525288 UNN525288 UXJ525288 VHF525288 VRB525288 WAX525288 WKT525288 WUP525288 ID590824 RZ590824 ABV590824 ALR590824 AVN590824 BFJ590824 BPF590824 BZB590824 CIX590824 CST590824 DCP590824 DML590824 DWH590824 EGD590824 EPZ590824 EZV590824 FJR590824 FTN590824 GDJ590824 GNF590824 GXB590824 HGX590824 HQT590824 IAP590824 IKL590824 IUH590824 JED590824 JNZ590824 JXV590824 KHR590824 KRN590824 LBJ590824 LLF590824 LVB590824 MEX590824 MOT590824 MYP590824 NIL590824 NSH590824 OCD590824 OLZ590824 OVV590824 PFR590824 PPN590824 PZJ590824 QJF590824 QTB590824 RCX590824 RMT590824 RWP590824 SGL590824 SQH590824 TAD590824 TJZ590824 TTV590824 UDR590824 UNN590824 UXJ590824 VHF590824 VRB590824 WAX590824 WKT590824 WUP590824 ID656360 RZ656360 ABV656360 ALR656360 AVN656360 BFJ656360 BPF656360 BZB656360 CIX656360 CST656360 DCP656360 DML656360 DWH656360 EGD656360 EPZ656360 EZV656360 FJR656360 FTN656360 GDJ656360 GNF656360 GXB656360 HGX656360 HQT656360 IAP656360 IKL656360 IUH656360 JED656360 JNZ656360 JXV656360 KHR656360 KRN656360 LBJ656360 LLF656360 LVB656360 MEX656360 MOT656360 MYP656360 NIL656360 NSH656360 OCD656360 OLZ656360 OVV656360 PFR656360 PPN656360 PZJ656360 QJF656360 QTB656360 RCX656360 RMT656360 RWP656360 SGL656360 SQH656360 TAD656360 TJZ656360 TTV656360 UDR656360 UNN656360 UXJ656360 VHF656360 VRB656360 WAX656360 WKT656360 WUP656360 ID721896 RZ721896 ABV721896 ALR721896 AVN721896 BFJ721896 BPF721896 BZB721896 CIX721896 CST721896 DCP721896 DML721896 DWH721896 EGD721896 EPZ721896 EZV721896 FJR721896 FTN721896 GDJ721896 GNF721896 GXB721896 HGX721896 HQT721896 IAP721896 IKL721896 IUH721896 JED721896 JNZ721896 JXV721896 KHR721896 KRN721896 LBJ721896 LLF721896 LVB721896 MEX721896 MOT721896 MYP721896 NIL721896 NSH721896 OCD721896 OLZ721896 OVV721896 PFR721896 PPN721896 PZJ721896 QJF721896 QTB721896 RCX721896 RMT721896 RWP721896 SGL721896 SQH721896 TAD721896 TJZ721896 TTV721896 UDR721896 UNN721896 UXJ721896 VHF721896 VRB721896 WAX721896 WKT721896 WUP721896 ID787432 RZ787432 ABV787432 ALR787432 AVN787432 BFJ787432 BPF787432 BZB787432 CIX787432 CST787432 DCP787432 DML787432 DWH787432 EGD787432 EPZ787432 EZV787432 FJR787432 FTN787432 GDJ787432 GNF787432 GXB787432 HGX787432 HQT787432 IAP787432 IKL787432 IUH787432 JED787432 JNZ787432 JXV787432 KHR787432 KRN787432 LBJ787432 LLF787432 LVB787432 MEX787432 MOT787432 MYP787432 NIL787432 NSH787432 OCD787432 OLZ787432 OVV787432 PFR787432 PPN787432 PZJ787432 QJF787432 QTB787432 RCX787432 RMT787432 RWP787432 SGL787432 SQH787432 TAD787432 TJZ787432 TTV787432 UDR787432 UNN787432 UXJ787432 VHF787432 VRB787432 WAX787432 WKT787432 WUP787432 ID852968 RZ852968 ABV852968 ALR852968 AVN852968 BFJ852968 BPF852968 BZB852968 CIX852968 CST852968 DCP852968 DML852968 DWH852968 EGD852968 EPZ852968 EZV852968 FJR852968 FTN852968 GDJ852968 GNF852968 GXB852968 HGX852968 HQT852968 IAP852968 IKL852968 IUH852968 JED852968 JNZ852968 JXV852968 KHR852968 KRN852968 LBJ852968 LLF852968 LVB852968 MEX852968 MOT852968 MYP852968 NIL852968 NSH852968 OCD852968 OLZ852968 OVV852968 PFR852968 PPN852968 PZJ852968 QJF852968 QTB852968 RCX852968 RMT852968 RWP852968 SGL852968 SQH852968 TAD852968 TJZ852968 TTV852968 UDR852968 UNN852968 UXJ852968 VHF852968 VRB852968 WAX852968 WKT852968 WUP852968 ID918504 RZ918504 ABV918504 ALR918504 AVN918504 BFJ918504 BPF918504 BZB918504 CIX918504 CST918504 DCP918504 DML918504 DWH918504 EGD918504 EPZ918504 EZV918504 FJR918504 FTN918504 GDJ918504 GNF918504 GXB918504 HGX918504 HQT918504 IAP918504 IKL918504 IUH918504 JED918504 JNZ918504 JXV918504 KHR918504 KRN918504 LBJ918504 LLF918504 LVB918504 MEX918504 MOT918504 MYP918504 NIL918504 NSH918504 OCD918504 OLZ918504 OVV918504 PFR918504 PPN918504 PZJ918504 QJF918504 QTB918504 RCX918504 RMT918504 RWP918504 SGL918504 SQH918504 TAD918504 TJZ918504 TTV918504 UDR918504 UNN918504 UXJ918504 VHF918504 VRB918504 WAX918504 WKT918504 WUP918504 ID984040 RZ984040 ABV984040 ALR984040 AVN984040 BFJ984040 BPF984040 BZB984040 CIX984040 CST984040 DCP984040 DML984040 DWH984040 EGD984040 EPZ984040 EZV984040 FJR984040 FTN984040 GDJ984040 GNF984040 GXB984040 HGX984040 HQT984040 IAP984040 IKL984040 IUH984040 JED984040 JNZ984040 JXV984040 KHR984040 KRN984040 LBJ984040 LLF984040 LVB984040 MEX984040 MOT984040 MYP984040 NIL984040 NSH984040 OCD984040 OLZ984040 OVV984040 PFR984040 PPN984040 PZJ984040 QJF984040 QTB984040 RCX984040 RMT984040 RWP984040 SGL984040 SQH984040 TAD984040 TJZ984040 TTV984040 UDR984040 UNN984040 UXJ984040 VHF984040 VRB984040 WAX984040 WKT984040 WUP984040 ID66077 RZ66077 ABV66077 ALR66077 AVN66077 BFJ66077 BPF66077 BZB66077 CIX66077 CST66077 DCP66077 DML66077 DWH66077 EGD66077 EPZ66077 EZV66077 FJR66077 FTN66077 GDJ66077 GNF66077 GXB66077 HGX66077 HQT66077 IAP66077 IKL66077 IUH66077 JED66077 JNZ66077 JXV66077 KHR66077 KRN66077 LBJ66077 LLF66077 LVB66077 MEX66077 MOT66077 MYP66077 NIL66077 NSH66077 OCD66077 OLZ66077 OVV66077 PFR66077 PPN66077 PZJ66077 QJF66077 QTB66077 RCX66077 RMT66077 RWP66077 SGL66077 SQH66077 TAD66077 TJZ66077 TTV66077 UDR66077 UNN66077 UXJ66077 VHF66077 VRB66077 WAX66077 WKT66077 WUP66077 ID131613 RZ131613 ABV131613 ALR131613 AVN131613 BFJ131613 BPF131613 BZB131613 CIX131613 CST131613 DCP131613 DML131613 DWH131613 EGD131613 EPZ131613 EZV131613 FJR131613 FTN131613 GDJ131613 GNF131613 GXB131613 HGX131613 HQT131613 IAP131613 IKL131613 IUH131613 JED131613 JNZ131613 JXV131613 KHR131613 KRN131613 LBJ131613 LLF131613 LVB131613 MEX131613 MOT131613 MYP131613 NIL131613 NSH131613 OCD131613 OLZ131613 OVV131613 PFR131613 PPN131613 PZJ131613 QJF131613 QTB131613 RCX131613 RMT131613 RWP131613 SGL131613 SQH131613 TAD131613 TJZ131613 TTV131613 UDR131613 UNN131613 UXJ131613 VHF131613 VRB131613 WAX131613 WKT131613 WUP131613 ID197149 RZ197149 ABV197149 ALR197149 AVN197149 BFJ197149 BPF197149 BZB197149 CIX197149 CST197149 DCP197149 DML197149 DWH197149 EGD197149 EPZ197149 EZV197149 FJR197149 FTN197149 GDJ197149 GNF197149 GXB197149 HGX197149 HQT197149 IAP197149 IKL197149 IUH197149 JED197149 JNZ197149 JXV197149 KHR197149 KRN197149 LBJ197149 LLF197149 LVB197149 MEX197149 MOT197149 MYP197149 NIL197149 NSH197149 OCD197149 OLZ197149 OVV197149 PFR197149 PPN197149 PZJ197149 QJF197149 QTB197149 RCX197149 RMT197149 RWP197149 SGL197149 SQH197149 TAD197149 TJZ197149 TTV197149 UDR197149 UNN197149 UXJ197149 VHF197149 VRB197149 WAX197149 WKT197149 WUP197149 ID262685 RZ262685 ABV262685 ALR262685 AVN262685 BFJ262685 BPF262685 BZB262685 CIX262685 CST262685 DCP262685 DML262685 DWH262685 EGD262685 EPZ262685 EZV262685 FJR262685 FTN262685 GDJ262685 GNF262685 GXB262685 HGX262685 HQT262685 IAP262685 IKL262685 IUH262685 JED262685 JNZ262685 JXV262685 KHR262685 KRN262685 LBJ262685 LLF262685 LVB262685 MEX262685 MOT262685 MYP262685 NIL262685 NSH262685 OCD262685 OLZ262685 OVV262685 PFR262685 PPN262685 PZJ262685 QJF262685 QTB262685 RCX262685 RMT262685 RWP262685 SGL262685 SQH262685 TAD262685 TJZ262685 TTV262685 UDR262685 UNN262685 UXJ262685 VHF262685 VRB262685 WAX262685 WKT262685 WUP262685 ID328221 RZ328221 ABV328221 ALR328221 AVN328221 BFJ328221 BPF328221 BZB328221 CIX328221 CST328221 DCP328221 DML328221 DWH328221 EGD328221 EPZ328221 EZV328221 FJR328221 FTN328221 GDJ328221 GNF328221 GXB328221 HGX328221 HQT328221 IAP328221 IKL328221 IUH328221 JED328221 JNZ328221 JXV328221 KHR328221 KRN328221 LBJ328221 LLF328221 LVB328221 MEX328221 MOT328221 MYP328221 NIL328221 NSH328221 OCD328221 OLZ328221 OVV328221 PFR328221 PPN328221 PZJ328221 QJF328221 QTB328221 RCX328221 RMT328221 RWP328221 SGL328221 SQH328221 TAD328221 TJZ328221 TTV328221 UDR328221 UNN328221 UXJ328221 VHF328221 VRB328221 WAX328221 WKT328221 WUP328221 ID393757 RZ393757 ABV393757 ALR393757 AVN393757 BFJ393757 BPF393757 BZB393757 CIX393757 CST393757 DCP393757 DML393757 DWH393757 EGD393757 EPZ393757 EZV393757 FJR393757 FTN393757 GDJ393757 GNF393757 GXB393757 HGX393757 HQT393757 IAP393757 IKL393757 IUH393757 JED393757 JNZ393757 JXV393757 KHR393757 KRN393757 LBJ393757 LLF393757 LVB393757 MEX393757 MOT393757 MYP393757 NIL393757 NSH393757 OCD393757 OLZ393757 OVV393757 PFR393757 PPN393757 PZJ393757 QJF393757 QTB393757 RCX393757 RMT393757 RWP393757 SGL393757 SQH393757 TAD393757 TJZ393757 TTV393757 UDR393757 UNN393757 UXJ393757 VHF393757 VRB393757 WAX393757 WKT393757 WUP393757 ID459293 RZ459293 ABV459293 ALR459293 AVN459293 BFJ459293 BPF459293 BZB459293 CIX459293 CST459293 DCP459293 DML459293 DWH459293 EGD459293 EPZ459293 EZV459293 FJR459293 FTN459293 GDJ459293 GNF459293 GXB459293 HGX459293 HQT459293 IAP459293 IKL459293 IUH459293 JED459293 JNZ459293 JXV459293 KHR459293 KRN459293 LBJ459293 LLF459293 LVB459293 MEX459293 MOT459293 MYP459293 NIL459293 NSH459293 OCD459293 OLZ459293 OVV459293 PFR459293 PPN459293 PZJ459293 QJF459293 QTB459293 RCX459293 RMT459293 RWP459293 SGL459293 SQH459293 TAD459293 TJZ459293 TTV459293 UDR459293 UNN459293 UXJ459293 VHF459293 VRB459293 WAX459293 WKT459293 WUP459293 ID524829 RZ524829 ABV524829 ALR524829 AVN524829 BFJ524829 BPF524829 BZB524829 CIX524829 CST524829 DCP524829 DML524829 DWH524829 EGD524829 EPZ524829 EZV524829 FJR524829 FTN524829 GDJ524829 GNF524829 GXB524829 HGX524829 HQT524829 IAP524829 IKL524829 IUH524829 JED524829 JNZ524829 JXV524829 KHR524829 KRN524829 LBJ524829 LLF524829 LVB524829 MEX524829 MOT524829 MYP524829 NIL524829 NSH524829 OCD524829 OLZ524829 OVV524829 PFR524829 PPN524829 PZJ524829 QJF524829 QTB524829 RCX524829 RMT524829 RWP524829 SGL524829 SQH524829 TAD524829 TJZ524829 TTV524829 UDR524829 UNN524829 UXJ524829 VHF524829 VRB524829 WAX524829 WKT524829 WUP524829 ID590365 RZ590365 ABV590365 ALR590365 AVN590365 BFJ590365 BPF590365 BZB590365 CIX590365 CST590365 DCP590365 DML590365 DWH590365 EGD590365 EPZ590365 EZV590365 FJR590365 FTN590365 GDJ590365 GNF590365 GXB590365 HGX590365 HQT590365 IAP590365 IKL590365 IUH590365 JED590365 JNZ590365 JXV590365 KHR590365 KRN590365 LBJ590365 LLF590365 LVB590365 MEX590365 MOT590365 MYP590365 NIL590365 NSH590365 OCD590365 OLZ590365 OVV590365 PFR590365 PPN590365 PZJ590365 QJF590365 QTB590365 RCX590365 RMT590365 RWP590365 SGL590365 SQH590365 TAD590365 TJZ590365 TTV590365 UDR590365 UNN590365 UXJ590365 VHF590365 VRB590365 WAX590365 WKT590365 WUP590365 ID655901 RZ655901 ABV655901 ALR655901 AVN655901 BFJ655901 BPF655901 BZB655901 CIX655901 CST655901 DCP655901 DML655901 DWH655901 EGD655901 EPZ655901 EZV655901 FJR655901 FTN655901 GDJ655901 GNF655901 GXB655901 HGX655901 HQT655901 IAP655901 IKL655901 IUH655901 JED655901 JNZ655901 JXV655901 KHR655901 KRN655901 LBJ655901 LLF655901 LVB655901 MEX655901 MOT655901 MYP655901 NIL655901 NSH655901 OCD655901 OLZ655901 OVV655901 PFR655901 PPN655901 PZJ655901 QJF655901 QTB655901 RCX655901 RMT655901 RWP655901 SGL655901 SQH655901 TAD655901 TJZ655901 TTV655901 UDR655901 UNN655901 UXJ655901 VHF655901 VRB655901 WAX655901 WKT655901 WUP655901 ID721437 RZ721437 ABV721437 ALR721437 AVN721437 BFJ721437 BPF721437 BZB721437 CIX721437 CST721437 DCP721437 DML721437 DWH721437 EGD721437 EPZ721437 EZV721437 FJR721437 FTN721437 GDJ721437 GNF721437 GXB721437 HGX721437 HQT721437 IAP721437 IKL721437 IUH721437 JED721437 JNZ721437 JXV721437 KHR721437 KRN721437 LBJ721437 LLF721437 LVB721437 MEX721437 MOT721437 MYP721437 NIL721437 NSH721437 OCD721437 OLZ721437 OVV721437 PFR721437 PPN721437 PZJ721437 QJF721437 QTB721437 RCX721437 RMT721437 RWP721437 SGL721437 SQH721437 TAD721437 TJZ721437 TTV721437 UDR721437 UNN721437 UXJ721437 VHF721437 VRB721437 WAX721437 WKT721437 WUP721437 ID786973 RZ786973 ABV786973 ALR786973 AVN786973 BFJ786973 BPF786973 BZB786973 CIX786973 CST786973 DCP786973 DML786973 DWH786973 EGD786973 EPZ786973 EZV786973 FJR786973 FTN786973 GDJ786973 GNF786973 GXB786973 HGX786973 HQT786973 IAP786973 IKL786973 IUH786973 JED786973 JNZ786973 JXV786973 KHR786973 KRN786973 LBJ786973 LLF786973 LVB786973 MEX786973 MOT786973 MYP786973 NIL786973 NSH786973 OCD786973 OLZ786973 OVV786973 PFR786973 PPN786973 PZJ786973 QJF786973 QTB786973 RCX786973 RMT786973 RWP786973 SGL786973 SQH786973 TAD786973 TJZ786973 TTV786973 UDR786973 UNN786973 UXJ786973 VHF786973 VRB786973 WAX786973 WKT786973 WUP786973 ID852509 RZ852509 ABV852509 ALR852509 AVN852509 BFJ852509 BPF852509 BZB852509 CIX852509 CST852509 DCP852509 DML852509 DWH852509 EGD852509 EPZ852509 EZV852509 FJR852509 FTN852509 GDJ852509 GNF852509 GXB852509 HGX852509 HQT852509 IAP852509 IKL852509 IUH852509 JED852509 JNZ852509 JXV852509 KHR852509 KRN852509 LBJ852509 LLF852509 LVB852509 MEX852509 MOT852509 MYP852509 NIL852509 NSH852509 OCD852509 OLZ852509 OVV852509 PFR852509 PPN852509 PZJ852509 QJF852509 QTB852509 RCX852509 RMT852509 RWP852509 SGL852509 SQH852509 TAD852509 TJZ852509 TTV852509 UDR852509 UNN852509 UXJ852509 VHF852509 VRB852509 WAX852509 WKT852509 WUP852509 ID918045 RZ918045 ABV918045 ALR918045 AVN918045 BFJ918045 BPF918045 BZB918045 CIX918045 CST918045 DCP918045 DML918045 DWH918045 EGD918045 EPZ918045 EZV918045 FJR918045 FTN918045 GDJ918045 GNF918045 GXB918045 HGX918045 HQT918045 IAP918045 IKL918045 IUH918045 JED918045 JNZ918045 JXV918045 KHR918045 KRN918045 LBJ918045 LLF918045 LVB918045 MEX918045 MOT918045 MYP918045 NIL918045 NSH918045 OCD918045 OLZ918045 OVV918045 PFR918045 PPN918045 PZJ918045 QJF918045 QTB918045 RCX918045 RMT918045 RWP918045 SGL918045 SQH918045 TAD918045 TJZ918045 TTV918045 UDR918045 UNN918045 UXJ918045 VHF918045 VRB918045 WAX918045 WKT918045 WUP918045 ID983581 RZ983581 ABV983581 ALR983581 AVN983581 BFJ983581 BPF983581 BZB983581 CIX983581 CST983581 DCP983581 DML983581 DWH983581 EGD983581 EPZ983581 EZV983581 FJR983581 FTN983581 GDJ983581 GNF983581 GXB983581 HGX983581 HQT983581 IAP983581 IKL983581 IUH983581 JED983581 JNZ983581 JXV983581 KHR983581 KRN983581 LBJ983581 LLF983581 LVB983581 MEX983581 MOT983581 MYP983581 NIL983581 NSH983581 OCD983581 OLZ983581 OVV983581 PFR983581 PPN983581 PZJ983581 QJF983581 QTB983581 RCX983581 RMT983581 RWP983581 SGL983581 SQH983581 TAD983581 TJZ983581 TTV983581 UDR983581 UNN983581 UXJ983581 VHF983581 VRB983581 WAX983581 WKT983581 WUP983581 ID65966 RZ65966 ABV65966 ALR65966 AVN65966 BFJ65966 BPF65966 BZB65966 CIX65966 CST65966 DCP65966 DML65966 DWH65966 EGD65966 EPZ65966 EZV65966 FJR65966 FTN65966 GDJ65966 GNF65966 GXB65966 HGX65966 HQT65966 IAP65966 IKL65966 IUH65966 JED65966 JNZ65966 JXV65966 KHR65966 KRN65966 LBJ65966 LLF65966 LVB65966 MEX65966 MOT65966 MYP65966 NIL65966 NSH65966 OCD65966 OLZ65966 OVV65966 PFR65966 PPN65966 PZJ65966 QJF65966 QTB65966 RCX65966 RMT65966 RWP65966 SGL65966 SQH65966 TAD65966 TJZ65966 TTV65966 UDR65966 UNN65966 UXJ65966 VHF65966 VRB65966 WAX65966 WKT65966 WUP65966 ID131502 RZ131502 ABV131502 ALR131502 AVN131502 BFJ131502 BPF131502 BZB131502 CIX131502 CST131502 DCP131502 DML131502 DWH131502 EGD131502 EPZ131502 EZV131502 FJR131502 FTN131502 GDJ131502 GNF131502 GXB131502 HGX131502 HQT131502 IAP131502 IKL131502 IUH131502 JED131502 JNZ131502 JXV131502 KHR131502 KRN131502 LBJ131502 LLF131502 LVB131502 MEX131502 MOT131502 MYP131502 NIL131502 NSH131502 OCD131502 OLZ131502 OVV131502 PFR131502 PPN131502 PZJ131502 QJF131502 QTB131502 RCX131502 RMT131502 RWP131502 SGL131502 SQH131502 TAD131502 TJZ131502 TTV131502 UDR131502 UNN131502 UXJ131502 VHF131502 VRB131502 WAX131502 WKT131502 WUP131502 ID197038 RZ197038 ABV197038 ALR197038 AVN197038 BFJ197038 BPF197038 BZB197038 CIX197038 CST197038 DCP197038 DML197038 DWH197038 EGD197038 EPZ197038 EZV197038 FJR197038 FTN197038 GDJ197038 GNF197038 GXB197038 HGX197038 HQT197038 IAP197038 IKL197038 IUH197038 JED197038 JNZ197038 JXV197038 KHR197038 KRN197038 LBJ197038 LLF197038 LVB197038 MEX197038 MOT197038 MYP197038 NIL197038 NSH197038 OCD197038 OLZ197038 OVV197038 PFR197038 PPN197038 PZJ197038 QJF197038 QTB197038 RCX197038 RMT197038 RWP197038 SGL197038 SQH197038 TAD197038 TJZ197038 TTV197038 UDR197038 UNN197038 UXJ197038 VHF197038 VRB197038 WAX197038 WKT197038 WUP197038 ID262574 RZ262574 ABV262574 ALR262574 AVN262574 BFJ262574 BPF262574 BZB262574 CIX262574 CST262574 DCP262574 DML262574 DWH262574 EGD262574 EPZ262574 EZV262574 FJR262574 FTN262574 GDJ262574 GNF262574 GXB262574 HGX262574 HQT262574 IAP262574 IKL262574 IUH262574 JED262574 JNZ262574 JXV262574 KHR262574 KRN262574 LBJ262574 LLF262574 LVB262574 MEX262574 MOT262574 MYP262574 NIL262574 NSH262574 OCD262574 OLZ262574 OVV262574 PFR262574 PPN262574 PZJ262574 QJF262574 QTB262574 RCX262574 RMT262574 RWP262574 SGL262574 SQH262574 TAD262574 TJZ262574 TTV262574 UDR262574 UNN262574 UXJ262574 VHF262574 VRB262574 WAX262574 WKT262574 WUP262574 ID328110 RZ328110 ABV328110 ALR328110 AVN328110 BFJ328110 BPF328110 BZB328110 CIX328110 CST328110 DCP328110 DML328110 DWH328110 EGD328110 EPZ328110 EZV328110 FJR328110 FTN328110 GDJ328110 GNF328110 GXB328110 HGX328110 HQT328110 IAP328110 IKL328110 IUH328110 JED328110 JNZ328110 JXV328110 KHR328110 KRN328110 LBJ328110 LLF328110 LVB328110 MEX328110 MOT328110 MYP328110 NIL328110 NSH328110 OCD328110 OLZ328110 OVV328110 PFR328110 PPN328110 PZJ328110 QJF328110 QTB328110 RCX328110 RMT328110 RWP328110 SGL328110 SQH328110 TAD328110 TJZ328110 TTV328110 UDR328110 UNN328110 UXJ328110 VHF328110 VRB328110 WAX328110 WKT328110 WUP328110 ID393646 RZ393646 ABV393646 ALR393646 AVN393646 BFJ393646 BPF393646 BZB393646 CIX393646 CST393646 DCP393646 DML393646 DWH393646 EGD393646 EPZ393646 EZV393646 FJR393646 FTN393646 GDJ393646 GNF393646 GXB393646 HGX393646 HQT393646 IAP393646 IKL393646 IUH393646 JED393646 JNZ393646 JXV393646 KHR393646 KRN393646 LBJ393646 LLF393646 LVB393646 MEX393646 MOT393646 MYP393646 NIL393646 NSH393646 OCD393646 OLZ393646 OVV393646 PFR393646 PPN393646 PZJ393646 QJF393646 QTB393646 RCX393646 RMT393646 RWP393646 SGL393646 SQH393646 TAD393646 TJZ393646 TTV393646 UDR393646 UNN393646 UXJ393646 VHF393646 VRB393646 WAX393646 WKT393646 WUP393646 ID459182 RZ459182 ABV459182 ALR459182 AVN459182 BFJ459182 BPF459182 BZB459182 CIX459182 CST459182 DCP459182 DML459182 DWH459182 EGD459182 EPZ459182 EZV459182 FJR459182 FTN459182 GDJ459182 GNF459182 GXB459182 HGX459182 HQT459182 IAP459182 IKL459182 IUH459182 JED459182 JNZ459182 JXV459182 KHR459182 KRN459182 LBJ459182 LLF459182 LVB459182 MEX459182 MOT459182 MYP459182 NIL459182 NSH459182 OCD459182 OLZ459182 OVV459182 PFR459182 PPN459182 PZJ459182 QJF459182 QTB459182 RCX459182 RMT459182 RWP459182 SGL459182 SQH459182 TAD459182 TJZ459182 TTV459182 UDR459182 UNN459182 UXJ459182 VHF459182 VRB459182 WAX459182 WKT459182 WUP459182 ID524718 RZ524718 ABV524718 ALR524718 AVN524718 BFJ524718 BPF524718 BZB524718 CIX524718 CST524718 DCP524718 DML524718 DWH524718 EGD524718 EPZ524718 EZV524718 FJR524718 FTN524718 GDJ524718 GNF524718 GXB524718 HGX524718 HQT524718 IAP524718 IKL524718 IUH524718 JED524718 JNZ524718 JXV524718 KHR524718 KRN524718 LBJ524718 LLF524718 LVB524718 MEX524718 MOT524718 MYP524718 NIL524718 NSH524718 OCD524718 OLZ524718 OVV524718 PFR524718 PPN524718 PZJ524718 QJF524718 QTB524718 RCX524718 RMT524718 RWP524718 SGL524718 SQH524718 TAD524718 TJZ524718 TTV524718 UDR524718 UNN524718 UXJ524718 VHF524718 VRB524718 WAX524718 WKT524718 WUP524718 ID590254 RZ590254 ABV590254 ALR590254 AVN590254 BFJ590254 BPF590254 BZB590254 CIX590254 CST590254 DCP590254 DML590254 DWH590254 EGD590254 EPZ590254 EZV590254 FJR590254 FTN590254 GDJ590254 GNF590254 GXB590254 HGX590254 HQT590254 IAP590254 IKL590254 IUH590254 JED590254 JNZ590254 JXV590254 KHR590254 KRN590254 LBJ590254 LLF590254 LVB590254 MEX590254 MOT590254 MYP590254 NIL590254 NSH590254 OCD590254 OLZ590254 OVV590254 PFR590254 PPN590254 PZJ590254 QJF590254 QTB590254 RCX590254 RMT590254 RWP590254 SGL590254 SQH590254 TAD590254 TJZ590254 TTV590254 UDR590254 UNN590254 UXJ590254 VHF590254 VRB590254 WAX590254 WKT590254 WUP590254 ID655790 RZ655790 ABV655790 ALR655790 AVN655790 BFJ655790 BPF655790 BZB655790 CIX655790 CST655790 DCP655790 DML655790 DWH655790 EGD655790 EPZ655790 EZV655790 FJR655790 FTN655790 GDJ655790 GNF655790 GXB655790 HGX655790 HQT655790 IAP655790 IKL655790 IUH655790 JED655790 JNZ655790 JXV655790 KHR655790 KRN655790 LBJ655790 LLF655790 LVB655790 MEX655790 MOT655790 MYP655790 NIL655790 NSH655790 OCD655790 OLZ655790 OVV655790 PFR655790 PPN655790 PZJ655790 QJF655790 QTB655790 RCX655790 RMT655790 RWP655790 SGL655790 SQH655790 TAD655790 TJZ655790 TTV655790 UDR655790 UNN655790 UXJ655790 VHF655790 VRB655790 WAX655790 WKT655790 WUP655790 ID721326 RZ721326 ABV721326 ALR721326 AVN721326 BFJ721326 BPF721326 BZB721326 CIX721326 CST721326 DCP721326 DML721326 DWH721326 EGD721326 EPZ721326 EZV721326 FJR721326 FTN721326 GDJ721326 GNF721326 GXB721326 HGX721326 HQT721326 IAP721326 IKL721326 IUH721326 JED721326 JNZ721326 JXV721326 KHR721326 KRN721326 LBJ721326 LLF721326 LVB721326 MEX721326 MOT721326 MYP721326 NIL721326 NSH721326 OCD721326 OLZ721326 OVV721326 PFR721326 PPN721326 PZJ721326 QJF721326 QTB721326 RCX721326 RMT721326 RWP721326 SGL721326 SQH721326 TAD721326 TJZ721326 TTV721326 UDR721326 UNN721326 UXJ721326 VHF721326 VRB721326 WAX721326 WKT721326 WUP721326 ID786862 RZ786862 ABV786862 ALR786862 AVN786862 BFJ786862 BPF786862 BZB786862 CIX786862 CST786862 DCP786862 DML786862 DWH786862 EGD786862 EPZ786862 EZV786862 FJR786862 FTN786862 GDJ786862 GNF786862 GXB786862 HGX786862 HQT786862 IAP786862 IKL786862 IUH786862 JED786862 JNZ786862 JXV786862 KHR786862 KRN786862 LBJ786862 LLF786862 LVB786862 MEX786862 MOT786862 MYP786862 NIL786862 NSH786862 OCD786862 OLZ786862 OVV786862 PFR786862 PPN786862 PZJ786862 QJF786862 QTB786862 RCX786862 RMT786862 RWP786862 SGL786862 SQH786862 TAD786862 TJZ786862 TTV786862 UDR786862 UNN786862 UXJ786862 VHF786862 VRB786862 WAX786862 WKT786862 WUP786862 ID852398 RZ852398 ABV852398 ALR852398 AVN852398 BFJ852398 BPF852398 BZB852398 CIX852398 CST852398 DCP852398 DML852398 DWH852398 EGD852398 EPZ852398 EZV852398 FJR852398 FTN852398 GDJ852398 GNF852398 GXB852398 HGX852398 HQT852398 IAP852398 IKL852398 IUH852398 JED852398 JNZ852398 JXV852398 KHR852398 KRN852398 LBJ852398 LLF852398 LVB852398 MEX852398 MOT852398 MYP852398 NIL852398 NSH852398 OCD852398 OLZ852398 OVV852398 PFR852398 PPN852398 PZJ852398 QJF852398 QTB852398 RCX852398 RMT852398 RWP852398 SGL852398 SQH852398 TAD852398 TJZ852398 TTV852398 UDR852398 UNN852398 UXJ852398 VHF852398 VRB852398 WAX852398 WKT852398 WUP852398 ID917934 RZ917934 ABV917934 ALR917934 AVN917934 BFJ917934 BPF917934 BZB917934 CIX917934 CST917934 DCP917934 DML917934 DWH917934 EGD917934 EPZ917934 EZV917934 FJR917934 FTN917934 GDJ917934 GNF917934 GXB917934 HGX917934 HQT917934 IAP917934 IKL917934 IUH917934 JED917934 JNZ917934 JXV917934 KHR917934 KRN917934 LBJ917934 LLF917934 LVB917934 MEX917934 MOT917934 MYP917934 NIL917934 NSH917934 OCD917934 OLZ917934 OVV917934 PFR917934 PPN917934 PZJ917934 QJF917934 QTB917934 RCX917934 RMT917934 RWP917934 SGL917934 SQH917934 TAD917934 TJZ917934 TTV917934 UDR917934 UNN917934 UXJ917934 VHF917934 VRB917934 WAX917934 WKT917934 WUP917934 ID983470 RZ983470 ABV983470 ALR983470 AVN983470 BFJ983470 BPF983470 BZB983470 CIX983470 CST983470 DCP983470 DML983470 DWH983470 EGD983470 EPZ983470 EZV983470 FJR983470 FTN983470 GDJ983470 GNF983470 GXB983470 HGX983470 HQT983470 IAP983470 IKL983470 IUH983470 JED983470 JNZ983470 JXV983470 KHR983470 KRN983470 LBJ983470 LLF983470 LVB983470 MEX983470 MOT983470 MYP983470 NIL983470 NSH983470 OCD983470 OLZ983470 OVV983470 PFR983470 PPN983470 PZJ983470 QJF983470 QTB983470 RCX983470 RMT983470 RWP983470 SGL983470 SQH983470 TAD983470 TJZ983470 TTV983470 UDR983470 UNN983470 UXJ983470 VHF983470 VRB983470 WAX983470 WKT983470 WUP983470 ID65784 RZ65784 ABV65784 ALR65784 AVN65784 BFJ65784 BPF65784 BZB65784 CIX65784 CST65784 DCP65784 DML65784 DWH65784 EGD65784 EPZ65784 EZV65784 FJR65784 FTN65784 GDJ65784 GNF65784 GXB65784 HGX65784 HQT65784 IAP65784 IKL65784 IUH65784 JED65784 JNZ65784 JXV65784 KHR65784 KRN65784 LBJ65784 LLF65784 LVB65784 MEX65784 MOT65784 MYP65784 NIL65784 NSH65784 OCD65784 OLZ65784 OVV65784 PFR65784 PPN65784 PZJ65784 QJF65784 QTB65784 RCX65784 RMT65784 RWP65784 SGL65784 SQH65784 TAD65784 TJZ65784 TTV65784 UDR65784 UNN65784 UXJ65784 VHF65784 VRB65784 WAX65784 WKT65784 WUP65784 ID131320 RZ131320 ABV131320 ALR131320 AVN131320 BFJ131320 BPF131320 BZB131320 CIX131320 CST131320 DCP131320 DML131320 DWH131320 EGD131320 EPZ131320 EZV131320 FJR131320 FTN131320 GDJ131320 GNF131320 GXB131320 HGX131320 HQT131320 IAP131320 IKL131320 IUH131320 JED131320 JNZ131320 JXV131320 KHR131320 KRN131320 LBJ131320 LLF131320 LVB131320 MEX131320 MOT131320 MYP131320 NIL131320 NSH131320 OCD131320 OLZ131320 OVV131320 PFR131320 PPN131320 PZJ131320 QJF131320 QTB131320 RCX131320 RMT131320 RWP131320 SGL131320 SQH131320 TAD131320 TJZ131320 TTV131320 UDR131320 UNN131320 UXJ131320 VHF131320 VRB131320 WAX131320 WKT131320 WUP131320 ID196856 RZ196856 ABV196856 ALR196856 AVN196856 BFJ196856 BPF196856 BZB196856 CIX196856 CST196856 DCP196856 DML196856 DWH196856 EGD196856 EPZ196856 EZV196856 FJR196856 FTN196856 GDJ196856 GNF196856 GXB196856 HGX196856 HQT196856 IAP196856 IKL196856 IUH196856 JED196856 JNZ196856 JXV196856 KHR196856 KRN196856 LBJ196856 LLF196856 LVB196856 MEX196856 MOT196856 MYP196856 NIL196856 NSH196856 OCD196856 OLZ196856 OVV196856 PFR196856 PPN196856 PZJ196856 QJF196856 QTB196856 RCX196856 RMT196856 RWP196856 SGL196856 SQH196856 TAD196856 TJZ196856 TTV196856 UDR196856 UNN196856 UXJ196856 VHF196856 VRB196856 WAX196856 WKT196856 WUP196856 ID262392 RZ262392 ABV262392 ALR262392 AVN262392 BFJ262392 BPF262392 BZB262392 CIX262392 CST262392 DCP262392 DML262392 DWH262392 EGD262392 EPZ262392 EZV262392 FJR262392 FTN262392 GDJ262392 GNF262392 GXB262392 HGX262392 HQT262392 IAP262392 IKL262392 IUH262392 JED262392 JNZ262392 JXV262392 KHR262392 KRN262392 LBJ262392 LLF262392 LVB262392 MEX262392 MOT262392 MYP262392 NIL262392 NSH262392 OCD262392 OLZ262392 OVV262392 PFR262392 PPN262392 PZJ262392 QJF262392 QTB262392 RCX262392 RMT262392 RWP262392 SGL262392 SQH262392 TAD262392 TJZ262392 TTV262392 UDR262392 UNN262392 UXJ262392 VHF262392 VRB262392 WAX262392 WKT262392 WUP262392 ID327928 RZ327928 ABV327928 ALR327928 AVN327928 BFJ327928 BPF327928 BZB327928 CIX327928 CST327928 DCP327928 DML327928 DWH327928 EGD327928 EPZ327928 EZV327928 FJR327928 FTN327928 GDJ327928 GNF327928 GXB327928 HGX327928 HQT327928 IAP327928 IKL327928 IUH327928 JED327928 JNZ327928 JXV327928 KHR327928 KRN327928 LBJ327928 LLF327928 LVB327928 MEX327928 MOT327928 MYP327928 NIL327928 NSH327928 OCD327928 OLZ327928 OVV327928 PFR327928 PPN327928 PZJ327928 QJF327928 QTB327928 RCX327928 RMT327928 RWP327928 SGL327928 SQH327928 TAD327928 TJZ327928 TTV327928 UDR327928 UNN327928 UXJ327928 VHF327928 VRB327928 WAX327928 WKT327928 WUP327928 ID393464 RZ393464 ABV393464 ALR393464 AVN393464 BFJ393464 BPF393464 BZB393464 CIX393464 CST393464 DCP393464 DML393464 DWH393464 EGD393464 EPZ393464 EZV393464 FJR393464 FTN393464 GDJ393464 GNF393464 GXB393464 HGX393464 HQT393464 IAP393464 IKL393464 IUH393464 JED393464 JNZ393464 JXV393464 KHR393464 KRN393464 LBJ393464 LLF393464 LVB393464 MEX393464 MOT393464 MYP393464 NIL393464 NSH393464 OCD393464 OLZ393464 OVV393464 PFR393464 PPN393464 PZJ393464 QJF393464 QTB393464 RCX393464 RMT393464 RWP393464 SGL393464 SQH393464 TAD393464 TJZ393464 TTV393464 UDR393464 UNN393464 UXJ393464 VHF393464 VRB393464 WAX393464 WKT393464 WUP393464 ID459000 RZ459000 ABV459000 ALR459000 AVN459000 BFJ459000 BPF459000 BZB459000 CIX459000 CST459000 DCP459000 DML459000 DWH459000 EGD459000 EPZ459000 EZV459000 FJR459000 FTN459000 GDJ459000 GNF459000 GXB459000 HGX459000 HQT459000 IAP459000 IKL459000 IUH459000 JED459000 JNZ459000 JXV459000 KHR459000 KRN459000 LBJ459000 LLF459000 LVB459000 MEX459000 MOT459000 MYP459000 NIL459000 NSH459000 OCD459000 OLZ459000 OVV459000 PFR459000 PPN459000 PZJ459000 QJF459000 QTB459000 RCX459000 RMT459000 RWP459000 SGL459000 SQH459000 TAD459000 TJZ459000 TTV459000 UDR459000 UNN459000 UXJ459000 VHF459000 VRB459000 WAX459000 WKT459000 WUP459000 ID524536 RZ524536 ABV524536 ALR524536 AVN524536 BFJ524536 BPF524536 BZB524536 CIX524536 CST524536 DCP524536 DML524536 DWH524536 EGD524536 EPZ524536 EZV524536 FJR524536 FTN524536 GDJ524536 GNF524536 GXB524536 HGX524536 HQT524536 IAP524536 IKL524536 IUH524536 JED524536 JNZ524536 JXV524536 KHR524536 KRN524536 LBJ524536 LLF524536 LVB524536 MEX524536 MOT524536 MYP524536 NIL524536 NSH524536 OCD524536 OLZ524536 OVV524536 PFR524536 PPN524536 PZJ524536 QJF524536 QTB524536 RCX524536 RMT524536 RWP524536 SGL524536 SQH524536 TAD524536 TJZ524536 TTV524536 UDR524536 UNN524536 UXJ524536 VHF524536 VRB524536 WAX524536 WKT524536 WUP524536 ID590072 RZ590072 ABV590072 ALR590072 AVN590072 BFJ590072 BPF590072 BZB590072 CIX590072 CST590072 DCP590072 DML590072 DWH590072 EGD590072 EPZ590072 EZV590072 FJR590072 FTN590072 GDJ590072 GNF590072 GXB590072 HGX590072 HQT590072 IAP590072 IKL590072 IUH590072 JED590072 JNZ590072 JXV590072 KHR590072 KRN590072 LBJ590072 LLF590072 LVB590072 MEX590072 MOT590072 MYP590072 NIL590072 NSH590072 OCD590072 OLZ590072 OVV590072 PFR590072 PPN590072 PZJ590072 QJF590072 QTB590072 RCX590072 RMT590072 RWP590072 SGL590072 SQH590072 TAD590072 TJZ590072 TTV590072 UDR590072 UNN590072 UXJ590072 VHF590072 VRB590072 WAX590072 WKT590072 WUP590072 ID655608 RZ655608 ABV655608 ALR655608 AVN655608 BFJ655608 BPF655608 BZB655608 CIX655608 CST655608 DCP655608 DML655608 DWH655608 EGD655608 EPZ655608 EZV655608 FJR655608 FTN655608 GDJ655608 GNF655608 GXB655608 HGX655608 HQT655608 IAP655608 IKL655608 IUH655608 JED655608 JNZ655608 JXV655608 KHR655608 KRN655608 LBJ655608 LLF655608 LVB655608 MEX655608 MOT655608 MYP655608 NIL655608 NSH655608 OCD655608 OLZ655608 OVV655608 PFR655608 PPN655608 PZJ655608 QJF655608 QTB655608 RCX655608 RMT655608 RWP655608 SGL655608 SQH655608 TAD655608 TJZ655608 TTV655608 UDR655608 UNN655608 UXJ655608 VHF655608 VRB655608 WAX655608 WKT655608 WUP655608 ID721144 RZ721144 ABV721144 ALR721144 AVN721144 BFJ721144 BPF721144 BZB721144 CIX721144 CST721144 DCP721144 DML721144 DWH721144 EGD721144 EPZ721144 EZV721144 FJR721144 FTN721144 GDJ721144 GNF721144 GXB721144 HGX721144 HQT721144 IAP721144 IKL721144 IUH721144 JED721144 JNZ721144 JXV721144 KHR721144 KRN721144 LBJ721144 LLF721144 LVB721144 MEX721144 MOT721144 MYP721144 NIL721144 NSH721144 OCD721144 OLZ721144 OVV721144 PFR721144 PPN721144 PZJ721144 QJF721144 QTB721144 RCX721144 RMT721144 RWP721144 SGL721144 SQH721144 TAD721144 TJZ721144 TTV721144 UDR721144 UNN721144 UXJ721144 VHF721144 VRB721144 WAX721144 WKT721144 WUP721144 ID786680 RZ786680 ABV786680 ALR786680 AVN786680 BFJ786680 BPF786680 BZB786680 CIX786680 CST786680 DCP786680 DML786680 DWH786680 EGD786680 EPZ786680 EZV786680 FJR786680 FTN786680 GDJ786680 GNF786680 GXB786680 HGX786680 HQT786680 IAP786680 IKL786680 IUH786680 JED786680 JNZ786680 JXV786680 KHR786680 KRN786680 LBJ786680 LLF786680 LVB786680 MEX786680 MOT786680 MYP786680 NIL786680 NSH786680 OCD786680 OLZ786680 OVV786680 PFR786680 PPN786680 PZJ786680 QJF786680 QTB786680 RCX786680 RMT786680 RWP786680 SGL786680 SQH786680 TAD786680 TJZ786680 TTV786680 UDR786680 UNN786680 UXJ786680 VHF786680 VRB786680 WAX786680 WKT786680 WUP786680 ID852216 RZ852216 ABV852216 ALR852216 AVN852216 BFJ852216 BPF852216 BZB852216 CIX852216 CST852216 DCP852216 DML852216 DWH852216 EGD852216 EPZ852216 EZV852216 FJR852216 FTN852216 GDJ852216 GNF852216 GXB852216 HGX852216 HQT852216 IAP852216 IKL852216 IUH852216 JED852216 JNZ852216 JXV852216 KHR852216 KRN852216 LBJ852216 LLF852216 LVB852216 MEX852216 MOT852216 MYP852216 NIL852216 NSH852216 OCD852216 OLZ852216 OVV852216 PFR852216 PPN852216 PZJ852216 QJF852216 QTB852216 RCX852216 RMT852216 RWP852216 SGL852216 SQH852216 TAD852216 TJZ852216 TTV852216 UDR852216 UNN852216 UXJ852216 VHF852216 VRB852216 WAX852216 WKT852216 WUP852216 ID917752 RZ917752 ABV917752 ALR917752 AVN917752 BFJ917752 BPF917752 BZB917752 CIX917752 CST917752 DCP917752 DML917752 DWH917752 EGD917752 EPZ917752 EZV917752 FJR917752 FTN917752 GDJ917752 GNF917752 GXB917752 HGX917752 HQT917752 IAP917752 IKL917752 IUH917752 JED917752 JNZ917752 JXV917752 KHR917752 KRN917752 LBJ917752 LLF917752 LVB917752 MEX917752 MOT917752 MYP917752 NIL917752 NSH917752 OCD917752 OLZ917752 OVV917752 PFR917752 PPN917752 PZJ917752 QJF917752 QTB917752 RCX917752 RMT917752 RWP917752 SGL917752 SQH917752 TAD917752 TJZ917752 TTV917752 UDR917752 UNN917752 UXJ917752 VHF917752 VRB917752 WAX917752 WKT917752 WUP917752 ID983288 RZ983288 ABV983288 ALR983288 AVN983288 BFJ983288 BPF983288 BZB983288 CIX983288 CST983288 DCP983288 DML983288 DWH983288 EGD983288 EPZ983288 EZV983288 FJR983288 FTN983288 GDJ983288 GNF983288 GXB983288 HGX983288 HQT983288 IAP983288 IKL983288 IUH983288 JED983288 JNZ983288 JXV983288 KHR983288 KRN983288 LBJ983288 LLF983288 LVB983288 MEX983288 MOT983288 MYP983288 NIL983288 NSH983288 OCD983288 OLZ983288 OVV983288 PFR983288 PPN983288 PZJ983288 QJF983288 QTB983288 RCX983288 RMT983288 RWP983288 SGL983288 SQH983288 TAD983288 TJZ983288 TTV983288 UDR983288 UNN983288 UXJ983288 VHF983288 VRB983288 WAX983288 WKT983288 WUP983288 ID65730 RZ65730 ABV65730 ALR65730 AVN65730 BFJ65730 BPF65730 BZB65730 CIX65730 CST65730 DCP65730 DML65730 DWH65730 EGD65730 EPZ65730 EZV65730 FJR65730 FTN65730 GDJ65730 GNF65730 GXB65730 HGX65730 HQT65730 IAP65730 IKL65730 IUH65730 JED65730 JNZ65730 JXV65730 KHR65730 KRN65730 LBJ65730 LLF65730 LVB65730 MEX65730 MOT65730 MYP65730 NIL65730 NSH65730 OCD65730 OLZ65730 OVV65730 PFR65730 PPN65730 PZJ65730 QJF65730 QTB65730 RCX65730 RMT65730 RWP65730 SGL65730 SQH65730 TAD65730 TJZ65730 TTV65730 UDR65730 UNN65730 UXJ65730 VHF65730 VRB65730 WAX65730 WKT65730 WUP65730 ID131266 RZ131266 ABV131266 ALR131266 AVN131266 BFJ131266 BPF131266 BZB131266 CIX131266 CST131266 DCP131266 DML131266 DWH131266 EGD131266 EPZ131266 EZV131266 FJR131266 FTN131266 GDJ131266 GNF131266 GXB131266 HGX131266 HQT131266 IAP131266 IKL131266 IUH131266 JED131266 JNZ131266 JXV131266 KHR131266 KRN131266 LBJ131266 LLF131266 LVB131266 MEX131266 MOT131266 MYP131266 NIL131266 NSH131266 OCD131266 OLZ131266 OVV131266 PFR131266 PPN131266 PZJ131266 QJF131266 QTB131266 RCX131266 RMT131266 RWP131266 SGL131266 SQH131266 TAD131266 TJZ131266 TTV131266 UDR131266 UNN131266 UXJ131266 VHF131266 VRB131266 WAX131266 WKT131266 WUP131266 ID196802 RZ196802 ABV196802 ALR196802 AVN196802 BFJ196802 BPF196802 BZB196802 CIX196802 CST196802 DCP196802 DML196802 DWH196802 EGD196802 EPZ196802 EZV196802 FJR196802 FTN196802 GDJ196802 GNF196802 GXB196802 HGX196802 HQT196802 IAP196802 IKL196802 IUH196802 JED196802 JNZ196802 JXV196802 KHR196802 KRN196802 LBJ196802 LLF196802 LVB196802 MEX196802 MOT196802 MYP196802 NIL196802 NSH196802 OCD196802 OLZ196802 OVV196802 PFR196802 PPN196802 PZJ196802 QJF196802 QTB196802 RCX196802 RMT196802 RWP196802 SGL196802 SQH196802 TAD196802 TJZ196802 TTV196802 UDR196802 UNN196802 UXJ196802 VHF196802 VRB196802 WAX196802 WKT196802 WUP196802 ID262338 RZ262338 ABV262338 ALR262338 AVN262338 BFJ262338 BPF262338 BZB262338 CIX262338 CST262338 DCP262338 DML262338 DWH262338 EGD262338 EPZ262338 EZV262338 FJR262338 FTN262338 GDJ262338 GNF262338 GXB262338 HGX262338 HQT262338 IAP262338 IKL262338 IUH262338 JED262338 JNZ262338 JXV262338 KHR262338 KRN262338 LBJ262338 LLF262338 LVB262338 MEX262338 MOT262338 MYP262338 NIL262338 NSH262338 OCD262338 OLZ262338 OVV262338 PFR262338 PPN262338 PZJ262338 QJF262338 QTB262338 RCX262338 RMT262338 RWP262338 SGL262338 SQH262338 TAD262338 TJZ262338 TTV262338 UDR262338 UNN262338 UXJ262338 VHF262338 VRB262338 WAX262338 WKT262338 WUP262338 ID327874 RZ327874 ABV327874 ALR327874 AVN327874 BFJ327874 BPF327874 BZB327874 CIX327874 CST327874 DCP327874 DML327874 DWH327874 EGD327874 EPZ327874 EZV327874 FJR327874 FTN327874 GDJ327874 GNF327874 GXB327874 HGX327874 HQT327874 IAP327874 IKL327874 IUH327874 JED327874 JNZ327874 JXV327874 KHR327874 KRN327874 LBJ327874 LLF327874 LVB327874 MEX327874 MOT327874 MYP327874 NIL327874 NSH327874 OCD327874 OLZ327874 OVV327874 PFR327874 PPN327874 PZJ327874 QJF327874 QTB327874 RCX327874 RMT327874 RWP327874 SGL327874 SQH327874 TAD327874 TJZ327874 TTV327874 UDR327874 UNN327874 UXJ327874 VHF327874 VRB327874 WAX327874 WKT327874 WUP327874 ID393410 RZ393410 ABV393410 ALR393410 AVN393410 BFJ393410 BPF393410 BZB393410 CIX393410 CST393410 DCP393410 DML393410 DWH393410 EGD393410 EPZ393410 EZV393410 FJR393410 FTN393410 GDJ393410 GNF393410 GXB393410 HGX393410 HQT393410 IAP393410 IKL393410 IUH393410 JED393410 JNZ393410 JXV393410 KHR393410 KRN393410 LBJ393410 LLF393410 LVB393410 MEX393410 MOT393410 MYP393410 NIL393410 NSH393410 OCD393410 OLZ393410 OVV393410 PFR393410 PPN393410 PZJ393410 QJF393410 QTB393410 RCX393410 RMT393410 RWP393410 SGL393410 SQH393410 TAD393410 TJZ393410 TTV393410 UDR393410 UNN393410 UXJ393410 VHF393410 VRB393410 WAX393410 WKT393410 WUP393410 ID458946 RZ458946 ABV458946 ALR458946 AVN458946 BFJ458946 BPF458946 BZB458946 CIX458946 CST458946 DCP458946 DML458946 DWH458946 EGD458946 EPZ458946 EZV458946 FJR458946 FTN458946 GDJ458946 GNF458946 GXB458946 HGX458946 HQT458946 IAP458946 IKL458946 IUH458946 JED458946 JNZ458946 JXV458946 KHR458946 KRN458946 LBJ458946 LLF458946 LVB458946 MEX458946 MOT458946 MYP458946 NIL458946 NSH458946 OCD458946 OLZ458946 OVV458946 PFR458946 PPN458946 PZJ458946 QJF458946 QTB458946 RCX458946 RMT458946 RWP458946 SGL458946 SQH458946 TAD458946 TJZ458946 TTV458946 UDR458946 UNN458946 UXJ458946 VHF458946 VRB458946 WAX458946 WKT458946 WUP458946 ID524482 RZ524482 ABV524482 ALR524482 AVN524482 BFJ524482 BPF524482 BZB524482 CIX524482 CST524482 DCP524482 DML524482 DWH524482 EGD524482 EPZ524482 EZV524482 FJR524482 FTN524482 GDJ524482 GNF524482 GXB524482 HGX524482 HQT524482 IAP524482 IKL524482 IUH524482 JED524482 JNZ524482 JXV524482 KHR524482 KRN524482 LBJ524482 LLF524482 LVB524482 MEX524482 MOT524482 MYP524482 NIL524482 NSH524482 OCD524482 OLZ524482 OVV524482 PFR524482 PPN524482 PZJ524482 QJF524482 QTB524482 RCX524482 RMT524482 RWP524482 SGL524482 SQH524482 TAD524482 TJZ524482 TTV524482 UDR524482 UNN524482 UXJ524482 VHF524482 VRB524482 WAX524482 WKT524482 WUP524482 ID590018 RZ590018 ABV590018 ALR590018 AVN590018 BFJ590018 BPF590018 BZB590018 CIX590018 CST590018 DCP590018 DML590018 DWH590018 EGD590018 EPZ590018 EZV590018 FJR590018 FTN590018 GDJ590018 GNF590018 GXB590018 HGX590018 HQT590018 IAP590018 IKL590018 IUH590018 JED590018 JNZ590018 JXV590018 KHR590018 KRN590018 LBJ590018 LLF590018 LVB590018 MEX590018 MOT590018 MYP590018 NIL590018 NSH590018 OCD590018 OLZ590018 OVV590018 PFR590018 PPN590018 PZJ590018 QJF590018 QTB590018 RCX590018 RMT590018 RWP590018 SGL590018 SQH590018 TAD590018 TJZ590018 TTV590018 UDR590018 UNN590018 UXJ590018 VHF590018 VRB590018 WAX590018 WKT590018 WUP590018 ID655554 RZ655554 ABV655554 ALR655554 AVN655554 BFJ655554 BPF655554 BZB655554 CIX655554 CST655554 DCP655554 DML655554 DWH655554 EGD655554 EPZ655554 EZV655554 FJR655554 FTN655554 GDJ655554 GNF655554 GXB655554 HGX655554 HQT655554 IAP655554 IKL655554 IUH655554 JED655554 JNZ655554 JXV655554 KHR655554 KRN655554 LBJ655554 LLF655554 LVB655554 MEX655554 MOT655554 MYP655554 NIL655554 NSH655554 OCD655554 OLZ655554 OVV655554 PFR655554 PPN655554 PZJ655554 QJF655554 QTB655554 RCX655554 RMT655554 RWP655554 SGL655554 SQH655554 TAD655554 TJZ655554 TTV655554 UDR655554 UNN655554 UXJ655554 VHF655554 VRB655554 WAX655554 WKT655554 WUP655554 ID721090 RZ721090 ABV721090 ALR721090 AVN721090 BFJ721090 BPF721090 BZB721090 CIX721090 CST721090 DCP721090 DML721090 DWH721090 EGD721090 EPZ721090 EZV721090 FJR721090 FTN721090 GDJ721090 GNF721090 GXB721090 HGX721090 HQT721090 IAP721090 IKL721090 IUH721090 JED721090 JNZ721090 JXV721090 KHR721090 KRN721090 LBJ721090 LLF721090 LVB721090 MEX721090 MOT721090 MYP721090 NIL721090 NSH721090 OCD721090 OLZ721090 OVV721090 PFR721090 PPN721090 PZJ721090 QJF721090 QTB721090 RCX721090 RMT721090 RWP721090 SGL721090 SQH721090 TAD721090 TJZ721090 TTV721090 UDR721090 UNN721090 UXJ721090 VHF721090 VRB721090 WAX721090 WKT721090 WUP721090 ID786626 RZ786626 ABV786626 ALR786626 AVN786626 BFJ786626 BPF786626 BZB786626 CIX786626 CST786626 DCP786626 DML786626 DWH786626 EGD786626 EPZ786626 EZV786626 FJR786626 FTN786626 GDJ786626 GNF786626 GXB786626 HGX786626 HQT786626 IAP786626 IKL786626 IUH786626 JED786626 JNZ786626 JXV786626 KHR786626 KRN786626 LBJ786626 LLF786626 LVB786626 MEX786626 MOT786626 MYP786626 NIL786626 NSH786626 OCD786626 OLZ786626 OVV786626 PFR786626 PPN786626 PZJ786626 QJF786626 QTB786626 RCX786626 RMT786626 RWP786626 SGL786626 SQH786626 TAD786626 TJZ786626 TTV786626 UDR786626 UNN786626 UXJ786626 VHF786626 VRB786626 WAX786626 WKT786626 WUP786626 ID852162 RZ852162 ABV852162 ALR852162 AVN852162 BFJ852162 BPF852162 BZB852162 CIX852162 CST852162 DCP852162 DML852162 DWH852162 EGD852162 EPZ852162 EZV852162 FJR852162 FTN852162 GDJ852162 GNF852162 GXB852162 HGX852162 HQT852162 IAP852162 IKL852162 IUH852162 JED852162 JNZ852162 JXV852162 KHR852162 KRN852162 LBJ852162 LLF852162 LVB852162 MEX852162 MOT852162 MYP852162 NIL852162 NSH852162 OCD852162 OLZ852162 OVV852162 PFR852162 PPN852162 PZJ852162 QJF852162 QTB852162 RCX852162 RMT852162 RWP852162 SGL852162 SQH852162 TAD852162 TJZ852162 TTV852162 UDR852162 UNN852162 UXJ852162 VHF852162 VRB852162 WAX852162 WKT852162 WUP852162 ID917698 RZ917698 ABV917698 ALR917698 AVN917698 BFJ917698 BPF917698 BZB917698 CIX917698 CST917698 DCP917698 DML917698 DWH917698 EGD917698 EPZ917698 EZV917698 FJR917698 FTN917698 GDJ917698 GNF917698 GXB917698 HGX917698 HQT917698 IAP917698 IKL917698 IUH917698 JED917698 JNZ917698 JXV917698 KHR917698 KRN917698 LBJ917698 LLF917698 LVB917698 MEX917698 MOT917698 MYP917698 NIL917698 NSH917698 OCD917698 OLZ917698 OVV917698 PFR917698 PPN917698 PZJ917698 QJF917698 QTB917698 RCX917698 RMT917698 RWP917698 SGL917698 SQH917698 TAD917698 TJZ917698 TTV917698 UDR917698 UNN917698 UXJ917698 VHF917698 VRB917698 WAX917698 WKT917698 WUP917698 ID983234 RZ983234 ABV983234 ALR983234 AVN983234 BFJ983234 BPF983234 BZB983234 CIX983234 CST983234 DCP983234 DML983234 DWH983234 EGD983234 EPZ983234 EZV983234 FJR983234 FTN983234 GDJ983234 GNF983234 GXB983234 HGX983234 HQT983234 IAP983234 IKL983234 IUH983234 JED983234 JNZ983234 JXV983234 KHR983234 KRN983234 LBJ983234 LLF983234 LVB983234 MEX983234 MOT983234 MYP983234 NIL983234 NSH983234 OCD983234 OLZ983234 OVV983234 PFR983234 PPN983234 PZJ983234 QJF983234 QTB983234 RCX983234 RMT983234 RWP983234 SGL983234 SQH983234 TAD983234 TJZ983234 TTV983234 UDR983234 UNN983234 UXJ983234 VHF983234 VRB983234 WAX983234 WKT983234 WUP983234 ID65706:ID65707 RZ65706:RZ65707 ABV65706:ABV65707 ALR65706:ALR65707 AVN65706:AVN65707 BFJ65706:BFJ65707 BPF65706:BPF65707 BZB65706:BZB65707 CIX65706:CIX65707 CST65706:CST65707 DCP65706:DCP65707 DML65706:DML65707 DWH65706:DWH65707 EGD65706:EGD65707 EPZ65706:EPZ65707 EZV65706:EZV65707 FJR65706:FJR65707 FTN65706:FTN65707 GDJ65706:GDJ65707 GNF65706:GNF65707 GXB65706:GXB65707 HGX65706:HGX65707 HQT65706:HQT65707 IAP65706:IAP65707 IKL65706:IKL65707 IUH65706:IUH65707 JED65706:JED65707 JNZ65706:JNZ65707 JXV65706:JXV65707 KHR65706:KHR65707 KRN65706:KRN65707 LBJ65706:LBJ65707 LLF65706:LLF65707 LVB65706:LVB65707 MEX65706:MEX65707 MOT65706:MOT65707 MYP65706:MYP65707 NIL65706:NIL65707 NSH65706:NSH65707 OCD65706:OCD65707 OLZ65706:OLZ65707 OVV65706:OVV65707 PFR65706:PFR65707 PPN65706:PPN65707 PZJ65706:PZJ65707 QJF65706:QJF65707 QTB65706:QTB65707 RCX65706:RCX65707 RMT65706:RMT65707 RWP65706:RWP65707 SGL65706:SGL65707 SQH65706:SQH65707 TAD65706:TAD65707 TJZ65706:TJZ65707 TTV65706:TTV65707 UDR65706:UDR65707 UNN65706:UNN65707 UXJ65706:UXJ65707 VHF65706:VHF65707 VRB65706:VRB65707 WAX65706:WAX65707 WKT65706:WKT65707 WUP65706:WUP65707 ID131242:ID131243 RZ131242:RZ131243 ABV131242:ABV131243 ALR131242:ALR131243 AVN131242:AVN131243 BFJ131242:BFJ131243 BPF131242:BPF131243 BZB131242:BZB131243 CIX131242:CIX131243 CST131242:CST131243 DCP131242:DCP131243 DML131242:DML131243 DWH131242:DWH131243 EGD131242:EGD131243 EPZ131242:EPZ131243 EZV131242:EZV131243 FJR131242:FJR131243 FTN131242:FTN131243 GDJ131242:GDJ131243 GNF131242:GNF131243 GXB131242:GXB131243 HGX131242:HGX131243 HQT131242:HQT131243 IAP131242:IAP131243 IKL131242:IKL131243 IUH131242:IUH131243 JED131242:JED131243 JNZ131242:JNZ131243 JXV131242:JXV131243 KHR131242:KHR131243 KRN131242:KRN131243 LBJ131242:LBJ131243 LLF131242:LLF131243 LVB131242:LVB131243 MEX131242:MEX131243 MOT131242:MOT131243 MYP131242:MYP131243 NIL131242:NIL131243 NSH131242:NSH131243 OCD131242:OCD131243 OLZ131242:OLZ131243 OVV131242:OVV131243 PFR131242:PFR131243 PPN131242:PPN131243 PZJ131242:PZJ131243 QJF131242:QJF131243 QTB131242:QTB131243 RCX131242:RCX131243 RMT131242:RMT131243 RWP131242:RWP131243 SGL131242:SGL131243 SQH131242:SQH131243 TAD131242:TAD131243 TJZ131242:TJZ131243 TTV131242:TTV131243 UDR131242:UDR131243 UNN131242:UNN131243 UXJ131242:UXJ131243 VHF131242:VHF131243 VRB131242:VRB131243 WAX131242:WAX131243 WKT131242:WKT131243 WUP131242:WUP131243 ID196778:ID196779 RZ196778:RZ196779 ABV196778:ABV196779 ALR196778:ALR196779 AVN196778:AVN196779 BFJ196778:BFJ196779 BPF196778:BPF196779 BZB196778:BZB196779 CIX196778:CIX196779 CST196778:CST196779 DCP196778:DCP196779 DML196778:DML196779 DWH196778:DWH196779 EGD196778:EGD196779 EPZ196778:EPZ196779 EZV196778:EZV196779 FJR196778:FJR196779 FTN196778:FTN196779 GDJ196778:GDJ196779 GNF196778:GNF196779 GXB196778:GXB196779 HGX196778:HGX196779 HQT196778:HQT196779 IAP196778:IAP196779 IKL196778:IKL196779 IUH196778:IUH196779 JED196778:JED196779 JNZ196778:JNZ196779 JXV196778:JXV196779 KHR196778:KHR196779 KRN196778:KRN196779 LBJ196778:LBJ196779 LLF196778:LLF196779 LVB196778:LVB196779 MEX196778:MEX196779 MOT196778:MOT196779 MYP196778:MYP196779 NIL196778:NIL196779 NSH196778:NSH196779 OCD196778:OCD196779 OLZ196778:OLZ196779 OVV196778:OVV196779 PFR196778:PFR196779 PPN196778:PPN196779 PZJ196778:PZJ196779 QJF196778:QJF196779 QTB196778:QTB196779 RCX196778:RCX196779 RMT196778:RMT196779 RWP196778:RWP196779 SGL196778:SGL196779 SQH196778:SQH196779 TAD196778:TAD196779 TJZ196778:TJZ196779 TTV196778:TTV196779 UDR196778:UDR196779 UNN196778:UNN196779 UXJ196778:UXJ196779 VHF196778:VHF196779 VRB196778:VRB196779 WAX196778:WAX196779 WKT196778:WKT196779 WUP196778:WUP196779 ID262314:ID262315 RZ262314:RZ262315 ABV262314:ABV262315 ALR262314:ALR262315 AVN262314:AVN262315 BFJ262314:BFJ262315 BPF262314:BPF262315 BZB262314:BZB262315 CIX262314:CIX262315 CST262314:CST262315 DCP262314:DCP262315 DML262314:DML262315 DWH262314:DWH262315 EGD262314:EGD262315 EPZ262314:EPZ262315 EZV262314:EZV262315 FJR262314:FJR262315 FTN262314:FTN262315 GDJ262314:GDJ262315 GNF262314:GNF262315 GXB262314:GXB262315 HGX262314:HGX262315 HQT262314:HQT262315 IAP262314:IAP262315 IKL262314:IKL262315 IUH262314:IUH262315 JED262314:JED262315 JNZ262314:JNZ262315 JXV262314:JXV262315 KHR262314:KHR262315 KRN262314:KRN262315 LBJ262314:LBJ262315 LLF262314:LLF262315 LVB262314:LVB262315 MEX262314:MEX262315 MOT262314:MOT262315 MYP262314:MYP262315 NIL262314:NIL262315 NSH262314:NSH262315 OCD262314:OCD262315 OLZ262314:OLZ262315 OVV262314:OVV262315 PFR262314:PFR262315 PPN262314:PPN262315 PZJ262314:PZJ262315 QJF262314:QJF262315 QTB262314:QTB262315 RCX262314:RCX262315 RMT262314:RMT262315 RWP262314:RWP262315 SGL262314:SGL262315 SQH262314:SQH262315 TAD262314:TAD262315 TJZ262314:TJZ262315 TTV262314:TTV262315 UDR262314:UDR262315 UNN262314:UNN262315 UXJ262314:UXJ262315 VHF262314:VHF262315 VRB262314:VRB262315 WAX262314:WAX262315 WKT262314:WKT262315 WUP262314:WUP262315 ID327850:ID327851 RZ327850:RZ327851 ABV327850:ABV327851 ALR327850:ALR327851 AVN327850:AVN327851 BFJ327850:BFJ327851 BPF327850:BPF327851 BZB327850:BZB327851 CIX327850:CIX327851 CST327850:CST327851 DCP327850:DCP327851 DML327850:DML327851 DWH327850:DWH327851 EGD327850:EGD327851 EPZ327850:EPZ327851 EZV327850:EZV327851 FJR327850:FJR327851 FTN327850:FTN327851 GDJ327850:GDJ327851 GNF327850:GNF327851 GXB327850:GXB327851 HGX327850:HGX327851 HQT327850:HQT327851 IAP327850:IAP327851 IKL327850:IKL327851 IUH327850:IUH327851 JED327850:JED327851 JNZ327850:JNZ327851 JXV327850:JXV327851 KHR327850:KHR327851 KRN327850:KRN327851 LBJ327850:LBJ327851 LLF327850:LLF327851 LVB327850:LVB327851 MEX327850:MEX327851 MOT327850:MOT327851 MYP327850:MYP327851 NIL327850:NIL327851 NSH327850:NSH327851 OCD327850:OCD327851 OLZ327850:OLZ327851 OVV327850:OVV327851 PFR327850:PFR327851 PPN327850:PPN327851 PZJ327850:PZJ327851 QJF327850:QJF327851 QTB327850:QTB327851 RCX327850:RCX327851 RMT327850:RMT327851 RWP327850:RWP327851 SGL327850:SGL327851 SQH327850:SQH327851 TAD327850:TAD327851 TJZ327850:TJZ327851 TTV327850:TTV327851 UDR327850:UDR327851 UNN327850:UNN327851 UXJ327850:UXJ327851 VHF327850:VHF327851 VRB327850:VRB327851 WAX327850:WAX327851 WKT327850:WKT327851 WUP327850:WUP327851 ID393386:ID393387 RZ393386:RZ393387 ABV393386:ABV393387 ALR393386:ALR393387 AVN393386:AVN393387 BFJ393386:BFJ393387 BPF393386:BPF393387 BZB393386:BZB393387 CIX393386:CIX393387 CST393386:CST393387 DCP393386:DCP393387 DML393386:DML393387 DWH393386:DWH393387 EGD393386:EGD393387 EPZ393386:EPZ393387 EZV393386:EZV393387 FJR393386:FJR393387 FTN393386:FTN393387 GDJ393386:GDJ393387 GNF393386:GNF393387 GXB393386:GXB393387 HGX393386:HGX393387 HQT393386:HQT393387 IAP393386:IAP393387 IKL393386:IKL393387 IUH393386:IUH393387 JED393386:JED393387 JNZ393386:JNZ393387 JXV393386:JXV393387 KHR393386:KHR393387 KRN393386:KRN393387 LBJ393386:LBJ393387 LLF393386:LLF393387 LVB393386:LVB393387 MEX393386:MEX393387 MOT393386:MOT393387 MYP393386:MYP393387 NIL393386:NIL393387 NSH393386:NSH393387 OCD393386:OCD393387 OLZ393386:OLZ393387 OVV393386:OVV393387 PFR393386:PFR393387 PPN393386:PPN393387 PZJ393386:PZJ393387 QJF393386:QJF393387 QTB393386:QTB393387 RCX393386:RCX393387 RMT393386:RMT393387 RWP393386:RWP393387 SGL393386:SGL393387 SQH393386:SQH393387 TAD393386:TAD393387 TJZ393386:TJZ393387 TTV393386:TTV393387 UDR393386:UDR393387 UNN393386:UNN393387 UXJ393386:UXJ393387 VHF393386:VHF393387 VRB393386:VRB393387 WAX393386:WAX393387 WKT393386:WKT393387 WUP393386:WUP393387 ID458922:ID458923 RZ458922:RZ458923 ABV458922:ABV458923 ALR458922:ALR458923 AVN458922:AVN458923 BFJ458922:BFJ458923 BPF458922:BPF458923 BZB458922:BZB458923 CIX458922:CIX458923 CST458922:CST458923 DCP458922:DCP458923 DML458922:DML458923 DWH458922:DWH458923 EGD458922:EGD458923 EPZ458922:EPZ458923 EZV458922:EZV458923 FJR458922:FJR458923 FTN458922:FTN458923 GDJ458922:GDJ458923 GNF458922:GNF458923 GXB458922:GXB458923 HGX458922:HGX458923 HQT458922:HQT458923 IAP458922:IAP458923 IKL458922:IKL458923 IUH458922:IUH458923 JED458922:JED458923 JNZ458922:JNZ458923 JXV458922:JXV458923 KHR458922:KHR458923 KRN458922:KRN458923 LBJ458922:LBJ458923 LLF458922:LLF458923 LVB458922:LVB458923 MEX458922:MEX458923 MOT458922:MOT458923 MYP458922:MYP458923 NIL458922:NIL458923 NSH458922:NSH458923 OCD458922:OCD458923 OLZ458922:OLZ458923 OVV458922:OVV458923 PFR458922:PFR458923 PPN458922:PPN458923 PZJ458922:PZJ458923 QJF458922:QJF458923 QTB458922:QTB458923 RCX458922:RCX458923 RMT458922:RMT458923 RWP458922:RWP458923 SGL458922:SGL458923 SQH458922:SQH458923 TAD458922:TAD458923 TJZ458922:TJZ458923 TTV458922:TTV458923 UDR458922:UDR458923 UNN458922:UNN458923 UXJ458922:UXJ458923 VHF458922:VHF458923 VRB458922:VRB458923 WAX458922:WAX458923 WKT458922:WKT458923 WUP458922:WUP458923 ID524458:ID524459 RZ524458:RZ524459 ABV524458:ABV524459 ALR524458:ALR524459 AVN524458:AVN524459 BFJ524458:BFJ524459 BPF524458:BPF524459 BZB524458:BZB524459 CIX524458:CIX524459 CST524458:CST524459 DCP524458:DCP524459 DML524458:DML524459 DWH524458:DWH524459 EGD524458:EGD524459 EPZ524458:EPZ524459 EZV524458:EZV524459 FJR524458:FJR524459 FTN524458:FTN524459 GDJ524458:GDJ524459 GNF524458:GNF524459 GXB524458:GXB524459 HGX524458:HGX524459 HQT524458:HQT524459 IAP524458:IAP524459 IKL524458:IKL524459 IUH524458:IUH524459 JED524458:JED524459 JNZ524458:JNZ524459 JXV524458:JXV524459 KHR524458:KHR524459 KRN524458:KRN524459 LBJ524458:LBJ524459 LLF524458:LLF524459 LVB524458:LVB524459 MEX524458:MEX524459 MOT524458:MOT524459 MYP524458:MYP524459 NIL524458:NIL524459 NSH524458:NSH524459 OCD524458:OCD524459 OLZ524458:OLZ524459 OVV524458:OVV524459 PFR524458:PFR524459 PPN524458:PPN524459 PZJ524458:PZJ524459 QJF524458:QJF524459 QTB524458:QTB524459 RCX524458:RCX524459 RMT524458:RMT524459 RWP524458:RWP524459 SGL524458:SGL524459 SQH524458:SQH524459 TAD524458:TAD524459 TJZ524458:TJZ524459 TTV524458:TTV524459 UDR524458:UDR524459 UNN524458:UNN524459 UXJ524458:UXJ524459 VHF524458:VHF524459 VRB524458:VRB524459 WAX524458:WAX524459 WKT524458:WKT524459 WUP524458:WUP524459 ID589994:ID589995 RZ589994:RZ589995 ABV589994:ABV589995 ALR589994:ALR589995 AVN589994:AVN589995 BFJ589994:BFJ589995 BPF589994:BPF589995 BZB589994:BZB589995 CIX589994:CIX589995 CST589994:CST589995 DCP589994:DCP589995 DML589994:DML589995 DWH589994:DWH589995 EGD589994:EGD589995 EPZ589994:EPZ589995 EZV589994:EZV589995 FJR589994:FJR589995 FTN589994:FTN589995 GDJ589994:GDJ589995 GNF589994:GNF589995 GXB589994:GXB589995 HGX589994:HGX589995 HQT589994:HQT589995 IAP589994:IAP589995 IKL589994:IKL589995 IUH589994:IUH589995 JED589994:JED589995 JNZ589994:JNZ589995 JXV589994:JXV589995 KHR589994:KHR589995 KRN589994:KRN589995 LBJ589994:LBJ589995 LLF589994:LLF589995 LVB589994:LVB589995 MEX589994:MEX589995 MOT589994:MOT589995 MYP589994:MYP589995 NIL589994:NIL589995 NSH589994:NSH589995 OCD589994:OCD589995 OLZ589994:OLZ589995 OVV589994:OVV589995 PFR589994:PFR589995 PPN589994:PPN589995 PZJ589994:PZJ589995 QJF589994:QJF589995 QTB589994:QTB589995 RCX589994:RCX589995 RMT589994:RMT589995 RWP589994:RWP589995 SGL589994:SGL589995 SQH589994:SQH589995 TAD589994:TAD589995 TJZ589994:TJZ589995 TTV589994:TTV589995 UDR589994:UDR589995 UNN589994:UNN589995 UXJ589994:UXJ589995 VHF589994:VHF589995 VRB589994:VRB589995 WAX589994:WAX589995 WKT589994:WKT589995 WUP589994:WUP589995 ID655530:ID655531 RZ655530:RZ655531 ABV655530:ABV655531 ALR655530:ALR655531 AVN655530:AVN655531 BFJ655530:BFJ655531 BPF655530:BPF655531 BZB655530:BZB655531 CIX655530:CIX655531 CST655530:CST655531 DCP655530:DCP655531 DML655530:DML655531 DWH655530:DWH655531 EGD655530:EGD655531 EPZ655530:EPZ655531 EZV655530:EZV655531 FJR655530:FJR655531 FTN655530:FTN655531 GDJ655530:GDJ655531 GNF655530:GNF655531 GXB655530:GXB655531 HGX655530:HGX655531 HQT655530:HQT655531 IAP655530:IAP655531 IKL655530:IKL655531 IUH655530:IUH655531 JED655530:JED655531 JNZ655530:JNZ655531 JXV655530:JXV655531 KHR655530:KHR655531 KRN655530:KRN655531 LBJ655530:LBJ655531 LLF655530:LLF655531 LVB655530:LVB655531 MEX655530:MEX655531 MOT655530:MOT655531 MYP655530:MYP655531 NIL655530:NIL655531 NSH655530:NSH655531 OCD655530:OCD655531 OLZ655530:OLZ655531 OVV655530:OVV655531 PFR655530:PFR655531 PPN655530:PPN655531 PZJ655530:PZJ655531 QJF655530:QJF655531 QTB655530:QTB655531 RCX655530:RCX655531 RMT655530:RMT655531 RWP655530:RWP655531 SGL655530:SGL655531 SQH655530:SQH655531 TAD655530:TAD655531 TJZ655530:TJZ655531 TTV655530:TTV655531 UDR655530:UDR655531 UNN655530:UNN655531 UXJ655530:UXJ655531 VHF655530:VHF655531 VRB655530:VRB655531 WAX655530:WAX655531 WKT655530:WKT655531 WUP655530:WUP655531 ID721066:ID721067 RZ721066:RZ721067 ABV721066:ABV721067 ALR721066:ALR721067 AVN721066:AVN721067 BFJ721066:BFJ721067 BPF721066:BPF721067 BZB721066:BZB721067 CIX721066:CIX721067 CST721066:CST721067 DCP721066:DCP721067 DML721066:DML721067 DWH721066:DWH721067 EGD721066:EGD721067 EPZ721066:EPZ721067 EZV721066:EZV721067 FJR721066:FJR721067 FTN721066:FTN721067 GDJ721066:GDJ721067 GNF721066:GNF721067 GXB721066:GXB721067 HGX721066:HGX721067 HQT721066:HQT721067 IAP721066:IAP721067 IKL721066:IKL721067 IUH721066:IUH721067 JED721066:JED721067 JNZ721066:JNZ721067 JXV721066:JXV721067 KHR721066:KHR721067 KRN721066:KRN721067 LBJ721066:LBJ721067 LLF721066:LLF721067 LVB721066:LVB721067 MEX721066:MEX721067 MOT721066:MOT721067 MYP721066:MYP721067 NIL721066:NIL721067 NSH721066:NSH721067 OCD721066:OCD721067 OLZ721066:OLZ721067 OVV721066:OVV721067 PFR721066:PFR721067 PPN721066:PPN721067 PZJ721066:PZJ721067 QJF721066:QJF721067 QTB721066:QTB721067 RCX721066:RCX721067 RMT721066:RMT721067 RWP721066:RWP721067 SGL721066:SGL721067 SQH721066:SQH721067 TAD721066:TAD721067 TJZ721066:TJZ721067 TTV721066:TTV721067 UDR721066:UDR721067 UNN721066:UNN721067 UXJ721066:UXJ721067 VHF721066:VHF721067 VRB721066:VRB721067 WAX721066:WAX721067 WKT721066:WKT721067 WUP721066:WUP721067 ID786602:ID786603 RZ786602:RZ786603 ABV786602:ABV786603 ALR786602:ALR786603 AVN786602:AVN786603 BFJ786602:BFJ786603 BPF786602:BPF786603 BZB786602:BZB786603 CIX786602:CIX786603 CST786602:CST786603 DCP786602:DCP786603 DML786602:DML786603 DWH786602:DWH786603 EGD786602:EGD786603 EPZ786602:EPZ786603 EZV786602:EZV786603 FJR786602:FJR786603 FTN786602:FTN786603 GDJ786602:GDJ786603 GNF786602:GNF786603 GXB786602:GXB786603 HGX786602:HGX786603 HQT786602:HQT786603 IAP786602:IAP786603 IKL786602:IKL786603 IUH786602:IUH786603 JED786602:JED786603 JNZ786602:JNZ786603 JXV786602:JXV786603 KHR786602:KHR786603 KRN786602:KRN786603 LBJ786602:LBJ786603 LLF786602:LLF786603 LVB786602:LVB786603 MEX786602:MEX786603 MOT786602:MOT786603 MYP786602:MYP786603 NIL786602:NIL786603 NSH786602:NSH786603 OCD786602:OCD786603 OLZ786602:OLZ786603 OVV786602:OVV786603 PFR786602:PFR786603 PPN786602:PPN786603 PZJ786602:PZJ786603 QJF786602:QJF786603 QTB786602:QTB786603 RCX786602:RCX786603 RMT786602:RMT786603 RWP786602:RWP786603 SGL786602:SGL786603 SQH786602:SQH786603 TAD786602:TAD786603 TJZ786602:TJZ786603 TTV786602:TTV786603 UDR786602:UDR786603 UNN786602:UNN786603 UXJ786602:UXJ786603 VHF786602:VHF786603 VRB786602:VRB786603 WAX786602:WAX786603 WKT786602:WKT786603 WUP786602:WUP786603 ID852138:ID852139 RZ852138:RZ852139 ABV852138:ABV852139 ALR852138:ALR852139 AVN852138:AVN852139 BFJ852138:BFJ852139 BPF852138:BPF852139 BZB852138:BZB852139 CIX852138:CIX852139 CST852138:CST852139 DCP852138:DCP852139 DML852138:DML852139 DWH852138:DWH852139 EGD852138:EGD852139 EPZ852138:EPZ852139 EZV852138:EZV852139 FJR852138:FJR852139 FTN852138:FTN852139 GDJ852138:GDJ852139 GNF852138:GNF852139 GXB852138:GXB852139 HGX852138:HGX852139 HQT852138:HQT852139 IAP852138:IAP852139 IKL852138:IKL852139 IUH852138:IUH852139 JED852138:JED852139 JNZ852138:JNZ852139 JXV852138:JXV852139 KHR852138:KHR852139 KRN852138:KRN852139 LBJ852138:LBJ852139 LLF852138:LLF852139 LVB852138:LVB852139 MEX852138:MEX852139 MOT852138:MOT852139 MYP852138:MYP852139 NIL852138:NIL852139 NSH852138:NSH852139 OCD852138:OCD852139 OLZ852138:OLZ852139 OVV852138:OVV852139 PFR852138:PFR852139 PPN852138:PPN852139 PZJ852138:PZJ852139 QJF852138:QJF852139 QTB852138:QTB852139 RCX852138:RCX852139 RMT852138:RMT852139 RWP852138:RWP852139 SGL852138:SGL852139 SQH852138:SQH852139 TAD852138:TAD852139 TJZ852138:TJZ852139 TTV852138:TTV852139 UDR852138:UDR852139 UNN852138:UNN852139 UXJ852138:UXJ852139 VHF852138:VHF852139 VRB852138:VRB852139 WAX852138:WAX852139 WKT852138:WKT852139 WUP852138:WUP852139 ID917674:ID917675 RZ917674:RZ917675 ABV917674:ABV917675 ALR917674:ALR917675 AVN917674:AVN917675 BFJ917674:BFJ917675 BPF917674:BPF917675 BZB917674:BZB917675 CIX917674:CIX917675 CST917674:CST917675 DCP917674:DCP917675 DML917674:DML917675 DWH917674:DWH917675 EGD917674:EGD917675 EPZ917674:EPZ917675 EZV917674:EZV917675 FJR917674:FJR917675 FTN917674:FTN917675 GDJ917674:GDJ917675 GNF917674:GNF917675 GXB917674:GXB917675 HGX917674:HGX917675 HQT917674:HQT917675 IAP917674:IAP917675 IKL917674:IKL917675 IUH917674:IUH917675 JED917674:JED917675 JNZ917674:JNZ917675 JXV917674:JXV917675 KHR917674:KHR917675 KRN917674:KRN917675 LBJ917674:LBJ917675 LLF917674:LLF917675 LVB917674:LVB917675 MEX917674:MEX917675 MOT917674:MOT917675 MYP917674:MYP917675 NIL917674:NIL917675 NSH917674:NSH917675 OCD917674:OCD917675 OLZ917674:OLZ917675 OVV917674:OVV917675 PFR917674:PFR917675 PPN917674:PPN917675 PZJ917674:PZJ917675 QJF917674:QJF917675 QTB917674:QTB917675 RCX917674:RCX917675 RMT917674:RMT917675 RWP917674:RWP917675 SGL917674:SGL917675 SQH917674:SQH917675 TAD917674:TAD917675 TJZ917674:TJZ917675 TTV917674:TTV917675 UDR917674:UDR917675 UNN917674:UNN917675 UXJ917674:UXJ917675 VHF917674:VHF917675 VRB917674:VRB917675 WAX917674:WAX917675 WKT917674:WKT917675 WUP917674:WUP917675 ID983210:ID983211 RZ983210:RZ983211 ABV983210:ABV983211 ALR983210:ALR983211 AVN983210:AVN983211 BFJ983210:BFJ983211 BPF983210:BPF983211 BZB983210:BZB983211 CIX983210:CIX983211 CST983210:CST983211 DCP983210:DCP983211 DML983210:DML983211 DWH983210:DWH983211 EGD983210:EGD983211 EPZ983210:EPZ983211 EZV983210:EZV983211 FJR983210:FJR983211 FTN983210:FTN983211 GDJ983210:GDJ983211 GNF983210:GNF983211 GXB983210:GXB983211 HGX983210:HGX983211 HQT983210:HQT983211 IAP983210:IAP983211 IKL983210:IKL983211 IUH983210:IUH983211 JED983210:JED983211 JNZ983210:JNZ983211 JXV983210:JXV983211 KHR983210:KHR983211 KRN983210:KRN983211 LBJ983210:LBJ983211 LLF983210:LLF983211 LVB983210:LVB983211 MEX983210:MEX983211 MOT983210:MOT983211 MYP983210:MYP983211 NIL983210:NIL983211 NSH983210:NSH983211 OCD983210:OCD983211 OLZ983210:OLZ983211 OVV983210:OVV983211 PFR983210:PFR983211 PPN983210:PPN983211 PZJ983210:PZJ983211 QJF983210:QJF983211 QTB983210:QTB983211 RCX983210:RCX983211 RMT983210:RMT983211 RWP983210:RWP983211 SGL983210:SGL983211 SQH983210:SQH983211 TAD983210:TAD983211 TJZ983210:TJZ983211 TTV983210:TTV983211 UDR983210:UDR983211 UNN983210:UNN983211 UXJ983210:UXJ983211 VHF983210:VHF983211 VRB983210:VRB983211 WAX983210:WAX983211 WKT983210:WKT983211 WUP983210:WUP983211 ID65696:ID65697 RZ65696:RZ65697 ABV65696:ABV65697 ALR65696:ALR65697 AVN65696:AVN65697 BFJ65696:BFJ65697 BPF65696:BPF65697 BZB65696:BZB65697 CIX65696:CIX65697 CST65696:CST65697 DCP65696:DCP65697 DML65696:DML65697 DWH65696:DWH65697 EGD65696:EGD65697 EPZ65696:EPZ65697 EZV65696:EZV65697 FJR65696:FJR65697 FTN65696:FTN65697 GDJ65696:GDJ65697 GNF65696:GNF65697 GXB65696:GXB65697 HGX65696:HGX65697 HQT65696:HQT65697 IAP65696:IAP65697 IKL65696:IKL65697 IUH65696:IUH65697 JED65696:JED65697 JNZ65696:JNZ65697 JXV65696:JXV65697 KHR65696:KHR65697 KRN65696:KRN65697 LBJ65696:LBJ65697 LLF65696:LLF65697 LVB65696:LVB65697 MEX65696:MEX65697 MOT65696:MOT65697 MYP65696:MYP65697 NIL65696:NIL65697 NSH65696:NSH65697 OCD65696:OCD65697 OLZ65696:OLZ65697 OVV65696:OVV65697 PFR65696:PFR65697 PPN65696:PPN65697 PZJ65696:PZJ65697 QJF65696:QJF65697 QTB65696:QTB65697 RCX65696:RCX65697 RMT65696:RMT65697 RWP65696:RWP65697 SGL65696:SGL65697 SQH65696:SQH65697 TAD65696:TAD65697 TJZ65696:TJZ65697 TTV65696:TTV65697 UDR65696:UDR65697 UNN65696:UNN65697 UXJ65696:UXJ65697 VHF65696:VHF65697 VRB65696:VRB65697 WAX65696:WAX65697 WKT65696:WKT65697 WUP65696:WUP65697 ID131232:ID131233 RZ131232:RZ131233 ABV131232:ABV131233 ALR131232:ALR131233 AVN131232:AVN131233 BFJ131232:BFJ131233 BPF131232:BPF131233 BZB131232:BZB131233 CIX131232:CIX131233 CST131232:CST131233 DCP131232:DCP131233 DML131232:DML131233 DWH131232:DWH131233 EGD131232:EGD131233 EPZ131232:EPZ131233 EZV131232:EZV131233 FJR131232:FJR131233 FTN131232:FTN131233 GDJ131232:GDJ131233 GNF131232:GNF131233 GXB131232:GXB131233 HGX131232:HGX131233 HQT131232:HQT131233 IAP131232:IAP131233 IKL131232:IKL131233 IUH131232:IUH131233 JED131232:JED131233 JNZ131232:JNZ131233 JXV131232:JXV131233 KHR131232:KHR131233 KRN131232:KRN131233 LBJ131232:LBJ131233 LLF131232:LLF131233 LVB131232:LVB131233 MEX131232:MEX131233 MOT131232:MOT131233 MYP131232:MYP131233 NIL131232:NIL131233 NSH131232:NSH131233 OCD131232:OCD131233 OLZ131232:OLZ131233 OVV131232:OVV131233 PFR131232:PFR131233 PPN131232:PPN131233 PZJ131232:PZJ131233 QJF131232:QJF131233 QTB131232:QTB131233 RCX131232:RCX131233 RMT131232:RMT131233 RWP131232:RWP131233 SGL131232:SGL131233 SQH131232:SQH131233 TAD131232:TAD131233 TJZ131232:TJZ131233 TTV131232:TTV131233 UDR131232:UDR131233 UNN131232:UNN131233 UXJ131232:UXJ131233 VHF131232:VHF131233 VRB131232:VRB131233 WAX131232:WAX131233 WKT131232:WKT131233 WUP131232:WUP131233 ID196768:ID196769 RZ196768:RZ196769 ABV196768:ABV196769 ALR196768:ALR196769 AVN196768:AVN196769 BFJ196768:BFJ196769 BPF196768:BPF196769 BZB196768:BZB196769 CIX196768:CIX196769 CST196768:CST196769 DCP196768:DCP196769 DML196768:DML196769 DWH196768:DWH196769 EGD196768:EGD196769 EPZ196768:EPZ196769 EZV196768:EZV196769 FJR196768:FJR196769 FTN196768:FTN196769 GDJ196768:GDJ196769 GNF196768:GNF196769 GXB196768:GXB196769 HGX196768:HGX196769 HQT196768:HQT196769 IAP196768:IAP196769 IKL196768:IKL196769 IUH196768:IUH196769 JED196768:JED196769 JNZ196768:JNZ196769 JXV196768:JXV196769 KHR196768:KHR196769 KRN196768:KRN196769 LBJ196768:LBJ196769 LLF196768:LLF196769 LVB196768:LVB196769 MEX196768:MEX196769 MOT196768:MOT196769 MYP196768:MYP196769 NIL196768:NIL196769 NSH196768:NSH196769 OCD196768:OCD196769 OLZ196768:OLZ196769 OVV196768:OVV196769 PFR196768:PFR196769 PPN196768:PPN196769 PZJ196768:PZJ196769 QJF196768:QJF196769 QTB196768:QTB196769 RCX196768:RCX196769 RMT196768:RMT196769 RWP196768:RWP196769 SGL196768:SGL196769 SQH196768:SQH196769 TAD196768:TAD196769 TJZ196768:TJZ196769 TTV196768:TTV196769 UDR196768:UDR196769 UNN196768:UNN196769 UXJ196768:UXJ196769 VHF196768:VHF196769 VRB196768:VRB196769 WAX196768:WAX196769 WKT196768:WKT196769 WUP196768:WUP196769 ID262304:ID262305 RZ262304:RZ262305 ABV262304:ABV262305 ALR262304:ALR262305 AVN262304:AVN262305 BFJ262304:BFJ262305 BPF262304:BPF262305 BZB262304:BZB262305 CIX262304:CIX262305 CST262304:CST262305 DCP262304:DCP262305 DML262304:DML262305 DWH262304:DWH262305 EGD262304:EGD262305 EPZ262304:EPZ262305 EZV262304:EZV262305 FJR262304:FJR262305 FTN262304:FTN262305 GDJ262304:GDJ262305 GNF262304:GNF262305 GXB262304:GXB262305 HGX262304:HGX262305 HQT262304:HQT262305 IAP262304:IAP262305 IKL262304:IKL262305 IUH262304:IUH262305 JED262304:JED262305 JNZ262304:JNZ262305 JXV262304:JXV262305 KHR262304:KHR262305 KRN262304:KRN262305 LBJ262304:LBJ262305 LLF262304:LLF262305 LVB262304:LVB262305 MEX262304:MEX262305 MOT262304:MOT262305 MYP262304:MYP262305 NIL262304:NIL262305 NSH262304:NSH262305 OCD262304:OCD262305 OLZ262304:OLZ262305 OVV262304:OVV262305 PFR262304:PFR262305 PPN262304:PPN262305 PZJ262304:PZJ262305 QJF262304:QJF262305 QTB262304:QTB262305 RCX262304:RCX262305 RMT262304:RMT262305 RWP262304:RWP262305 SGL262304:SGL262305 SQH262304:SQH262305 TAD262304:TAD262305 TJZ262304:TJZ262305 TTV262304:TTV262305 UDR262304:UDR262305 UNN262304:UNN262305 UXJ262304:UXJ262305 VHF262304:VHF262305 VRB262304:VRB262305 WAX262304:WAX262305 WKT262304:WKT262305 WUP262304:WUP262305 ID327840:ID327841 RZ327840:RZ327841 ABV327840:ABV327841 ALR327840:ALR327841 AVN327840:AVN327841 BFJ327840:BFJ327841 BPF327840:BPF327841 BZB327840:BZB327841 CIX327840:CIX327841 CST327840:CST327841 DCP327840:DCP327841 DML327840:DML327841 DWH327840:DWH327841 EGD327840:EGD327841 EPZ327840:EPZ327841 EZV327840:EZV327841 FJR327840:FJR327841 FTN327840:FTN327841 GDJ327840:GDJ327841 GNF327840:GNF327841 GXB327840:GXB327841 HGX327840:HGX327841 HQT327840:HQT327841 IAP327840:IAP327841 IKL327840:IKL327841 IUH327840:IUH327841 JED327840:JED327841 JNZ327840:JNZ327841 JXV327840:JXV327841 KHR327840:KHR327841 KRN327840:KRN327841 LBJ327840:LBJ327841 LLF327840:LLF327841 LVB327840:LVB327841 MEX327840:MEX327841 MOT327840:MOT327841 MYP327840:MYP327841 NIL327840:NIL327841 NSH327840:NSH327841 OCD327840:OCD327841 OLZ327840:OLZ327841 OVV327840:OVV327841 PFR327840:PFR327841 PPN327840:PPN327841 PZJ327840:PZJ327841 QJF327840:QJF327841 QTB327840:QTB327841 RCX327840:RCX327841 RMT327840:RMT327841 RWP327840:RWP327841 SGL327840:SGL327841 SQH327840:SQH327841 TAD327840:TAD327841 TJZ327840:TJZ327841 TTV327840:TTV327841 UDR327840:UDR327841 UNN327840:UNN327841 UXJ327840:UXJ327841 VHF327840:VHF327841 VRB327840:VRB327841 WAX327840:WAX327841 WKT327840:WKT327841 WUP327840:WUP327841 ID393376:ID393377 RZ393376:RZ393377 ABV393376:ABV393377 ALR393376:ALR393377 AVN393376:AVN393377 BFJ393376:BFJ393377 BPF393376:BPF393377 BZB393376:BZB393377 CIX393376:CIX393377 CST393376:CST393377 DCP393376:DCP393377 DML393376:DML393377 DWH393376:DWH393377 EGD393376:EGD393377 EPZ393376:EPZ393377 EZV393376:EZV393377 FJR393376:FJR393377 FTN393376:FTN393377 GDJ393376:GDJ393377 GNF393376:GNF393377 GXB393376:GXB393377 HGX393376:HGX393377 HQT393376:HQT393377 IAP393376:IAP393377 IKL393376:IKL393377 IUH393376:IUH393377 JED393376:JED393377 JNZ393376:JNZ393377 JXV393376:JXV393377 KHR393376:KHR393377 KRN393376:KRN393377 LBJ393376:LBJ393377 LLF393376:LLF393377 LVB393376:LVB393377 MEX393376:MEX393377 MOT393376:MOT393377 MYP393376:MYP393377 NIL393376:NIL393377 NSH393376:NSH393377 OCD393376:OCD393377 OLZ393376:OLZ393377 OVV393376:OVV393377 PFR393376:PFR393377 PPN393376:PPN393377 PZJ393376:PZJ393377 QJF393376:QJF393377 QTB393376:QTB393377 RCX393376:RCX393377 RMT393376:RMT393377 RWP393376:RWP393377 SGL393376:SGL393377 SQH393376:SQH393377 TAD393376:TAD393377 TJZ393376:TJZ393377 TTV393376:TTV393377 UDR393376:UDR393377 UNN393376:UNN393377 UXJ393376:UXJ393377 VHF393376:VHF393377 VRB393376:VRB393377 WAX393376:WAX393377 WKT393376:WKT393377 WUP393376:WUP393377 ID458912:ID458913 RZ458912:RZ458913 ABV458912:ABV458913 ALR458912:ALR458913 AVN458912:AVN458913 BFJ458912:BFJ458913 BPF458912:BPF458913 BZB458912:BZB458913 CIX458912:CIX458913 CST458912:CST458913 DCP458912:DCP458913 DML458912:DML458913 DWH458912:DWH458913 EGD458912:EGD458913 EPZ458912:EPZ458913 EZV458912:EZV458913 FJR458912:FJR458913 FTN458912:FTN458913 GDJ458912:GDJ458913 GNF458912:GNF458913 GXB458912:GXB458913 HGX458912:HGX458913 HQT458912:HQT458913 IAP458912:IAP458913 IKL458912:IKL458913 IUH458912:IUH458913 JED458912:JED458913 JNZ458912:JNZ458913 JXV458912:JXV458913 KHR458912:KHR458913 KRN458912:KRN458913 LBJ458912:LBJ458913 LLF458912:LLF458913 LVB458912:LVB458913 MEX458912:MEX458913 MOT458912:MOT458913 MYP458912:MYP458913 NIL458912:NIL458913 NSH458912:NSH458913 OCD458912:OCD458913 OLZ458912:OLZ458913 OVV458912:OVV458913 PFR458912:PFR458913 PPN458912:PPN458913 PZJ458912:PZJ458913 QJF458912:QJF458913 QTB458912:QTB458913 RCX458912:RCX458913 RMT458912:RMT458913 RWP458912:RWP458913 SGL458912:SGL458913 SQH458912:SQH458913 TAD458912:TAD458913 TJZ458912:TJZ458913 TTV458912:TTV458913 UDR458912:UDR458913 UNN458912:UNN458913 UXJ458912:UXJ458913 VHF458912:VHF458913 VRB458912:VRB458913 WAX458912:WAX458913 WKT458912:WKT458913 WUP458912:WUP458913 ID524448:ID524449 RZ524448:RZ524449 ABV524448:ABV524449 ALR524448:ALR524449 AVN524448:AVN524449 BFJ524448:BFJ524449 BPF524448:BPF524449 BZB524448:BZB524449 CIX524448:CIX524449 CST524448:CST524449 DCP524448:DCP524449 DML524448:DML524449 DWH524448:DWH524449 EGD524448:EGD524449 EPZ524448:EPZ524449 EZV524448:EZV524449 FJR524448:FJR524449 FTN524448:FTN524449 GDJ524448:GDJ524449 GNF524448:GNF524449 GXB524448:GXB524449 HGX524448:HGX524449 HQT524448:HQT524449 IAP524448:IAP524449 IKL524448:IKL524449 IUH524448:IUH524449 JED524448:JED524449 JNZ524448:JNZ524449 JXV524448:JXV524449 KHR524448:KHR524449 KRN524448:KRN524449 LBJ524448:LBJ524449 LLF524448:LLF524449 LVB524448:LVB524449 MEX524448:MEX524449 MOT524448:MOT524449 MYP524448:MYP524449 NIL524448:NIL524449 NSH524448:NSH524449 OCD524448:OCD524449 OLZ524448:OLZ524449 OVV524448:OVV524449 PFR524448:PFR524449 PPN524448:PPN524449 PZJ524448:PZJ524449 QJF524448:QJF524449 QTB524448:QTB524449 RCX524448:RCX524449 RMT524448:RMT524449 RWP524448:RWP524449 SGL524448:SGL524449 SQH524448:SQH524449 TAD524448:TAD524449 TJZ524448:TJZ524449 TTV524448:TTV524449 UDR524448:UDR524449 UNN524448:UNN524449 UXJ524448:UXJ524449 VHF524448:VHF524449 VRB524448:VRB524449 WAX524448:WAX524449 WKT524448:WKT524449 WUP524448:WUP524449 ID589984:ID589985 RZ589984:RZ589985 ABV589984:ABV589985 ALR589984:ALR589985 AVN589984:AVN589985 BFJ589984:BFJ589985 BPF589984:BPF589985 BZB589984:BZB589985 CIX589984:CIX589985 CST589984:CST589985 DCP589984:DCP589985 DML589984:DML589985 DWH589984:DWH589985 EGD589984:EGD589985 EPZ589984:EPZ589985 EZV589984:EZV589985 FJR589984:FJR589985 FTN589984:FTN589985 GDJ589984:GDJ589985 GNF589984:GNF589985 GXB589984:GXB589985 HGX589984:HGX589985 HQT589984:HQT589985 IAP589984:IAP589985 IKL589984:IKL589985 IUH589984:IUH589985 JED589984:JED589985 JNZ589984:JNZ589985 JXV589984:JXV589985 KHR589984:KHR589985 KRN589984:KRN589985 LBJ589984:LBJ589985 LLF589984:LLF589985 LVB589984:LVB589985 MEX589984:MEX589985 MOT589984:MOT589985 MYP589984:MYP589985 NIL589984:NIL589985 NSH589984:NSH589985 OCD589984:OCD589985 OLZ589984:OLZ589985 OVV589984:OVV589985 PFR589984:PFR589985 PPN589984:PPN589985 PZJ589984:PZJ589985 QJF589984:QJF589985 QTB589984:QTB589985 RCX589984:RCX589985 RMT589984:RMT589985 RWP589984:RWP589985 SGL589984:SGL589985 SQH589984:SQH589985 TAD589984:TAD589985 TJZ589984:TJZ589985 TTV589984:TTV589985 UDR589984:UDR589985 UNN589984:UNN589985 UXJ589984:UXJ589985 VHF589984:VHF589985 VRB589984:VRB589985 WAX589984:WAX589985 WKT589984:WKT589985 WUP589984:WUP589985 ID655520:ID655521 RZ655520:RZ655521 ABV655520:ABV655521 ALR655520:ALR655521 AVN655520:AVN655521 BFJ655520:BFJ655521 BPF655520:BPF655521 BZB655520:BZB655521 CIX655520:CIX655521 CST655520:CST655521 DCP655520:DCP655521 DML655520:DML655521 DWH655520:DWH655521 EGD655520:EGD655521 EPZ655520:EPZ655521 EZV655520:EZV655521 FJR655520:FJR655521 FTN655520:FTN655521 GDJ655520:GDJ655521 GNF655520:GNF655521 GXB655520:GXB655521 HGX655520:HGX655521 HQT655520:HQT655521 IAP655520:IAP655521 IKL655520:IKL655521 IUH655520:IUH655521 JED655520:JED655521 JNZ655520:JNZ655521 JXV655520:JXV655521 KHR655520:KHR655521 KRN655520:KRN655521 LBJ655520:LBJ655521 LLF655520:LLF655521 LVB655520:LVB655521 MEX655520:MEX655521 MOT655520:MOT655521 MYP655520:MYP655521 NIL655520:NIL655521 NSH655520:NSH655521 OCD655520:OCD655521 OLZ655520:OLZ655521 OVV655520:OVV655521 PFR655520:PFR655521 PPN655520:PPN655521 PZJ655520:PZJ655521 QJF655520:QJF655521 QTB655520:QTB655521 RCX655520:RCX655521 RMT655520:RMT655521 RWP655520:RWP655521 SGL655520:SGL655521 SQH655520:SQH655521 TAD655520:TAD655521 TJZ655520:TJZ655521 TTV655520:TTV655521 UDR655520:UDR655521 UNN655520:UNN655521 UXJ655520:UXJ655521 VHF655520:VHF655521 VRB655520:VRB655521 WAX655520:WAX655521 WKT655520:WKT655521 WUP655520:WUP655521 ID721056:ID721057 RZ721056:RZ721057 ABV721056:ABV721057 ALR721056:ALR721057 AVN721056:AVN721057 BFJ721056:BFJ721057 BPF721056:BPF721057 BZB721056:BZB721057 CIX721056:CIX721057 CST721056:CST721057 DCP721056:DCP721057 DML721056:DML721057 DWH721056:DWH721057 EGD721056:EGD721057 EPZ721056:EPZ721057 EZV721056:EZV721057 FJR721056:FJR721057 FTN721056:FTN721057 GDJ721056:GDJ721057 GNF721056:GNF721057 GXB721056:GXB721057 HGX721056:HGX721057 HQT721056:HQT721057 IAP721056:IAP721057 IKL721056:IKL721057 IUH721056:IUH721057 JED721056:JED721057 JNZ721056:JNZ721057 JXV721056:JXV721057 KHR721056:KHR721057 KRN721056:KRN721057 LBJ721056:LBJ721057 LLF721056:LLF721057 LVB721056:LVB721057 MEX721056:MEX721057 MOT721056:MOT721057 MYP721056:MYP721057 NIL721056:NIL721057 NSH721056:NSH721057 OCD721056:OCD721057 OLZ721056:OLZ721057 OVV721056:OVV721057 PFR721056:PFR721057 PPN721056:PPN721057 PZJ721056:PZJ721057 QJF721056:QJF721057 QTB721056:QTB721057 RCX721056:RCX721057 RMT721056:RMT721057 RWP721056:RWP721057 SGL721056:SGL721057 SQH721056:SQH721057 TAD721056:TAD721057 TJZ721056:TJZ721057 TTV721056:TTV721057 UDR721056:UDR721057 UNN721056:UNN721057 UXJ721056:UXJ721057 VHF721056:VHF721057 VRB721056:VRB721057 WAX721056:WAX721057 WKT721056:WKT721057 WUP721056:WUP721057 ID786592:ID786593 RZ786592:RZ786593 ABV786592:ABV786593 ALR786592:ALR786593 AVN786592:AVN786593 BFJ786592:BFJ786593 BPF786592:BPF786593 BZB786592:BZB786593 CIX786592:CIX786593 CST786592:CST786593 DCP786592:DCP786593 DML786592:DML786593 DWH786592:DWH786593 EGD786592:EGD786593 EPZ786592:EPZ786593 EZV786592:EZV786593 FJR786592:FJR786593 FTN786592:FTN786593 GDJ786592:GDJ786593 GNF786592:GNF786593 GXB786592:GXB786593 HGX786592:HGX786593 HQT786592:HQT786593 IAP786592:IAP786593 IKL786592:IKL786593 IUH786592:IUH786593 JED786592:JED786593 JNZ786592:JNZ786593 JXV786592:JXV786593 KHR786592:KHR786593 KRN786592:KRN786593 LBJ786592:LBJ786593 LLF786592:LLF786593 LVB786592:LVB786593 MEX786592:MEX786593 MOT786592:MOT786593 MYP786592:MYP786593 NIL786592:NIL786593 NSH786592:NSH786593 OCD786592:OCD786593 OLZ786592:OLZ786593 OVV786592:OVV786593 PFR786592:PFR786593 PPN786592:PPN786593 PZJ786592:PZJ786593 QJF786592:QJF786593 QTB786592:QTB786593 RCX786592:RCX786593 RMT786592:RMT786593 RWP786592:RWP786593 SGL786592:SGL786593 SQH786592:SQH786593 TAD786592:TAD786593 TJZ786592:TJZ786593 TTV786592:TTV786593 UDR786592:UDR786593 UNN786592:UNN786593 UXJ786592:UXJ786593 VHF786592:VHF786593 VRB786592:VRB786593 WAX786592:WAX786593 WKT786592:WKT786593 WUP786592:WUP786593 ID852128:ID852129 RZ852128:RZ852129 ABV852128:ABV852129 ALR852128:ALR852129 AVN852128:AVN852129 BFJ852128:BFJ852129 BPF852128:BPF852129 BZB852128:BZB852129 CIX852128:CIX852129 CST852128:CST852129 DCP852128:DCP852129 DML852128:DML852129 DWH852128:DWH852129 EGD852128:EGD852129 EPZ852128:EPZ852129 EZV852128:EZV852129 FJR852128:FJR852129 FTN852128:FTN852129 GDJ852128:GDJ852129 GNF852128:GNF852129 GXB852128:GXB852129 HGX852128:HGX852129 HQT852128:HQT852129 IAP852128:IAP852129 IKL852128:IKL852129 IUH852128:IUH852129 JED852128:JED852129 JNZ852128:JNZ852129 JXV852128:JXV852129 KHR852128:KHR852129 KRN852128:KRN852129 LBJ852128:LBJ852129 LLF852128:LLF852129 LVB852128:LVB852129 MEX852128:MEX852129 MOT852128:MOT852129 MYP852128:MYP852129 NIL852128:NIL852129 NSH852128:NSH852129 OCD852128:OCD852129 OLZ852128:OLZ852129 OVV852128:OVV852129 PFR852128:PFR852129 PPN852128:PPN852129 PZJ852128:PZJ852129 QJF852128:QJF852129 QTB852128:QTB852129 RCX852128:RCX852129 RMT852128:RMT852129 RWP852128:RWP852129 SGL852128:SGL852129 SQH852128:SQH852129 TAD852128:TAD852129 TJZ852128:TJZ852129 TTV852128:TTV852129 UDR852128:UDR852129 UNN852128:UNN852129 UXJ852128:UXJ852129 VHF852128:VHF852129 VRB852128:VRB852129 WAX852128:WAX852129 WKT852128:WKT852129 WUP852128:WUP852129 ID917664:ID917665 RZ917664:RZ917665 ABV917664:ABV917665 ALR917664:ALR917665 AVN917664:AVN917665 BFJ917664:BFJ917665 BPF917664:BPF917665 BZB917664:BZB917665 CIX917664:CIX917665 CST917664:CST917665 DCP917664:DCP917665 DML917664:DML917665 DWH917664:DWH917665 EGD917664:EGD917665 EPZ917664:EPZ917665 EZV917664:EZV917665 FJR917664:FJR917665 FTN917664:FTN917665 GDJ917664:GDJ917665 GNF917664:GNF917665 GXB917664:GXB917665 HGX917664:HGX917665 HQT917664:HQT917665 IAP917664:IAP917665 IKL917664:IKL917665 IUH917664:IUH917665 JED917664:JED917665 JNZ917664:JNZ917665 JXV917664:JXV917665 KHR917664:KHR917665 KRN917664:KRN917665 LBJ917664:LBJ917665 LLF917664:LLF917665 LVB917664:LVB917665 MEX917664:MEX917665 MOT917664:MOT917665 MYP917664:MYP917665 NIL917664:NIL917665 NSH917664:NSH917665 OCD917664:OCD917665 OLZ917664:OLZ917665 OVV917664:OVV917665 PFR917664:PFR917665 PPN917664:PPN917665 PZJ917664:PZJ917665 QJF917664:QJF917665 QTB917664:QTB917665 RCX917664:RCX917665 RMT917664:RMT917665 RWP917664:RWP917665 SGL917664:SGL917665 SQH917664:SQH917665 TAD917664:TAD917665 TJZ917664:TJZ917665 TTV917664:TTV917665 UDR917664:UDR917665 UNN917664:UNN917665 UXJ917664:UXJ917665 VHF917664:VHF917665 VRB917664:VRB917665 WAX917664:WAX917665 WKT917664:WKT917665 WUP917664:WUP917665 ID983200:ID983201 RZ983200:RZ983201 ABV983200:ABV983201 ALR983200:ALR983201 AVN983200:AVN983201 BFJ983200:BFJ983201 BPF983200:BPF983201 BZB983200:BZB983201 CIX983200:CIX983201 CST983200:CST983201 DCP983200:DCP983201 DML983200:DML983201 DWH983200:DWH983201 EGD983200:EGD983201 EPZ983200:EPZ983201 EZV983200:EZV983201 FJR983200:FJR983201 FTN983200:FTN983201 GDJ983200:GDJ983201 GNF983200:GNF983201 GXB983200:GXB983201 HGX983200:HGX983201 HQT983200:HQT983201 IAP983200:IAP983201 IKL983200:IKL983201 IUH983200:IUH983201 JED983200:JED983201 JNZ983200:JNZ983201 JXV983200:JXV983201 KHR983200:KHR983201 KRN983200:KRN983201 LBJ983200:LBJ983201 LLF983200:LLF983201 LVB983200:LVB983201 MEX983200:MEX983201 MOT983200:MOT983201 MYP983200:MYP983201 NIL983200:NIL983201 NSH983200:NSH983201 OCD983200:OCD983201 OLZ983200:OLZ983201 OVV983200:OVV983201 PFR983200:PFR983201 PPN983200:PPN983201 PZJ983200:PZJ983201 QJF983200:QJF983201 QTB983200:QTB983201 RCX983200:RCX983201 RMT983200:RMT983201 RWP983200:RWP983201 SGL983200:SGL983201 SQH983200:SQH983201 TAD983200:TAD983201 TJZ983200:TJZ983201 TTV983200:TTV983201 UDR983200:UDR983201 UNN983200:UNN983201 UXJ983200:UXJ983201 VHF983200:VHF983201 VRB983200:VRB983201 WAX983200:WAX983201 WKT983200:WKT983201 WUP983200:WUP983201 ID65675:ID65676 RZ65675:RZ65676 ABV65675:ABV65676 ALR65675:ALR65676 AVN65675:AVN65676 BFJ65675:BFJ65676 BPF65675:BPF65676 BZB65675:BZB65676 CIX65675:CIX65676 CST65675:CST65676 DCP65675:DCP65676 DML65675:DML65676 DWH65675:DWH65676 EGD65675:EGD65676 EPZ65675:EPZ65676 EZV65675:EZV65676 FJR65675:FJR65676 FTN65675:FTN65676 GDJ65675:GDJ65676 GNF65675:GNF65676 GXB65675:GXB65676 HGX65675:HGX65676 HQT65675:HQT65676 IAP65675:IAP65676 IKL65675:IKL65676 IUH65675:IUH65676 JED65675:JED65676 JNZ65675:JNZ65676 JXV65675:JXV65676 KHR65675:KHR65676 KRN65675:KRN65676 LBJ65675:LBJ65676 LLF65675:LLF65676 LVB65675:LVB65676 MEX65675:MEX65676 MOT65675:MOT65676 MYP65675:MYP65676 NIL65675:NIL65676 NSH65675:NSH65676 OCD65675:OCD65676 OLZ65675:OLZ65676 OVV65675:OVV65676 PFR65675:PFR65676 PPN65675:PPN65676 PZJ65675:PZJ65676 QJF65675:QJF65676 QTB65675:QTB65676 RCX65675:RCX65676 RMT65675:RMT65676 RWP65675:RWP65676 SGL65675:SGL65676 SQH65675:SQH65676 TAD65675:TAD65676 TJZ65675:TJZ65676 TTV65675:TTV65676 UDR65675:UDR65676 UNN65675:UNN65676 UXJ65675:UXJ65676 VHF65675:VHF65676 VRB65675:VRB65676 WAX65675:WAX65676 WKT65675:WKT65676 WUP65675:WUP65676 ID131211:ID131212 RZ131211:RZ131212 ABV131211:ABV131212 ALR131211:ALR131212 AVN131211:AVN131212 BFJ131211:BFJ131212 BPF131211:BPF131212 BZB131211:BZB131212 CIX131211:CIX131212 CST131211:CST131212 DCP131211:DCP131212 DML131211:DML131212 DWH131211:DWH131212 EGD131211:EGD131212 EPZ131211:EPZ131212 EZV131211:EZV131212 FJR131211:FJR131212 FTN131211:FTN131212 GDJ131211:GDJ131212 GNF131211:GNF131212 GXB131211:GXB131212 HGX131211:HGX131212 HQT131211:HQT131212 IAP131211:IAP131212 IKL131211:IKL131212 IUH131211:IUH131212 JED131211:JED131212 JNZ131211:JNZ131212 JXV131211:JXV131212 KHR131211:KHR131212 KRN131211:KRN131212 LBJ131211:LBJ131212 LLF131211:LLF131212 LVB131211:LVB131212 MEX131211:MEX131212 MOT131211:MOT131212 MYP131211:MYP131212 NIL131211:NIL131212 NSH131211:NSH131212 OCD131211:OCD131212 OLZ131211:OLZ131212 OVV131211:OVV131212 PFR131211:PFR131212 PPN131211:PPN131212 PZJ131211:PZJ131212 QJF131211:QJF131212 QTB131211:QTB131212 RCX131211:RCX131212 RMT131211:RMT131212 RWP131211:RWP131212 SGL131211:SGL131212 SQH131211:SQH131212 TAD131211:TAD131212 TJZ131211:TJZ131212 TTV131211:TTV131212 UDR131211:UDR131212 UNN131211:UNN131212 UXJ131211:UXJ131212 VHF131211:VHF131212 VRB131211:VRB131212 WAX131211:WAX131212 WKT131211:WKT131212 WUP131211:WUP131212 ID196747:ID196748 RZ196747:RZ196748 ABV196747:ABV196748 ALR196747:ALR196748 AVN196747:AVN196748 BFJ196747:BFJ196748 BPF196747:BPF196748 BZB196747:BZB196748 CIX196747:CIX196748 CST196747:CST196748 DCP196747:DCP196748 DML196747:DML196748 DWH196747:DWH196748 EGD196747:EGD196748 EPZ196747:EPZ196748 EZV196747:EZV196748 FJR196747:FJR196748 FTN196747:FTN196748 GDJ196747:GDJ196748 GNF196747:GNF196748 GXB196747:GXB196748 HGX196747:HGX196748 HQT196747:HQT196748 IAP196747:IAP196748 IKL196747:IKL196748 IUH196747:IUH196748 JED196747:JED196748 JNZ196747:JNZ196748 JXV196747:JXV196748 KHR196747:KHR196748 KRN196747:KRN196748 LBJ196747:LBJ196748 LLF196747:LLF196748 LVB196747:LVB196748 MEX196747:MEX196748 MOT196747:MOT196748 MYP196747:MYP196748 NIL196747:NIL196748 NSH196747:NSH196748 OCD196747:OCD196748 OLZ196747:OLZ196748 OVV196747:OVV196748 PFR196747:PFR196748 PPN196747:PPN196748 PZJ196747:PZJ196748 QJF196747:QJF196748 QTB196747:QTB196748 RCX196747:RCX196748 RMT196747:RMT196748 RWP196747:RWP196748 SGL196747:SGL196748 SQH196747:SQH196748 TAD196747:TAD196748 TJZ196747:TJZ196748 TTV196747:TTV196748 UDR196747:UDR196748 UNN196747:UNN196748 UXJ196747:UXJ196748 VHF196747:VHF196748 VRB196747:VRB196748 WAX196747:WAX196748 WKT196747:WKT196748 WUP196747:WUP196748 ID262283:ID262284 RZ262283:RZ262284 ABV262283:ABV262284 ALR262283:ALR262284 AVN262283:AVN262284 BFJ262283:BFJ262284 BPF262283:BPF262284 BZB262283:BZB262284 CIX262283:CIX262284 CST262283:CST262284 DCP262283:DCP262284 DML262283:DML262284 DWH262283:DWH262284 EGD262283:EGD262284 EPZ262283:EPZ262284 EZV262283:EZV262284 FJR262283:FJR262284 FTN262283:FTN262284 GDJ262283:GDJ262284 GNF262283:GNF262284 GXB262283:GXB262284 HGX262283:HGX262284 HQT262283:HQT262284 IAP262283:IAP262284 IKL262283:IKL262284 IUH262283:IUH262284 JED262283:JED262284 JNZ262283:JNZ262284 JXV262283:JXV262284 KHR262283:KHR262284 KRN262283:KRN262284 LBJ262283:LBJ262284 LLF262283:LLF262284 LVB262283:LVB262284 MEX262283:MEX262284 MOT262283:MOT262284 MYP262283:MYP262284 NIL262283:NIL262284 NSH262283:NSH262284 OCD262283:OCD262284 OLZ262283:OLZ262284 OVV262283:OVV262284 PFR262283:PFR262284 PPN262283:PPN262284 PZJ262283:PZJ262284 QJF262283:QJF262284 QTB262283:QTB262284 RCX262283:RCX262284 RMT262283:RMT262284 RWP262283:RWP262284 SGL262283:SGL262284 SQH262283:SQH262284 TAD262283:TAD262284 TJZ262283:TJZ262284 TTV262283:TTV262284 UDR262283:UDR262284 UNN262283:UNN262284 UXJ262283:UXJ262284 VHF262283:VHF262284 VRB262283:VRB262284 WAX262283:WAX262284 WKT262283:WKT262284 WUP262283:WUP262284 ID327819:ID327820 RZ327819:RZ327820 ABV327819:ABV327820 ALR327819:ALR327820 AVN327819:AVN327820 BFJ327819:BFJ327820 BPF327819:BPF327820 BZB327819:BZB327820 CIX327819:CIX327820 CST327819:CST327820 DCP327819:DCP327820 DML327819:DML327820 DWH327819:DWH327820 EGD327819:EGD327820 EPZ327819:EPZ327820 EZV327819:EZV327820 FJR327819:FJR327820 FTN327819:FTN327820 GDJ327819:GDJ327820 GNF327819:GNF327820 GXB327819:GXB327820 HGX327819:HGX327820 HQT327819:HQT327820 IAP327819:IAP327820 IKL327819:IKL327820 IUH327819:IUH327820 JED327819:JED327820 JNZ327819:JNZ327820 JXV327819:JXV327820 KHR327819:KHR327820 KRN327819:KRN327820 LBJ327819:LBJ327820 LLF327819:LLF327820 LVB327819:LVB327820 MEX327819:MEX327820 MOT327819:MOT327820 MYP327819:MYP327820 NIL327819:NIL327820 NSH327819:NSH327820 OCD327819:OCD327820 OLZ327819:OLZ327820 OVV327819:OVV327820 PFR327819:PFR327820 PPN327819:PPN327820 PZJ327819:PZJ327820 QJF327819:QJF327820 QTB327819:QTB327820 RCX327819:RCX327820 RMT327819:RMT327820 RWP327819:RWP327820 SGL327819:SGL327820 SQH327819:SQH327820 TAD327819:TAD327820 TJZ327819:TJZ327820 TTV327819:TTV327820 UDR327819:UDR327820 UNN327819:UNN327820 UXJ327819:UXJ327820 VHF327819:VHF327820 VRB327819:VRB327820 WAX327819:WAX327820 WKT327819:WKT327820 WUP327819:WUP327820 ID393355:ID393356 RZ393355:RZ393356 ABV393355:ABV393356 ALR393355:ALR393356 AVN393355:AVN393356 BFJ393355:BFJ393356 BPF393355:BPF393356 BZB393355:BZB393356 CIX393355:CIX393356 CST393355:CST393356 DCP393355:DCP393356 DML393355:DML393356 DWH393355:DWH393356 EGD393355:EGD393356 EPZ393355:EPZ393356 EZV393355:EZV393356 FJR393355:FJR393356 FTN393355:FTN393356 GDJ393355:GDJ393356 GNF393355:GNF393356 GXB393355:GXB393356 HGX393355:HGX393356 HQT393355:HQT393356 IAP393355:IAP393356 IKL393355:IKL393356 IUH393355:IUH393356 JED393355:JED393356 JNZ393355:JNZ393356 JXV393355:JXV393356 KHR393355:KHR393356 KRN393355:KRN393356 LBJ393355:LBJ393356 LLF393355:LLF393356 LVB393355:LVB393356 MEX393355:MEX393356 MOT393355:MOT393356 MYP393355:MYP393356 NIL393355:NIL393356 NSH393355:NSH393356 OCD393355:OCD393356 OLZ393355:OLZ393356 OVV393355:OVV393356 PFR393355:PFR393356 PPN393355:PPN393356 PZJ393355:PZJ393356 QJF393355:QJF393356 QTB393355:QTB393356 RCX393355:RCX393356 RMT393355:RMT393356 RWP393355:RWP393356 SGL393355:SGL393356 SQH393355:SQH393356 TAD393355:TAD393356 TJZ393355:TJZ393356 TTV393355:TTV393356 UDR393355:UDR393356 UNN393355:UNN393356 UXJ393355:UXJ393356 VHF393355:VHF393356 VRB393355:VRB393356 WAX393355:WAX393356 WKT393355:WKT393356 WUP393355:WUP393356 ID458891:ID458892 RZ458891:RZ458892 ABV458891:ABV458892 ALR458891:ALR458892 AVN458891:AVN458892 BFJ458891:BFJ458892 BPF458891:BPF458892 BZB458891:BZB458892 CIX458891:CIX458892 CST458891:CST458892 DCP458891:DCP458892 DML458891:DML458892 DWH458891:DWH458892 EGD458891:EGD458892 EPZ458891:EPZ458892 EZV458891:EZV458892 FJR458891:FJR458892 FTN458891:FTN458892 GDJ458891:GDJ458892 GNF458891:GNF458892 GXB458891:GXB458892 HGX458891:HGX458892 HQT458891:HQT458892 IAP458891:IAP458892 IKL458891:IKL458892 IUH458891:IUH458892 JED458891:JED458892 JNZ458891:JNZ458892 JXV458891:JXV458892 KHR458891:KHR458892 KRN458891:KRN458892 LBJ458891:LBJ458892 LLF458891:LLF458892 LVB458891:LVB458892 MEX458891:MEX458892 MOT458891:MOT458892 MYP458891:MYP458892 NIL458891:NIL458892 NSH458891:NSH458892 OCD458891:OCD458892 OLZ458891:OLZ458892 OVV458891:OVV458892 PFR458891:PFR458892 PPN458891:PPN458892 PZJ458891:PZJ458892 QJF458891:QJF458892 QTB458891:QTB458892 RCX458891:RCX458892 RMT458891:RMT458892 RWP458891:RWP458892 SGL458891:SGL458892 SQH458891:SQH458892 TAD458891:TAD458892 TJZ458891:TJZ458892 TTV458891:TTV458892 UDR458891:UDR458892 UNN458891:UNN458892 UXJ458891:UXJ458892 VHF458891:VHF458892 VRB458891:VRB458892 WAX458891:WAX458892 WKT458891:WKT458892 WUP458891:WUP458892 ID524427:ID524428 RZ524427:RZ524428 ABV524427:ABV524428 ALR524427:ALR524428 AVN524427:AVN524428 BFJ524427:BFJ524428 BPF524427:BPF524428 BZB524427:BZB524428 CIX524427:CIX524428 CST524427:CST524428 DCP524427:DCP524428 DML524427:DML524428 DWH524427:DWH524428 EGD524427:EGD524428 EPZ524427:EPZ524428 EZV524427:EZV524428 FJR524427:FJR524428 FTN524427:FTN524428 GDJ524427:GDJ524428 GNF524427:GNF524428 GXB524427:GXB524428 HGX524427:HGX524428 HQT524427:HQT524428 IAP524427:IAP524428 IKL524427:IKL524428 IUH524427:IUH524428 JED524427:JED524428 JNZ524427:JNZ524428 JXV524427:JXV524428 KHR524427:KHR524428 KRN524427:KRN524428 LBJ524427:LBJ524428 LLF524427:LLF524428 LVB524427:LVB524428 MEX524427:MEX524428 MOT524427:MOT524428 MYP524427:MYP524428 NIL524427:NIL524428 NSH524427:NSH524428 OCD524427:OCD524428 OLZ524427:OLZ524428 OVV524427:OVV524428 PFR524427:PFR524428 PPN524427:PPN524428 PZJ524427:PZJ524428 QJF524427:QJF524428 QTB524427:QTB524428 RCX524427:RCX524428 RMT524427:RMT524428 RWP524427:RWP524428 SGL524427:SGL524428 SQH524427:SQH524428 TAD524427:TAD524428 TJZ524427:TJZ524428 TTV524427:TTV524428 UDR524427:UDR524428 UNN524427:UNN524428 UXJ524427:UXJ524428 VHF524427:VHF524428 VRB524427:VRB524428 WAX524427:WAX524428 WKT524427:WKT524428 WUP524427:WUP524428 ID589963:ID589964 RZ589963:RZ589964 ABV589963:ABV589964 ALR589963:ALR589964 AVN589963:AVN589964 BFJ589963:BFJ589964 BPF589963:BPF589964 BZB589963:BZB589964 CIX589963:CIX589964 CST589963:CST589964 DCP589963:DCP589964 DML589963:DML589964 DWH589963:DWH589964 EGD589963:EGD589964 EPZ589963:EPZ589964 EZV589963:EZV589964 FJR589963:FJR589964 FTN589963:FTN589964 GDJ589963:GDJ589964 GNF589963:GNF589964 GXB589963:GXB589964 HGX589963:HGX589964 HQT589963:HQT589964 IAP589963:IAP589964 IKL589963:IKL589964 IUH589963:IUH589964 JED589963:JED589964 JNZ589963:JNZ589964 JXV589963:JXV589964 KHR589963:KHR589964 KRN589963:KRN589964 LBJ589963:LBJ589964 LLF589963:LLF589964 LVB589963:LVB589964 MEX589963:MEX589964 MOT589963:MOT589964 MYP589963:MYP589964 NIL589963:NIL589964 NSH589963:NSH589964 OCD589963:OCD589964 OLZ589963:OLZ589964 OVV589963:OVV589964 PFR589963:PFR589964 PPN589963:PPN589964 PZJ589963:PZJ589964 QJF589963:QJF589964 QTB589963:QTB589964 RCX589963:RCX589964 RMT589963:RMT589964 RWP589963:RWP589964 SGL589963:SGL589964 SQH589963:SQH589964 TAD589963:TAD589964 TJZ589963:TJZ589964 TTV589963:TTV589964 UDR589963:UDR589964 UNN589963:UNN589964 UXJ589963:UXJ589964 VHF589963:VHF589964 VRB589963:VRB589964 WAX589963:WAX589964 WKT589963:WKT589964 WUP589963:WUP589964 ID655499:ID655500 RZ655499:RZ655500 ABV655499:ABV655500 ALR655499:ALR655500 AVN655499:AVN655500 BFJ655499:BFJ655500 BPF655499:BPF655500 BZB655499:BZB655500 CIX655499:CIX655500 CST655499:CST655500 DCP655499:DCP655500 DML655499:DML655500 DWH655499:DWH655500 EGD655499:EGD655500 EPZ655499:EPZ655500 EZV655499:EZV655500 FJR655499:FJR655500 FTN655499:FTN655500 GDJ655499:GDJ655500 GNF655499:GNF655500 GXB655499:GXB655500 HGX655499:HGX655500 HQT655499:HQT655500 IAP655499:IAP655500 IKL655499:IKL655500 IUH655499:IUH655500 JED655499:JED655500 JNZ655499:JNZ655500 JXV655499:JXV655500 KHR655499:KHR655500 KRN655499:KRN655500 LBJ655499:LBJ655500 LLF655499:LLF655500 LVB655499:LVB655500 MEX655499:MEX655500 MOT655499:MOT655500 MYP655499:MYP655500 NIL655499:NIL655500 NSH655499:NSH655500 OCD655499:OCD655500 OLZ655499:OLZ655500 OVV655499:OVV655500 PFR655499:PFR655500 PPN655499:PPN655500 PZJ655499:PZJ655500 QJF655499:QJF655500 QTB655499:QTB655500 RCX655499:RCX655500 RMT655499:RMT655500 RWP655499:RWP655500 SGL655499:SGL655500 SQH655499:SQH655500 TAD655499:TAD655500 TJZ655499:TJZ655500 TTV655499:TTV655500 UDR655499:UDR655500 UNN655499:UNN655500 UXJ655499:UXJ655500 VHF655499:VHF655500 VRB655499:VRB655500 WAX655499:WAX655500 WKT655499:WKT655500 WUP655499:WUP655500 ID721035:ID721036 RZ721035:RZ721036 ABV721035:ABV721036 ALR721035:ALR721036 AVN721035:AVN721036 BFJ721035:BFJ721036 BPF721035:BPF721036 BZB721035:BZB721036 CIX721035:CIX721036 CST721035:CST721036 DCP721035:DCP721036 DML721035:DML721036 DWH721035:DWH721036 EGD721035:EGD721036 EPZ721035:EPZ721036 EZV721035:EZV721036 FJR721035:FJR721036 FTN721035:FTN721036 GDJ721035:GDJ721036 GNF721035:GNF721036 GXB721035:GXB721036 HGX721035:HGX721036 HQT721035:HQT721036 IAP721035:IAP721036 IKL721035:IKL721036 IUH721035:IUH721036 JED721035:JED721036 JNZ721035:JNZ721036 JXV721035:JXV721036 KHR721035:KHR721036 KRN721035:KRN721036 LBJ721035:LBJ721036 LLF721035:LLF721036 LVB721035:LVB721036 MEX721035:MEX721036 MOT721035:MOT721036 MYP721035:MYP721036 NIL721035:NIL721036 NSH721035:NSH721036 OCD721035:OCD721036 OLZ721035:OLZ721036 OVV721035:OVV721036 PFR721035:PFR721036 PPN721035:PPN721036 PZJ721035:PZJ721036 QJF721035:QJF721036 QTB721035:QTB721036 RCX721035:RCX721036 RMT721035:RMT721036 RWP721035:RWP721036 SGL721035:SGL721036 SQH721035:SQH721036 TAD721035:TAD721036 TJZ721035:TJZ721036 TTV721035:TTV721036 UDR721035:UDR721036 UNN721035:UNN721036 UXJ721035:UXJ721036 VHF721035:VHF721036 VRB721035:VRB721036 WAX721035:WAX721036 WKT721035:WKT721036 WUP721035:WUP721036 ID786571:ID786572 RZ786571:RZ786572 ABV786571:ABV786572 ALR786571:ALR786572 AVN786571:AVN786572 BFJ786571:BFJ786572 BPF786571:BPF786572 BZB786571:BZB786572 CIX786571:CIX786572 CST786571:CST786572 DCP786571:DCP786572 DML786571:DML786572 DWH786571:DWH786572 EGD786571:EGD786572 EPZ786571:EPZ786572 EZV786571:EZV786572 FJR786571:FJR786572 FTN786571:FTN786572 GDJ786571:GDJ786572 GNF786571:GNF786572 GXB786571:GXB786572 HGX786571:HGX786572 HQT786571:HQT786572 IAP786571:IAP786572 IKL786571:IKL786572 IUH786571:IUH786572 JED786571:JED786572 JNZ786571:JNZ786572 JXV786571:JXV786572 KHR786571:KHR786572 KRN786571:KRN786572 LBJ786571:LBJ786572 LLF786571:LLF786572 LVB786571:LVB786572 MEX786571:MEX786572 MOT786571:MOT786572 MYP786571:MYP786572 NIL786571:NIL786572 NSH786571:NSH786572 OCD786571:OCD786572 OLZ786571:OLZ786572 OVV786571:OVV786572 PFR786571:PFR786572 PPN786571:PPN786572 PZJ786571:PZJ786572 QJF786571:QJF786572 QTB786571:QTB786572 RCX786571:RCX786572 RMT786571:RMT786572 RWP786571:RWP786572 SGL786571:SGL786572 SQH786571:SQH786572 TAD786571:TAD786572 TJZ786571:TJZ786572 TTV786571:TTV786572 UDR786571:UDR786572 UNN786571:UNN786572 UXJ786571:UXJ786572 VHF786571:VHF786572 VRB786571:VRB786572 WAX786571:WAX786572 WKT786571:WKT786572 WUP786571:WUP786572 ID852107:ID852108 RZ852107:RZ852108 ABV852107:ABV852108 ALR852107:ALR852108 AVN852107:AVN852108 BFJ852107:BFJ852108 BPF852107:BPF852108 BZB852107:BZB852108 CIX852107:CIX852108 CST852107:CST852108 DCP852107:DCP852108 DML852107:DML852108 DWH852107:DWH852108 EGD852107:EGD852108 EPZ852107:EPZ852108 EZV852107:EZV852108 FJR852107:FJR852108 FTN852107:FTN852108 GDJ852107:GDJ852108 GNF852107:GNF852108 GXB852107:GXB852108 HGX852107:HGX852108 HQT852107:HQT852108 IAP852107:IAP852108 IKL852107:IKL852108 IUH852107:IUH852108 JED852107:JED852108 JNZ852107:JNZ852108 JXV852107:JXV852108 KHR852107:KHR852108 KRN852107:KRN852108 LBJ852107:LBJ852108 LLF852107:LLF852108 LVB852107:LVB852108 MEX852107:MEX852108 MOT852107:MOT852108 MYP852107:MYP852108 NIL852107:NIL852108 NSH852107:NSH852108 OCD852107:OCD852108 OLZ852107:OLZ852108 OVV852107:OVV852108 PFR852107:PFR852108 PPN852107:PPN852108 PZJ852107:PZJ852108 QJF852107:QJF852108 QTB852107:QTB852108 RCX852107:RCX852108 RMT852107:RMT852108 RWP852107:RWP852108 SGL852107:SGL852108 SQH852107:SQH852108 TAD852107:TAD852108 TJZ852107:TJZ852108 TTV852107:TTV852108 UDR852107:UDR852108 UNN852107:UNN852108 UXJ852107:UXJ852108 VHF852107:VHF852108 VRB852107:VRB852108 WAX852107:WAX852108 WKT852107:WKT852108 WUP852107:WUP852108 ID917643:ID917644 RZ917643:RZ917644 ABV917643:ABV917644 ALR917643:ALR917644 AVN917643:AVN917644 BFJ917643:BFJ917644 BPF917643:BPF917644 BZB917643:BZB917644 CIX917643:CIX917644 CST917643:CST917644 DCP917643:DCP917644 DML917643:DML917644 DWH917643:DWH917644 EGD917643:EGD917644 EPZ917643:EPZ917644 EZV917643:EZV917644 FJR917643:FJR917644 FTN917643:FTN917644 GDJ917643:GDJ917644 GNF917643:GNF917644 GXB917643:GXB917644 HGX917643:HGX917644 HQT917643:HQT917644 IAP917643:IAP917644 IKL917643:IKL917644 IUH917643:IUH917644 JED917643:JED917644 JNZ917643:JNZ917644 JXV917643:JXV917644 KHR917643:KHR917644 KRN917643:KRN917644 LBJ917643:LBJ917644 LLF917643:LLF917644 LVB917643:LVB917644 MEX917643:MEX917644 MOT917643:MOT917644 MYP917643:MYP917644 NIL917643:NIL917644 NSH917643:NSH917644 OCD917643:OCD917644 OLZ917643:OLZ917644 OVV917643:OVV917644 PFR917643:PFR917644 PPN917643:PPN917644 PZJ917643:PZJ917644 QJF917643:QJF917644 QTB917643:QTB917644 RCX917643:RCX917644 RMT917643:RMT917644 RWP917643:RWP917644 SGL917643:SGL917644 SQH917643:SQH917644 TAD917643:TAD917644 TJZ917643:TJZ917644 TTV917643:TTV917644 UDR917643:UDR917644 UNN917643:UNN917644 UXJ917643:UXJ917644 VHF917643:VHF917644 VRB917643:VRB917644 WAX917643:WAX917644 WKT917643:WKT917644 WUP917643:WUP917644 ID983179:ID983180 RZ983179:RZ983180 ABV983179:ABV983180 ALR983179:ALR983180 AVN983179:AVN983180 BFJ983179:BFJ983180 BPF983179:BPF983180 BZB983179:BZB983180 CIX983179:CIX983180 CST983179:CST983180 DCP983179:DCP983180 DML983179:DML983180 DWH983179:DWH983180 EGD983179:EGD983180 EPZ983179:EPZ983180 EZV983179:EZV983180 FJR983179:FJR983180 FTN983179:FTN983180 GDJ983179:GDJ983180 GNF983179:GNF983180 GXB983179:GXB983180 HGX983179:HGX983180 HQT983179:HQT983180 IAP983179:IAP983180 IKL983179:IKL983180 IUH983179:IUH983180 JED983179:JED983180 JNZ983179:JNZ983180 JXV983179:JXV983180 KHR983179:KHR983180 KRN983179:KRN983180 LBJ983179:LBJ983180 LLF983179:LLF983180 LVB983179:LVB983180 MEX983179:MEX983180 MOT983179:MOT983180 MYP983179:MYP983180 NIL983179:NIL983180 NSH983179:NSH983180 OCD983179:OCD983180 OLZ983179:OLZ983180 OVV983179:OVV983180 PFR983179:PFR983180 PPN983179:PPN983180 PZJ983179:PZJ983180 QJF983179:QJF983180 QTB983179:QTB983180 RCX983179:RCX983180 RMT983179:RMT983180 RWP983179:RWP983180 SGL983179:SGL983180 SQH983179:SQH983180 TAD983179:TAD983180 TJZ983179:TJZ983180 TTV983179:TTV983180 UDR983179:UDR983180 UNN983179:UNN983180 UXJ983179:UXJ983180 VHF983179:VHF983180 VRB983179:VRB983180 WAX983179:WAX983180 WKT983179:WKT983180 WUP983179:WUP983180 ID65537 RZ65537 ABV65537 ALR65537 AVN65537 BFJ65537 BPF65537 BZB65537 CIX65537 CST65537 DCP65537 DML65537 DWH65537 EGD65537 EPZ65537 EZV65537 FJR65537 FTN65537 GDJ65537 GNF65537 GXB65537 HGX65537 HQT65537 IAP65537 IKL65537 IUH65537 JED65537 JNZ65537 JXV65537 KHR65537 KRN65537 LBJ65537 LLF65537 LVB65537 MEX65537 MOT65537 MYP65537 NIL65537 NSH65537 OCD65537 OLZ65537 OVV65537 PFR65537 PPN65537 PZJ65537 QJF65537 QTB65537 RCX65537 RMT65537 RWP65537 SGL65537 SQH65537 TAD65537 TJZ65537 TTV65537 UDR65537 UNN65537 UXJ65537 VHF65537 VRB65537 WAX65537 WKT65537 WUP65537 ID131073 RZ131073 ABV131073 ALR131073 AVN131073 BFJ131073 BPF131073 BZB131073 CIX131073 CST131073 DCP131073 DML131073 DWH131073 EGD131073 EPZ131073 EZV131073 FJR131073 FTN131073 GDJ131073 GNF131073 GXB131073 HGX131073 HQT131073 IAP131073 IKL131073 IUH131073 JED131073 JNZ131073 JXV131073 KHR131073 KRN131073 LBJ131073 LLF131073 LVB131073 MEX131073 MOT131073 MYP131073 NIL131073 NSH131073 OCD131073 OLZ131073 OVV131073 PFR131073 PPN131073 PZJ131073 QJF131073 QTB131073 RCX131073 RMT131073 RWP131073 SGL131073 SQH131073 TAD131073 TJZ131073 TTV131073 UDR131073 UNN131073 UXJ131073 VHF131073 VRB131073 WAX131073 WKT131073 WUP131073 ID196609 RZ196609 ABV196609 ALR196609 AVN196609 BFJ196609 BPF196609 BZB196609 CIX196609 CST196609 DCP196609 DML196609 DWH196609 EGD196609 EPZ196609 EZV196609 FJR196609 FTN196609 GDJ196609 GNF196609 GXB196609 HGX196609 HQT196609 IAP196609 IKL196609 IUH196609 JED196609 JNZ196609 JXV196609 KHR196609 KRN196609 LBJ196609 LLF196609 LVB196609 MEX196609 MOT196609 MYP196609 NIL196609 NSH196609 OCD196609 OLZ196609 OVV196609 PFR196609 PPN196609 PZJ196609 QJF196609 QTB196609 RCX196609 RMT196609 RWP196609 SGL196609 SQH196609 TAD196609 TJZ196609 TTV196609 UDR196609 UNN196609 UXJ196609 VHF196609 VRB196609 WAX196609 WKT196609 WUP196609 ID262145 RZ262145 ABV262145 ALR262145 AVN262145 BFJ262145 BPF262145 BZB262145 CIX262145 CST262145 DCP262145 DML262145 DWH262145 EGD262145 EPZ262145 EZV262145 FJR262145 FTN262145 GDJ262145 GNF262145 GXB262145 HGX262145 HQT262145 IAP262145 IKL262145 IUH262145 JED262145 JNZ262145 JXV262145 KHR262145 KRN262145 LBJ262145 LLF262145 LVB262145 MEX262145 MOT262145 MYP262145 NIL262145 NSH262145 OCD262145 OLZ262145 OVV262145 PFR262145 PPN262145 PZJ262145 QJF262145 QTB262145 RCX262145 RMT262145 RWP262145 SGL262145 SQH262145 TAD262145 TJZ262145 TTV262145 UDR262145 UNN262145 UXJ262145 VHF262145 VRB262145 WAX262145 WKT262145 WUP262145 ID327681 RZ327681 ABV327681 ALR327681 AVN327681 BFJ327681 BPF327681 BZB327681 CIX327681 CST327681 DCP327681 DML327681 DWH327681 EGD327681 EPZ327681 EZV327681 FJR327681 FTN327681 GDJ327681 GNF327681 GXB327681 HGX327681 HQT327681 IAP327681 IKL327681 IUH327681 JED327681 JNZ327681 JXV327681 KHR327681 KRN327681 LBJ327681 LLF327681 LVB327681 MEX327681 MOT327681 MYP327681 NIL327681 NSH327681 OCD327681 OLZ327681 OVV327681 PFR327681 PPN327681 PZJ327681 QJF327681 QTB327681 RCX327681 RMT327681 RWP327681 SGL327681 SQH327681 TAD327681 TJZ327681 TTV327681 UDR327681 UNN327681 UXJ327681 VHF327681 VRB327681 WAX327681 WKT327681 WUP327681 ID393217 RZ393217 ABV393217 ALR393217 AVN393217 BFJ393217 BPF393217 BZB393217 CIX393217 CST393217 DCP393217 DML393217 DWH393217 EGD393217 EPZ393217 EZV393217 FJR393217 FTN393217 GDJ393217 GNF393217 GXB393217 HGX393217 HQT393217 IAP393217 IKL393217 IUH393217 JED393217 JNZ393217 JXV393217 KHR393217 KRN393217 LBJ393217 LLF393217 LVB393217 MEX393217 MOT393217 MYP393217 NIL393217 NSH393217 OCD393217 OLZ393217 OVV393217 PFR393217 PPN393217 PZJ393217 QJF393217 QTB393217 RCX393217 RMT393217 RWP393217 SGL393217 SQH393217 TAD393217 TJZ393217 TTV393217 UDR393217 UNN393217 UXJ393217 VHF393217 VRB393217 WAX393217 WKT393217 WUP393217 ID458753 RZ458753 ABV458753 ALR458753 AVN458753 BFJ458753 BPF458753 BZB458753 CIX458753 CST458753 DCP458753 DML458753 DWH458753 EGD458753 EPZ458753 EZV458753 FJR458753 FTN458753 GDJ458753 GNF458753 GXB458753 HGX458753 HQT458753 IAP458753 IKL458753 IUH458753 JED458753 JNZ458753 JXV458753 KHR458753 KRN458753 LBJ458753 LLF458753 LVB458753 MEX458753 MOT458753 MYP458753 NIL458753 NSH458753 OCD458753 OLZ458753 OVV458753 PFR458753 PPN458753 PZJ458753 QJF458753 QTB458753 RCX458753 RMT458753 RWP458753 SGL458753 SQH458753 TAD458753 TJZ458753 TTV458753 UDR458753 UNN458753 UXJ458753 VHF458753 VRB458753 WAX458753 WKT458753 WUP458753 ID524289 RZ524289 ABV524289 ALR524289 AVN524289 BFJ524289 BPF524289 BZB524289 CIX524289 CST524289 DCP524289 DML524289 DWH524289 EGD524289 EPZ524289 EZV524289 FJR524289 FTN524289 GDJ524289 GNF524289 GXB524289 HGX524289 HQT524289 IAP524289 IKL524289 IUH524289 JED524289 JNZ524289 JXV524289 KHR524289 KRN524289 LBJ524289 LLF524289 LVB524289 MEX524289 MOT524289 MYP524289 NIL524289 NSH524289 OCD524289 OLZ524289 OVV524289 PFR524289 PPN524289 PZJ524289 QJF524289 QTB524289 RCX524289 RMT524289 RWP524289 SGL524289 SQH524289 TAD524289 TJZ524289 TTV524289 UDR524289 UNN524289 UXJ524289 VHF524289 VRB524289 WAX524289 WKT524289 WUP524289 ID589825 RZ589825 ABV589825 ALR589825 AVN589825 BFJ589825 BPF589825 BZB589825 CIX589825 CST589825 DCP589825 DML589825 DWH589825 EGD589825 EPZ589825 EZV589825 FJR589825 FTN589825 GDJ589825 GNF589825 GXB589825 HGX589825 HQT589825 IAP589825 IKL589825 IUH589825 JED589825 JNZ589825 JXV589825 KHR589825 KRN589825 LBJ589825 LLF589825 LVB589825 MEX589825 MOT589825 MYP589825 NIL589825 NSH589825 OCD589825 OLZ589825 OVV589825 PFR589825 PPN589825 PZJ589825 QJF589825 QTB589825 RCX589825 RMT589825 RWP589825 SGL589825 SQH589825 TAD589825 TJZ589825 TTV589825 UDR589825 UNN589825 UXJ589825 VHF589825 VRB589825 WAX589825 WKT589825 WUP589825 ID655361 RZ655361 ABV655361 ALR655361 AVN655361 BFJ655361 BPF655361 BZB655361 CIX655361 CST655361 DCP655361 DML655361 DWH655361 EGD655361 EPZ655361 EZV655361 FJR655361 FTN655361 GDJ655361 GNF655361 GXB655361 HGX655361 HQT655361 IAP655361 IKL655361 IUH655361 JED655361 JNZ655361 JXV655361 KHR655361 KRN655361 LBJ655361 LLF655361 LVB655361 MEX655361 MOT655361 MYP655361 NIL655361 NSH655361 OCD655361 OLZ655361 OVV655361 PFR655361 PPN655361 PZJ655361 QJF655361 QTB655361 RCX655361 RMT655361 RWP655361 SGL655361 SQH655361 TAD655361 TJZ655361 TTV655361 UDR655361 UNN655361 UXJ655361 VHF655361 VRB655361 WAX655361 WKT655361 WUP655361 ID720897 RZ720897 ABV720897 ALR720897 AVN720897 BFJ720897 BPF720897 BZB720897 CIX720897 CST720897 DCP720897 DML720897 DWH720897 EGD720897 EPZ720897 EZV720897 FJR720897 FTN720897 GDJ720897 GNF720897 GXB720897 HGX720897 HQT720897 IAP720897 IKL720897 IUH720897 JED720897 JNZ720897 JXV720897 KHR720897 KRN720897 LBJ720897 LLF720897 LVB720897 MEX720897 MOT720897 MYP720897 NIL720897 NSH720897 OCD720897 OLZ720897 OVV720897 PFR720897 PPN720897 PZJ720897 QJF720897 QTB720897 RCX720897 RMT720897 RWP720897 SGL720897 SQH720897 TAD720897 TJZ720897 TTV720897 UDR720897 UNN720897 UXJ720897 VHF720897 VRB720897 WAX720897 WKT720897 WUP720897 ID786433 RZ786433 ABV786433 ALR786433 AVN786433 BFJ786433 BPF786433 BZB786433 CIX786433 CST786433 DCP786433 DML786433 DWH786433 EGD786433 EPZ786433 EZV786433 FJR786433 FTN786433 GDJ786433 GNF786433 GXB786433 HGX786433 HQT786433 IAP786433 IKL786433 IUH786433 JED786433 JNZ786433 JXV786433 KHR786433 KRN786433 LBJ786433 LLF786433 LVB786433 MEX786433 MOT786433 MYP786433 NIL786433 NSH786433 OCD786433 OLZ786433 OVV786433 PFR786433 PPN786433 PZJ786433 QJF786433 QTB786433 RCX786433 RMT786433 RWP786433 SGL786433 SQH786433 TAD786433 TJZ786433 TTV786433 UDR786433 UNN786433 UXJ786433 VHF786433 VRB786433 WAX786433 WKT786433 WUP786433 ID851969 RZ851969 ABV851969 ALR851969 AVN851969 BFJ851969 BPF851969 BZB851969 CIX851969 CST851969 DCP851969 DML851969 DWH851969 EGD851969 EPZ851969 EZV851969 FJR851969 FTN851969 GDJ851969 GNF851969 GXB851969 HGX851969 HQT851969 IAP851969 IKL851969 IUH851969 JED851969 JNZ851969 JXV851969 KHR851969 KRN851969 LBJ851969 LLF851969 LVB851969 MEX851969 MOT851969 MYP851969 NIL851969 NSH851969 OCD851969 OLZ851969 OVV851969 PFR851969 PPN851969 PZJ851969 QJF851969 QTB851969 RCX851969 RMT851969 RWP851969 SGL851969 SQH851969 TAD851969 TJZ851969 TTV851969 UDR851969 UNN851969 UXJ851969 VHF851969 VRB851969 WAX851969 WKT851969 WUP851969 ID917505 RZ917505 ABV917505 ALR917505 AVN917505 BFJ917505 BPF917505 BZB917505 CIX917505 CST917505 DCP917505 DML917505 DWH917505 EGD917505 EPZ917505 EZV917505 FJR917505 FTN917505 GDJ917505 GNF917505 GXB917505 HGX917505 HQT917505 IAP917505 IKL917505 IUH917505 JED917505 JNZ917505 JXV917505 KHR917505 KRN917505 LBJ917505 LLF917505 LVB917505 MEX917505 MOT917505 MYP917505 NIL917505 NSH917505 OCD917505 OLZ917505 OVV917505 PFR917505 PPN917505 PZJ917505 QJF917505 QTB917505 RCX917505 RMT917505 RWP917505 SGL917505 SQH917505 TAD917505 TJZ917505 TTV917505 UDR917505 UNN917505 UXJ917505 VHF917505 VRB917505 WAX917505 WKT917505 WUP917505 ID983041 RZ983041 ABV983041 ALR983041 AVN983041 BFJ983041 BPF983041 BZB983041 CIX983041 CST983041 DCP983041 DML983041 DWH983041 EGD983041 EPZ983041 EZV983041 FJR983041 FTN983041 GDJ983041 GNF983041 GXB983041 HGX983041 HQT983041 IAP983041 IKL983041 IUH983041 JED983041 JNZ983041 JXV983041 KHR983041 KRN983041 LBJ983041 LLF983041 LVB983041 MEX983041 MOT983041 MYP983041 NIL983041 NSH983041 OCD983041 OLZ983041 OVV983041 PFR983041 PPN983041 PZJ983041 QJF983041 QTB983041 RCX983041 RMT983041 RWP983041 SGL983041 SQH983041 TAD983041 TJZ983041 TTV983041 UDR983041 UNN983041 UXJ983041 VHF983041 VRB983041 WAX983041 WKT983041 WUP983041 ID65586:ID65591 RZ65586:RZ65591 ABV65586:ABV65591 ALR65586:ALR65591 AVN65586:AVN65591 BFJ65586:BFJ65591 BPF65586:BPF65591 BZB65586:BZB65591 CIX65586:CIX65591 CST65586:CST65591 DCP65586:DCP65591 DML65586:DML65591 DWH65586:DWH65591 EGD65586:EGD65591 EPZ65586:EPZ65591 EZV65586:EZV65591 FJR65586:FJR65591 FTN65586:FTN65591 GDJ65586:GDJ65591 GNF65586:GNF65591 GXB65586:GXB65591 HGX65586:HGX65591 HQT65586:HQT65591 IAP65586:IAP65591 IKL65586:IKL65591 IUH65586:IUH65591 JED65586:JED65591 JNZ65586:JNZ65591 JXV65586:JXV65591 KHR65586:KHR65591 KRN65586:KRN65591 LBJ65586:LBJ65591 LLF65586:LLF65591 LVB65586:LVB65591 MEX65586:MEX65591 MOT65586:MOT65591 MYP65586:MYP65591 NIL65586:NIL65591 NSH65586:NSH65591 OCD65586:OCD65591 OLZ65586:OLZ65591 OVV65586:OVV65591 PFR65586:PFR65591 PPN65586:PPN65591 PZJ65586:PZJ65591 QJF65586:QJF65591 QTB65586:QTB65591 RCX65586:RCX65591 RMT65586:RMT65591 RWP65586:RWP65591 SGL65586:SGL65591 SQH65586:SQH65591 TAD65586:TAD65591 TJZ65586:TJZ65591 TTV65586:TTV65591 UDR65586:UDR65591 UNN65586:UNN65591 UXJ65586:UXJ65591 VHF65586:VHF65591 VRB65586:VRB65591 WAX65586:WAX65591 WKT65586:WKT65591 WUP65586:WUP65591 ID131122:ID131127 RZ131122:RZ131127 ABV131122:ABV131127 ALR131122:ALR131127 AVN131122:AVN131127 BFJ131122:BFJ131127 BPF131122:BPF131127 BZB131122:BZB131127 CIX131122:CIX131127 CST131122:CST131127 DCP131122:DCP131127 DML131122:DML131127 DWH131122:DWH131127 EGD131122:EGD131127 EPZ131122:EPZ131127 EZV131122:EZV131127 FJR131122:FJR131127 FTN131122:FTN131127 GDJ131122:GDJ131127 GNF131122:GNF131127 GXB131122:GXB131127 HGX131122:HGX131127 HQT131122:HQT131127 IAP131122:IAP131127 IKL131122:IKL131127 IUH131122:IUH131127 JED131122:JED131127 JNZ131122:JNZ131127 JXV131122:JXV131127 KHR131122:KHR131127 KRN131122:KRN131127 LBJ131122:LBJ131127 LLF131122:LLF131127 LVB131122:LVB131127 MEX131122:MEX131127 MOT131122:MOT131127 MYP131122:MYP131127 NIL131122:NIL131127 NSH131122:NSH131127 OCD131122:OCD131127 OLZ131122:OLZ131127 OVV131122:OVV131127 PFR131122:PFR131127 PPN131122:PPN131127 PZJ131122:PZJ131127 QJF131122:QJF131127 QTB131122:QTB131127 RCX131122:RCX131127 RMT131122:RMT131127 RWP131122:RWP131127 SGL131122:SGL131127 SQH131122:SQH131127 TAD131122:TAD131127 TJZ131122:TJZ131127 TTV131122:TTV131127 UDR131122:UDR131127 UNN131122:UNN131127 UXJ131122:UXJ131127 VHF131122:VHF131127 VRB131122:VRB131127 WAX131122:WAX131127 WKT131122:WKT131127 WUP131122:WUP131127 ID196658:ID196663 RZ196658:RZ196663 ABV196658:ABV196663 ALR196658:ALR196663 AVN196658:AVN196663 BFJ196658:BFJ196663 BPF196658:BPF196663 BZB196658:BZB196663 CIX196658:CIX196663 CST196658:CST196663 DCP196658:DCP196663 DML196658:DML196663 DWH196658:DWH196663 EGD196658:EGD196663 EPZ196658:EPZ196663 EZV196658:EZV196663 FJR196658:FJR196663 FTN196658:FTN196663 GDJ196658:GDJ196663 GNF196658:GNF196663 GXB196658:GXB196663 HGX196658:HGX196663 HQT196658:HQT196663 IAP196658:IAP196663 IKL196658:IKL196663 IUH196658:IUH196663 JED196658:JED196663 JNZ196658:JNZ196663 JXV196658:JXV196663 KHR196658:KHR196663 KRN196658:KRN196663 LBJ196658:LBJ196663 LLF196658:LLF196663 LVB196658:LVB196663 MEX196658:MEX196663 MOT196658:MOT196663 MYP196658:MYP196663 NIL196658:NIL196663 NSH196658:NSH196663 OCD196658:OCD196663 OLZ196658:OLZ196663 OVV196658:OVV196663 PFR196658:PFR196663 PPN196658:PPN196663 PZJ196658:PZJ196663 QJF196658:QJF196663 QTB196658:QTB196663 RCX196658:RCX196663 RMT196658:RMT196663 RWP196658:RWP196663 SGL196658:SGL196663 SQH196658:SQH196663 TAD196658:TAD196663 TJZ196658:TJZ196663 TTV196658:TTV196663 UDR196658:UDR196663 UNN196658:UNN196663 UXJ196658:UXJ196663 VHF196658:VHF196663 VRB196658:VRB196663 WAX196658:WAX196663 WKT196658:WKT196663 WUP196658:WUP196663 ID262194:ID262199 RZ262194:RZ262199 ABV262194:ABV262199 ALR262194:ALR262199 AVN262194:AVN262199 BFJ262194:BFJ262199 BPF262194:BPF262199 BZB262194:BZB262199 CIX262194:CIX262199 CST262194:CST262199 DCP262194:DCP262199 DML262194:DML262199 DWH262194:DWH262199 EGD262194:EGD262199 EPZ262194:EPZ262199 EZV262194:EZV262199 FJR262194:FJR262199 FTN262194:FTN262199 GDJ262194:GDJ262199 GNF262194:GNF262199 GXB262194:GXB262199 HGX262194:HGX262199 HQT262194:HQT262199 IAP262194:IAP262199 IKL262194:IKL262199 IUH262194:IUH262199 JED262194:JED262199 JNZ262194:JNZ262199 JXV262194:JXV262199 KHR262194:KHR262199 KRN262194:KRN262199 LBJ262194:LBJ262199 LLF262194:LLF262199 LVB262194:LVB262199 MEX262194:MEX262199 MOT262194:MOT262199 MYP262194:MYP262199 NIL262194:NIL262199 NSH262194:NSH262199 OCD262194:OCD262199 OLZ262194:OLZ262199 OVV262194:OVV262199 PFR262194:PFR262199 PPN262194:PPN262199 PZJ262194:PZJ262199 QJF262194:QJF262199 QTB262194:QTB262199 RCX262194:RCX262199 RMT262194:RMT262199 RWP262194:RWP262199 SGL262194:SGL262199 SQH262194:SQH262199 TAD262194:TAD262199 TJZ262194:TJZ262199 TTV262194:TTV262199 UDR262194:UDR262199 UNN262194:UNN262199 UXJ262194:UXJ262199 VHF262194:VHF262199 VRB262194:VRB262199 WAX262194:WAX262199 WKT262194:WKT262199 WUP262194:WUP262199 ID327730:ID327735 RZ327730:RZ327735 ABV327730:ABV327735 ALR327730:ALR327735 AVN327730:AVN327735 BFJ327730:BFJ327735 BPF327730:BPF327735 BZB327730:BZB327735 CIX327730:CIX327735 CST327730:CST327735 DCP327730:DCP327735 DML327730:DML327735 DWH327730:DWH327735 EGD327730:EGD327735 EPZ327730:EPZ327735 EZV327730:EZV327735 FJR327730:FJR327735 FTN327730:FTN327735 GDJ327730:GDJ327735 GNF327730:GNF327735 GXB327730:GXB327735 HGX327730:HGX327735 HQT327730:HQT327735 IAP327730:IAP327735 IKL327730:IKL327735 IUH327730:IUH327735 JED327730:JED327735 JNZ327730:JNZ327735 JXV327730:JXV327735 KHR327730:KHR327735 KRN327730:KRN327735 LBJ327730:LBJ327735 LLF327730:LLF327735 LVB327730:LVB327735 MEX327730:MEX327735 MOT327730:MOT327735 MYP327730:MYP327735 NIL327730:NIL327735 NSH327730:NSH327735 OCD327730:OCD327735 OLZ327730:OLZ327735 OVV327730:OVV327735 PFR327730:PFR327735 PPN327730:PPN327735 PZJ327730:PZJ327735 QJF327730:QJF327735 QTB327730:QTB327735 RCX327730:RCX327735 RMT327730:RMT327735 RWP327730:RWP327735 SGL327730:SGL327735 SQH327730:SQH327735 TAD327730:TAD327735 TJZ327730:TJZ327735 TTV327730:TTV327735 UDR327730:UDR327735 UNN327730:UNN327735 UXJ327730:UXJ327735 VHF327730:VHF327735 VRB327730:VRB327735 WAX327730:WAX327735 WKT327730:WKT327735 WUP327730:WUP327735 ID393266:ID393271 RZ393266:RZ393271 ABV393266:ABV393271 ALR393266:ALR393271 AVN393266:AVN393271 BFJ393266:BFJ393271 BPF393266:BPF393271 BZB393266:BZB393271 CIX393266:CIX393271 CST393266:CST393271 DCP393266:DCP393271 DML393266:DML393271 DWH393266:DWH393271 EGD393266:EGD393271 EPZ393266:EPZ393271 EZV393266:EZV393271 FJR393266:FJR393271 FTN393266:FTN393271 GDJ393266:GDJ393271 GNF393266:GNF393271 GXB393266:GXB393271 HGX393266:HGX393271 HQT393266:HQT393271 IAP393266:IAP393271 IKL393266:IKL393271 IUH393266:IUH393271 JED393266:JED393271 JNZ393266:JNZ393271 JXV393266:JXV393271 KHR393266:KHR393271 KRN393266:KRN393271 LBJ393266:LBJ393271 LLF393266:LLF393271 LVB393266:LVB393271 MEX393266:MEX393271 MOT393266:MOT393271 MYP393266:MYP393271 NIL393266:NIL393271 NSH393266:NSH393271 OCD393266:OCD393271 OLZ393266:OLZ393271 OVV393266:OVV393271 PFR393266:PFR393271 PPN393266:PPN393271 PZJ393266:PZJ393271 QJF393266:QJF393271 QTB393266:QTB393271 RCX393266:RCX393271 RMT393266:RMT393271 RWP393266:RWP393271 SGL393266:SGL393271 SQH393266:SQH393271 TAD393266:TAD393271 TJZ393266:TJZ393271 TTV393266:TTV393271 UDR393266:UDR393271 UNN393266:UNN393271 UXJ393266:UXJ393271 VHF393266:VHF393271 VRB393266:VRB393271 WAX393266:WAX393271 WKT393266:WKT393271 WUP393266:WUP393271 ID458802:ID458807 RZ458802:RZ458807 ABV458802:ABV458807 ALR458802:ALR458807 AVN458802:AVN458807 BFJ458802:BFJ458807 BPF458802:BPF458807 BZB458802:BZB458807 CIX458802:CIX458807 CST458802:CST458807 DCP458802:DCP458807 DML458802:DML458807 DWH458802:DWH458807 EGD458802:EGD458807 EPZ458802:EPZ458807 EZV458802:EZV458807 FJR458802:FJR458807 FTN458802:FTN458807 GDJ458802:GDJ458807 GNF458802:GNF458807 GXB458802:GXB458807 HGX458802:HGX458807 HQT458802:HQT458807 IAP458802:IAP458807 IKL458802:IKL458807 IUH458802:IUH458807 JED458802:JED458807 JNZ458802:JNZ458807 JXV458802:JXV458807 KHR458802:KHR458807 KRN458802:KRN458807 LBJ458802:LBJ458807 LLF458802:LLF458807 LVB458802:LVB458807 MEX458802:MEX458807 MOT458802:MOT458807 MYP458802:MYP458807 NIL458802:NIL458807 NSH458802:NSH458807 OCD458802:OCD458807 OLZ458802:OLZ458807 OVV458802:OVV458807 PFR458802:PFR458807 PPN458802:PPN458807 PZJ458802:PZJ458807 QJF458802:QJF458807 QTB458802:QTB458807 RCX458802:RCX458807 RMT458802:RMT458807 RWP458802:RWP458807 SGL458802:SGL458807 SQH458802:SQH458807 TAD458802:TAD458807 TJZ458802:TJZ458807 TTV458802:TTV458807 UDR458802:UDR458807 UNN458802:UNN458807 UXJ458802:UXJ458807 VHF458802:VHF458807 VRB458802:VRB458807 WAX458802:WAX458807 WKT458802:WKT458807 WUP458802:WUP458807 ID524338:ID524343 RZ524338:RZ524343 ABV524338:ABV524343 ALR524338:ALR524343 AVN524338:AVN524343 BFJ524338:BFJ524343 BPF524338:BPF524343 BZB524338:BZB524343 CIX524338:CIX524343 CST524338:CST524343 DCP524338:DCP524343 DML524338:DML524343 DWH524338:DWH524343 EGD524338:EGD524343 EPZ524338:EPZ524343 EZV524338:EZV524343 FJR524338:FJR524343 FTN524338:FTN524343 GDJ524338:GDJ524343 GNF524338:GNF524343 GXB524338:GXB524343 HGX524338:HGX524343 HQT524338:HQT524343 IAP524338:IAP524343 IKL524338:IKL524343 IUH524338:IUH524343 JED524338:JED524343 JNZ524338:JNZ524343 JXV524338:JXV524343 KHR524338:KHR524343 KRN524338:KRN524343 LBJ524338:LBJ524343 LLF524338:LLF524343 LVB524338:LVB524343 MEX524338:MEX524343 MOT524338:MOT524343 MYP524338:MYP524343 NIL524338:NIL524343 NSH524338:NSH524343 OCD524338:OCD524343 OLZ524338:OLZ524343 OVV524338:OVV524343 PFR524338:PFR524343 PPN524338:PPN524343 PZJ524338:PZJ524343 QJF524338:QJF524343 QTB524338:QTB524343 RCX524338:RCX524343 RMT524338:RMT524343 RWP524338:RWP524343 SGL524338:SGL524343 SQH524338:SQH524343 TAD524338:TAD524343 TJZ524338:TJZ524343 TTV524338:TTV524343 UDR524338:UDR524343 UNN524338:UNN524343 UXJ524338:UXJ524343 VHF524338:VHF524343 VRB524338:VRB524343 WAX524338:WAX524343 WKT524338:WKT524343 WUP524338:WUP524343 ID589874:ID589879 RZ589874:RZ589879 ABV589874:ABV589879 ALR589874:ALR589879 AVN589874:AVN589879 BFJ589874:BFJ589879 BPF589874:BPF589879 BZB589874:BZB589879 CIX589874:CIX589879 CST589874:CST589879 DCP589874:DCP589879 DML589874:DML589879 DWH589874:DWH589879 EGD589874:EGD589879 EPZ589874:EPZ589879 EZV589874:EZV589879 FJR589874:FJR589879 FTN589874:FTN589879 GDJ589874:GDJ589879 GNF589874:GNF589879 GXB589874:GXB589879 HGX589874:HGX589879 HQT589874:HQT589879 IAP589874:IAP589879 IKL589874:IKL589879 IUH589874:IUH589879 JED589874:JED589879 JNZ589874:JNZ589879 JXV589874:JXV589879 KHR589874:KHR589879 KRN589874:KRN589879 LBJ589874:LBJ589879 LLF589874:LLF589879 LVB589874:LVB589879 MEX589874:MEX589879 MOT589874:MOT589879 MYP589874:MYP589879 NIL589874:NIL589879 NSH589874:NSH589879 OCD589874:OCD589879 OLZ589874:OLZ589879 OVV589874:OVV589879 PFR589874:PFR589879 PPN589874:PPN589879 PZJ589874:PZJ589879 QJF589874:QJF589879 QTB589874:QTB589879 RCX589874:RCX589879 RMT589874:RMT589879 RWP589874:RWP589879 SGL589874:SGL589879 SQH589874:SQH589879 TAD589874:TAD589879 TJZ589874:TJZ589879 TTV589874:TTV589879 UDR589874:UDR589879 UNN589874:UNN589879 UXJ589874:UXJ589879 VHF589874:VHF589879 VRB589874:VRB589879 WAX589874:WAX589879 WKT589874:WKT589879 WUP589874:WUP589879 ID655410:ID655415 RZ655410:RZ655415 ABV655410:ABV655415 ALR655410:ALR655415 AVN655410:AVN655415 BFJ655410:BFJ655415 BPF655410:BPF655415 BZB655410:BZB655415 CIX655410:CIX655415 CST655410:CST655415 DCP655410:DCP655415 DML655410:DML655415 DWH655410:DWH655415 EGD655410:EGD655415 EPZ655410:EPZ655415 EZV655410:EZV655415 FJR655410:FJR655415 FTN655410:FTN655415 GDJ655410:GDJ655415 GNF655410:GNF655415 GXB655410:GXB655415 HGX655410:HGX655415 HQT655410:HQT655415 IAP655410:IAP655415 IKL655410:IKL655415 IUH655410:IUH655415 JED655410:JED655415 JNZ655410:JNZ655415 JXV655410:JXV655415 KHR655410:KHR655415 KRN655410:KRN655415 LBJ655410:LBJ655415 LLF655410:LLF655415 LVB655410:LVB655415 MEX655410:MEX655415 MOT655410:MOT655415 MYP655410:MYP655415 NIL655410:NIL655415 NSH655410:NSH655415 OCD655410:OCD655415 OLZ655410:OLZ655415 OVV655410:OVV655415 PFR655410:PFR655415 PPN655410:PPN655415 PZJ655410:PZJ655415 QJF655410:QJF655415 QTB655410:QTB655415 RCX655410:RCX655415 RMT655410:RMT655415 RWP655410:RWP655415 SGL655410:SGL655415 SQH655410:SQH655415 TAD655410:TAD655415 TJZ655410:TJZ655415 TTV655410:TTV655415 UDR655410:UDR655415 UNN655410:UNN655415 UXJ655410:UXJ655415 VHF655410:VHF655415 VRB655410:VRB655415 WAX655410:WAX655415 WKT655410:WKT655415 WUP655410:WUP655415 ID720946:ID720951 RZ720946:RZ720951 ABV720946:ABV720951 ALR720946:ALR720951 AVN720946:AVN720951 BFJ720946:BFJ720951 BPF720946:BPF720951 BZB720946:BZB720951 CIX720946:CIX720951 CST720946:CST720951 DCP720946:DCP720951 DML720946:DML720951 DWH720946:DWH720951 EGD720946:EGD720951 EPZ720946:EPZ720951 EZV720946:EZV720951 FJR720946:FJR720951 FTN720946:FTN720951 GDJ720946:GDJ720951 GNF720946:GNF720951 GXB720946:GXB720951 HGX720946:HGX720951 HQT720946:HQT720951 IAP720946:IAP720951 IKL720946:IKL720951 IUH720946:IUH720951 JED720946:JED720951 JNZ720946:JNZ720951 JXV720946:JXV720951 KHR720946:KHR720951 KRN720946:KRN720951 LBJ720946:LBJ720951 LLF720946:LLF720951 LVB720946:LVB720951 MEX720946:MEX720951 MOT720946:MOT720951 MYP720946:MYP720951 NIL720946:NIL720951 NSH720946:NSH720951 OCD720946:OCD720951 OLZ720946:OLZ720951 OVV720946:OVV720951 PFR720946:PFR720951 PPN720946:PPN720951 PZJ720946:PZJ720951 QJF720946:QJF720951 QTB720946:QTB720951 RCX720946:RCX720951 RMT720946:RMT720951 RWP720946:RWP720951 SGL720946:SGL720951 SQH720946:SQH720951 TAD720946:TAD720951 TJZ720946:TJZ720951 TTV720946:TTV720951 UDR720946:UDR720951 UNN720946:UNN720951 UXJ720946:UXJ720951 VHF720946:VHF720951 VRB720946:VRB720951 WAX720946:WAX720951 WKT720946:WKT720951 WUP720946:WUP720951 ID786482:ID786487 RZ786482:RZ786487 ABV786482:ABV786487 ALR786482:ALR786487 AVN786482:AVN786487 BFJ786482:BFJ786487 BPF786482:BPF786487 BZB786482:BZB786487 CIX786482:CIX786487 CST786482:CST786487 DCP786482:DCP786487 DML786482:DML786487 DWH786482:DWH786487 EGD786482:EGD786487 EPZ786482:EPZ786487 EZV786482:EZV786487 FJR786482:FJR786487 FTN786482:FTN786487 GDJ786482:GDJ786487 GNF786482:GNF786487 GXB786482:GXB786487 HGX786482:HGX786487 HQT786482:HQT786487 IAP786482:IAP786487 IKL786482:IKL786487 IUH786482:IUH786487 JED786482:JED786487 JNZ786482:JNZ786487 JXV786482:JXV786487 KHR786482:KHR786487 KRN786482:KRN786487 LBJ786482:LBJ786487 LLF786482:LLF786487 LVB786482:LVB786487 MEX786482:MEX786487 MOT786482:MOT786487 MYP786482:MYP786487 NIL786482:NIL786487 NSH786482:NSH786487 OCD786482:OCD786487 OLZ786482:OLZ786487 OVV786482:OVV786487 PFR786482:PFR786487 PPN786482:PPN786487 PZJ786482:PZJ786487 QJF786482:QJF786487 QTB786482:QTB786487 RCX786482:RCX786487 RMT786482:RMT786487 RWP786482:RWP786487 SGL786482:SGL786487 SQH786482:SQH786487 TAD786482:TAD786487 TJZ786482:TJZ786487 TTV786482:TTV786487 UDR786482:UDR786487 UNN786482:UNN786487 UXJ786482:UXJ786487 VHF786482:VHF786487 VRB786482:VRB786487 WAX786482:WAX786487 WKT786482:WKT786487 WUP786482:WUP786487 ID852018:ID852023 RZ852018:RZ852023 ABV852018:ABV852023 ALR852018:ALR852023 AVN852018:AVN852023 BFJ852018:BFJ852023 BPF852018:BPF852023 BZB852018:BZB852023 CIX852018:CIX852023 CST852018:CST852023 DCP852018:DCP852023 DML852018:DML852023 DWH852018:DWH852023 EGD852018:EGD852023 EPZ852018:EPZ852023 EZV852018:EZV852023 FJR852018:FJR852023 FTN852018:FTN852023 GDJ852018:GDJ852023 GNF852018:GNF852023 GXB852018:GXB852023 HGX852018:HGX852023 HQT852018:HQT852023 IAP852018:IAP852023 IKL852018:IKL852023 IUH852018:IUH852023 JED852018:JED852023 JNZ852018:JNZ852023 JXV852018:JXV852023 KHR852018:KHR852023 KRN852018:KRN852023 LBJ852018:LBJ852023 LLF852018:LLF852023 LVB852018:LVB852023 MEX852018:MEX852023 MOT852018:MOT852023 MYP852018:MYP852023 NIL852018:NIL852023 NSH852018:NSH852023 OCD852018:OCD852023 OLZ852018:OLZ852023 OVV852018:OVV852023 PFR852018:PFR852023 PPN852018:PPN852023 PZJ852018:PZJ852023 QJF852018:QJF852023 QTB852018:QTB852023 RCX852018:RCX852023 RMT852018:RMT852023 RWP852018:RWP852023 SGL852018:SGL852023 SQH852018:SQH852023 TAD852018:TAD852023 TJZ852018:TJZ852023 TTV852018:TTV852023 UDR852018:UDR852023 UNN852018:UNN852023 UXJ852018:UXJ852023 VHF852018:VHF852023 VRB852018:VRB852023 WAX852018:WAX852023 WKT852018:WKT852023 WUP852018:WUP852023 ID917554:ID917559 RZ917554:RZ917559 ABV917554:ABV917559 ALR917554:ALR917559 AVN917554:AVN917559 BFJ917554:BFJ917559 BPF917554:BPF917559 BZB917554:BZB917559 CIX917554:CIX917559 CST917554:CST917559 DCP917554:DCP917559 DML917554:DML917559 DWH917554:DWH917559 EGD917554:EGD917559 EPZ917554:EPZ917559 EZV917554:EZV917559 FJR917554:FJR917559 FTN917554:FTN917559 GDJ917554:GDJ917559 GNF917554:GNF917559 GXB917554:GXB917559 HGX917554:HGX917559 HQT917554:HQT917559 IAP917554:IAP917559 IKL917554:IKL917559 IUH917554:IUH917559 JED917554:JED917559 JNZ917554:JNZ917559 JXV917554:JXV917559 KHR917554:KHR917559 KRN917554:KRN917559 LBJ917554:LBJ917559 LLF917554:LLF917559 LVB917554:LVB917559 MEX917554:MEX917559 MOT917554:MOT917559 MYP917554:MYP917559 NIL917554:NIL917559 NSH917554:NSH917559 OCD917554:OCD917559 OLZ917554:OLZ917559 OVV917554:OVV917559 PFR917554:PFR917559 PPN917554:PPN917559 PZJ917554:PZJ917559 QJF917554:QJF917559 QTB917554:QTB917559 RCX917554:RCX917559 RMT917554:RMT917559 RWP917554:RWP917559 SGL917554:SGL917559 SQH917554:SQH917559 TAD917554:TAD917559 TJZ917554:TJZ917559 TTV917554:TTV917559 UDR917554:UDR917559 UNN917554:UNN917559 UXJ917554:UXJ917559 VHF917554:VHF917559 VRB917554:VRB917559 WAX917554:WAX917559 WKT917554:WKT917559 WUP917554:WUP917559 ID983090:ID983095 RZ983090:RZ983095 ABV983090:ABV983095 ALR983090:ALR983095 AVN983090:AVN983095 BFJ983090:BFJ983095 BPF983090:BPF983095 BZB983090:BZB983095 CIX983090:CIX983095 CST983090:CST983095 DCP983090:DCP983095 DML983090:DML983095 DWH983090:DWH983095 EGD983090:EGD983095 EPZ983090:EPZ983095 EZV983090:EZV983095 FJR983090:FJR983095 FTN983090:FTN983095 GDJ983090:GDJ983095 GNF983090:GNF983095 GXB983090:GXB983095 HGX983090:HGX983095 HQT983090:HQT983095 IAP983090:IAP983095 IKL983090:IKL983095 IUH983090:IUH983095 JED983090:JED983095 JNZ983090:JNZ983095 JXV983090:JXV983095 KHR983090:KHR983095 KRN983090:KRN983095 LBJ983090:LBJ983095 LLF983090:LLF983095 LVB983090:LVB983095 MEX983090:MEX983095 MOT983090:MOT983095 MYP983090:MYP983095 NIL983090:NIL983095 NSH983090:NSH983095 OCD983090:OCD983095 OLZ983090:OLZ983095 OVV983090:OVV983095 PFR983090:PFR983095 PPN983090:PPN983095 PZJ983090:PZJ983095 QJF983090:QJF983095 QTB983090:QTB983095 RCX983090:RCX983095 RMT983090:RMT983095 RWP983090:RWP983095 SGL983090:SGL983095 SQH983090:SQH983095 TAD983090:TAD983095 TJZ983090:TJZ983095 TTV983090:TTV983095 UDR983090:UDR983095 UNN983090:UNN983095 UXJ983090:UXJ983095 VHF983090:VHF983095 VRB983090:VRB983095 WAX983090:WAX983095 WKT983090:WKT983095 WUP983090:WUP983095 ID66047:ID66051 RZ66047:RZ66051 ABV66047:ABV66051 ALR66047:ALR66051 AVN66047:AVN66051 BFJ66047:BFJ66051 BPF66047:BPF66051 BZB66047:BZB66051 CIX66047:CIX66051 CST66047:CST66051 DCP66047:DCP66051 DML66047:DML66051 DWH66047:DWH66051 EGD66047:EGD66051 EPZ66047:EPZ66051 EZV66047:EZV66051 FJR66047:FJR66051 FTN66047:FTN66051 GDJ66047:GDJ66051 GNF66047:GNF66051 GXB66047:GXB66051 HGX66047:HGX66051 HQT66047:HQT66051 IAP66047:IAP66051 IKL66047:IKL66051 IUH66047:IUH66051 JED66047:JED66051 JNZ66047:JNZ66051 JXV66047:JXV66051 KHR66047:KHR66051 KRN66047:KRN66051 LBJ66047:LBJ66051 LLF66047:LLF66051 LVB66047:LVB66051 MEX66047:MEX66051 MOT66047:MOT66051 MYP66047:MYP66051 NIL66047:NIL66051 NSH66047:NSH66051 OCD66047:OCD66051 OLZ66047:OLZ66051 OVV66047:OVV66051 PFR66047:PFR66051 PPN66047:PPN66051 PZJ66047:PZJ66051 QJF66047:QJF66051 QTB66047:QTB66051 RCX66047:RCX66051 RMT66047:RMT66051 RWP66047:RWP66051 SGL66047:SGL66051 SQH66047:SQH66051 TAD66047:TAD66051 TJZ66047:TJZ66051 TTV66047:TTV66051 UDR66047:UDR66051 UNN66047:UNN66051 UXJ66047:UXJ66051 VHF66047:VHF66051 VRB66047:VRB66051 WAX66047:WAX66051 WKT66047:WKT66051 WUP66047:WUP66051 ID131583:ID131587 RZ131583:RZ131587 ABV131583:ABV131587 ALR131583:ALR131587 AVN131583:AVN131587 BFJ131583:BFJ131587 BPF131583:BPF131587 BZB131583:BZB131587 CIX131583:CIX131587 CST131583:CST131587 DCP131583:DCP131587 DML131583:DML131587 DWH131583:DWH131587 EGD131583:EGD131587 EPZ131583:EPZ131587 EZV131583:EZV131587 FJR131583:FJR131587 FTN131583:FTN131587 GDJ131583:GDJ131587 GNF131583:GNF131587 GXB131583:GXB131587 HGX131583:HGX131587 HQT131583:HQT131587 IAP131583:IAP131587 IKL131583:IKL131587 IUH131583:IUH131587 JED131583:JED131587 JNZ131583:JNZ131587 JXV131583:JXV131587 KHR131583:KHR131587 KRN131583:KRN131587 LBJ131583:LBJ131587 LLF131583:LLF131587 LVB131583:LVB131587 MEX131583:MEX131587 MOT131583:MOT131587 MYP131583:MYP131587 NIL131583:NIL131587 NSH131583:NSH131587 OCD131583:OCD131587 OLZ131583:OLZ131587 OVV131583:OVV131587 PFR131583:PFR131587 PPN131583:PPN131587 PZJ131583:PZJ131587 QJF131583:QJF131587 QTB131583:QTB131587 RCX131583:RCX131587 RMT131583:RMT131587 RWP131583:RWP131587 SGL131583:SGL131587 SQH131583:SQH131587 TAD131583:TAD131587 TJZ131583:TJZ131587 TTV131583:TTV131587 UDR131583:UDR131587 UNN131583:UNN131587 UXJ131583:UXJ131587 VHF131583:VHF131587 VRB131583:VRB131587 WAX131583:WAX131587 WKT131583:WKT131587 WUP131583:WUP131587 ID197119:ID197123 RZ197119:RZ197123 ABV197119:ABV197123 ALR197119:ALR197123 AVN197119:AVN197123 BFJ197119:BFJ197123 BPF197119:BPF197123 BZB197119:BZB197123 CIX197119:CIX197123 CST197119:CST197123 DCP197119:DCP197123 DML197119:DML197123 DWH197119:DWH197123 EGD197119:EGD197123 EPZ197119:EPZ197123 EZV197119:EZV197123 FJR197119:FJR197123 FTN197119:FTN197123 GDJ197119:GDJ197123 GNF197119:GNF197123 GXB197119:GXB197123 HGX197119:HGX197123 HQT197119:HQT197123 IAP197119:IAP197123 IKL197119:IKL197123 IUH197119:IUH197123 JED197119:JED197123 JNZ197119:JNZ197123 JXV197119:JXV197123 KHR197119:KHR197123 KRN197119:KRN197123 LBJ197119:LBJ197123 LLF197119:LLF197123 LVB197119:LVB197123 MEX197119:MEX197123 MOT197119:MOT197123 MYP197119:MYP197123 NIL197119:NIL197123 NSH197119:NSH197123 OCD197119:OCD197123 OLZ197119:OLZ197123 OVV197119:OVV197123 PFR197119:PFR197123 PPN197119:PPN197123 PZJ197119:PZJ197123 QJF197119:QJF197123 QTB197119:QTB197123 RCX197119:RCX197123 RMT197119:RMT197123 RWP197119:RWP197123 SGL197119:SGL197123 SQH197119:SQH197123 TAD197119:TAD197123 TJZ197119:TJZ197123 TTV197119:TTV197123 UDR197119:UDR197123 UNN197119:UNN197123 UXJ197119:UXJ197123 VHF197119:VHF197123 VRB197119:VRB197123 WAX197119:WAX197123 WKT197119:WKT197123 WUP197119:WUP197123 ID262655:ID262659 RZ262655:RZ262659 ABV262655:ABV262659 ALR262655:ALR262659 AVN262655:AVN262659 BFJ262655:BFJ262659 BPF262655:BPF262659 BZB262655:BZB262659 CIX262655:CIX262659 CST262655:CST262659 DCP262655:DCP262659 DML262655:DML262659 DWH262655:DWH262659 EGD262655:EGD262659 EPZ262655:EPZ262659 EZV262655:EZV262659 FJR262655:FJR262659 FTN262655:FTN262659 GDJ262655:GDJ262659 GNF262655:GNF262659 GXB262655:GXB262659 HGX262655:HGX262659 HQT262655:HQT262659 IAP262655:IAP262659 IKL262655:IKL262659 IUH262655:IUH262659 JED262655:JED262659 JNZ262655:JNZ262659 JXV262655:JXV262659 KHR262655:KHR262659 KRN262655:KRN262659 LBJ262655:LBJ262659 LLF262655:LLF262659 LVB262655:LVB262659 MEX262655:MEX262659 MOT262655:MOT262659 MYP262655:MYP262659 NIL262655:NIL262659 NSH262655:NSH262659 OCD262655:OCD262659 OLZ262655:OLZ262659 OVV262655:OVV262659 PFR262655:PFR262659 PPN262655:PPN262659 PZJ262655:PZJ262659 QJF262655:QJF262659 QTB262655:QTB262659 RCX262655:RCX262659 RMT262655:RMT262659 RWP262655:RWP262659 SGL262655:SGL262659 SQH262655:SQH262659 TAD262655:TAD262659 TJZ262655:TJZ262659 TTV262655:TTV262659 UDR262655:UDR262659 UNN262655:UNN262659 UXJ262655:UXJ262659 VHF262655:VHF262659 VRB262655:VRB262659 WAX262655:WAX262659 WKT262655:WKT262659 WUP262655:WUP262659 ID328191:ID328195 RZ328191:RZ328195 ABV328191:ABV328195 ALR328191:ALR328195 AVN328191:AVN328195 BFJ328191:BFJ328195 BPF328191:BPF328195 BZB328191:BZB328195 CIX328191:CIX328195 CST328191:CST328195 DCP328191:DCP328195 DML328191:DML328195 DWH328191:DWH328195 EGD328191:EGD328195 EPZ328191:EPZ328195 EZV328191:EZV328195 FJR328191:FJR328195 FTN328191:FTN328195 GDJ328191:GDJ328195 GNF328191:GNF328195 GXB328191:GXB328195 HGX328191:HGX328195 HQT328191:HQT328195 IAP328191:IAP328195 IKL328191:IKL328195 IUH328191:IUH328195 JED328191:JED328195 JNZ328191:JNZ328195 JXV328191:JXV328195 KHR328191:KHR328195 KRN328191:KRN328195 LBJ328191:LBJ328195 LLF328191:LLF328195 LVB328191:LVB328195 MEX328191:MEX328195 MOT328191:MOT328195 MYP328191:MYP328195 NIL328191:NIL328195 NSH328191:NSH328195 OCD328191:OCD328195 OLZ328191:OLZ328195 OVV328191:OVV328195 PFR328191:PFR328195 PPN328191:PPN328195 PZJ328191:PZJ328195 QJF328191:QJF328195 QTB328191:QTB328195 RCX328191:RCX328195 RMT328191:RMT328195 RWP328191:RWP328195 SGL328191:SGL328195 SQH328191:SQH328195 TAD328191:TAD328195 TJZ328191:TJZ328195 TTV328191:TTV328195 UDR328191:UDR328195 UNN328191:UNN328195 UXJ328191:UXJ328195 VHF328191:VHF328195 VRB328191:VRB328195 WAX328191:WAX328195 WKT328191:WKT328195 WUP328191:WUP328195 ID393727:ID393731 RZ393727:RZ393731 ABV393727:ABV393731 ALR393727:ALR393731 AVN393727:AVN393731 BFJ393727:BFJ393731 BPF393727:BPF393731 BZB393727:BZB393731 CIX393727:CIX393731 CST393727:CST393731 DCP393727:DCP393731 DML393727:DML393731 DWH393727:DWH393731 EGD393727:EGD393731 EPZ393727:EPZ393731 EZV393727:EZV393731 FJR393727:FJR393731 FTN393727:FTN393731 GDJ393727:GDJ393731 GNF393727:GNF393731 GXB393727:GXB393731 HGX393727:HGX393731 HQT393727:HQT393731 IAP393727:IAP393731 IKL393727:IKL393731 IUH393727:IUH393731 JED393727:JED393731 JNZ393727:JNZ393731 JXV393727:JXV393731 KHR393727:KHR393731 KRN393727:KRN393731 LBJ393727:LBJ393731 LLF393727:LLF393731 LVB393727:LVB393731 MEX393727:MEX393731 MOT393727:MOT393731 MYP393727:MYP393731 NIL393727:NIL393731 NSH393727:NSH393731 OCD393727:OCD393731 OLZ393727:OLZ393731 OVV393727:OVV393731 PFR393727:PFR393731 PPN393727:PPN393731 PZJ393727:PZJ393731 QJF393727:QJF393731 QTB393727:QTB393731 RCX393727:RCX393731 RMT393727:RMT393731 RWP393727:RWP393731 SGL393727:SGL393731 SQH393727:SQH393731 TAD393727:TAD393731 TJZ393727:TJZ393731 TTV393727:TTV393731 UDR393727:UDR393731 UNN393727:UNN393731 UXJ393727:UXJ393731 VHF393727:VHF393731 VRB393727:VRB393731 WAX393727:WAX393731 WKT393727:WKT393731 WUP393727:WUP393731 ID459263:ID459267 RZ459263:RZ459267 ABV459263:ABV459267 ALR459263:ALR459267 AVN459263:AVN459267 BFJ459263:BFJ459267 BPF459263:BPF459267 BZB459263:BZB459267 CIX459263:CIX459267 CST459263:CST459267 DCP459263:DCP459267 DML459263:DML459267 DWH459263:DWH459267 EGD459263:EGD459267 EPZ459263:EPZ459267 EZV459263:EZV459267 FJR459263:FJR459267 FTN459263:FTN459267 GDJ459263:GDJ459267 GNF459263:GNF459267 GXB459263:GXB459267 HGX459263:HGX459267 HQT459263:HQT459267 IAP459263:IAP459267 IKL459263:IKL459267 IUH459263:IUH459267 JED459263:JED459267 JNZ459263:JNZ459267 JXV459263:JXV459267 KHR459263:KHR459267 KRN459263:KRN459267 LBJ459263:LBJ459267 LLF459263:LLF459267 LVB459263:LVB459267 MEX459263:MEX459267 MOT459263:MOT459267 MYP459263:MYP459267 NIL459263:NIL459267 NSH459263:NSH459267 OCD459263:OCD459267 OLZ459263:OLZ459267 OVV459263:OVV459267 PFR459263:PFR459267 PPN459263:PPN459267 PZJ459263:PZJ459267 QJF459263:QJF459267 QTB459263:QTB459267 RCX459263:RCX459267 RMT459263:RMT459267 RWP459263:RWP459267 SGL459263:SGL459267 SQH459263:SQH459267 TAD459263:TAD459267 TJZ459263:TJZ459267 TTV459263:TTV459267 UDR459263:UDR459267 UNN459263:UNN459267 UXJ459263:UXJ459267 VHF459263:VHF459267 VRB459263:VRB459267 WAX459263:WAX459267 WKT459263:WKT459267 WUP459263:WUP459267 ID524799:ID524803 RZ524799:RZ524803 ABV524799:ABV524803 ALR524799:ALR524803 AVN524799:AVN524803 BFJ524799:BFJ524803 BPF524799:BPF524803 BZB524799:BZB524803 CIX524799:CIX524803 CST524799:CST524803 DCP524799:DCP524803 DML524799:DML524803 DWH524799:DWH524803 EGD524799:EGD524803 EPZ524799:EPZ524803 EZV524799:EZV524803 FJR524799:FJR524803 FTN524799:FTN524803 GDJ524799:GDJ524803 GNF524799:GNF524803 GXB524799:GXB524803 HGX524799:HGX524803 HQT524799:HQT524803 IAP524799:IAP524803 IKL524799:IKL524803 IUH524799:IUH524803 JED524799:JED524803 JNZ524799:JNZ524803 JXV524799:JXV524803 KHR524799:KHR524803 KRN524799:KRN524803 LBJ524799:LBJ524803 LLF524799:LLF524803 LVB524799:LVB524803 MEX524799:MEX524803 MOT524799:MOT524803 MYP524799:MYP524803 NIL524799:NIL524803 NSH524799:NSH524803 OCD524799:OCD524803 OLZ524799:OLZ524803 OVV524799:OVV524803 PFR524799:PFR524803 PPN524799:PPN524803 PZJ524799:PZJ524803 QJF524799:QJF524803 QTB524799:QTB524803 RCX524799:RCX524803 RMT524799:RMT524803 RWP524799:RWP524803 SGL524799:SGL524803 SQH524799:SQH524803 TAD524799:TAD524803 TJZ524799:TJZ524803 TTV524799:TTV524803 UDR524799:UDR524803 UNN524799:UNN524803 UXJ524799:UXJ524803 VHF524799:VHF524803 VRB524799:VRB524803 WAX524799:WAX524803 WKT524799:WKT524803 WUP524799:WUP524803 ID590335:ID590339 RZ590335:RZ590339 ABV590335:ABV590339 ALR590335:ALR590339 AVN590335:AVN590339 BFJ590335:BFJ590339 BPF590335:BPF590339 BZB590335:BZB590339 CIX590335:CIX590339 CST590335:CST590339 DCP590335:DCP590339 DML590335:DML590339 DWH590335:DWH590339 EGD590335:EGD590339 EPZ590335:EPZ590339 EZV590335:EZV590339 FJR590335:FJR590339 FTN590335:FTN590339 GDJ590335:GDJ590339 GNF590335:GNF590339 GXB590335:GXB590339 HGX590335:HGX590339 HQT590335:HQT590339 IAP590335:IAP590339 IKL590335:IKL590339 IUH590335:IUH590339 JED590335:JED590339 JNZ590335:JNZ590339 JXV590335:JXV590339 KHR590335:KHR590339 KRN590335:KRN590339 LBJ590335:LBJ590339 LLF590335:LLF590339 LVB590335:LVB590339 MEX590335:MEX590339 MOT590335:MOT590339 MYP590335:MYP590339 NIL590335:NIL590339 NSH590335:NSH590339 OCD590335:OCD590339 OLZ590335:OLZ590339 OVV590335:OVV590339 PFR590335:PFR590339 PPN590335:PPN590339 PZJ590335:PZJ590339 QJF590335:QJF590339 QTB590335:QTB590339 RCX590335:RCX590339 RMT590335:RMT590339 RWP590335:RWP590339 SGL590335:SGL590339 SQH590335:SQH590339 TAD590335:TAD590339 TJZ590335:TJZ590339 TTV590335:TTV590339 UDR590335:UDR590339 UNN590335:UNN590339 UXJ590335:UXJ590339 VHF590335:VHF590339 VRB590335:VRB590339 WAX590335:WAX590339 WKT590335:WKT590339 WUP590335:WUP590339 ID655871:ID655875 RZ655871:RZ655875 ABV655871:ABV655875 ALR655871:ALR655875 AVN655871:AVN655875 BFJ655871:BFJ655875 BPF655871:BPF655875 BZB655871:BZB655875 CIX655871:CIX655875 CST655871:CST655875 DCP655871:DCP655875 DML655871:DML655875 DWH655871:DWH655875 EGD655871:EGD655875 EPZ655871:EPZ655875 EZV655871:EZV655875 FJR655871:FJR655875 FTN655871:FTN655875 GDJ655871:GDJ655875 GNF655871:GNF655875 GXB655871:GXB655875 HGX655871:HGX655875 HQT655871:HQT655875 IAP655871:IAP655875 IKL655871:IKL655875 IUH655871:IUH655875 JED655871:JED655875 JNZ655871:JNZ655875 JXV655871:JXV655875 KHR655871:KHR655875 KRN655871:KRN655875 LBJ655871:LBJ655875 LLF655871:LLF655875 LVB655871:LVB655875 MEX655871:MEX655875 MOT655871:MOT655875 MYP655871:MYP655875 NIL655871:NIL655875 NSH655871:NSH655875 OCD655871:OCD655875 OLZ655871:OLZ655875 OVV655871:OVV655875 PFR655871:PFR655875 PPN655871:PPN655875 PZJ655871:PZJ655875 QJF655871:QJF655875 QTB655871:QTB655875 RCX655871:RCX655875 RMT655871:RMT655875 RWP655871:RWP655875 SGL655871:SGL655875 SQH655871:SQH655875 TAD655871:TAD655875 TJZ655871:TJZ655875 TTV655871:TTV655875 UDR655871:UDR655875 UNN655871:UNN655875 UXJ655871:UXJ655875 VHF655871:VHF655875 VRB655871:VRB655875 WAX655871:WAX655875 WKT655871:WKT655875 WUP655871:WUP655875 ID721407:ID721411 RZ721407:RZ721411 ABV721407:ABV721411 ALR721407:ALR721411 AVN721407:AVN721411 BFJ721407:BFJ721411 BPF721407:BPF721411 BZB721407:BZB721411 CIX721407:CIX721411 CST721407:CST721411 DCP721407:DCP721411 DML721407:DML721411 DWH721407:DWH721411 EGD721407:EGD721411 EPZ721407:EPZ721411 EZV721407:EZV721411 FJR721407:FJR721411 FTN721407:FTN721411 GDJ721407:GDJ721411 GNF721407:GNF721411 GXB721407:GXB721411 HGX721407:HGX721411 HQT721407:HQT721411 IAP721407:IAP721411 IKL721407:IKL721411 IUH721407:IUH721411 JED721407:JED721411 JNZ721407:JNZ721411 JXV721407:JXV721411 KHR721407:KHR721411 KRN721407:KRN721411 LBJ721407:LBJ721411 LLF721407:LLF721411 LVB721407:LVB721411 MEX721407:MEX721411 MOT721407:MOT721411 MYP721407:MYP721411 NIL721407:NIL721411 NSH721407:NSH721411 OCD721407:OCD721411 OLZ721407:OLZ721411 OVV721407:OVV721411 PFR721407:PFR721411 PPN721407:PPN721411 PZJ721407:PZJ721411 QJF721407:QJF721411 QTB721407:QTB721411 RCX721407:RCX721411 RMT721407:RMT721411 RWP721407:RWP721411 SGL721407:SGL721411 SQH721407:SQH721411 TAD721407:TAD721411 TJZ721407:TJZ721411 TTV721407:TTV721411 UDR721407:UDR721411 UNN721407:UNN721411 UXJ721407:UXJ721411 VHF721407:VHF721411 VRB721407:VRB721411 WAX721407:WAX721411 WKT721407:WKT721411 WUP721407:WUP721411 ID786943:ID786947 RZ786943:RZ786947 ABV786943:ABV786947 ALR786943:ALR786947 AVN786943:AVN786947 BFJ786943:BFJ786947 BPF786943:BPF786947 BZB786943:BZB786947 CIX786943:CIX786947 CST786943:CST786947 DCP786943:DCP786947 DML786943:DML786947 DWH786943:DWH786947 EGD786943:EGD786947 EPZ786943:EPZ786947 EZV786943:EZV786947 FJR786943:FJR786947 FTN786943:FTN786947 GDJ786943:GDJ786947 GNF786943:GNF786947 GXB786943:GXB786947 HGX786943:HGX786947 HQT786943:HQT786947 IAP786943:IAP786947 IKL786943:IKL786947 IUH786943:IUH786947 JED786943:JED786947 JNZ786943:JNZ786947 JXV786943:JXV786947 KHR786943:KHR786947 KRN786943:KRN786947 LBJ786943:LBJ786947 LLF786943:LLF786947 LVB786943:LVB786947 MEX786943:MEX786947 MOT786943:MOT786947 MYP786943:MYP786947 NIL786943:NIL786947 NSH786943:NSH786947 OCD786943:OCD786947 OLZ786943:OLZ786947 OVV786943:OVV786947 PFR786943:PFR786947 PPN786943:PPN786947 PZJ786943:PZJ786947 QJF786943:QJF786947 QTB786943:QTB786947 RCX786943:RCX786947 RMT786943:RMT786947 RWP786943:RWP786947 SGL786943:SGL786947 SQH786943:SQH786947 TAD786943:TAD786947 TJZ786943:TJZ786947 TTV786943:TTV786947 UDR786943:UDR786947 UNN786943:UNN786947 UXJ786943:UXJ786947 VHF786943:VHF786947 VRB786943:VRB786947 WAX786943:WAX786947 WKT786943:WKT786947 WUP786943:WUP786947 ID852479:ID852483 RZ852479:RZ852483 ABV852479:ABV852483 ALR852479:ALR852483 AVN852479:AVN852483 BFJ852479:BFJ852483 BPF852479:BPF852483 BZB852479:BZB852483 CIX852479:CIX852483 CST852479:CST852483 DCP852479:DCP852483 DML852479:DML852483 DWH852479:DWH852483 EGD852479:EGD852483 EPZ852479:EPZ852483 EZV852479:EZV852483 FJR852479:FJR852483 FTN852479:FTN852483 GDJ852479:GDJ852483 GNF852479:GNF852483 GXB852479:GXB852483 HGX852479:HGX852483 HQT852479:HQT852483 IAP852479:IAP852483 IKL852479:IKL852483 IUH852479:IUH852483 JED852479:JED852483 JNZ852479:JNZ852483 JXV852479:JXV852483 KHR852479:KHR852483 KRN852479:KRN852483 LBJ852479:LBJ852483 LLF852479:LLF852483 LVB852479:LVB852483 MEX852479:MEX852483 MOT852479:MOT852483 MYP852479:MYP852483 NIL852479:NIL852483 NSH852479:NSH852483 OCD852479:OCD852483 OLZ852479:OLZ852483 OVV852479:OVV852483 PFR852479:PFR852483 PPN852479:PPN852483 PZJ852479:PZJ852483 QJF852479:QJF852483 QTB852479:QTB852483 RCX852479:RCX852483 RMT852479:RMT852483 RWP852479:RWP852483 SGL852479:SGL852483 SQH852479:SQH852483 TAD852479:TAD852483 TJZ852479:TJZ852483 TTV852479:TTV852483 UDR852479:UDR852483 UNN852479:UNN852483 UXJ852479:UXJ852483 VHF852479:VHF852483 VRB852479:VRB852483 WAX852479:WAX852483 WKT852479:WKT852483 WUP852479:WUP852483 ID918015:ID918019 RZ918015:RZ918019 ABV918015:ABV918019 ALR918015:ALR918019 AVN918015:AVN918019 BFJ918015:BFJ918019 BPF918015:BPF918019 BZB918015:BZB918019 CIX918015:CIX918019 CST918015:CST918019 DCP918015:DCP918019 DML918015:DML918019 DWH918015:DWH918019 EGD918015:EGD918019 EPZ918015:EPZ918019 EZV918015:EZV918019 FJR918015:FJR918019 FTN918015:FTN918019 GDJ918015:GDJ918019 GNF918015:GNF918019 GXB918015:GXB918019 HGX918015:HGX918019 HQT918015:HQT918019 IAP918015:IAP918019 IKL918015:IKL918019 IUH918015:IUH918019 JED918015:JED918019 JNZ918015:JNZ918019 JXV918015:JXV918019 KHR918015:KHR918019 KRN918015:KRN918019 LBJ918015:LBJ918019 LLF918015:LLF918019 LVB918015:LVB918019 MEX918015:MEX918019 MOT918015:MOT918019 MYP918015:MYP918019 NIL918015:NIL918019 NSH918015:NSH918019 OCD918015:OCD918019 OLZ918015:OLZ918019 OVV918015:OVV918019 PFR918015:PFR918019 PPN918015:PPN918019 PZJ918015:PZJ918019 QJF918015:QJF918019 QTB918015:QTB918019 RCX918015:RCX918019 RMT918015:RMT918019 RWP918015:RWP918019 SGL918015:SGL918019 SQH918015:SQH918019 TAD918015:TAD918019 TJZ918015:TJZ918019 TTV918015:TTV918019 UDR918015:UDR918019 UNN918015:UNN918019 UXJ918015:UXJ918019 VHF918015:VHF918019 VRB918015:VRB918019 WAX918015:WAX918019 WKT918015:WKT918019 WUP918015:WUP918019 ID983551:ID983555 RZ983551:RZ983555 ABV983551:ABV983555 ALR983551:ALR983555 AVN983551:AVN983555 BFJ983551:BFJ983555 BPF983551:BPF983555 BZB983551:BZB983555 CIX983551:CIX983555 CST983551:CST983555 DCP983551:DCP983555 DML983551:DML983555 DWH983551:DWH983555 EGD983551:EGD983555 EPZ983551:EPZ983555 EZV983551:EZV983555 FJR983551:FJR983555 FTN983551:FTN983555 GDJ983551:GDJ983555 GNF983551:GNF983555 GXB983551:GXB983555 HGX983551:HGX983555 HQT983551:HQT983555 IAP983551:IAP983555 IKL983551:IKL983555 IUH983551:IUH983555 JED983551:JED983555 JNZ983551:JNZ983555 JXV983551:JXV983555 KHR983551:KHR983555 KRN983551:KRN983555 LBJ983551:LBJ983555 LLF983551:LLF983555 LVB983551:LVB983555 MEX983551:MEX983555 MOT983551:MOT983555 MYP983551:MYP983555 NIL983551:NIL983555 NSH983551:NSH983555 OCD983551:OCD983555 OLZ983551:OLZ983555 OVV983551:OVV983555 PFR983551:PFR983555 PPN983551:PPN983555 PZJ983551:PZJ983555 QJF983551:QJF983555 QTB983551:QTB983555 RCX983551:RCX983555 RMT983551:RMT983555 RWP983551:RWP983555 SGL983551:SGL983555 SQH983551:SQH983555 TAD983551:TAD983555 TJZ983551:TJZ983555 TTV983551:TTV983555 UDR983551:UDR983555 UNN983551:UNN983555 UXJ983551:UXJ983555 VHF983551:VHF983555 VRB983551:VRB983555 WAX983551:WAX983555 WKT983551:WKT983555 WUP983551:WUP983555 ID66154:ID66164 RZ66154:RZ66164 ABV66154:ABV66164 ALR66154:ALR66164 AVN66154:AVN66164 BFJ66154:BFJ66164 BPF66154:BPF66164 BZB66154:BZB66164 CIX66154:CIX66164 CST66154:CST66164 DCP66154:DCP66164 DML66154:DML66164 DWH66154:DWH66164 EGD66154:EGD66164 EPZ66154:EPZ66164 EZV66154:EZV66164 FJR66154:FJR66164 FTN66154:FTN66164 GDJ66154:GDJ66164 GNF66154:GNF66164 GXB66154:GXB66164 HGX66154:HGX66164 HQT66154:HQT66164 IAP66154:IAP66164 IKL66154:IKL66164 IUH66154:IUH66164 JED66154:JED66164 JNZ66154:JNZ66164 JXV66154:JXV66164 KHR66154:KHR66164 KRN66154:KRN66164 LBJ66154:LBJ66164 LLF66154:LLF66164 LVB66154:LVB66164 MEX66154:MEX66164 MOT66154:MOT66164 MYP66154:MYP66164 NIL66154:NIL66164 NSH66154:NSH66164 OCD66154:OCD66164 OLZ66154:OLZ66164 OVV66154:OVV66164 PFR66154:PFR66164 PPN66154:PPN66164 PZJ66154:PZJ66164 QJF66154:QJF66164 QTB66154:QTB66164 RCX66154:RCX66164 RMT66154:RMT66164 RWP66154:RWP66164 SGL66154:SGL66164 SQH66154:SQH66164 TAD66154:TAD66164 TJZ66154:TJZ66164 TTV66154:TTV66164 UDR66154:UDR66164 UNN66154:UNN66164 UXJ66154:UXJ66164 VHF66154:VHF66164 VRB66154:VRB66164 WAX66154:WAX66164 WKT66154:WKT66164 WUP66154:WUP66164 ID131690:ID131700 RZ131690:RZ131700 ABV131690:ABV131700 ALR131690:ALR131700 AVN131690:AVN131700 BFJ131690:BFJ131700 BPF131690:BPF131700 BZB131690:BZB131700 CIX131690:CIX131700 CST131690:CST131700 DCP131690:DCP131700 DML131690:DML131700 DWH131690:DWH131700 EGD131690:EGD131700 EPZ131690:EPZ131700 EZV131690:EZV131700 FJR131690:FJR131700 FTN131690:FTN131700 GDJ131690:GDJ131700 GNF131690:GNF131700 GXB131690:GXB131700 HGX131690:HGX131700 HQT131690:HQT131700 IAP131690:IAP131700 IKL131690:IKL131700 IUH131690:IUH131700 JED131690:JED131700 JNZ131690:JNZ131700 JXV131690:JXV131700 KHR131690:KHR131700 KRN131690:KRN131700 LBJ131690:LBJ131700 LLF131690:LLF131700 LVB131690:LVB131700 MEX131690:MEX131700 MOT131690:MOT131700 MYP131690:MYP131700 NIL131690:NIL131700 NSH131690:NSH131700 OCD131690:OCD131700 OLZ131690:OLZ131700 OVV131690:OVV131700 PFR131690:PFR131700 PPN131690:PPN131700 PZJ131690:PZJ131700 QJF131690:QJF131700 QTB131690:QTB131700 RCX131690:RCX131700 RMT131690:RMT131700 RWP131690:RWP131700 SGL131690:SGL131700 SQH131690:SQH131700 TAD131690:TAD131700 TJZ131690:TJZ131700 TTV131690:TTV131700 UDR131690:UDR131700 UNN131690:UNN131700 UXJ131690:UXJ131700 VHF131690:VHF131700 VRB131690:VRB131700 WAX131690:WAX131700 WKT131690:WKT131700 WUP131690:WUP131700 ID197226:ID197236 RZ197226:RZ197236 ABV197226:ABV197236 ALR197226:ALR197236 AVN197226:AVN197236 BFJ197226:BFJ197236 BPF197226:BPF197236 BZB197226:BZB197236 CIX197226:CIX197236 CST197226:CST197236 DCP197226:DCP197236 DML197226:DML197236 DWH197226:DWH197236 EGD197226:EGD197236 EPZ197226:EPZ197236 EZV197226:EZV197236 FJR197226:FJR197236 FTN197226:FTN197236 GDJ197226:GDJ197236 GNF197226:GNF197236 GXB197226:GXB197236 HGX197226:HGX197236 HQT197226:HQT197236 IAP197226:IAP197236 IKL197226:IKL197236 IUH197226:IUH197236 JED197226:JED197236 JNZ197226:JNZ197236 JXV197226:JXV197236 KHR197226:KHR197236 KRN197226:KRN197236 LBJ197226:LBJ197236 LLF197226:LLF197236 LVB197226:LVB197236 MEX197226:MEX197236 MOT197226:MOT197236 MYP197226:MYP197236 NIL197226:NIL197236 NSH197226:NSH197236 OCD197226:OCD197236 OLZ197226:OLZ197236 OVV197226:OVV197236 PFR197226:PFR197236 PPN197226:PPN197236 PZJ197226:PZJ197236 QJF197226:QJF197236 QTB197226:QTB197236 RCX197226:RCX197236 RMT197226:RMT197236 RWP197226:RWP197236 SGL197226:SGL197236 SQH197226:SQH197236 TAD197226:TAD197236 TJZ197226:TJZ197236 TTV197226:TTV197236 UDR197226:UDR197236 UNN197226:UNN197236 UXJ197226:UXJ197236 VHF197226:VHF197236 VRB197226:VRB197236 WAX197226:WAX197236 WKT197226:WKT197236 WUP197226:WUP197236 ID262762:ID262772 RZ262762:RZ262772 ABV262762:ABV262772 ALR262762:ALR262772 AVN262762:AVN262772 BFJ262762:BFJ262772 BPF262762:BPF262772 BZB262762:BZB262772 CIX262762:CIX262772 CST262762:CST262772 DCP262762:DCP262772 DML262762:DML262772 DWH262762:DWH262772 EGD262762:EGD262772 EPZ262762:EPZ262772 EZV262762:EZV262772 FJR262762:FJR262772 FTN262762:FTN262772 GDJ262762:GDJ262772 GNF262762:GNF262772 GXB262762:GXB262772 HGX262762:HGX262772 HQT262762:HQT262772 IAP262762:IAP262772 IKL262762:IKL262772 IUH262762:IUH262772 JED262762:JED262772 JNZ262762:JNZ262772 JXV262762:JXV262772 KHR262762:KHR262772 KRN262762:KRN262772 LBJ262762:LBJ262772 LLF262762:LLF262772 LVB262762:LVB262772 MEX262762:MEX262772 MOT262762:MOT262772 MYP262762:MYP262772 NIL262762:NIL262772 NSH262762:NSH262772 OCD262762:OCD262772 OLZ262762:OLZ262772 OVV262762:OVV262772 PFR262762:PFR262772 PPN262762:PPN262772 PZJ262762:PZJ262772 QJF262762:QJF262772 QTB262762:QTB262772 RCX262762:RCX262772 RMT262762:RMT262772 RWP262762:RWP262772 SGL262762:SGL262772 SQH262762:SQH262772 TAD262762:TAD262772 TJZ262762:TJZ262772 TTV262762:TTV262772 UDR262762:UDR262772 UNN262762:UNN262772 UXJ262762:UXJ262772 VHF262762:VHF262772 VRB262762:VRB262772 WAX262762:WAX262772 WKT262762:WKT262772 WUP262762:WUP262772 ID328298:ID328308 RZ328298:RZ328308 ABV328298:ABV328308 ALR328298:ALR328308 AVN328298:AVN328308 BFJ328298:BFJ328308 BPF328298:BPF328308 BZB328298:BZB328308 CIX328298:CIX328308 CST328298:CST328308 DCP328298:DCP328308 DML328298:DML328308 DWH328298:DWH328308 EGD328298:EGD328308 EPZ328298:EPZ328308 EZV328298:EZV328308 FJR328298:FJR328308 FTN328298:FTN328308 GDJ328298:GDJ328308 GNF328298:GNF328308 GXB328298:GXB328308 HGX328298:HGX328308 HQT328298:HQT328308 IAP328298:IAP328308 IKL328298:IKL328308 IUH328298:IUH328308 JED328298:JED328308 JNZ328298:JNZ328308 JXV328298:JXV328308 KHR328298:KHR328308 KRN328298:KRN328308 LBJ328298:LBJ328308 LLF328298:LLF328308 LVB328298:LVB328308 MEX328298:MEX328308 MOT328298:MOT328308 MYP328298:MYP328308 NIL328298:NIL328308 NSH328298:NSH328308 OCD328298:OCD328308 OLZ328298:OLZ328308 OVV328298:OVV328308 PFR328298:PFR328308 PPN328298:PPN328308 PZJ328298:PZJ328308 QJF328298:QJF328308 QTB328298:QTB328308 RCX328298:RCX328308 RMT328298:RMT328308 RWP328298:RWP328308 SGL328298:SGL328308 SQH328298:SQH328308 TAD328298:TAD328308 TJZ328298:TJZ328308 TTV328298:TTV328308 UDR328298:UDR328308 UNN328298:UNN328308 UXJ328298:UXJ328308 VHF328298:VHF328308 VRB328298:VRB328308 WAX328298:WAX328308 WKT328298:WKT328308 WUP328298:WUP328308 ID393834:ID393844 RZ393834:RZ393844 ABV393834:ABV393844 ALR393834:ALR393844 AVN393834:AVN393844 BFJ393834:BFJ393844 BPF393834:BPF393844 BZB393834:BZB393844 CIX393834:CIX393844 CST393834:CST393844 DCP393834:DCP393844 DML393834:DML393844 DWH393834:DWH393844 EGD393834:EGD393844 EPZ393834:EPZ393844 EZV393834:EZV393844 FJR393834:FJR393844 FTN393834:FTN393844 GDJ393834:GDJ393844 GNF393834:GNF393844 GXB393834:GXB393844 HGX393834:HGX393844 HQT393834:HQT393844 IAP393834:IAP393844 IKL393834:IKL393844 IUH393834:IUH393844 JED393834:JED393844 JNZ393834:JNZ393844 JXV393834:JXV393844 KHR393834:KHR393844 KRN393834:KRN393844 LBJ393834:LBJ393844 LLF393834:LLF393844 LVB393834:LVB393844 MEX393834:MEX393844 MOT393834:MOT393844 MYP393834:MYP393844 NIL393834:NIL393844 NSH393834:NSH393844 OCD393834:OCD393844 OLZ393834:OLZ393844 OVV393834:OVV393844 PFR393834:PFR393844 PPN393834:PPN393844 PZJ393834:PZJ393844 QJF393834:QJF393844 QTB393834:QTB393844 RCX393834:RCX393844 RMT393834:RMT393844 RWP393834:RWP393844 SGL393834:SGL393844 SQH393834:SQH393844 TAD393834:TAD393844 TJZ393834:TJZ393844 TTV393834:TTV393844 UDR393834:UDR393844 UNN393834:UNN393844 UXJ393834:UXJ393844 VHF393834:VHF393844 VRB393834:VRB393844 WAX393834:WAX393844 WKT393834:WKT393844 WUP393834:WUP393844 ID459370:ID459380 RZ459370:RZ459380 ABV459370:ABV459380 ALR459370:ALR459380 AVN459370:AVN459380 BFJ459370:BFJ459380 BPF459370:BPF459380 BZB459370:BZB459380 CIX459370:CIX459380 CST459370:CST459380 DCP459370:DCP459380 DML459370:DML459380 DWH459370:DWH459380 EGD459370:EGD459380 EPZ459370:EPZ459380 EZV459370:EZV459380 FJR459370:FJR459380 FTN459370:FTN459380 GDJ459370:GDJ459380 GNF459370:GNF459380 GXB459370:GXB459380 HGX459370:HGX459380 HQT459370:HQT459380 IAP459370:IAP459380 IKL459370:IKL459380 IUH459370:IUH459380 JED459370:JED459380 JNZ459370:JNZ459380 JXV459370:JXV459380 KHR459370:KHR459380 KRN459370:KRN459380 LBJ459370:LBJ459380 LLF459370:LLF459380 LVB459370:LVB459380 MEX459370:MEX459380 MOT459370:MOT459380 MYP459370:MYP459380 NIL459370:NIL459380 NSH459370:NSH459380 OCD459370:OCD459380 OLZ459370:OLZ459380 OVV459370:OVV459380 PFR459370:PFR459380 PPN459370:PPN459380 PZJ459370:PZJ459380 QJF459370:QJF459380 QTB459370:QTB459380 RCX459370:RCX459380 RMT459370:RMT459380 RWP459370:RWP459380 SGL459370:SGL459380 SQH459370:SQH459380 TAD459370:TAD459380 TJZ459370:TJZ459380 TTV459370:TTV459380 UDR459370:UDR459380 UNN459370:UNN459380 UXJ459370:UXJ459380 VHF459370:VHF459380 VRB459370:VRB459380 WAX459370:WAX459380 WKT459370:WKT459380 WUP459370:WUP459380 ID524906:ID524916 RZ524906:RZ524916 ABV524906:ABV524916 ALR524906:ALR524916 AVN524906:AVN524916 BFJ524906:BFJ524916 BPF524906:BPF524916 BZB524906:BZB524916 CIX524906:CIX524916 CST524906:CST524916 DCP524906:DCP524916 DML524906:DML524916 DWH524906:DWH524916 EGD524906:EGD524916 EPZ524906:EPZ524916 EZV524906:EZV524916 FJR524906:FJR524916 FTN524906:FTN524916 GDJ524906:GDJ524916 GNF524906:GNF524916 GXB524906:GXB524916 HGX524906:HGX524916 HQT524906:HQT524916 IAP524906:IAP524916 IKL524906:IKL524916 IUH524906:IUH524916 JED524906:JED524916 JNZ524906:JNZ524916 JXV524906:JXV524916 KHR524906:KHR524916 KRN524906:KRN524916 LBJ524906:LBJ524916 LLF524906:LLF524916 LVB524906:LVB524916 MEX524906:MEX524916 MOT524906:MOT524916 MYP524906:MYP524916 NIL524906:NIL524916 NSH524906:NSH524916 OCD524906:OCD524916 OLZ524906:OLZ524916 OVV524906:OVV524916 PFR524906:PFR524916 PPN524906:PPN524916 PZJ524906:PZJ524916 QJF524906:QJF524916 QTB524906:QTB524916 RCX524906:RCX524916 RMT524906:RMT524916 RWP524906:RWP524916 SGL524906:SGL524916 SQH524906:SQH524916 TAD524906:TAD524916 TJZ524906:TJZ524916 TTV524906:TTV524916 UDR524906:UDR524916 UNN524906:UNN524916 UXJ524906:UXJ524916 VHF524906:VHF524916 VRB524906:VRB524916 WAX524906:WAX524916 WKT524906:WKT524916 WUP524906:WUP524916 ID590442:ID590452 RZ590442:RZ590452 ABV590442:ABV590452 ALR590442:ALR590452 AVN590442:AVN590452 BFJ590442:BFJ590452 BPF590442:BPF590452 BZB590442:BZB590452 CIX590442:CIX590452 CST590442:CST590452 DCP590442:DCP590452 DML590442:DML590452 DWH590442:DWH590452 EGD590442:EGD590452 EPZ590442:EPZ590452 EZV590442:EZV590452 FJR590442:FJR590452 FTN590442:FTN590452 GDJ590442:GDJ590452 GNF590442:GNF590452 GXB590442:GXB590452 HGX590442:HGX590452 HQT590442:HQT590452 IAP590442:IAP590452 IKL590442:IKL590452 IUH590442:IUH590452 JED590442:JED590452 JNZ590442:JNZ590452 JXV590442:JXV590452 KHR590442:KHR590452 KRN590442:KRN590452 LBJ590442:LBJ590452 LLF590442:LLF590452 LVB590442:LVB590452 MEX590442:MEX590452 MOT590442:MOT590452 MYP590442:MYP590452 NIL590442:NIL590452 NSH590442:NSH590452 OCD590442:OCD590452 OLZ590442:OLZ590452 OVV590442:OVV590452 PFR590442:PFR590452 PPN590442:PPN590452 PZJ590442:PZJ590452 QJF590442:QJF590452 QTB590442:QTB590452 RCX590442:RCX590452 RMT590442:RMT590452 RWP590442:RWP590452 SGL590442:SGL590452 SQH590442:SQH590452 TAD590442:TAD590452 TJZ590442:TJZ590452 TTV590442:TTV590452 UDR590442:UDR590452 UNN590442:UNN590452 UXJ590442:UXJ590452 VHF590442:VHF590452 VRB590442:VRB590452 WAX590442:WAX590452 WKT590442:WKT590452 WUP590442:WUP590452 ID655978:ID655988 RZ655978:RZ655988 ABV655978:ABV655988 ALR655978:ALR655988 AVN655978:AVN655988 BFJ655978:BFJ655988 BPF655978:BPF655988 BZB655978:BZB655988 CIX655978:CIX655988 CST655978:CST655988 DCP655978:DCP655988 DML655978:DML655988 DWH655978:DWH655988 EGD655978:EGD655988 EPZ655978:EPZ655988 EZV655978:EZV655988 FJR655978:FJR655988 FTN655978:FTN655988 GDJ655978:GDJ655988 GNF655978:GNF655988 GXB655978:GXB655988 HGX655978:HGX655988 HQT655978:HQT655988 IAP655978:IAP655988 IKL655978:IKL655988 IUH655978:IUH655988 JED655978:JED655988 JNZ655978:JNZ655988 JXV655978:JXV655988 KHR655978:KHR655988 KRN655978:KRN655988 LBJ655978:LBJ655988 LLF655978:LLF655988 LVB655978:LVB655988 MEX655978:MEX655988 MOT655978:MOT655988 MYP655978:MYP655988 NIL655978:NIL655988 NSH655978:NSH655988 OCD655978:OCD655988 OLZ655978:OLZ655988 OVV655978:OVV655988 PFR655978:PFR655988 PPN655978:PPN655988 PZJ655978:PZJ655988 QJF655978:QJF655988 QTB655978:QTB655988 RCX655978:RCX655988 RMT655978:RMT655988 RWP655978:RWP655988 SGL655978:SGL655988 SQH655978:SQH655988 TAD655978:TAD655988 TJZ655978:TJZ655988 TTV655978:TTV655988 UDR655978:UDR655988 UNN655978:UNN655988 UXJ655978:UXJ655988 VHF655978:VHF655988 VRB655978:VRB655988 WAX655978:WAX655988 WKT655978:WKT655988 WUP655978:WUP655988 ID721514:ID721524 RZ721514:RZ721524 ABV721514:ABV721524 ALR721514:ALR721524 AVN721514:AVN721524 BFJ721514:BFJ721524 BPF721514:BPF721524 BZB721514:BZB721524 CIX721514:CIX721524 CST721514:CST721524 DCP721514:DCP721524 DML721514:DML721524 DWH721514:DWH721524 EGD721514:EGD721524 EPZ721514:EPZ721524 EZV721514:EZV721524 FJR721514:FJR721524 FTN721514:FTN721524 GDJ721514:GDJ721524 GNF721514:GNF721524 GXB721514:GXB721524 HGX721514:HGX721524 HQT721514:HQT721524 IAP721514:IAP721524 IKL721514:IKL721524 IUH721514:IUH721524 JED721514:JED721524 JNZ721514:JNZ721524 JXV721514:JXV721524 KHR721514:KHR721524 KRN721514:KRN721524 LBJ721514:LBJ721524 LLF721514:LLF721524 LVB721514:LVB721524 MEX721514:MEX721524 MOT721514:MOT721524 MYP721514:MYP721524 NIL721514:NIL721524 NSH721514:NSH721524 OCD721514:OCD721524 OLZ721514:OLZ721524 OVV721514:OVV721524 PFR721514:PFR721524 PPN721514:PPN721524 PZJ721514:PZJ721524 QJF721514:QJF721524 QTB721514:QTB721524 RCX721514:RCX721524 RMT721514:RMT721524 RWP721514:RWP721524 SGL721514:SGL721524 SQH721514:SQH721524 TAD721514:TAD721524 TJZ721514:TJZ721524 TTV721514:TTV721524 UDR721514:UDR721524 UNN721514:UNN721524 UXJ721514:UXJ721524 VHF721514:VHF721524 VRB721514:VRB721524 WAX721514:WAX721524 WKT721514:WKT721524 WUP721514:WUP721524 ID787050:ID787060 RZ787050:RZ787060 ABV787050:ABV787060 ALR787050:ALR787060 AVN787050:AVN787060 BFJ787050:BFJ787060 BPF787050:BPF787060 BZB787050:BZB787060 CIX787050:CIX787060 CST787050:CST787060 DCP787050:DCP787060 DML787050:DML787060 DWH787050:DWH787060 EGD787050:EGD787060 EPZ787050:EPZ787060 EZV787050:EZV787060 FJR787050:FJR787060 FTN787050:FTN787060 GDJ787050:GDJ787060 GNF787050:GNF787060 GXB787050:GXB787060 HGX787050:HGX787060 HQT787050:HQT787060 IAP787050:IAP787060 IKL787050:IKL787060 IUH787050:IUH787060 JED787050:JED787060 JNZ787050:JNZ787060 JXV787050:JXV787060 KHR787050:KHR787060 KRN787050:KRN787060 LBJ787050:LBJ787060 LLF787050:LLF787060 LVB787050:LVB787060 MEX787050:MEX787060 MOT787050:MOT787060 MYP787050:MYP787060 NIL787050:NIL787060 NSH787050:NSH787060 OCD787050:OCD787060 OLZ787050:OLZ787060 OVV787050:OVV787060 PFR787050:PFR787060 PPN787050:PPN787060 PZJ787050:PZJ787060 QJF787050:QJF787060 QTB787050:QTB787060 RCX787050:RCX787060 RMT787050:RMT787060 RWP787050:RWP787060 SGL787050:SGL787060 SQH787050:SQH787060 TAD787050:TAD787060 TJZ787050:TJZ787060 TTV787050:TTV787060 UDR787050:UDR787060 UNN787050:UNN787060 UXJ787050:UXJ787060 VHF787050:VHF787060 VRB787050:VRB787060 WAX787050:WAX787060 WKT787050:WKT787060 WUP787050:WUP787060 ID852586:ID852596 RZ852586:RZ852596 ABV852586:ABV852596 ALR852586:ALR852596 AVN852586:AVN852596 BFJ852586:BFJ852596 BPF852586:BPF852596 BZB852586:BZB852596 CIX852586:CIX852596 CST852586:CST852596 DCP852586:DCP852596 DML852586:DML852596 DWH852586:DWH852596 EGD852586:EGD852596 EPZ852586:EPZ852596 EZV852586:EZV852596 FJR852586:FJR852596 FTN852586:FTN852596 GDJ852586:GDJ852596 GNF852586:GNF852596 GXB852586:GXB852596 HGX852586:HGX852596 HQT852586:HQT852596 IAP852586:IAP852596 IKL852586:IKL852596 IUH852586:IUH852596 JED852586:JED852596 JNZ852586:JNZ852596 JXV852586:JXV852596 KHR852586:KHR852596 KRN852586:KRN852596 LBJ852586:LBJ852596 LLF852586:LLF852596 LVB852586:LVB852596 MEX852586:MEX852596 MOT852586:MOT852596 MYP852586:MYP852596 NIL852586:NIL852596 NSH852586:NSH852596 OCD852586:OCD852596 OLZ852586:OLZ852596 OVV852586:OVV852596 PFR852586:PFR852596 PPN852586:PPN852596 PZJ852586:PZJ852596 QJF852586:QJF852596 QTB852586:QTB852596 RCX852586:RCX852596 RMT852586:RMT852596 RWP852586:RWP852596 SGL852586:SGL852596 SQH852586:SQH852596 TAD852586:TAD852596 TJZ852586:TJZ852596 TTV852586:TTV852596 UDR852586:UDR852596 UNN852586:UNN852596 UXJ852586:UXJ852596 VHF852586:VHF852596 VRB852586:VRB852596 WAX852586:WAX852596 WKT852586:WKT852596 WUP852586:WUP852596 ID918122:ID918132 RZ918122:RZ918132 ABV918122:ABV918132 ALR918122:ALR918132 AVN918122:AVN918132 BFJ918122:BFJ918132 BPF918122:BPF918132 BZB918122:BZB918132 CIX918122:CIX918132 CST918122:CST918132 DCP918122:DCP918132 DML918122:DML918132 DWH918122:DWH918132 EGD918122:EGD918132 EPZ918122:EPZ918132 EZV918122:EZV918132 FJR918122:FJR918132 FTN918122:FTN918132 GDJ918122:GDJ918132 GNF918122:GNF918132 GXB918122:GXB918132 HGX918122:HGX918132 HQT918122:HQT918132 IAP918122:IAP918132 IKL918122:IKL918132 IUH918122:IUH918132 JED918122:JED918132 JNZ918122:JNZ918132 JXV918122:JXV918132 KHR918122:KHR918132 KRN918122:KRN918132 LBJ918122:LBJ918132 LLF918122:LLF918132 LVB918122:LVB918132 MEX918122:MEX918132 MOT918122:MOT918132 MYP918122:MYP918132 NIL918122:NIL918132 NSH918122:NSH918132 OCD918122:OCD918132 OLZ918122:OLZ918132 OVV918122:OVV918132 PFR918122:PFR918132 PPN918122:PPN918132 PZJ918122:PZJ918132 QJF918122:QJF918132 QTB918122:QTB918132 RCX918122:RCX918132 RMT918122:RMT918132 RWP918122:RWP918132 SGL918122:SGL918132 SQH918122:SQH918132 TAD918122:TAD918132 TJZ918122:TJZ918132 TTV918122:TTV918132 UDR918122:UDR918132 UNN918122:UNN918132 UXJ918122:UXJ918132 VHF918122:VHF918132 VRB918122:VRB918132 WAX918122:WAX918132 WKT918122:WKT918132 WUP918122:WUP918132 ID983658:ID983668 RZ983658:RZ983668 ABV983658:ABV983668 ALR983658:ALR983668 AVN983658:AVN983668 BFJ983658:BFJ983668 BPF983658:BPF983668 BZB983658:BZB983668 CIX983658:CIX983668 CST983658:CST983668 DCP983658:DCP983668 DML983658:DML983668 DWH983658:DWH983668 EGD983658:EGD983668 EPZ983658:EPZ983668 EZV983658:EZV983668 FJR983658:FJR983668 FTN983658:FTN983668 GDJ983658:GDJ983668 GNF983658:GNF983668 GXB983658:GXB983668 HGX983658:HGX983668 HQT983658:HQT983668 IAP983658:IAP983668 IKL983658:IKL983668 IUH983658:IUH983668 JED983658:JED983668 JNZ983658:JNZ983668 JXV983658:JXV983668 KHR983658:KHR983668 KRN983658:KRN983668 LBJ983658:LBJ983668 LLF983658:LLF983668 LVB983658:LVB983668 MEX983658:MEX983668 MOT983658:MOT983668 MYP983658:MYP983668 NIL983658:NIL983668 NSH983658:NSH983668 OCD983658:OCD983668 OLZ983658:OLZ983668 OVV983658:OVV983668 PFR983658:PFR983668 PPN983658:PPN983668 PZJ983658:PZJ983668 QJF983658:QJF983668 QTB983658:QTB983668 RCX983658:RCX983668 RMT983658:RMT983668 RWP983658:RWP983668 SGL983658:SGL983668 SQH983658:SQH983668 TAD983658:TAD983668 TJZ983658:TJZ983668 TTV983658:TTV983668 UDR983658:UDR983668 UNN983658:UNN983668 UXJ983658:UXJ983668 VHF983658:VHF983668 VRB983658:VRB983668 WAX983658:WAX983668 WKT983658:WKT983668 WUP983658:WUP983668 ID66573:ID66579 RZ66573:RZ66579 ABV66573:ABV66579 ALR66573:ALR66579 AVN66573:AVN66579 BFJ66573:BFJ66579 BPF66573:BPF66579 BZB66573:BZB66579 CIX66573:CIX66579 CST66573:CST66579 DCP66573:DCP66579 DML66573:DML66579 DWH66573:DWH66579 EGD66573:EGD66579 EPZ66573:EPZ66579 EZV66573:EZV66579 FJR66573:FJR66579 FTN66573:FTN66579 GDJ66573:GDJ66579 GNF66573:GNF66579 GXB66573:GXB66579 HGX66573:HGX66579 HQT66573:HQT66579 IAP66573:IAP66579 IKL66573:IKL66579 IUH66573:IUH66579 JED66573:JED66579 JNZ66573:JNZ66579 JXV66573:JXV66579 KHR66573:KHR66579 KRN66573:KRN66579 LBJ66573:LBJ66579 LLF66573:LLF66579 LVB66573:LVB66579 MEX66573:MEX66579 MOT66573:MOT66579 MYP66573:MYP66579 NIL66573:NIL66579 NSH66573:NSH66579 OCD66573:OCD66579 OLZ66573:OLZ66579 OVV66573:OVV66579 PFR66573:PFR66579 PPN66573:PPN66579 PZJ66573:PZJ66579 QJF66573:QJF66579 QTB66573:QTB66579 RCX66573:RCX66579 RMT66573:RMT66579 RWP66573:RWP66579 SGL66573:SGL66579 SQH66573:SQH66579 TAD66573:TAD66579 TJZ66573:TJZ66579 TTV66573:TTV66579 UDR66573:UDR66579 UNN66573:UNN66579 UXJ66573:UXJ66579 VHF66573:VHF66579 VRB66573:VRB66579 WAX66573:WAX66579 WKT66573:WKT66579 WUP66573:WUP66579 ID132109:ID132115 RZ132109:RZ132115 ABV132109:ABV132115 ALR132109:ALR132115 AVN132109:AVN132115 BFJ132109:BFJ132115 BPF132109:BPF132115 BZB132109:BZB132115 CIX132109:CIX132115 CST132109:CST132115 DCP132109:DCP132115 DML132109:DML132115 DWH132109:DWH132115 EGD132109:EGD132115 EPZ132109:EPZ132115 EZV132109:EZV132115 FJR132109:FJR132115 FTN132109:FTN132115 GDJ132109:GDJ132115 GNF132109:GNF132115 GXB132109:GXB132115 HGX132109:HGX132115 HQT132109:HQT132115 IAP132109:IAP132115 IKL132109:IKL132115 IUH132109:IUH132115 JED132109:JED132115 JNZ132109:JNZ132115 JXV132109:JXV132115 KHR132109:KHR132115 KRN132109:KRN132115 LBJ132109:LBJ132115 LLF132109:LLF132115 LVB132109:LVB132115 MEX132109:MEX132115 MOT132109:MOT132115 MYP132109:MYP132115 NIL132109:NIL132115 NSH132109:NSH132115 OCD132109:OCD132115 OLZ132109:OLZ132115 OVV132109:OVV132115 PFR132109:PFR132115 PPN132109:PPN132115 PZJ132109:PZJ132115 QJF132109:QJF132115 QTB132109:QTB132115 RCX132109:RCX132115 RMT132109:RMT132115 RWP132109:RWP132115 SGL132109:SGL132115 SQH132109:SQH132115 TAD132109:TAD132115 TJZ132109:TJZ132115 TTV132109:TTV132115 UDR132109:UDR132115 UNN132109:UNN132115 UXJ132109:UXJ132115 VHF132109:VHF132115 VRB132109:VRB132115 WAX132109:WAX132115 WKT132109:WKT132115 WUP132109:WUP132115 ID197645:ID197651 RZ197645:RZ197651 ABV197645:ABV197651 ALR197645:ALR197651 AVN197645:AVN197651 BFJ197645:BFJ197651 BPF197645:BPF197651 BZB197645:BZB197651 CIX197645:CIX197651 CST197645:CST197651 DCP197645:DCP197651 DML197645:DML197651 DWH197645:DWH197651 EGD197645:EGD197651 EPZ197645:EPZ197651 EZV197645:EZV197651 FJR197645:FJR197651 FTN197645:FTN197651 GDJ197645:GDJ197651 GNF197645:GNF197651 GXB197645:GXB197651 HGX197645:HGX197651 HQT197645:HQT197651 IAP197645:IAP197651 IKL197645:IKL197651 IUH197645:IUH197651 JED197645:JED197651 JNZ197645:JNZ197651 JXV197645:JXV197651 KHR197645:KHR197651 KRN197645:KRN197651 LBJ197645:LBJ197651 LLF197645:LLF197651 LVB197645:LVB197651 MEX197645:MEX197651 MOT197645:MOT197651 MYP197645:MYP197651 NIL197645:NIL197651 NSH197645:NSH197651 OCD197645:OCD197651 OLZ197645:OLZ197651 OVV197645:OVV197651 PFR197645:PFR197651 PPN197645:PPN197651 PZJ197645:PZJ197651 QJF197645:QJF197651 QTB197645:QTB197651 RCX197645:RCX197651 RMT197645:RMT197651 RWP197645:RWP197651 SGL197645:SGL197651 SQH197645:SQH197651 TAD197645:TAD197651 TJZ197645:TJZ197651 TTV197645:TTV197651 UDR197645:UDR197651 UNN197645:UNN197651 UXJ197645:UXJ197651 VHF197645:VHF197651 VRB197645:VRB197651 WAX197645:WAX197651 WKT197645:WKT197651 WUP197645:WUP197651 ID263181:ID263187 RZ263181:RZ263187 ABV263181:ABV263187 ALR263181:ALR263187 AVN263181:AVN263187 BFJ263181:BFJ263187 BPF263181:BPF263187 BZB263181:BZB263187 CIX263181:CIX263187 CST263181:CST263187 DCP263181:DCP263187 DML263181:DML263187 DWH263181:DWH263187 EGD263181:EGD263187 EPZ263181:EPZ263187 EZV263181:EZV263187 FJR263181:FJR263187 FTN263181:FTN263187 GDJ263181:GDJ263187 GNF263181:GNF263187 GXB263181:GXB263187 HGX263181:HGX263187 HQT263181:HQT263187 IAP263181:IAP263187 IKL263181:IKL263187 IUH263181:IUH263187 JED263181:JED263187 JNZ263181:JNZ263187 JXV263181:JXV263187 KHR263181:KHR263187 KRN263181:KRN263187 LBJ263181:LBJ263187 LLF263181:LLF263187 LVB263181:LVB263187 MEX263181:MEX263187 MOT263181:MOT263187 MYP263181:MYP263187 NIL263181:NIL263187 NSH263181:NSH263187 OCD263181:OCD263187 OLZ263181:OLZ263187 OVV263181:OVV263187 PFR263181:PFR263187 PPN263181:PPN263187 PZJ263181:PZJ263187 QJF263181:QJF263187 QTB263181:QTB263187 RCX263181:RCX263187 RMT263181:RMT263187 RWP263181:RWP263187 SGL263181:SGL263187 SQH263181:SQH263187 TAD263181:TAD263187 TJZ263181:TJZ263187 TTV263181:TTV263187 UDR263181:UDR263187 UNN263181:UNN263187 UXJ263181:UXJ263187 VHF263181:VHF263187 VRB263181:VRB263187 WAX263181:WAX263187 WKT263181:WKT263187 WUP263181:WUP263187 ID328717:ID328723 RZ328717:RZ328723 ABV328717:ABV328723 ALR328717:ALR328723 AVN328717:AVN328723 BFJ328717:BFJ328723 BPF328717:BPF328723 BZB328717:BZB328723 CIX328717:CIX328723 CST328717:CST328723 DCP328717:DCP328723 DML328717:DML328723 DWH328717:DWH328723 EGD328717:EGD328723 EPZ328717:EPZ328723 EZV328717:EZV328723 FJR328717:FJR328723 FTN328717:FTN328723 GDJ328717:GDJ328723 GNF328717:GNF328723 GXB328717:GXB328723 HGX328717:HGX328723 HQT328717:HQT328723 IAP328717:IAP328723 IKL328717:IKL328723 IUH328717:IUH328723 JED328717:JED328723 JNZ328717:JNZ328723 JXV328717:JXV328723 KHR328717:KHR328723 KRN328717:KRN328723 LBJ328717:LBJ328723 LLF328717:LLF328723 LVB328717:LVB328723 MEX328717:MEX328723 MOT328717:MOT328723 MYP328717:MYP328723 NIL328717:NIL328723 NSH328717:NSH328723 OCD328717:OCD328723 OLZ328717:OLZ328723 OVV328717:OVV328723 PFR328717:PFR328723 PPN328717:PPN328723 PZJ328717:PZJ328723 QJF328717:QJF328723 QTB328717:QTB328723 RCX328717:RCX328723 RMT328717:RMT328723 RWP328717:RWP328723 SGL328717:SGL328723 SQH328717:SQH328723 TAD328717:TAD328723 TJZ328717:TJZ328723 TTV328717:TTV328723 UDR328717:UDR328723 UNN328717:UNN328723 UXJ328717:UXJ328723 VHF328717:VHF328723 VRB328717:VRB328723 WAX328717:WAX328723 WKT328717:WKT328723 WUP328717:WUP328723 ID394253:ID394259 RZ394253:RZ394259 ABV394253:ABV394259 ALR394253:ALR394259 AVN394253:AVN394259 BFJ394253:BFJ394259 BPF394253:BPF394259 BZB394253:BZB394259 CIX394253:CIX394259 CST394253:CST394259 DCP394253:DCP394259 DML394253:DML394259 DWH394253:DWH394259 EGD394253:EGD394259 EPZ394253:EPZ394259 EZV394253:EZV394259 FJR394253:FJR394259 FTN394253:FTN394259 GDJ394253:GDJ394259 GNF394253:GNF394259 GXB394253:GXB394259 HGX394253:HGX394259 HQT394253:HQT394259 IAP394253:IAP394259 IKL394253:IKL394259 IUH394253:IUH394259 JED394253:JED394259 JNZ394253:JNZ394259 JXV394253:JXV394259 KHR394253:KHR394259 KRN394253:KRN394259 LBJ394253:LBJ394259 LLF394253:LLF394259 LVB394253:LVB394259 MEX394253:MEX394259 MOT394253:MOT394259 MYP394253:MYP394259 NIL394253:NIL394259 NSH394253:NSH394259 OCD394253:OCD394259 OLZ394253:OLZ394259 OVV394253:OVV394259 PFR394253:PFR394259 PPN394253:PPN394259 PZJ394253:PZJ394259 QJF394253:QJF394259 QTB394253:QTB394259 RCX394253:RCX394259 RMT394253:RMT394259 RWP394253:RWP394259 SGL394253:SGL394259 SQH394253:SQH394259 TAD394253:TAD394259 TJZ394253:TJZ394259 TTV394253:TTV394259 UDR394253:UDR394259 UNN394253:UNN394259 UXJ394253:UXJ394259 VHF394253:VHF394259 VRB394253:VRB394259 WAX394253:WAX394259 WKT394253:WKT394259 WUP394253:WUP394259 ID459789:ID459795 RZ459789:RZ459795 ABV459789:ABV459795 ALR459789:ALR459795 AVN459789:AVN459795 BFJ459789:BFJ459795 BPF459789:BPF459795 BZB459789:BZB459795 CIX459789:CIX459795 CST459789:CST459795 DCP459789:DCP459795 DML459789:DML459795 DWH459789:DWH459795 EGD459789:EGD459795 EPZ459789:EPZ459795 EZV459789:EZV459795 FJR459789:FJR459795 FTN459789:FTN459795 GDJ459789:GDJ459795 GNF459789:GNF459795 GXB459789:GXB459795 HGX459789:HGX459795 HQT459789:HQT459795 IAP459789:IAP459795 IKL459789:IKL459795 IUH459789:IUH459795 JED459789:JED459795 JNZ459789:JNZ459795 JXV459789:JXV459795 KHR459789:KHR459795 KRN459789:KRN459795 LBJ459789:LBJ459795 LLF459789:LLF459795 LVB459789:LVB459795 MEX459789:MEX459795 MOT459789:MOT459795 MYP459789:MYP459795 NIL459789:NIL459795 NSH459789:NSH459795 OCD459789:OCD459795 OLZ459789:OLZ459795 OVV459789:OVV459795 PFR459789:PFR459795 PPN459789:PPN459795 PZJ459789:PZJ459795 QJF459789:QJF459795 QTB459789:QTB459795 RCX459789:RCX459795 RMT459789:RMT459795 RWP459789:RWP459795 SGL459789:SGL459795 SQH459789:SQH459795 TAD459789:TAD459795 TJZ459789:TJZ459795 TTV459789:TTV459795 UDR459789:UDR459795 UNN459789:UNN459795 UXJ459789:UXJ459795 VHF459789:VHF459795 VRB459789:VRB459795 WAX459789:WAX459795 WKT459789:WKT459795 WUP459789:WUP459795 ID525325:ID525331 RZ525325:RZ525331 ABV525325:ABV525331 ALR525325:ALR525331 AVN525325:AVN525331 BFJ525325:BFJ525331 BPF525325:BPF525331 BZB525325:BZB525331 CIX525325:CIX525331 CST525325:CST525331 DCP525325:DCP525331 DML525325:DML525331 DWH525325:DWH525331 EGD525325:EGD525331 EPZ525325:EPZ525331 EZV525325:EZV525331 FJR525325:FJR525331 FTN525325:FTN525331 GDJ525325:GDJ525331 GNF525325:GNF525331 GXB525325:GXB525331 HGX525325:HGX525331 HQT525325:HQT525331 IAP525325:IAP525331 IKL525325:IKL525331 IUH525325:IUH525331 JED525325:JED525331 JNZ525325:JNZ525331 JXV525325:JXV525331 KHR525325:KHR525331 KRN525325:KRN525331 LBJ525325:LBJ525331 LLF525325:LLF525331 LVB525325:LVB525331 MEX525325:MEX525331 MOT525325:MOT525331 MYP525325:MYP525331 NIL525325:NIL525331 NSH525325:NSH525331 OCD525325:OCD525331 OLZ525325:OLZ525331 OVV525325:OVV525331 PFR525325:PFR525331 PPN525325:PPN525331 PZJ525325:PZJ525331 QJF525325:QJF525331 QTB525325:QTB525331 RCX525325:RCX525331 RMT525325:RMT525331 RWP525325:RWP525331 SGL525325:SGL525331 SQH525325:SQH525331 TAD525325:TAD525331 TJZ525325:TJZ525331 TTV525325:TTV525331 UDR525325:UDR525331 UNN525325:UNN525331 UXJ525325:UXJ525331 VHF525325:VHF525331 VRB525325:VRB525331 WAX525325:WAX525331 WKT525325:WKT525331 WUP525325:WUP525331 ID590861:ID590867 RZ590861:RZ590867 ABV590861:ABV590867 ALR590861:ALR590867 AVN590861:AVN590867 BFJ590861:BFJ590867 BPF590861:BPF590867 BZB590861:BZB590867 CIX590861:CIX590867 CST590861:CST590867 DCP590861:DCP590867 DML590861:DML590867 DWH590861:DWH590867 EGD590861:EGD590867 EPZ590861:EPZ590867 EZV590861:EZV590867 FJR590861:FJR590867 FTN590861:FTN590867 GDJ590861:GDJ590867 GNF590861:GNF590867 GXB590861:GXB590867 HGX590861:HGX590867 HQT590861:HQT590867 IAP590861:IAP590867 IKL590861:IKL590867 IUH590861:IUH590867 JED590861:JED590867 JNZ590861:JNZ590867 JXV590861:JXV590867 KHR590861:KHR590867 KRN590861:KRN590867 LBJ590861:LBJ590867 LLF590861:LLF590867 LVB590861:LVB590867 MEX590861:MEX590867 MOT590861:MOT590867 MYP590861:MYP590867 NIL590861:NIL590867 NSH590861:NSH590867 OCD590861:OCD590867 OLZ590861:OLZ590867 OVV590861:OVV590867 PFR590861:PFR590867 PPN590861:PPN590867 PZJ590861:PZJ590867 QJF590861:QJF590867 QTB590861:QTB590867 RCX590861:RCX590867 RMT590861:RMT590867 RWP590861:RWP590867 SGL590861:SGL590867 SQH590861:SQH590867 TAD590861:TAD590867 TJZ590861:TJZ590867 TTV590861:TTV590867 UDR590861:UDR590867 UNN590861:UNN590867 UXJ590861:UXJ590867 VHF590861:VHF590867 VRB590861:VRB590867 WAX590861:WAX590867 WKT590861:WKT590867 WUP590861:WUP590867 ID656397:ID656403 RZ656397:RZ656403 ABV656397:ABV656403 ALR656397:ALR656403 AVN656397:AVN656403 BFJ656397:BFJ656403 BPF656397:BPF656403 BZB656397:BZB656403 CIX656397:CIX656403 CST656397:CST656403 DCP656397:DCP656403 DML656397:DML656403 DWH656397:DWH656403 EGD656397:EGD656403 EPZ656397:EPZ656403 EZV656397:EZV656403 FJR656397:FJR656403 FTN656397:FTN656403 GDJ656397:GDJ656403 GNF656397:GNF656403 GXB656397:GXB656403 HGX656397:HGX656403 HQT656397:HQT656403 IAP656397:IAP656403 IKL656397:IKL656403 IUH656397:IUH656403 JED656397:JED656403 JNZ656397:JNZ656403 JXV656397:JXV656403 KHR656397:KHR656403 KRN656397:KRN656403 LBJ656397:LBJ656403 LLF656397:LLF656403 LVB656397:LVB656403 MEX656397:MEX656403 MOT656397:MOT656403 MYP656397:MYP656403 NIL656397:NIL656403 NSH656397:NSH656403 OCD656397:OCD656403 OLZ656397:OLZ656403 OVV656397:OVV656403 PFR656397:PFR656403 PPN656397:PPN656403 PZJ656397:PZJ656403 QJF656397:QJF656403 QTB656397:QTB656403 RCX656397:RCX656403 RMT656397:RMT656403 RWP656397:RWP656403 SGL656397:SGL656403 SQH656397:SQH656403 TAD656397:TAD656403 TJZ656397:TJZ656403 TTV656397:TTV656403 UDR656397:UDR656403 UNN656397:UNN656403 UXJ656397:UXJ656403 VHF656397:VHF656403 VRB656397:VRB656403 WAX656397:WAX656403 WKT656397:WKT656403 WUP656397:WUP656403 ID721933:ID721939 RZ721933:RZ721939 ABV721933:ABV721939 ALR721933:ALR721939 AVN721933:AVN721939 BFJ721933:BFJ721939 BPF721933:BPF721939 BZB721933:BZB721939 CIX721933:CIX721939 CST721933:CST721939 DCP721933:DCP721939 DML721933:DML721939 DWH721933:DWH721939 EGD721933:EGD721939 EPZ721933:EPZ721939 EZV721933:EZV721939 FJR721933:FJR721939 FTN721933:FTN721939 GDJ721933:GDJ721939 GNF721933:GNF721939 GXB721933:GXB721939 HGX721933:HGX721939 HQT721933:HQT721939 IAP721933:IAP721939 IKL721933:IKL721939 IUH721933:IUH721939 JED721933:JED721939 JNZ721933:JNZ721939 JXV721933:JXV721939 KHR721933:KHR721939 KRN721933:KRN721939 LBJ721933:LBJ721939 LLF721933:LLF721939 LVB721933:LVB721939 MEX721933:MEX721939 MOT721933:MOT721939 MYP721933:MYP721939 NIL721933:NIL721939 NSH721933:NSH721939 OCD721933:OCD721939 OLZ721933:OLZ721939 OVV721933:OVV721939 PFR721933:PFR721939 PPN721933:PPN721939 PZJ721933:PZJ721939 QJF721933:QJF721939 QTB721933:QTB721939 RCX721933:RCX721939 RMT721933:RMT721939 RWP721933:RWP721939 SGL721933:SGL721939 SQH721933:SQH721939 TAD721933:TAD721939 TJZ721933:TJZ721939 TTV721933:TTV721939 UDR721933:UDR721939 UNN721933:UNN721939 UXJ721933:UXJ721939 VHF721933:VHF721939 VRB721933:VRB721939 WAX721933:WAX721939 WKT721933:WKT721939 WUP721933:WUP721939 ID787469:ID787475 RZ787469:RZ787475 ABV787469:ABV787475 ALR787469:ALR787475 AVN787469:AVN787475 BFJ787469:BFJ787475 BPF787469:BPF787475 BZB787469:BZB787475 CIX787469:CIX787475 CST787469:CST787475 DCP787469:DCP787475 DML787469:DML787475 DWH787469:DWH787475 EGD787469:EGD787475 EPZ787469:EPZ787475 EZV787469:EZV787475 FJR787469:FJR787475 FTN787469:FTN787475 GDJ787469:GDJ787475 GNF787469:GNF787475 GXB787469:GXB787475 HGX787469:HGX787475 HQT787469:HQT787475 IAP787469:IAP787475 IKL787469:IKL787475 IUH787469:IUH787475 JED787469:JED787475 JNZ787469:JNZ787475 JXV787469:JXV787475 KHR787469:KHR787475 KRN787469:KRN787475 LBJ787469:LBJ787475 LLF787469:LLF787475 LVB787469:LVB787475 MEX787469:MEX787475 MOT787469:MOT787475 MYP787469:MYP787475 NIL787469:NIL787475 NSH787469:NSH787475 OCD787469:OCD787475 OLZ787469:OLZ787475 OVV787469:OVV787475 PFR787469:PFR787475 PPN787469:PPN787475 PZJ787469:PZJ787475 QJF787469:QJF787475 QTB787469:QTB787475 RCX787469:RCX787475 RMT787469:RMT787475 RWP787469:RWP787475 SGL787469:SGL787475 SQH787469:SQH787475 TAD787469:TAD787475 TJZ787469:TJZ787475 TTV787469:TTV787475 UDR787469:UDR787475 UNN787469:UNN787475 UXJ787469:UXJ787475 VHF787469:VHF787475 VRB787469:VRB787475 WAX787469:WAX787475 WKT787469:WKT787475 WUP787469:WUP787475 ID853005:ID853011 RZ853005:RZ853011 ABV853005:ABV853011 ALR853005:ALR853011 AVN853005:AVN853011 BFJ853005:BFJ853011 BPF853005:BPF853011 BZB853005:BZB853011 CIX853005:CIX853011 CST853005:CST853011 DCP853005:DCP853011 DML853005:DML853011 DWH853005:DWH853011 EGD853005:EGD853011 EPZ853005:EPZ853011 EZV853005:EZV853011 FJR853005:FJR853011 FTN853005:FTN853011 GDJ853005:GDJ853011 GNF853005:GNF853011 GXB853005:GXB853011 HGX853005:HGX853011 HQT853005:HQT853011 IAP853005:IAP853011 IKL853005:IKL853011 IUH853005:IUH853011 JED853005:JED853011 JNZ853005:JNZ853011 JXV853005:JXV853011 KHR853005:KHR853011 KRN853005:KRN853011 LBJ853005:LBJ853011 LLF853005:LLF853011 LVB853005:LVB853011 MEX853005:MEX853011 MOT853005:MOT853011 MYP853005:MYP853011 NIL853005:NIL853011 NSH853005:NSH853011 OCD853005:OCD853011 OLZ853005:OLZ853011 OVV853005:OVV853011 PFR853005:PFR853011 PPN853005:PPN853011 PZJ853005:PZJ853011 QJF853005:QJF853011 QTB853005:QTB853011 RCX853005:RCX853011 RMT853005:RMT853011 RWP853005:RWP853011 SGL853005:SGL853011 SQH853005:SQH853011 TAD853005:TAD853011 TJZ853005:TJZ853011 TTV853005:TTV853011 UDR853005:UDR853011 UNN853005:UNN853011 UXJ853005:UXJ853011 VHF853005:VHF853011 VRB853005:VRB853011 WAX853005:WAX853011 WKT853005:WKT853011 WUP853005:WUP853011 ID918541:ID918547 RZ918541:RZ918547 ABV918541:ABV918547 ALR918541:ALR918547 AVN918541:AVN918547 BFJ918541:BFJ918547 BPF918541:BPF918547 BZB918541:BZB918547 CIX918541:CIX918547 CST918541:CST918547 DCP918541:DCP918547 DML918541:DML918547 DWH918541:DWH918547 EGD918541:EGD918547 EPZ918541:EPZ918547 EZV918541:EZV918547 FJR918541:FJR918547 FTN918541:FTN918547 GDJ918541:GDJ918547 GNF918541:GNF918547 GXB918541:GXB918547 HGX918541:HGX918547 HQT918541:HQT918547 IAP918541:IAP918547 IKL918541:IKL918547 IUH918541:IUH918547 JED918541:JED918547 JNZ918541:JNZ918547 JXV918541:JXV918547 KHR918541:KHR918547 KRN918541:KRN918547 LBJ918541:LBJ918547 LLF918541:LLF918547 LVB918541:LVB918547 MEX918541:MEX918547 MOT918541:MOT918547 MYP918541:MYP918547 NIL918541:NIL918547 NSH918541:NSH918547 OCD918541:OCD918547 OLZ918541:OLZ918547 OVV918541:OVV918547 PFR918541:PFR918547 PPN918541:PPN918547 PZJ918541:PZJ918547 QJF918541:QJF918547 QTB918541:QTB918547 RCX918541:RCX918547 RMT918541:RMT918547 RWP918541:RWP918547 SGL918541:SGL918547 SQH918541:SQH918547 TAD918541:TAD918547 TJZ918541:TJZ918547 TTV918541:TTV918547 UDR918541:UDR918547 UNN918541:UNN918547 UXJ918541:UXJ918547 VHF918541:VHF918547 VRB918541:VRB918547 WAX918541:WAX918547 WKT918541:WKT918547 WUP918541:WUP918547 ID984077:ID984083 RZ984077:RZ984083 ABV984077:ABV984083 ALR984077:ALR984083 AVN984077:AVN984083 BFJ984077:BFJ984083 BPF984077:BPF984083 BZB984077:BZB984083 CIX984077:CIX984083 CST984077:CST984083 DCP984077:DCP984083 DML984077:DML984083 DWH984077:DWH984083 EGD984077:EGD984083 EPZ984077:EPZ984083 EZV984077:EZV984083 FJR984077:FJR984083 FTN984077:FTN984083 GDJ984077:GDJ984083 GNF984077:GNF984083 GXB984077:GXB984083 HGX984077:HGX984083 HQT984077:HQT984083 IAP984077:IAP984083 IKL984077:IKL984083 IUH984077:IUH984083 JED984077:JED984083 JNZ984077:JNZ984083 JXV984077:JXV984083 KHR984077:KHR984083 KRN984077:KRN984083 LBJ984077:LBJ984083 LLF984077:LLF984083 LVB984077:LVB984083 MEX984077:MEX984083 MOT984077:MOT984083 MYP984077:MYP984083 NIL984077:NIL984083 NSH984077:NSH984083 OCD984077:OCD984083 OLZ984077:OLZ984083 OVV984077:OVV984083 PFR984077:PFR984083 PPN984077:PPN984083 PZJ984077:PZJ984083 QJF984077:QJF984083 QTB984077:QTB984083 RCX984077:RCX984083 RMT984077:RMT984083 RWP984077:RWP984083 SGL984077:SGL984083 SQH984077:SQH984083 TAD984077:TAD984083 TJZ984077:TJZ984083 TTV984077:TTV984083 UDR984077:UDR984083 UNN984077:UNN984083 UXJ984077:UXJ984083 VHF984077:VHF984083 VRB984077:VRB984083 WAX984077:WAX984083 WKT984077:WKT984083 WUP984077:WUP984083 WUP702:WUP705 WKT702:WKT705 WAX702:WAX705 VRB702:VRB705 VHF702:VHF705 UXJ702:UXJ705 UNN702:UNN705 UDR702:UDR705 TTV702:TTV705 TJZ702:TJZ705 TAD702:TAD705 SQH702:SQH705 SGL702:SGL705 RWP702:RWP705 RMT702:RMT705 RCX702:RCX705 QTB702:QTB705 QJF702:QJF705 PZJ702:PZJ705 PPN702:PPN705 PFR702:PFR705 OVV702:OVV705 OLZ702:OLZ705 OCD702:OCD705 NSH702:NSH705 NIL702:NIL705 MYP702:MYP705 MOT702:MOT705 MEX702:MEX705 LVB702:LVB705 LLF702:LLF705 LBJ702:LBJ705 KRN702:KRN705 KHR702:KHR705 JXV702:JXV705 JNZ702:JNZ705 JED702:JED705 IUH702:IUH705 IKL702:IKL705 IAP702:IAP705 HQT702:HQT705 HGX702:HGX705 GXB702:GXB705 GNF702:GNF705 GDJ702:GDJ705 FTN702:FTN705 FJR702:FJR705 EZV702:EZV705 EPZ702:EPZ705 EGD702:EGD705 DWH702:DWH705 DML702:DML705 DCP702:DCP705 CST702:CST705 CIX702:CIX705 BZB702:BZB705 BPF702:BPF705 BFJ702:BFJ705 AVN702:AVN705 ALR702:ALR705 ABV702:ABV705 RZ702:RZ705 ID702:ID705 WUP606:WUP612 WKT606:WKT612 WAX606:WAX612 VRB606:VRB612 VHF606:VHF612 UXJ606:UXJ612 UNN606:UNN612 UDR606:UDR612 TTV606:TTV612 TJZ606:TJZ612 TAD606:TAD612 SQH606:SQH612 SGL606:SGL612 RWP606:RWP612 RMT606:RMT612 RCX606:RCX612 QTB606:QTB612 QJF606:QJF612 PZJ606:PZJ612 PPN606:PPN612 PFR606:PFR612 OVV606:OVV612 OLZ606:OLZ612 OCD606:OCD612 NSH606:NSH612 NIL606:NIL612 MYP606:MYP612 MOT606:MOT612 MEX606:MEX612 LVB606:LVB612 LLF606:LLF612 LBJ606:LBJ612 KRN606:KRN612 KHR606:KHR612 JXV606:JXV612 JNZ606:JNZ612 JED606:JED612 IUH606:IUH612 IKL606:IKL612 IAP606:IAP612 HQT606:HQT612 HGX606:HGX612 GXB606:GXB612 GNF606:GNF612 GDJ606:GDJ612 FTN606:FTN612 FJR606:FJR612 EZV606:EZV612 EPZ606:EPZ612 EGD606:EGD612 DWH606:DWH612 DML606:DML612 DCP606:DCP612 CST606:CST612 CIX606:CIX612 BZB606:BZB612 BPF606:BPF612 BFJ606:BFJ612 AVN606:AVN612 ALR606:ALR612 ABV606:ABV612 RZ606:RZ612 ID606:ID612 ID235 RZ235 ABV235 ALR235 AVN235 BFJ235 BPF235 BZB235 CIX235 CST235 DCP235 DML235 DWH235 EGD235 EPZ235 EZV235 FJR235 FTN235 GDJ235 GNF235 GXB235 HGX235 HQT235 IAP235 IKL235 IUH235 JED235 JNZ235 JXV235 KHR235 KRN235 LBJ235 LLF235 LVB235 MEX235 MOT235 MYP235 NIL235 NSH235 OCD235 OLZ235 OVV235 PFR235 PPN235 PZJ235 QJF235 QTB235 RCX235 RMT235 RWP235 SGL235 SQH235 TAD235 TJZ235 TTV235 UDR235 UNN235 UXJ235 VHF235 VRB235 WAX235 WKT235 WUP235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Реестр</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2022-03-09T09:26:56Z</dcterms:modified>
</cp:coreProperties>
</file>