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край" sheetId="1" r:id="rId1"/>
  </sheets>
  <externalReferences>
    <externalReference r:id="rId2"/>
  </externalReferences>
  <definedNames>
    <definedName name="_xlnm._FilterDatabase" localSheetId="0" hidden="1">край!$A$7:$U$173</definedName>
    <definedName name="_xlnm.Print_Titles" localSheetId="0">край!$A:$A,край!$5:$6</definedName>
    <definedName name="_xlnm.Print_Area" localSheetId="0">край!$A$1:$U$173</definedName>
  </definedNames>
  <calcPr calcId="145621"/>
</workbook>
</file>

<file path=xl/calcChain.xml><?xml version="1.0" encoding="utf-8"?>
<calcChain xmlns="http://schemas.openxmlformats.org/spreadsheetml/2006/main">
  <c r="K173" i="1" l="1"/>
  <c r="O172" i="1"/>
  <c r="E172" i="1"/>
  <c r="F172" i="1" s="1"/>
  <c r="G172" i="1" s="1"/>
  <c r="H172" i="1" s="1"/>
  <c r="I172" i="1" s="1"/>
  <c r="O171" i="1"/>
  <c r="H171" i="1"/>
  <c r="I171" i="1" s="1"/>
  <c r="G171" i="1"/>
  <c r="L170" i="1"/>
  <c r="F170" i="1"/>
  <c r="G170" i="1" s="1"/>
  <c r="H170" i="1" s="1"/>
  <c r="I170" i="1" s="1"/>
  <c r="E170" i="1"/>
  <c r="O169" i="1"/>
  <c r="L169" i="1"/>
  <c r="F169" i="1"/>
  <c r="G169" i="1" s="1"/>
  <c r="H169" i="1" s="1"/>
  <c r="I169" i="1" s="1"/>
  <c r="E169" i="1"/>
  <c r="R168" i="1"/>
  <c r="O168" i="1"/>
  <c r="E168" i="1"/>
  <c r="F168" i="1" s="1"/>
  <c r="G168" i="1" s="1"/>
  <c r="H168" i="1" s="1"/>
  <c r="I168" i="1" s="1"/>
  <c r="O167" i="1"/>
  <c r="E167" i="1"/>
  <c r="F167" i="1" s="1"/>
  <c r="G167" i="1" s="1"/>
  <c r="H167" i="1" s="1"/>
  <c r="I167" i="1" s="1"/>
  <c r="O166" i="1"/>
  <c r="E166" i="1"/>
  <c r="F166" i="1" s="1"/>
  <c r="G166" i="1" s="1"/>
  <c r="H166" i="1" s="1"/>
  <c r="I166" i="1" s="1"/>
  <c r="O165" i="1"/>
  <c r="L165" i="1"/>
  <c r="F165" i="1"/>
  <c r="G165" i="1" s="1"/>
  <c r="H165" i="1" s="1"/>
  <c r="I165" i="1" s="1"/>
  <c r="E165" i="1"/>
  <c r="O164" i="1"/>
  <c r="L164" i="1"/>
  <c r="E164" i="1"/>
  <c r="F164" i="1" s="1"/>
  <c r="G164" i="1" s="1"/>
  <c r="H164" i="1" s="1"/>
  <c r="I164" i="1" s="1"/>
  <c r="O163" i="1"/>
  <c r="L163" i="1"/>
  <c r="E163" i="1"/>
  <c r="F163" i="1" s="1"/>
  <c r="G163" i="1" s="1"/>
  <c r="H163" i="1" s="1"/>
  <c r="I163" i="1" s="1"/>
  <c r="L162" i="1"/>
  <c r="E162" i="1"/>
  <c r="F162" i="1" s="1"/>
  <c r="N161" i="1"/>
  <c r="D161" i="1"/>
  <c r="O160" i="1"/>
  <c r="L160" i="1"/>
  <c r="E160" i="1"/>
  <c r="F160" i="1" s="1"/>
  <c r="G160" i="1" s="1"/>
  <c r="H160" i="1" s="1"/>
  <c r="I160" i="1" s="1"/>
  <c r="O159" i="1"/>
  <c r="L159" i="1"/>
  <c r="E159" i="1"/>
  <c r="F159" i="1" s="1"/>
  <c r="G159" i="1" s="1"/>
  <c r="H159" i="1" s="1"/>
  <c r="I159" i="1" s="1"/>
  <c r="O158" i="1"/>
  <c r="E158" i="1"/>
  <c r="F158" i="1" s="1"/>
  <c r="N157" i="1"/>
  <c r="L157" i="1"/>
  <c r="D157" i="1"/>
  <c r="C157" i="1"/>
  <c r="N156" i="1"/>
  <c r="N155" i="1" s="1"/>
  <c r="L156" i="1"/>
  <c r="E156" i="1"/>
  <c r="D156" i="1"/>
  <c r="E155" i="1"/>
  <c r="D155" i="1"/>
  <c r="C155" i="1"/>
  <c r="R154" i="1"/>
  <c r="O154" i="1"/>
  <c r="E154" i="1"/>
  <c r="F154" i="1" s="1"/>
  <c r="G154" i="1" s="1"/>
  <c r="H154" i="1" s="1"/>
  <c r="I154" i="1" s="1"/>
  <c r="O153" i="1"/>
  <c r="E153" i="1"/>
  <c r="F153" i="1" s="1"/>
  <c r="G153" i="1" s="1"/>
  <c r="H153" i="1" s="1"/>
  <c r="I153" i="1" s="1"/>
  <c r="O152" i="1"/>
  <c r="E152" i="1"/>
  <c r="E151" i="1" s="1"/>
  <c r="E150" i="1" s="1"/>
  <c r="O151" i="1"/>
  <c r="N151" i="1"/>
  <c r="L151" i="1"/>
  <c r="D151" i="1"/>
  <c r="D150" i="1" s="1"/>
  <c r="O150" i="1"/>
  <c r="N150" i="1"/>
  <c r="L150" i="1"/>
  <c r="C150" i="1"/>
  <c r="L149" i="1"/>
  <c r="O149" i="1" s="1"/>
  <c r="O142" i="1" s="1"/>
  <c r="F149" i="1"/>
  <c r="G149" i="1" s="1"/>
  <c r="H149" i="1" s="1"/>
  <c r="E149" i="1"/>
  <c r="L148" i="1"/>
  <c r="O148" i="1" s="1"/>
  <c r="F148" i="1"/>
  <c r="G148" i="1" s="1"/>
  <c r="H148" i="1" s="1"/>
  <c r="I148" i="1" s="1"/>
  <c r="E148" i="1"/>
  <c r="O147" i="1"/>
  <c r="L147" i="1"/>
  <c r="E147" i="1"/>
  <c r="F147" i="1" s="1"/>
  <c r="G147" i="1" s="1"/>
  <c r="H147" i="1" s="1"/>
  <c r="I147" i="1" s="1"/>
  <c r="O146" i="1"/>
  <c r="E146" i="1"/>
  <c r="F146" i="1" s="1"/>
  <c r="G146" i="1" s="1"/>
  <c r="H146" i="1" s="1"/>
  <c r="I146" i="1" s="1"/>
  <c r="L145" i="1"/>
  <c r="E145" i="1"/>
  <c r="F145" i="1" s="1"/>
  <c r="G145" i="1" s="1"/>
  <c r="H145" i="1" s="1"/>
  <c r="I145" i="1" s="1"/>
  <c r="O144" i="1"/>
  <c r="F144" i="1"/>
  <c r="G144" i="1" s="1"/>
  <c r="H144" i="1" s="1"/>
  <c r="I144" i="1" s="1"/>
  <c r="E144" i="1"/>
  <c r="L143" i="1"/>
  <c r="O143" i="1" s="1"/>
  <c r="F143" i="1"/>
  <c r="G143" i="1" s="1"/>
  <c r="E143" i="1"/>
  <c r="R142" i="1"/>
  <c r="N142" i="1"/>
  <c r="L142" i="1"/>
  <c r="G142" i="1"/>
  <c r="F142" i="1"/>
  <c r="E142" i="1"/>
  <c r="D142" i="1"/>
  <c r="R141" i="1"/>
  <c r="R140" i="1" s="1"/>
  <c r="O141" i="1"/>
  <c r="N141" i="1"/>
  <c r="L141" i="1"/>
  <c r="F141" i="1"/>
  <c r="F140" i="1" s="1"/>
  <c r="E141" i="1"/>
  <c r="D141" i="1"/>
  <c r="D140" i="1" s="1"/>
  <c r="O140" i="1"/>
  <c r="N140" i="1"/>
  <c r="E140" i="1"/>
  <c r="C140" i="1"/>
  <c r="O139" i="1"/>
  <c r="L139" i="1"/>
  <c r="D139" i="1"/>
  <c r="E139" i="1" s="1"/>
  <c r="F139" i="1" s="1"/>
  <c r="G139" i="1" s="1"/>
  <c r="H139" i="1" s="1"/>
  <c r="I139" i="1" s="1"/>
  <c r="L138" i="1"/>
  <c r="F138" i="1"/>
  <c r="G138" i="1" s="1"/>
  <c r="H138" i="1" s="1"/>
  <c r="I138" i="1" s="1"/>
  <c r="E138" i="1"/>
  <c r="L137" i="1"/>
  <c r="O137" i="1" s="1"/>
  <c r="E137" i="1"/>
  <c r="F137" i="1" s="1"/>
  <c r="G137" i="1" s="1"/>
  <c r="H137" i="1" s="1"/>
  <c r="I137" i="1" s="1"/>
  <c r="O136" i="1"/>
  <c r="L136" i="1"/>
  <c r="G136" i="1"/>
  <c r="H136" i="1" s="1"/>
  <c r="I136" i="1" s="1"/>
  <c r="F136" i="1"/>
  <c r="E136" i="1"/>
  <c r="R135" i="1"/>
  <c r="L135" i="1"/>
  <c r="O135" i="1" s="1"/>
  <c r="F135" i="1"/>
  <c r="G135" i="1" s="1"/>
  <c r="H135" i="1" s="1"/>
  <c r="I135" i="1" s="1"/>
  <c r="E135" i="1"/>
  <c r="R134" i="1"/>
  <c r="O134" i="1"/>
  <c r="L134" i="1"/>
  <c r="G134" i="1"/>
  <c r="H134" i="1" s="1"/>
  <c r="I134" i="1" s="1"/>
  <c r="F134" i="1"/>
  <c r="E134" i="1"/>
  <c r="L133" i="1"/>
  <c r="F133" i="1"/>
  <c r="G133" i="1" s="1"/>
  <c r="H133" i="1" s="1"/>
  <c r="I133" i="1" s="1"/>
  <c r="E133" i="1"/>
  <c r="O132" i="1"/>
  <c r="L132" i="1"/>
  <c r="E132" i="1"/>
  <c r="E129" i="1" s="1"/>
  <c r="E128" i="1" s="1"/>
  <c r="R131" i="1"/>
  <c r="O131" i="1"/>
  <c r="L131" i="1"/>
  <c r="H131" i="1"/>
  <c r="I131" i="1" s="1"/>
  <c r="E131" i="1"/>
  <c r="F131" i="1" s="1"/>
  <c r="G131" i="1" s="1"/>
  <c r="O130" i="1"/>
  <c r="E130" i="1"/>
  <c r="F130" i="1" s="1"/>
  <c r="G130" i="1" s="1"/>
  <c r="H130" i="1" s="1"/>
  <c r="R129" i="1"/>
  <c r="R128" i="1" s="1"/>
  <c r="N129" i="1"/>
  <c r="N128" i="1" s="1"/>
  <c r="D129" i="1"/>
  <c r="D128" i="1" s="1"/>
  <c r="O127" i="1"/>
  <c r="O126" i="1" s="1"/>
  <c r="O125" i="1" s="1"/>
  <c r="L127" i="1"/>
  <c r="L126" i="1" s="1"/>
  <c r="F127" i="1"/>
  <c r="G127" i="1" s="1"/>
  <c r="E127" i="1"/>
  <c r="R126" i="1"/>
  <c r="N126" i="1"/>
  <c r="N125" i="1" s="1"/>
  <c r="E126" i="1"/>
  <c r="D126" i="1"/>
  <c r="R125" i="1"/>
  <c r="E125" i="1"/>
  <c r="D125" i="1"/>
  <c r="C125" i="1"/>
  <c r="R124" i="1"/>
  <c r="O124" i="1"/>
  <c r="L124" i="1"/>
  <c r="F124" i="1"/>
  <c r="G124" i="1" s="1"/>
  <c r="H124" i="1" s="1"/>
  <c r="I124" i="1" s="1"/>
  <c r="E124" i="1"/>
  <c r="O123" i="1"/>
  <c r="L123" i="1"/>
  <c r="F123" i="1"/>
  <c r="G123" i="1" s="1"/>
  <c r="H123" i="1" s="1"/>
  <c r="I123" i="1" s="1"/>
  <c r="E123" i="1"/>
  <c r="R122" i="1"/>
  <c r="O122" i="1"/>
  <c r="L122" i="1"/>
  <c r="H122" i="1"/>
  <c r="I122" i="1" s="1"/>
  <c r="G122" i="1"/>
  <c r="E122" i="1"/>
  <c r="F122" i="1" s="1"/>
  <c r="L121" i="1"/>
  <c r="O121" i="1" s="1"/>
  <c r="G121" i="1"/>
  <c r="H121" i="1" s="1"/>
  <c r="I121" i="1" s="1"/>
  <c r="E121" i="1"/>
  <c r="O120" i="1"/>
  <c r="L120" i="1"/>
  <c r="F120" i="1"/>
  <c r="G120" i="1" s="1"/>
  <c r="H120" i="1" s="1"/>
  <c r="I120" i="1" s="1"/>
  <c r="E120" i="1"/>
  <c r="E117" i="1" s="1"/>
  <c r="E116" i="1" s="1"/>
  <c r="R119" i="1"/>
  <c r="O119" i="1"/>
  <c r="L119" i="1"/>
  <c r="G119" i="1"/>
  <c r="H119" i="1" s="1"/>
  <c r="I119" i="1" s="1"/>
  <c r="F119" i="1"/>
  <c r="E119" i="1"/>
  <c r="R118" i="1"/>
  <c r="R117" i="1" s="1"/>
  <c r="R116" i="1" s="1"/>
  <c r="L118" i="1"/>
  <c r="E118" i="1"/>
  <c r="F118" i="1" s="1"/>
  <c r="N117" i="1"/>
  <c r="D117" i="1"/>
  <c r="D116" i="1" s="1"/>
  <c r="N116" i="1"/>
  <c r="C116" i="1"/>
  <c r="O115" i="1"/>
  <c r="L115" i="1"/>
  <c r="G115" i="1"/>
  <c r="H115" i="1" s="1"/>
  <c r="I115" i="1" s="1"/>
  <c r="J115" i="1" s="1"/>
  <c r="K115" i="1" s="1"/>
  <c r="F115" i="1"/>
  <c r="E115" i="1"/>
  <c r="O114" i="1"/>
  <c r="L114" i="1"/>
  <c r="G114" i="1"/>
  <c r="H114" i="1" s="1"/>
  <c r="I114" i="1" s="1"/>
  <c r="F114" i="1"/>
  <c r="E114" i="1"/>
  <c r="O113" i="1"/>
  <c r="F113" i="1"/>
  <c r="G113" i="1" s="1"/>
  <c r="H113" i="1" s="1"/>
  <c r="I113" i="1" s="1"/>
  <c r="E113" i="1"/>
  <c r="O112" i="1"/>
  <c r="O101" i="1" s="1"/>
  <c r="L112" i="1"/>
  <c r="F112" i="1"/>
  <c r="G112" i="1" s="1"/>
  <c r="H112" i="1" s="1"/>
  <c r="E112" i="1"/>
  <c r="O111" i="1"/>
  <c r="L111" i="1"/>
  <c r="F111" i="1"/>
  <c r="G111" i="1" s="1"/>
  <c r="H111" i="1" s="1"/>
  <c r="I111" i="1" s="1"/>
  <c r="E111" i="1"/>
  <c r="O110" i="1"/>
  <c r="E110" i="1"/>
  <c r="F110" i="1" s="1"/>
  <c r="G110" i="1" s="1"/>
  <c r="H110" i="1" s="1"/>
  <c r="I110" i="1" s="1"/>
  <c r="L109" i="1"/>
  <c r="O109" i="1" s="1"/>
  <c r="G109" i="1"/>
  <c r="H109" i="1" s="1"/>
  <c r="I109" i="1" s="1"/>
  <c r="F109" i="1"/>
  <c r="E109" i="1"/>
  <c r="L108" i="1"/>
  <c r="E108" i="1"/>
  <c r="F108" i="1" s="1"/>
  <c r="G108" i="1" s="1"/>
  <c r="H108" i="1" s="1"/>
  <c r="I108" i="1" s="1"/>
  <c r="L107" i="1"/>
  <c r="O107" i="1" s="1"/>
  <c r="E107" i="1"/>
  <c r="F107" i="1" s="1"/>
  <c r="G107" i="1" s="1"/>
  <c r="H107" i="1" s="1"/>
  <c r="I107" i="1" s="1"/>
  <c r="L106" i="1"/>
  <c r="O106" i="1" s="1"/>
  <c r="G106" i="1"/>
  <c r="H106" i="1" s="1"/>
  <c r="I106" i="1" s="1"/>
  <c r="F106" i="1"/>
  <c r="E106" i="1"/>
  <c r="L105" i="1"/>
  <c r="E105" i="1"/>
  <c r="F105" i="1" s="1"/>
  <c r="G105" i="1" s="1"/>
  <c r="H105" i="1" s="1"/>
  <c r="I105" i="1" s="1"/>
  <c r="L104" i="1"/>
  <c r="O104" i="1" s="1"/>
  <c r="E104" i="1"/>
  <c r="F104" i="1" s="1"/>
  <c r="G104" i="1" s="1"/>
  <c r="H104" i="1" s="1"/>
  <c r="I104" i="1" s="1"/>
  <c r="L103" i="1"/>
  <c r="I103" i="1"/>
  <c r="H103" i="1"/>
  <c r="G103" i="1"/>
  <c r="O102" i="1"/>
  <c r="L102" i="1"/>
  <c r="G102" i="1"/>
  <c r="F102" i="1"/>
  <c r="E102" i="1"/>
  <c r="R101" i="1"/>
  <c r="N101" i="1"/>
  <c r="L101" i="1"/>
  <c r="E101" i="1"/>
  <c r="D101" i="1"/>
  <c r="R100" i="1"/>
  <c r="R99" i="1" s="1"/>
  <c r="N100" i="1"/>
  <c r="N99" i="1" s="1"/>
  <c r="L100" i="1"/>
  <c r="E100" i="1"/>
  <c r="E99" i="1" s="1"/>
  <c r="D100" i="1"/>
  <c r="D99" i="1" s="1"/>
  <c r="C99" i="1"/>
  <c r="O98" i="1"/>
  <c r="L98" i="1"/>
  <c r="E98" i="1"/>
  <c r="F98" i="1" s="1"/>
  <c r="G98" i="1" s="1"/>
  <c r="H98" i="1" s="1"/>
  <c r="I98" i="1" s="1"/>
  <c r="O97" i="1"/>
  <c r="O96" i="1" s="1"/>
  <c r="O95" i="1" s="1"/>
  <c r="L97" i="1"/>
  <c r="E97" i="1"/>
  <c r="N96" i="1"/>
  <c r="L96" i="1"/>
  <c r="D96" i="1"/>
  <c r="D95" i="1" s="1"/>
  <c r="N95" i="1"/>
  <c r="L95" i="1"/>
  <c r="C95" i="1"/>
  <c r="R94" i="1"/>
  <c r="L94" i="1"/>
  <c r="O94" i="1" s="1"/>
  <c r="F94" i="1"/>
  <c r="G94" i="1" s="1"/>
  <c r="H94" i="1" s="1"/>
  <c r="I94" i="1" s="1"/>
  <c r="J94" i="1" s="1"/>
  <c r="E94" i="1"/>
  <c r="R93" i="1"/>
  <c r="O93" i="1"/>
  <c r="L93" i="1"/>
  <c r="G93" i="1"/>
  <c r="H93" i="1" s="1"/>
  <c r="I93" i="1" s="1"/>
  <c r="J93" i="1" s="1"/>
  <c r="E93" i="1"/>
  <c r="O92" i="1"/>
  <c r="F92" i="1"/>
  <c r="G92" i="1" s="1"/>
  <c r="H92" i="1" s="1"/>
  <c r="I92" i="1" s="1"/>
  <c r="J92" i="1" s="1"/>
  <c r="E92" i="1"/>
  <c r="R91" i="1"/>
  <c r="L91" i="1"/>
  <c r="O91" i="1" s="1"/>
  <c r="J91" i="1"/>
  <c r="K91" i="1" s="1"/>
  <c r="Q91" i="1" s="1"/>
  <c r="I91" i="1"/>
  <c r="G91" i="1"/>
  <c r="H91" i="1" s="1"/>
  <c r="R90" i="1"/>
  <c r="O90" i="1"/>
  <c r="L90" i="1"/>
  <c r="E90" i="1"/>
  <c r="F90" i="1" s="1"/>
  <c r="G90" i="1" s="1"/>
  <c r="H90" i="1" s="1"/>
  <c r="I90" i="1" s="1"/>
  <c r="J90" i="1" s="1"/>
  <c r="R89" i="1"/>
  <c r="O89" i="1"/>
  <c r="L89" i="1"/>
  <c r="G89" i="1"/>
  <c r="H89" i="1" s="1"/>
  <c r="I89" i="1" s="1"/>
  <c r="J89" i="1" s="1"/>
  <c r="E89" i="1"/>
  <c r="O88" i="1"/>
  <c r="H88" i="1"/>
  <c r="I88" i="1" s="1"/>
  <c r="G88" i="1"/>
  <c r="F88" i="1"/>
  <c r="E88" i="1"/>
  <c r="L87" i="1"/>
  <c r="O87" i="1" s="1"/>
  <c r="E87" i="1"/>
  <c r="F87" i="1" s="1"/>
  <c r="G87" i="1" s="1"/>
  <c r="H87" i="1" s="1"/>
  <c r="I87" i="1" s="1"/>
  <c r="O86" i="1"/>
  <c r="L86" i="1"/>
  <c r="H86" i="1"/>
  <c r="I86" i="1" s="1"/>
  <c r="P86" i="1" s="1"/>
  <c r="G86" i="1"/>
  <c r="E86" i="1"/>
  <c r="O85" i="1"/>
  <c r="K85" i="1"/>
  <c r="Q85" i="1" s="1"/>
  <c r="L84" i="1"/>
  <c r="L70" i="1" s="1"/>
  <c r="E84" i="1"/>
  <c r="F84" i="1" s="1"/>
  <c r="G84" i="1" s="1"/>
  <c r="L83" i="1"/>
  <c r="O83" i="1" s="1"/>
  <c r="G83" i="1"/>
  <c r="H83" i="1" s="1"/>
  <c r="I83" i="1" s="1"/>
  <c r="F83" i="1"/>
  <c r="E83" i="1"/>
  <c r="O82" i="1"/>
  <c r="F82" i="1"/>
  <c r="G82" i="1" s="1"/>
  <c r="H82" i="1" s="1"/>
  <c r="I82" i="1" s="1"/>
  <c r="E82" i="1"/>
  <c r="O81" i="1"/>
  <c r="L81" i="1"/>
  <c r="F81" i="1"/>
  <c r="G81" i="1" s="1"/>
  <c r="H81" i="1" s="1"/>
  <c r="E81" i="1"/>
  <c r="L80" i="1"/>
  <c r="O80" i="1" s="1"/>
  <c r="F80" i="1"/>
  <c r="G80" i="1" s="1"/>
  <c r="H80" i="1" s="1"/>
  <c r="I80" i="1" s="1"/>
  <c r="E80" i="1"/>
  <c r="O79" i="1"/>
  <c r="E79" i="1"/>
  <c r="F79" i="1" s="1"/>
  <c r="G79" i="1" s="1"/>
  <c r="H79" i="1" s="1"/>
  <c r="I79" i="1" s="1"/>
  <c r="O78" i="1"/>
  <c r="L78" i="1"/>
  <c r="H78" i="1"/>
  <c r="I78" i="1" s="1"/>
  <c r="G78" i="1"/>
  <c r="F78" i="1"/>
  <c r="E78" i="1"/>
  <c r="L77" i="1"/>
  <c r="O77" i="1" s="1"/>
  <c r="E77" i="1"/>
  <c r="F77" i="1" s="1"/>
  <c r="G77" i="1" s="1"/>
  <c r="H77" i="1" s="1"/>
  <c r="I77" i="1" s="1"/>
  <c r="O76" i="1"/>
  <c r="L76" i="1"/>
  <c r="H76" i="1"/>
  <c r="I76" i="1" s="1"/>
  <c r="P76" i="1" s="1"/>
  <c r="G76" i="1"/>
  <c r="L75" i="1"/>
  <c r="O75" i="1" s="1"/>
  <c r="F75" i="1"/>
  <c r="G75" i="1" s="1"/>
  <c r="H75" i="1" s="1"/>
  <c r="I75" i="1" s="1"/>
  <c r="E75" i="1"/>
  <c r="L74" i="1"/>
  <c r="O74" i="1" s="1"/>
  <c r="F74" i="1"/>
  <c r="G74" i="1" s="1"/>
  <c r="H74" i="1" s="1"/>
  <c r="I74" i="1" s="1"/>
  <c r="E74" i="1"/>
  <c r="O73" i="1"/>
  <c r="L73" i="1"/>
  <c r="F73" i="1"/>
  <c r="G73" i="1" s="1"/>
  <c r="H73" i="1" s="1"/>
  <c r="I73" i="1" s="1"/>
  <c r="E73" i="1"/>
  <c r="L72" i="1"/>
  <c r="O72" i="1" s="1"/>
  <c r="F72" i="1"/>
  <c r="G72" i="1" s="1"/>
  <c r="H72" i="1" s="1"/>
  <c r="I72" i="1" s="1"/>
  <c r="E72" i="1"/>
  <c r="L71" i="1"/>
  <c r="O71" i="1" s="1"/>
  <c r="F71" i="1"/>
  <c r="G71" i="1" s="1"/>
  <c r="H71" i="1" s="1"/>
  <c r="E71" i="1"/>
  <c r="R70" i="1"/>
  <c r="N70" i="1"/>
  <c r="D70" i="1"/>
  <c r="R69" i="1"/>
  <c r="R68" i="1" s="1"/>
  <c r="N69" i="1"/>
  <c r="L69" i="1"/>
  <c r="E69" i="1"/>
  <c r="D69" i="1"/>
  <c r="D68" i="1" s="1"/>
  <c r="N68" i="1"/>
  <c r="R67" i="1"/>
  <c r="O67" i="1"/>
  <c r="L67" i="1"/>
  <c r="J67" i="1"/>
  <c r="K67" i="1" s="1"/>
  <c r="Q67" i="1" s="1"/>
  <c r="H67" i="1"/>
  <c r="I67" i="1" s="1"/>
  <c r="P67" i="1" s="1"/>
  <c r="L66" i="1"/>
  <c r="I66" i="1"/>
  <c r="P66" i="1" s="1"/>
  <c r="H66" i="1"/>
  <c r="G66" i="1"/>
  <c r="R65" i="1"/>
  <c r="P65" i="1"/>
  <c r="K65" i="1"/>
  <c r="Q65" i="1" s="1"/>
  <c r="I65" i="1"/>
  <c r="O64" i="1"/>
  <c r="L64" i="1"/>
  <c r="G64" i="1"/>
  <c r="H64" i="1" s="1"/>
  <c r="I64" i="1" s="1"/>
  <c r="O63" i="1"/>
  <c r="L63" i="1"/>
  <c r="G63" i="1"/>
  <c r="H63" i="1" s="1"/>
  <c r="I63" i="1" s="1"/>
  <c r="P62" i="1"/>
  <c r="O62" i="1"/>
  <c r="K62" i="1"/>
  <c r="Q62" i="1" s="1"/>
  <c r="I62" i="1"/>
  <c r="L61" i="1"/>
  <c r="F61" i="1"/>
  <c r="G61" i="1" s="1"/>
  <c r="H61" i="1" s="1"/>
  <c r="I61" i="1" s="1"/>
  <c r="J61" i="1" s="1"/>
  <c r="K61" i="1" s="1"/>
  <c r="E61" i="1"/>
  <c r="L60" i="1"/>
  <c r="E60" i="1"/>
  <c r="F60" i="1" s="1"/>
  <c r="G60" i="1" s="1"/>
  <c r="H60" i="1" s="1"/>
  <c r="I60" i="1" s="1"/>
  <c r="O59" i="1"/>
  <c r="F59" i="1"/>
  <c r="G59" i="1" s="1"/>
  <c r="H59" i="1" s="1"/>
  <c r="I59" i="1" s="1"/>
  <c r="E59" i="1"/>
  <c r="O58" i="1"/>
  <c r="L58" i="1"/>
  <c r="G58" i="1"/>
  <c r="H58" i="1" s="1"/>
  <c r="I58" i="1" s="1"/>
  <c r="P58" i="1" s="1"/>
  <c r="F58" i="1"/>
  <c r="E58" i="1"/>
  <c r="O57" i="1"/>
  <c r="L57" i="1"/>
  <c r="I57" i="1"/>
  <c r="G57" i="1"/>
  <c r="H57" i="1" s="1"/>
  <c r="F57" i="1"/>
  <c r="E57" i="1"/>
  <c r="O56" i="1"/>
  <c r="G56" i="1"/>
  <c r="H56" i="1" s="1"/>
  <c r="I56" i="1" s="1"/>
  <c r="E56" i="1"/>
  <c r="F56" i="1" s="1"/>
  <c r="O55" i="1"/>
  <c r="L55" i="1"/>
  <c r="H55" i="1"/>
  <c r="I55" i="1" s="1"/>
  <c r="G55" i="1"/>
  <c r="E55" i="1"/>
  <c r="F55" i="1" s="1"/>
  <c r="O54" i="1"/>
  <c r="L54" i="1"/>
  <c r="E54" i="1"/>
  <c r="F54" i="1" s="1"/>
  <c r="G54" i="1" s="1"/>
  <c r="H54" i="1" s="1"/>
  <c r="I54" i="1" s="1"/>
  <c r="O53" i="1"/>
  <c r="E53" i="1"/>
  <c r="F53" i="1" s="1"/>
  <c r="G53" i="1" s="1"/>
  <c r="H53" i="1" s="1"/>
  <c r="I53" i="1" s="1"/>
  <c r="L52" i="1"/>
  <c r="E52" i="1"/>
  <c r="F52" i="1" s="1"/>
  <c r="G52" i="1" s="1"/>
  <c r="H52" i="1" s="1"/>
  <c r="I52" i="1" s="1"/>
  <c r="L51" i="1"/>
  <c r="E51" i="1"/>
  <c r="F51" i="1" s="1"/>
  <c r="G51" i="1" s="1"/>
  <c r="H51" i="1" s="1"/>
  <c r="I51" i="1" s="1"/>
  <c r="O50" i="1"/>
  <c r="G50" i="1"/>
  <c r="H50" i="1" s="1"/>
  <c r="I50" i="1" s="1"/>
  <c r="E50" i="1"/>
  <c r="F50" i="1" s="1"/>
  <c r="L49" i="1"/>
  <c r="J49" i="1"/>
  <c r="K49" i="1" s="1"/>
  <c r="R49" i="1" s="1"/>
  <c r="T49" i="1" s="1"/>
  <c r="I49" i="1"/>
  <c r="P49" i="1" s="1"/>
  <c r="H49" i="1"/>
  <c r="F49" i="1"/>
  <c r="G49" i="1" s="1"/>
  <c r="E49" i="1"/>
  <c r="L48" i="1"/>
  <c r="O48" i="1" s="1"/>
  <c r="F48" i="1"/>
  <c r="G48" i="1" s="1"/>
  <c r="H48" i="1" s="1"/>
  <c r="I48" i="1" s="1"/>
  <c r="P48" i="1" s="1"/>
  <c r="E48" i="1"/>
  <c r="O47" i="1"/>
  <c r="J47" i="1"/>
  <c r="K47" i="1" s="1"/>
  <c r="I47" i="1"/>
  <c r="P47" i="1" s="1"/>
  <c r="G47" i="1"/>
  <c r="H47" i="1" s="1"/>
  <c r="E47" i="1"/>
  <c r="F47" i="1" s="1"/>
  <c r="O46" i="1"/>
  <c r="L46" i="1"/>
  <c r="G46" i="1"/>
  <c r="H46" i="1" s="1"/>
  <c r="I46" i="1" s="1"/>
  <c r="E46" i="1"/>
  <c r="F46" i="1" s="1"/>
  <c r="O45" i="1"/>
  <c r="L45" i="1"/>
  <c r="E45" i="1"/>
  <c r="F45" i="1" s="1"/>
  <c r="G45" i="1" s="1"/>
  <c r="H45" i="1" s="1"/>
  <c r="I45" i="1" s="1"/>
  <c r="O44" i="1"/>
  <c r="I44" i="1"/>
  <c r="J44" i="1" s="1"/>
  <c r="K44" i="1" s="1"/>
  <c r="H44" i="1"/>
  <c r="G44" i="1"/>
  <c r="E44" i="1"/>
  <c r="F44" i="1" s="1"/>
  <c r="L43" i="1"/>
  <c r="O43" i="1" s="1"/>
  <c r="F43" i="1"/>
  <c r="F19" i="1" s="1"/>
  <c r="E43" i="1"/>
  <c r="O42" i="1"/>
  <c r="L42" i="1"/>
  <c r="F42" i="1"/>
  <c r="G42" i="1" s="1"/>
  <c r="H42" i="1" s="1"/>
  <c r="I42" i="1" s="1"/>
  <c r="E42" i="1"/>
  <c r="E41" i="1"/>
  <c r="F41" i="1" s="1"/>
  <c r="G41" i="1" s="1"/>
  <c r="H41" i="1" s="1"/>
  <c r="I41" i="1" s="1"/>
  <c r="O40" i="1"/>
  <c r="L40" i="1"/>
  <c r="H40" i="1"/>
  <c r="I40" i="1" s="1"/>
  <c r="G40" i="1"/>
  <c r="F40" i="1"/>
  <c r="E40" i="1"/>
  <c r="O39" i="1"/>
  <c r="L39" i="1"/>
  <c r="G39" i="1"/>
  <c r="H39" i="1" s="1"/>
  <c r="I39" i="1" s="1"/>
  <c r="E39" i="1"/>
  <c r="F39" i="1" s="1"/>
  <c r="L38" i="1"/>
  <c r="E38" i="1"/>
  <c r="F38" i="1" s="1"/>
  <c r="G38" i="1" s="1"/>
  <c r="H38" i="1" s="1"/>
  <c r="I38" i="1" s="1"/>
  <c r="O37" i="1"/>
  <c r="L37" i="1"/>
  <c r="H37" i="1"/>
  <c r="I37" i="1" s="1"/>
  <c r="G37" i="1"/>
  <c r="F37" i="1"/>
  <c r="E37" i="1"/>
  <c r="O36" i="1"/>
  <c r="L36" i="1"/>
  <c r="G36" i="1"/>
  <c r="H36" i="1" s="1"/>
  <c r="I36" i="1" s="1"/>
  <c r="E36" i="1"/>
  <c r="F36" i="1" s="1"/>
  <c r="R35" i="1"/>
  <c r="L35" i="1"/>
  <c r="O35" i="1" s="1"/>
  <c r="E35" i="1"/>
  <c r="F35" i="1" s="1"/>
  <c r="G35" i="1" s="1"/>
  <c r="H35" i="1" s="1"/>
  <c r="I35" i="1" s="1"/>
  <c r="L34" i="1"/>
  <c r="O34" i="1" s="1"/>
  <c r="I34" i="1"/>
  <c r="J34" i="1" s="1"/>
  <c r="K34" i="1" s="1"/>
  <c r="H34" i="1"/>
  <c r="G34" i="1"/>
  <c r="F34" i="1"/>
  <c r="E34" i="1"/>
  <c r="O33" i="1"/>
  <c r="L33" i="1"/>
  <c r="I33" i="1"/>
  <c r="J33" i="1" s="1"/>
  <c r="K33" i="1" s="1"/>
  <c r="H33" i="1"/>
  <c r="E33" i="1"/>
  <c r="F33" i="1" s="1"/>
  <c r="G33" i="1" s="1"/>
  <c r="L32" i="1"/>
  <c r="O32" i="1" s="1"/>
  <c r="E32" i="1"/>
  <c r="F32" i="1" s="1"/>
  <c r="G32" i="1" s="1"/>
  <c r="H32" i="1" s="1"/>
  <c r="I32" i="1" s="1"/>
  <c r="L31" i="1"/>
  <c r="O31" i="1" s="1"/>
  <c r="I31" i="1"/>
  <c r="J31" i="1" s="1"/>
  <c r="K31" i="1" s="1"/>
  <c r="T31" i="1" s="1"/>
  <c r="H31" i="1"/>
  <c r="G31" i="1"/>
  <c r="F31" i="1"/>
  <c r="E31" i="1"/>
  <c r="O30" i="1"/>
  <c r="L30" i="1"/>
  <c r="I30" i="1"/>
  <c r="J30" i="1" s="1"/>
  <c r="K30" i="1" s="1"/>
  <c r="H30" i="1"/>
  <c r="F30" i="1"/>
  <c r="G30" i="1" s="1"/>
  <c r="E30" i="1"/>
  <c r="O29" i="1"/>
  <c r="L29" i="1"/>
  <c r="H29" i="1"/>
  <c r="I29" i="1" s="1"/>
  <c r="P29" i="1" s="1"/>
  <c r="G29" i="1"/>
  <c r="F29" i="1"/>
  <c r="E29" i="1"/>
  <c r="O28" i="1"/>
  <c r="L28" i="1"/>
  <c r="H28" i="1"/>
  <c r="I28" i="1" s="1"/>
  <c r="G28" i="1"/>
  <c r="F28" i="1"/>
  <c r="E28" i="1"/>
  <c r="R27" i="1"/>
  <c r="L27" i="1"/>
  <c r="O27" i="1" s="1"/>
  <c r="E27" i="1"/>
  <c r="F27" i="1" s="1"/>
  <c r="G27" i="1" s="1"/>
  <c r="H27" i="1" s="1"/>
  <c r="I27" i="1" s="1"/>
  <c r="O26" i="1"/>
  <c r="L26" i="1"/>
  <c r="E26" i="1"/>
  <c r="F26" i="1" s="1"/>
  <c r="G26" i="1" s="1"/>
  <c r="H26" i="1" s="1"/>
  <c r="I26" i="1" s="1"/>
  <c r="O25" i="1"/>
  <c r="L25" i="1"/>
  <c r="E25" i="1"/>
  <c r="F25" i="1" s="1"/>
  <c r="G25" i="1" s="1"/>
  <c r="H25" i="1" s="1"/>
  <c r="I25" i="1" s="1"/>
  <c r="L24" i="1"/>
  <c r="O24" i="1" s="1"/>
  <c r="I24" i="1"/>
  <c r="J24" i="1" s="1"/>
  <c r="K24" i="1" s="1"/>
  <c r="H24" i="1"/>
  <c r="F24" i="1"/>
  <c r="G24" i="1" s="1"/>
  <c r="E24" i="1"/>
  <c r="O23" i="1"/>
  <c r="L23" i="1"/>
  <c r="H23" i="1"/>
  <c r="I23" i="1" s="1"/>
  <c r="P23" i="1" s="1"/>
  <c r="G23" i="1"/>
  <c r="F23" i="1"/>
  <c r="E23" i="1"/>
  <c r="O22" i="1"/>
  <c r="L22" i="1"/>
  <c r="G22" i="1"/>
  <c r="H22" i="1" s="1"/>
  <c r="I22" i="1" s="1"/>
  <c r="F22" i="1"/>
  <c r="E22" i="1"/>
  <c r="O21" i="1"/>
  <c r="L21" i="1"/>
  <c r="H21" i="1"/>
  <c r="I21" i="1" s="1"/>
  <c r="G21" i="1"/>
  <c r="E21" i="1"/>
  <c r="F21" i="1" s="1"/>
  <c r="L20" i="1"/>
  <c r="O20" i="1" s="1"/>
  <c r="G20" i="1"/>
  <c r="H20" i="1" s="1"/>
  <c r="I20" i="1" s="1"/>
  <c r="F20" i="1"/>
  <c r="E20" i="1"/>
  <c r="N19" i="1"/>
  <c r="N16" i="1" s="1"/>
  <c r="D19" i="1"/>
  <c r="N18" i="1"/>
  <c r="L18" i="1"/>
  <c r="D18" i="1"/>
  <c r="D17" i="1" s="1"/>
  <c r="N17" i="1"/>
  <c r="C17" i="1"/>
  <c r="N15" i="1"/>
  <c r="D13" i="1"/>
  <c r="N12" i="1"/>
  <c r="N9" i="1"/>
  <c r="C8" i="1"/>
  <c r="O157" i="1" l="1"/>
  <c r="J26" i="1"/>
  <c r="K26" i="1" s="1"/>
  <c r="P26" i="1"/>
  <c r="P56" i="1"/>
  <c r="J56" i="1"/>
  <c r="K56" i="1" s="1"/>
  <c r="J22" i="1"/>
  <c r="K22" i="1" s="1"/>
  <c r="P22" i="1"/>
  <c r="T24" i="1"/>
  <c r="S24" i="1"/>
  <c r="Q24" i="1"/>
  <c r="P35" i="1"/>
  <c r="J35" i="1"/>
  <c r="T44" i="1"/>
  <c r="S44" i="1"/>
  <c r="Q44" i="1"/>
  <c r="J46" i="1"/>
  <c r="K46" i="1" s="1"/>
  <c r="P46" i="1"/>
  <c r="Q47" i="1"/>
  <c r="T47" i="1"/>
  <c r="S47" i="1"/>
  <c r="J50" i="1"/>
  <c r="K50" i="1" s="1"/>
  <c r="P50" i="1"/>
  <c r="P53" i="1"/>
  <c r="J53" i="1"/>
  <c r="K53" i="1" s="1"/>
  <c r="S61" i="1"/>
  <c r="T61" i="1"/>
  <c r="Q61" i="1"/>
  <c r="P61" i="1"/>
  <c r="J63" i="1"/>
  <c r="P63" i="1"/>
  <c r="P21" i="1"/>
  <c r="J21" i="1"/>
  <c r="P38" i="1"/>
  <c r="J38" i="1"/>
  <c r="K38" i="1" s="1"/>
  <c r="P41" i="1"/>
  <c r="J41" i="1"/>
  <c r="K41" i="1" s="1"/>
  <c r="P59" i="1"/>
  <c r="J59" i="1"/>
  <c r="K59" i="1" s="1"/>
  <c r="F18" i="1"/>
  <c r="P25" i="1"/>
  <c r="J25" i="1"/>
  <c r="P27" i="1"/>
  <c r="J27" i="1"/>
  <c r="K27" i="1" s="1"/>
  <c r="Q27" i="1" s="1"/>
  <c r="P28" i="1"/>
  <c r="J28" i="1"/>
  <c r="T30" i="1"/>
  <c r="Q30" i="1"/>
  <c r="S30" i="1"/>
  <c r="J45" i="1"/>
  <c r="P45" i="1"/>
  <c r="P51" i="1"/>
  <c r="J51" i="1"/>
  <c r="K51" i="1" s="1"/>
  <c r="P54" i="1"/>
  <c r="J54" i="1"/>
  <c r="I18" i="1"/>
  <c r="J20" i="1"/>
  <c r="P20" i="1"/>
  <c r="T33" i="1"/>
  <c r="Q33" i="1"/>
  <c r="S33" i="1"/>
  <c r="J42" i="1"/>
  <c r="P42" i="1"/>
  <c r="P60" i="1"/>
  <c r="J60" i="1"/>
  <c r="K60" i="1" s="1"/>
  <c r="P64" i="1"/>
  <c r="J64" i="1"/>
  <c r="P36" i="1"/>
  <c r="J36" i="1"/>
  <c r="P39" i="1"/>
  <c r="J39" i="1"/>
  <c r="J52" i="1"/>
  <c r="K52" i="1" s="1"/>
  <c r="P52" i="1"/>
  <c r="P32" i="1"/>
  <c r="J32" i="1"/>
  <c r="Q34" i="1"/>
  <c r="S34" i="1"/>
  <c r="P40" i="1"/>
  <c r="J40" i="1"/>
  <c r="K40" i="1" s="1"/>
  <c r="N10" i="1"/>
  <c r="N8" i="1" s="1"/>
  <c r="N13" i="1"/>
  <c r="N11" i="1" s="1"/>
  <c r="G18" i="1"/>
  <c r="D16" i="1"/>
  <c r="D10" i="1"/>
  <c r="T27" i="1"/>
  <c r="M31" i="1"/>
  <c r="M34" i="1"/>
  <c r="M55" i="1"/>
  <c r="J66" i="1"/>
  <c r="K66" i="1" s="1"/>
  <c r="G69" i="1"/>
  <c r="P74" i="1"/>
  <c r="J74" i="1"/>
  <c r="J87" i="1"/>
  <c r="K87" i="1" s="1"/>
  <c r="P87" i="1"/>
  <c r="P90" i="1"/>
  <c r="K90" i="1"/>
  <c r="D9" i="1"/>
  <c r="D8" i="1" s="1"/>
  <c r="H18" i="1"/>
  <c r="E19" i="1"/>
  <c r="M27" i="1"/>
  <c r="M30" i="1"/>
  <c r="M33" i="1"/>
  <c r="P44" i="1"/>
  <c r="Q49" i="1"/>
  <c r="M51" i="1"/>
  <c r="O51" i="1"/>
  <c r="O52" i="1"/>
  <c r="M52" i="1"/>
  <c r="M66" i="1"/>
  <c r="O66" i="1"/>
  <c r="M67" i="1"/>
  <c r="L68" i="1"/>
  <c r="P83" i="1"/>
  <c r="J83" i="1"/>
  <c r="K83" i="1" s="1"/>
  <c r="M90" i="1"/>
  <c r="K93" i="1"/>
  <c r="P93" i="1"/>
  <c r="M93" i="1"/>
  <c r="D12" i="1"/>
  <c r="D11" i="1" s="1"/>
  <c r="D15" i="1"/>
  <c r="D14" i="1" s="1"/>
  <c r="E18" i="1"/>
  <c r="P24" i="1"/>
  <c r="P31" i="1"/>
  <c r="P34" i="1"/>
  <c r="M46" i="1"/>
  <c r="M60" i="1"/>
  <c r="O60" i="1"/>
  <c r="H69" i="1"/>
  <c r="I71" i="1"/>
  <c r="P73" i="1"/>
  <c r="J73" i="1"/>
  <c r="K73" i="1" s="1"/>
  <c r="J78" i="1"/>
  <c r="K78" i="1" s="1"/>
  <c r="P78" i="1"/>
  <c r="P80" i="1"/>
  <c r="J80" i="1"/>
  <c r="M89" i="1"/>
  <c r="K89" i="1"/>
  <c r="P89" i="1"/>
  <c r="T94" i="1"/>
  <c r="P30" i="1"/>
  <c r="P33" i="1"/>
  <c r="T34" i="1"/>
  <c r="J57" i="1"/>
  <c r="P57" i="1"/>
  <c r="M61" i="1"/>
  <c r="O61" i="1"/>
  <c r="O69" i="1"/>
  <c r="P75" i="1"/>
  <c r="J75" i="1"/>
  <c r="J77" i="1"/>
  <c r="K77" i="1" s="1"/>
  <c r="P77" i="1"/>
  <c r="M78" i="1"/>
  <c r="P82" i="1"/>
  <c r="J82" i="1"/>
  <c r="K82" i="1" s="1"/>
  <c r="H84" i="1"/>
  <c r="I84" i="1" s="1"/>
  <c r="G70" i="1"/>
  <c r="T90" i="1"/>
  <c r="S49" i="1"/>
  <c r="P55" i="1"/>
  <c r="J55" i="1"/>
  <c r="K55" i="1" s="1"/>
  <c r="K92" i="1"/>
  <c r="P92" i="1"/>
  <c r="Q31" i="1"/>
  <c r="S31" i="1"/>
  <c r="M38" i="1"/>
  <c r="O38" i="1"/>
  <c r="O18" i="1" s="1"/>
  <c r="N14" i="1"/>
  <c r="J23" i="1"/>
  <c r="J29" i="1"/>
  <c r="G43" i="1"/>
  <c r="J48" i="1"/>
  <c r="M49" i="1"/>
  <c r="O49" i="1"/>
  <c r="O19" i="1" s="1"/>
  <c r="J58" i="1"/>
  <c r="P72" i="1"/>
  <c r="J72" i="1"/>
  <c r="J79" i="1"/>
  <c r="K79" i="1" s="1"/>
  <c r="P79" i="1"/>
  <c r="H70" i="1"/>
  <c r="I81" i="1"/>
  <c r="J88" i="1"/>
  <c r="K88" i="1" s="1"/>
  <c r="P88" i="1"/>
  <c r="J37" i="1"/>
  <c r="K37" i="1" s="1"/>
  <c r="P37" i="1"/>
  <c r="P94" i="1"/>
  <c r="K94" i="1"/>
  <c r="M94" i="1"/>
  <c r="P98" i="1"/>
  <c r="J98" i="1"/>
  <c r="K98" i="1" s="1"/>
  <c r="E70" i="1"/>
  <c r="E68" i="1" s="1"/>
  <c r="T85" i="1"/>
  <c r="L19" i="1"/>
  <c r="L17" i="1" s="1"/>
  <c r="F70" i="1"/>
  <c r="F16" i="1" s="1"/>
  <c r="P91" i="1"/>
  <c r="P105" i="1"/>
  <c r="J105" i="1"/>
  <c r="K105" i="1" s="1"/>
  <c r="P107" i="1"/>
  <c r="J107" i="1"/>
  <c r="K107" i="1" s="1"/>
  <c r="J109" i="1"/>
  <c r="K109" i="1" s="1"/>
  <c r="P109" i="1"/>
  <c r="P131" i="1"/>
  <c r="J131" i="1"/>
  <c r="P134" i="1"/>
  <c r="J134" i="1"/>
  <c r="J139" i="1"/>
  <c r="P139" i="1"/>
  <c r="M73" i="1"/>
  <c r="F97" i="1"/>
  <c r="E96" i="1"/>
  <c r="E95" i="1" s="1"/>
  <c r="L99" i="1"/>
  <c r="P113" i="1"/>
  <c r="J113" i="1"/>
  <c r="K113" i="1" s="1"/>
  <c r="J121" i="1"/>
  <c r="P121" i="1"/>
  <c r="P137" i="1"/>
  <c r="J137" i="1"/>
  <c r="K137" i="1" s="1"/>
  <c r="T91" i="1"/>
  <c r="J103" i="1"/>
  <c r="K103" i="1" s="1"/>
  <c r="P103" i="1"/>
  <c r="P108" i="1"/>
  <c r="J108" i="1"/>
  <c r="K108" i="1" s="1"/>
  <c r="P110" i="1"/>
  <c r="J110" i="1"/>
  <c r="K110" i="1" s="1"/>
  <c r="J124" i="1"/>
  <c r="K124" i="1" s="1"/>
  <c r="Q124" i="1" s="1"/>
  <c r="P124" i="1"/>
  <c r="P133" i="1"/>
  <c r="J133" i="1"/>
  <c r="K133" i="1" s="1"/>
  <c r="F69" i="1"/>
  <c r="J76" i="1"/>
  <c r="K76" i="1" s="1"/>
  <c r="M83" i="1"/>
  <c r="J86" i="1"/>
  <c r="K86" i="1" s="1"/>
  <c r="S89" i="1"/>
  <c r="S91" i="1"/>
  <c r="G100" i="1"/>
  <c r="H102" i="1"/>
  <c r="M103" i="1"/>
  <c r="H101" i="1"/>
  <c r="I112" i="1"/>
  <c r="P120" i="1"/>
  <c r="J120" i="1"/>
  <c r="H127" i="1"/>
  <c r="G126" i="1"/>
  <c r="G125" i="1" s="1"/>
  <c r="I130" i="1"/>
  <c r="O70" i="1"/>
  <c r="O84" i="1"/>
  <c r="S85" i="1"/>
  <c r="M98" i="1"/>
  <c r="J104" i="1"/>
  <c r="P104" i="1"/>
  <c r="J106" i="1"/>
  <c r="K106" i="1" s="1"/>
  <c r="P106" i="1"/>
  <c r="P115" i="1"/>
  <c r="T115" i="1"/>
  <c r="S115" i="1"/>
  <c r="Q115" i="1"/>
  <c r="M115" i="1"/>
  <c r="J119" i="1"/>
  <c r="P119" i="1"/>
  <c r="P123" i="1"/>
  <c r="J123" i="1"/>
  <c r="L125" i="1"/>
  <c r="J136" i="1"/>
  <c r="P136" i="1"/>
  <c r="J138" i="1"/>
  <c r="K138" i="1" s="1"/>
  <c r="P138" i="1"/>
  <c r="M77" i="1"/>
  <c r="M87" i="1"/>
  <c r="M91" i="1"/>
  <c r="S93" i="1"/>
  <c r="F100" i="1"/>
  <c r="P111" i="1"/>
  <c r="J111" i="1"/>
  <c r="J114" i="1"/>
  <c r="P114" i="1"/>
  <c r="F117" i="1"/>
  <c r="F116" i="1" s="1"/>
  <c r="G118" i="1"/>
  <c r="J122" i="1"/>
  <c r="P122" i="1"/>
  <c r="P135" i="1"/>
  <c r="J135" i="1"/>
  <c r="G101" i="1"/>
  <c r="O103" i="1"/>
  <c r="F126" i="1"/>
  <c r="F125" i="1" s="1"/>
  <c r="M124" i="1"/>
  <c r="P144" i="1"/>
  <c r="J144" i="1"/>
  <c r="J147" i="1"/>
  <c r="K147" i="1" s="1"/>
  <c r="P147" i="1"/>
  <c r="M133" i="1"/>
  <c r="O133" i="1"/>
  <c r="H142" i="1"/>
  <c r="I149" i="1"/>
  <c r="J153" i="1"/>
  <c r="P153" i="1"/>
  <c r="J159" i="1"/>
  <c r="K159" i="1" s="1"/>
  <c r="P159" i="1"/>
  <c r="M105" i="1"/>
  <c r="M108" i="1"/>
  <c r="F132" i="1"/>
  <c r="J145" i="1"/>
  <c r="K145" i="1" s="1"/>
  <c r="P145" i="1"/>
  <c r="O105" i="1"/>
  <c r="M107" i="1"/>
  <c r="O108" i="1"/>
  <c r="O100" i="1" s="1"/>
  <c r="M109" i="1"/>
  <c r="L129" i="1"/>
  <c r="M137" i="1"/>
  <c r="G141" i="1"/>
  <c r="G140" i="1" s="1"/>
  <c r="H143" i="1"/>
  <c r="M145" i="1"/>
  <c r="J154" i="1"/>
  <c r="P154" i="1"/>
  <c r="F101" i="1"/>
  <c r="O118" i="1"/>
  <c r="O117" i="1" s="1"/>
  <c r="O116" i="1" s="1"/>
  <c r="L117" i="1"/>
  <c r="L12" i="1" s="1"/>
  <c r="M138" i="1"/>
  <c r="O138" i="1"/>
  <c r="O129" i="1" s="1"/>
  <c r="O128" i="1" s="1"/>
  <c r="F157" i="1"/>
  <c r="F156" i="1"/>
  <c r="F155" i="1" s="1"/>
  <c r="G158" i="1"/>
  <c r="J163" i="1"/>
  <c r="K163" i="1" s="1"/>
  <c r="P163" i="1"/>
  <c r="J167" i="1"/>
  <c r="P167" i="1"/>
  <c r="J169" i="1"/>
  <c r="K169" i="1" s="1"/>
  <c r="P169" i="1"/>
  <c r="J165" i="1"/>
  <c r="K165" i="1" s="1"/>
  <c r="P165" i="1"/>
  <c r="J171" i="1"/>
  <c r="P171" i="1"/>
  <c r="M165" i="1"/>
  <c r="J168" i="1"/>
  <c r="P168" i="1"/>
  <c r="J164" i="1"/>
  <c r="P164" i="1"/>
  <c r="J172" i="1"/>
  <c r="P172" i="1"/>
  <c r="G162" i="1"/>
  <c r="F161" i="1"/>
  <c r="P166" i="1"/>
  <c r="J166" i="1"/>
  <c r="J170" i="1"/>
  <c r="K170" i="1" s="1"/>
  <c r="P170" i="1"/>
  <c r="L140" i="1"/>
  <c r="J146" i="1"/>
  <c r="P146" i="1"/>
  <c r="J148" i="1"/>
  <c r="K148" i="1" s="1"/>
  <c r="P148" i="1"/>
  <c r="J160" i="1"/>
  <c r="P160" i="1"/>
  <c r="M170" i="1"/>
  <c r="R151" i="1"/>
  <c r="R150" i="1" s="1"/>
  <c r="O162" i="1"/>
  <c r="O161" i="1" s="1"/>
  <c r="O170" i="1"/>
  <c r="E161" i="1"/>
  <c r="E157" i="1"/>
  <c r="L161" i="1"/>
  <c r="F152" i="1"/>
  <c r="L155" i="1"/>
  <c r="O15" i="1" l="1"/>
  <c r="O14" i="1" s="1"/>
  <c r="O17" i="1"/>
  <c r="O12" i="1"/>
  <c r="K172" i="1"/>
  <c r="M172" i="1"/>
  <c r="G132" i="1"/>
  <c r="F129" i="1"/>
  <c r="F128" i="1" s="1"/>
  <c r="M153" i="1"/>
  <c r="K153" i="1"/>
  <c r="H118" i="1"/>
  <c r="G117" i="1"/>
  <c r="G116" i="1" s="1"/>
  <c r="M123" i="1"/>
  <c r="K123" i="1"/>
  <c r="M104" i="1"/>
  <c r="K104" i="1"/>
  <c r="J130" i="1"/>
  <c r="P130" i="1"/>
  <c r="F68" i="1"/>
  <c r="S110" i="1"/>
  <c r="Q110" i="1"/>
  <c r="T110" i="1"/>
  <c r="T113" i="1"/>
  <c r="S113" i="1"/>
  <c r="Q113" i="1"/>
  <c r="T105" i="1"/>
  <c r="S105" i="1"/>
  <c r="Q105" i="1"/>
  <c r="K58" i="1"/>
  <c r="M58" i="1"/>
  <c r="M23" i="1"/>
  <c r="K23" i="1"/>
  <c r="P84" i="1"/>
  <c r="J84" i="1"/>
  <c r="M75" i="1"/>
  <c r="K75" i="1"/>
  <c r="K57" i="1"/>
  <c r="M57" i="1"/>
  <c r="T89" i="1"/>
  <c r="Q89" i="1"/>
  <c r="S73" i="1"/>
  <c r="Q73" i="1"/>
  <c r="T73" i="1"/>
  <c r="S83" i="1"/>
  <c r="T83" i="1"/>
  <c r="Q83" i="1"/>
  <c r="K74" i="1"/>
  <c r="M74" i="1"/>
  <c r="Q52" i="1"/>
  <c r="R52" i="1"/>
  <c r="K42" i="1"/>
  <c r="M42" i="1"/>
  <c r="K28" i="1"/>
  <c r="M28" i="1"/>
  <c r="F15" i="1"/>
  <c r="F14" i="1" s="1"/>
  <c r="F17" i="1"/>
  <c r="T38" i="1"/>
  <c r="S38" i="1"/>
  <c r="Q38" i="1"/>
  <c r="Q46" i="1"/>
  <c r="S46" i="1"/>
  <c r="T46" i="1"/>
  <c r="M26" i="1"/>
  <c r="R56" i="1"/>
  <c r="Q56" i="1"/>
  <c r="R163" i="1"/>
  <c r="Q163" i="1"/>
  <c r="M166" i="1"/>
  <c r="K166" i="1"/>
  <c r="F99" i="1"/>
  <c r="T86" i="1"/>
  <c r="S86" i="1"/>
  <c r="Q86" i="1"/>
  <c r="Q137" i="1"/>
  <c r="S137" i="1"/>
  <c r="T137" i="1"/>
  <c r="O16" i="1"/>
  <c r="O13" i="1"/>
  <c r="O10" i="1"/>
  <c r="Q82" i="1"/>
  <c r="T82" i="1"/>
  <c r="S82" i="1"/>
  <c r="L9" i="1"/>
  <c r="F13" i="1"/>
  <c r="K39" i="1"/>
  <c r="M39" i="1"/>
  <c r="K64" i="1"/>
  <c r="M64" i="1"/>
  <c r="M45" i="1"/>
  <c r="K45" i="1"/>
  <c r="T59" i="1"/>
  <c r="S59" i="1"/>
  <c r="Q59" i="1"/>
  <c r="Q50" i="1"/>
  <c r="R50" i="1"/>
  <c r="M146" i="1"/>
  <c r="K146" i="1"/>
  <c r="G157" i="1"/>
  <c r="G156" i="1"/>
  <c r="G155" i="1" s="1"/>
  <c r="H158" i="1"/>
  <c r="T124" i="1"/>
  <c r="M106" i="1"/>
  <c r="M144" i="1"/>
  <c r="K144" i="1"/>
  <c r="I127" i="1"/>
  <c r="H126" i="1"/>
  <c r="H125" i="1" s="1"/>
  <c r="I102" i="1"/>
  <c r="H100" i="1"/>
  <c r="H99" i="1" s="1"/>
  <c r="T108" i="1"/>
  <c r="S108" i="1"/>
  <c r="Q108" i="1"/>
  <c r="K139" i="1"/>
  <c r="M139" i="1"/>
  <c r="S98" i="1"/>
  <c r="S96" i="1" s="1"/>
  <c r="S95" i="1" s="1"/>
  <c r="Q98" i="1"/>
  <c r="Q37" i="1"/>
  <c r="S37" i="1"/>
  <c r="T37" i="1"/>
  <c r="S79" i="1"/>
  <c r="T79" i="1"/>
  <c r="Q79" i="1"/>
  <c r="T92" i="1"/>
  <c r="Q92" i="1"/>
  <c r="S92" i="1"/>
  <c r="O68" i="1"/>
  <c r="M80" i="1"/>
  <c r="K80" i="1"/>
  <c r="I69" i="1"/>
  <c r="P71" i="1"/>
  <c r="P69" i="1" s="1"/>
  <c r="J71" i="1"/>
  <c r="M76" i="1"/>
  <c r="S90" i="1"/>
  <c r="Q90" i="1"/>
  <c r="G68" i="1"/>
  <c r="L15" i="1"/>
  <c r="M54" i="1"/>
  <c r="K54" i="1"/>
  <c r="M21" i="1"/>
  <c r="K21" i="1"/>
  <c r="M40" i="1"/>
  <c r="M163" i="1"/>
  <c r="J149" i="1"/>
  <c r="P149" i="1"/>
  <c r="P142" i="1" s="1"/>
  <c r="I142" i="1"/>
  <c r="T147" i="1"/>
  <c r="S147" i="1"/>
  <c r="Q147" i="1"/>
  <c r="K135" i="1"/>
  <c r="M135" i="1"/>
  <c r="T138" i="1"/>
  <c r="S138" i="1"/>
  <c r="Q138" i="1"/>
  <c r="S133" i="1"/>
  <c r="Q133" i="1"/>
  <c r="T133" i="1"/>
  <c r="O156" i="1"/>
  <c r="O155" i="1" s="1"/>
  <c r="K160" i="1"/>
  <c r="M160" i="1"/>
  <c r="K164" i="1"/>
  <c r="M164" i="1"/>
  <c r="M171" i="1"/>
  <c r="K171" i="1"/>
  <c r="Q169" i="1"/>
  <c r="R169" i="1"/>
  <c r="M148" i="1"/>
  <c r="M159" i="1"/>
  <c r="M169" i="1"/>
  <c r="K154" i="1"/>
  <c r="M154" i="1"/>
  <c r="L128" i="1"/>
  <c r="S124" i="1"/>
  <c r="K114" i="1"/>
  <c r="M114" i="1"/>
  <c r="K136" i="1"/>
  <c r="M136" i="1"/>
  <c r="K119" i="1"/>
  <c r="M119" i="1"/>
  <c r="M120" i="1"/>
  <c r="K120" i="1"/>
  <c r="G99" i="1"/>
  <c r="K134" i="1"/>
  <c r="M134" i="1"/>
  <c r="S109" i="1"/>
  <c r="T109" i="1"/>
  <c r="Q109" i="1"/>
  <c r="M72" i="1"/>
  <c r="K72" i="1"/>
  <c r="M48" i="1"/>
  <c r="K48" i="1"/>
  <c r="M86" i="1"/>
  <c r="H68" i="1"/>
  <c r="R66" i="1"/>
  <c r="Q66" i="1"/>
  <c r="Q40" i="1"/>
  <c r="T40" i="1"/>
  <c r="S40" i="1"/>
  <c r="M32" i="1"/>
  <c r="K32" i="1"/>
  <c r="K36" i="1"/>
  <c r="M36" i="1"/>
  <c r="T60" i="1"/>
  <c r="S60" i="1"/>
  <c r="Q60" i="1"/>
  <c r="F10" i="1"/>
  <c r="M37" i="1"/>
  <c r="T107" i="1"/>
  <c r="S107" i="1"/>
  <c r="Q107" i="1"/>
  <c r="T88" i="1"/>
  <c r="S88" i="1"/>
  <c r="Q88" i="1"/>
  <c r="H43" i="1"/>
  <c r="G19" i="1"/>
  <c r="G17" i="1" s="1"/>
  <c r="E15" i="1"/>
  <c r="E12" i="1"/>
  <c r="E11" i="1" s="1"/>
  <c r="E17" i="1"/>
  <c r="E9" i="1"/>
  <c r="E8" i="1" s="1"/>
  <c r="Q93" i="1"/>
  <c r="T93" i="1"/>
  <c r="P18" i="1"/>
  <c r="R51" i="1"/>
  <c r="Q51" i="1"/>
  <c r="K25" i="1"/>
  <c r="M25" i="1"/>
  <c r="T41" i="1"/>
  <c r="S41" i="1"/>
  <c r="Q41" i="1"/>
  <c r="Q53" i="1"/>
  <c r="R53" i="1"/>
  <c r="K35" i="1"/>
  <c r="M35" i="1"/>
  <c r="G161" i="1"/>
  <c r="H162" i="1"/>
  <c r="M167" i="1"/>
  <c r="K167" i="1"/>
  <c r="R159" i="1"/>
  <c r="Q159" i="1"/>
  <c r="M111" i="1"/>
  <c r="K111" i="1"/>
  <c r="S106" i="1"/>
  <c r="T106" i="1"/>
  <c r="Q106" i="1"/>
  <c r="G152" i="1"/>
  <c r="F151" i="1"/>
  <c r="F150" i="1" s="1"/>
  <c r="Q148" i="1"/>
  <c r="T148" i="1"/>
  <c r="S148" i="1"/>
  <c r="R170" i="1"/>
  <c r="Q170" i="1"/>
  <c r="M168" i="1"/>
  <c r="K168" i="1"/>
  <c r="Q165" i="1"/>
  <c r="R165" i="1"/>
  <c r="L116" i="1"/>
  <c r="I143" i="1"/>
  <c r="H141" i="1"/>
  <c r="H140" i="1" s="1"/>
  <c r="T145" i="1"/>
  <c r="S145" i="1"/>
  <c r="Q145" i="1"/>
  <c r="O99" i="1"/>
  <c r="K122" i="1"/>
  <c r="M122" i="1"/>
  <c r="J112" i="1"/>
  <c r="P112" i="1"/>
  <c r="P101" i="1" s="1"/>
  <c r="I101" i="1"/>
  <c r="T76" i="1"/>
  <c r="S76" i="1"/>
  <c r="Q76" i="1"/>
  <c r="Q103" i="1"/>
  <c r="T103" i="1"/>
  <c r="S103" i="1"/>
  <c r="K121" i="1"/>
  <c r="M121" i="1"/>
  <c r="G97" i="1"/>
  <c r="F96" i="1"/>
  <c r="F95" i="1" s="1"/>
  <c r="M131" i="1"/>
  <c r="K131" i="1"/>
  <c r="L13" i="1"/>
  <c r="L16" i="1"/>
  <c r="L10" i="1"/>
  <c r="S94" i="1"/>
  <c r="Q94" i="1"/>
  <c r="I70" i="1"/>
  <c r="P81" i="1"/>
  <c r="P70" i="1" s="1"/>
  <c r="J81" i="1"/>
  <c r="M29" i="1"/>
  <c r="K29" i="1"/>
  <c r="R55" i="1"/>
  <c r="Q55" i="1"/>
  <c r="T77" i="1"/>
  <c r="S77" i="1"/>
  <c r="Q77" i="1"/>
  <c r="S78" i="1"/>
  <c r="T78" i="1"/>
  <c r="Q78" i="1"/>
  <c r="E16" i="1"/>
  <c r="E13" i="1"/>
  <c r="E10" i="1"/>
  <c r="T87" i="1"/>
  <c r="S87" i="1"/>
  <c r="Q87" i="1"/>
  <c r="S27" i="1"/>
  <c r="M20" i="1"/>
  <c r="K20" i="1"/>
  <c r="J18" i="1"/>
  <c r="K63" i="1"/>
  <c r="M63" i="1"/>
  <c r="S22" i="1"/>
  <c r="T22" i="1"/>
  <c r="Q22" i="1"/>
  <c r="Q26" i="1"/>
  <c r="T26" i="1"/>
  <c r="S26" i="1"/>
  <c r="T29" i="1" l="1"/>
  <c r="Q29" i="1"/>
  <c r="S29" i="1"/>
  <c r="T170" i="1"/>
  <c r="S170" i="1"/>
  <c r="S134" i="1"/>
  <c r="T134" i="1"/>
  <c r="Q134" i="1"/>
  <c r="T167" i="1"/>
  <c r="S167" i="1"/>
  <c r="Q167" i="1"/>
  <c r="T53" i="1"/>
  <c r="S53" i="1"/>
  <c r="T25" i="1"/>
  <c r="Q25" i="1"/>
  <c r="S25" i="1"/>
  <c r="S136" i="1"/>
  <c r="T136" i="1"/>
  <c r="Q136" i="1"/>
  <c r="J70" i="1"/>
  <c r="M70" i="1" s="1"/>
  <c r="K81" i="1"/>
  <c r="M81" i="1"/>
  <c r="G96" i="1"/>
  <c r="H97" i="1"/>
  <c r="G15" i="1"/>
  <c r="G14" i="1" s="1"/>
  <c r="E14" i="1"/>
  <c r="S120" i="1"/>
  <c r="Q120" i="1"/>
  <c r="T120" i="1"/>
  <c r="Q154" i="1"/>
  <c r="S154" i="1"/>
  <c r="T154" i="1"/>
  <c r="T171" i="1"/>
  <c r="S171" i="1"/>
  <c r="Q171" i="1"/>
  <c r="R160" i="1"/>
  <c r="Q160" i="1"/>
  <c r="I68" i="1"/>
  <c r="I126" i="1"/>
  <c r="I125" i="1" s="1"/>
  <c r="P127" i="1"/>
  <c r="P126" i="1" s="1"/>
  <c r="P125" i="1" s="1"/>
  <c r="J127" i="1"/>
  <c r="T56" i="1"/>
  <c r="S56" i="1"/>
  <c r="Q23" i="1"/>
  <c r="S23" i="1"/>
  <c r="T23" i="1"/>
  <c r="S114" i="1"/>
  <c r="T114" i="1"/>
  <c r="Q114" i="1"/>
  <c r="T21" i="1"/>
  <c r="Q21" i="1"/>
  <c r="S21" i="1"/>
  <c r="T80" i="1"/>
  <c r="S80" i="1"/>
  <c r="Q80" i="1"/>
  <c r="T144" i="1"/>
  <c r="S144" i="1"/>
  <c r="Q144" i="1"/>
  <c r="T64" i="1"/>
  <c r="S64" i="1"/>
  <c r="Q64" i="1"/>
  <c r="Q166" i="1"/>
  <c r="R166" i="1"/>
  <c r="S28" i="1"/>
  <c r="Q28" i="1"/>
  <c r="T28" i="1"/>
  <c r="Q42" i="1"/>
  <c r="T42" i="1"/>
  <c r="S42" i="1"/>
  <c r="S57" i="1"/>
  <c r="T57" i="1"/>
  <c r="Q57" i="1"/>
  <c r="S123" i="1"/>
  <c r="Q123" i="1"/>
  <c r="T123" i="1"/>
  <c r="O11" i="1"/>
  <c r="Q122" i="1"/>
  <c r="T122" i="1"/>
  <c r="S122" i="1"/>
  <c r="T146" i="1"/>
  <c r="S146" i="1"/>
  <c r="Q146" i="1"/>
  <c r="F9" i="1"/>
  <c r="F8" i="1" s="1"/>
  <c r="S52" i="1"/>
  <c r="T52" i="1"/>
  <c r="R19" i="1"/>
  <c r="Q75" i="1"/>
  <c r="T75" i="1"/>
  <c r="S75" i="1"/>
  <c r="H132" i="1"/>
  <c r="G129" i="1"/>
  <c r="G128" i="1" s="1"/>
  <c r="Q48" i="1"/>
  <c r="R48" i="1"/>
  <c r="Q119" i="1"/>
  <c r="T119" i="1"/>
  <c r="K149" i="1"/>
  <c r="J142" i="1"/>
  <c r="M142" i="1" s="1"/>
  <c r="M149" i="1"/>
  <c r="R54" i="1"/>
  <c r="Q54" i="1"/>
  <c r="S39" i="1"/>
  <c r="T39" i="1"/>
  <c r="Q39" i="1"/>
  <c r="T58" i="1"/>
  <c r="Q58" i="1"/>
  <c r="S58" i="1"/>
  <c r="M130" i="1"/>
  <c r="K130" i="1"/>
  <c r="O9" i="1"/>
  <c r="O8" i="1" s="1"/>
  <c r="G13" i="1"/>
  <c r="G16" i="1"/>
  <c r="G10" i="1"/>
  <c r="T121" i="1"/>
  <c r="S121" i="1"/>
  <c r="Q121" i="1"/>
  <c r="J143" i="1"/>
  <c r="P143" i="1"/>
  <c r="P141" i="1" s="1"/>
  <c r="P140" i="1" s="1"/>
  <c r="I141" i="1"/>
  <c r="I140" i="1" s="1"/>
  <c r="I43" i="1"/>
  <c r="H19" i="1"/>
  <c r="Q131" i="1"/>
  <c r="S131" i="1"/>
  <c r="T131" i="1"/>
  <c r="Q35" i="1"/>
  <c r="T35" i="1"/>
  <c r="S35" i="1"/>
  <c r="Q32" i="1"/>
  <c r="T32" i="1"/>
  <c r="S32" i="1"/>
  <c r="T169" i="1"/>
  <c r="S169" i="1"/>
  <c r="K71" i="1"/>
  <c r="M71" i="1"/>
  <c r="J69" i="1"/>
  <c r="Q139" i="1"/>
  <c r="S139" i="1"/>
  <c r="T139" i="1"/>
  <c r="J102" i="1"/>
  <c r="I100" i="1"/>
  <c r="I99" i="1" s="1"/>
  <c r="P102" i="1"/>
  <c r="P100" i="1" s="1"/>
  <c r="P99" i="1" s="1"/>
  <c r="T45" i="1"/>
  <c r="S45" i="1"/>
  <c r="Q45" i="1"/>
  <c r="K84" i="1"/>
  <c r="M84" i="1"/>
  <c r="I118" i="1"/>
  <c r="H117" i="1"/>
  <c r="R172" i="1"/>
  <c r="Q172" i="1"/>
  <c r="Q168" i="1"/>
  <c r="S168" i="1"/>
  <c r="T168" i="1"/>
  <c r="S111" i="1"/>
  <c r="Q111" i="1"/>
  <c r="T111" i="1"/>
  <c r="H161" i="1"/>
  <c r="I161" i="1" s="1"/>
  <c r="I162" i="1"/>
  <c r="T51" i="1"/>
  <c r="S51" i="1"/>
  <c r="T63" i="1"/>
  <c r="S63" i="1"/>
  <c r="Q63" i="1"/>
  <c r="T55" i="1"/>
  <c r="S55" i="1"/>
  <c r="G151" i="1"/>
  <c r="G150" i="1" s="1"/>
  <c r="H152" i="1"/>
  <c r="T36" i="1"/>
  <c r="S36" i="1"/>
  <c r="Q36" i="1"/>
  <c r="R164" i="1"/>
  <c r="Q164" i="1"/>
  <c r="Q135" i="1"/>
  <c r="T135" i="1"/>
  <c r="S135" i="1"/>
  <c r="S72" i="1"/>
  <c r="Q72" i="1"/>
  <c r="T72" i="1"/>
  <c r="K18" i="1"/>
  <c r="S20" i="1"/>
  <c r="Q20" i="1"/>
  <c r="T20" i="1"/>
  <c r="K112" i="1"/>
  <c r="J101" i="1"/>
  <c r="M112" i="1"/>
  <c r="L14" i="1"/>
  <c r="P68" i="1"/>
  <c r="H157" i="1"/>
  <c r="H156" i="1"/>
  <c r="H155" i="1" s="1"/>
  <c r="I158" i="1"/>
  <c r="T50" i="1"/>
  <c r="S50" i="1"/>
  <c r="L8" i="1"/>
  <c r="F12" i="1"/>
  <c r="F11" i="1" s="1"/>
  <c r="S74" i="1"/>
  <c r="Q74" i="1"/>
  <c r="T74" i="1"/>
  <c r="T104" i="1"/>
  <c r="Q104" i="1"/>
  <c r="T153" i="1"/>
  <c r="S153" i="1"/>
  <c r="Q153" i="1"/>
  <c r="L11" i="1"/>
  <c r="M18" i="1" l="1"/>
  <c r="Q84" i="1"/>
  <c r="T84" i="1"/>
  <c r="S84" i="1"/>
  <c r="K102" i="1"/>
  <c r="M102" i="1"/>
  <c r="J100" i="1"/>
  <c r="J99" i="1" s="1"/>
  <c r="S71" i="1"/>
  <c r="S69" i="1" s="1"/>
  <c r="Q71" i="1"/>
  <c r="Q69" i="1" s="1"/>
  <c r="K69" i="1"/>
  <c r="K68" i="1" s="1"/>
  <c r="T71" i="1"/>
  <c r="T69" i="1" s="1"/>
  <c r="H16" i="1"/>
  <c r="H13" i="1"/>
  <c r="H10" i="1"/>
  <c r="H17" i="1"/>
  <c r="T48" i="1"/>
  <c r="S48" i="1"/>
  <c r="S18" i="1" s="1"/>
  <c r="R18" i="1"/>
  <c r="R10" i="1"/>
  <c r="R16" i="1"/>
  <c r="R13" i="1"/>
  <c r="I132" i="1"/>
  <c r="H129" i="1"/>
  <c r="H128" i="1" s="1"/>
  <c r="I19" i="1"/>
  <c r="P43" i="1"/>
  <c r="P19" i="1" s="1"/>
  <c r="J43" i="1"/>
  <c r="T130" i="1"/>
  <c r="S130" i="1"/>
  <c r="Q130" i="1"/>
  <c r="T149" i="1"/>
  <c r="T142" i="1" s="1"/>
  <c r="S149" i="1"/>
  <c r="S142" i="1" s="1"/>
  <c r="Q149" i="1"/>
  <c r="Q142" i="1" s="1"/>
  <c r="K142" i="1"/>
  <c r="H96" i="1"/>
  <c r="I97" i="1"/>
  <c r="T18" i="1"/>
  <c r="H116" i="1"/>
  <c r="H15" i="1"/>
  <c r="H14" i="1" s="1"/>
  <c r="K127" i="1"/>
  <c r="J126" i="1"/>
  <c r="M127" i="1"/>
  <c r="G95" i="1"/>
  <c r="G12" i="1"/>
  <c r="G11" i="1" s="1"/>
  <c r="G9" i="1"/>
  <c r="G8" i="1" s="1"/>
  <c r="Q18" i="1"/>
  <c r="J162" i="1"/>
  <c r="P162" i="1"/>
  <c r="P161" i="1" s="1"/>
  <c r="J118" i="1"/>
  <c r="P118" i="1"/>
  <c r="P117" i="1" s="1"/>
  <c r="P116" i="1" s="1"/>
  <c r="I117" i="1"/>
  <c r="J68" i="1"/>
  <c r="M68" i="1" s="1"/>
  <c r="M69" i="1"/>
  <c r="K143" i="1"/>
  <c r="J141" i="1"/>
  <c r="M143" i="1"/>
  <c r="S112" i="1"/>
  <c r="S101" i="1" s="1"/>
  <c r="Q112" i="1"/>
  <c r="Q101" i="1" s="1"/>
  <c r="T112" i="1"/>
  <c r="T101" i="1" s="1"/>
  <c r="K101" i="1"/>
  <c r="M101" i="1" s="1"/>
  <c r="H151" i="1"/>
  <c r="H150" i="1" s="1"/>
  <c r="I152" i="1"/>
  <c r="J158" i="1"/>
  <c r="P158" i="1"/>
  <c r="I157" i="1"/>
  <c r="I156" i="1"/>
  <c r="I155" i="1" s="1"/>
  <c r="S54" i="1"/>
  <c r="T54" i="1"/>
  <c r="T166" i="1"/>
  <c r="T156" i="1" s="1"/>
  <c r="T155" i="1" s="1"/>
  <c r="S166" i="1"/>
  <c r="S156" i="1" s="1"/>
  <c r="S155" i="1" s="1"/>
  <c r="K70" i="1"/>
  <c r="T81" i="1"/>
  <c r="S81" i="1"/>
  <c r="S70" i="1" s="1"/>
  <c r="Q81" i="1"/>
  <c r="Q70" i="1" s="1"/>
  <c r="K118" i="1" l="1"/>
  <c r="J117" i="1"/>
  <c r="M118" i="1"/>
  <c r="Q143" i="1"/>
  <c r="Q141" i="1" s="1"/>
  <c r="Q140" i="1" s="1"/>
  <c r="T143" i="1"/>
  <c r="T141" i="1" s="1"/>
  <c r="T140" i="1" s="1"/>
  <c r="S143" i="1"/>
  <c r="S141" i="1" s="1"/>
  <c r="S140" i="1" s="1"/>
  <c r="K141" i="1"/>
  <c r="K140" i="1" s="1"/>
  <c r="K162" i="1"/>
  <c r="J161" i="1"/>
  <c r="M161" i="1" s="1"/>
  <c r="M162" i="1"/>
  <c r="S127" i="1"/>
  <c r="S126" i="1" s="1"/>
  <c r="S125" i="1" s="1"/>
  <c r="Q127" i="1"/>
  <c r="Q126" i="1" s="1"/>
  <c r="Q125" i="1" s="1"/>
  <c r="K126" i="1"/>
  <c r="K125" i="1" s="1"/>
  <c r="T127" i="1"/>
  <c r="T126" i="1" s="1"/>
  <c r="T125" i="1" s="1"/>
  <c r="I96" i="1"/>
  <c r="J97" i="1"/>
  <c r="P97" i="1"/>
  <c r="P96" i="1" s="1"/>
  <c r="T70" i="1"/>
  <c r="T68" i="1" s="1"/>
  <c r="I151" i="1"/>
  <c r="I150" i="1" s="1"/>
  <c r="J152" i="1"/>
  <c r="P152" i="1"/>
  <c r="P151" i="1" s="1"/>
  <c r="P150" i="1" s="1"/>
  <c r="I116" i="1"/>
  <c r="I15" i="1"/>
  <c r="P15" i="1"/>
  <c r="H95" i="1"/>
  <c r="H9" i="1"/>
  <c r="H8" i="1" s="1"/>
  <c r="H12" i="1"/>
  <c r="H11" i="1" s="1"/>
  <c r="I13" i="1"/>
  <c r="I10" i="1"/>
  <c r="I16" i="1"/>
  <c r="I17" i="1"/>
  <c r="J125" i="1"/>
  <c r="M125" i="1" s="1"/>
  <c r="M126" i="1"/>
  <c r="K43" i="1"/>
  <c r="M43" i="1"/>
  <c r="J19" i="1"/>
  <c r="R15" i="1"/>
  <c r="R14" i="1" s="1"/>
  <c r="R17" i="1"/>
  <c r="Q102" i="1"/>
  <c r="Q100" i="1" s="1"/>
  <c r="Q99" i="1" s="1"/>
  <c r="T102" i="1"/>
  <c r="T100" i="1" s="1"/>
  <c r="T99" i="1" s="1"/>
  <c r="S102" i="1"/>
  <c r="S100" i="1" s="1"/>
  <c r="S99" i="1" s="1"/>
  <c r="K100" i="1"/>
  <c r="J140" i="1"/>
  <c r="M140" i="1" s="1"/>
  <c r="M141" i="1"/>
  <c r="P132" i="1"/>
  <c r="P129" i="1" s="1"/>
  <c r="P128" i="1" s="1"/>
  <c r="J132" i="1"/>
  <c r="I129" i="1"/>
  <c r="I128" i="1" s="1"/>
  <c r="P157" i="1"/>
  <c r="P156" i="1"/>
  <c r="P155" i="1" s="1"/>
  <c r="Q68" i="1"/>
  <c r="M158" i="1"/>
  <c r="K158" i="1"/>
  <c r="J157" i="1"/>
  <c r="M157" i="1" s="1"/>
  <c r="J156" i="1"/>
  <c r="P16" i="1"/>
  <c r="P10" i="1"/>
  <c r="P13" i="1"/>
  <c r="P17" i="1"/>
  <c r="S68" i="1"/>
  <c r="J155" i="1" l="1"/>
  <c r="M155" i="1" s="1"/>
  <c r="M156" i="1"/>
  <c r="K99" i="1"/>
  <c r="M99" i="1" s="1"/>
  <c r="M100" i="1"/>
  <c r="T43" i="1"/>
  <c r="T19" i="1" s="1"/>
  <c r="K19" i="1"/>
  <c r="Q43" i="1"/>
  <c r="Q19" i="1" s="1"/>
  <c r="S43" i="1"/>
  <c r="S19" i="1" s="1"/>
  <c r="R97" i="1"/>
  <c r="J96" i="1"/>
  <c r="K97" i="1"/>
  <c r="M97" i="1"/>
  <c r="R162" i="1"/>
  <c r="R161" i="1" s="1"/>
  <c r="Q162" i="1"/>
  <c r="Q161" i="1" s="1"/>
  <c r="K161" i="1"/>
  <c r="J116" i="1"/>
  <c r="M116" i="1" s="1"/>
  <c r="M117" i="1"/>
  <c r="J15" i="1"/>
  <c r="M152" i="1"/>
  <c r="J151" i="1"/>
  <c r="K152" i="1"/>
  <c r="K117" i="1"/>
  <c r="Q118" i="1"/>
  <c r="Q117" i="1" s="1"/>
  <c r="Q116" i="1" s="1"/>
  <c r="S118" i="1"/>
  <c r="S117" i="1" s="1"/>
  <c r="S116" i="1" s="1"/>
  <c r="T118" i="1"/>
  <c r="T117" i="1" s="1"/>
  <c r="T116" i="1" s="1"/>
  <c r="K132" i="1"/>
  <c r="M132" i="1"/>
  <c r="J129" i="1"/>
  <c r="I95" i="1"/>
  <c r="I9" i="1"/>
  <c r="I8" i="1" s="1"/>
  <c r="I12" i="1"/>
  <c r="I11" i="1" s="1"/>
  <c r="P14" i="1"/>
  <c r="J16" i="1"/>
  <c r="M16" i="1" s="1"/>
  <c r="J10" i="1"/>
  <c r="J13" i="1"/>
  <c r="J17" i="1"/>
  <c r="I14" i="1"/>
  <c r="R158" i="1"/>
  <c r="Q158" i="1"/>
  <c r="Q156" i="1" s="1"/>
  <c r="Q155" i="1" s="1"/>
  <c r="K157" i="1"/>
  <c r="Q157" i="1" s="1"/>
  <c r="K156" i="1"/>
  <c r="K155" i="1" s="1"/>
  <c r="P95" i="1"/>
  <c r="P9" i="1"/>
  <c r="P8" i="1" s="1"/>
  <c r="P12" i="1"/>
  <c r="P11" i="1" s="1"/>
  <c r="S15" i="1"/>
  <c r="T10" i="1" l="1"/>
  <c r="T13" i="1"/>
  <c r="T16" i="1"/>
  <c r="T17" i="1"/>
  <c r="R157" i="1"/>
  <c r="R156" i="1"/>
  <c r="R155" i="1" s="1"/>
  <c r="J128" i="1"/>
  <c r="M128" i="1" s="1"/>
  <c r="M129" i="1"/>
  <c r="K116" i="1"/>
  <c r="K15" i="1"/>
  <c r="J95" i="1"/>
  <c r="M96" i="1"/>
  <c r="M95" i="1" s="1"/>
  <c r="J12" i="1"/>
  <c r="J11" i="1" s="1"/>
  <c r="J9" i="1"/>
  <c r="J8" i="1" s="1"/>
  <c r="K151" i="1"/>
  <c r="K150" i="1" s="1"/>
  <c r="T152" i="1"/>
  <c r="T151" i="1" s="1"/>
  <c r="T150" i="1" s="1"/>
  <c r="S152" i="1"/>
  <c r="S151" i="1" s="1"/>
  <c r="S150" i="1" s="1"/>
  <c r="Q152" i="1"/>
  <c r="Q151" i="1" s="1"/>
  <c r="Q150" i="1" s="1"/>
  <c r="T97" i="1"/>
  <c r="T96" i="1" s="1"/>
  <c r="R96" i="1"/>
  <c r="Q132" i="1"/>
  <c r="Q129" i="1" s="1"/>
  <c r="Q128" i="1" s="1"/>
  <c r="S132" i="1"/>
  <c r="S129" i="1" s="1"/>
  <c r="T132" i="1"/>
  <c r="T129" i="1" s="1"/>
  <c r="T128" i="1" s="1"/>
  <c r="K129" i="1"/>
  <c r="K128" i="1" s="1"/>
  <c r="J150" i="1"/>
  <c r="M150" i="1" s="1"/>
  <c r="M151" i="1"/>
  <c r="T15" i="1"/>
  <c r="T14" i="1" s="1"/>
  <c r="S13" i="1"/>
  <c r="S16" i="1"/>
  <c r="S14" i="1" s="1"/>
  <c r="S10" i="1"/>
  <c r="S17" i="1"/>
  <c r="Q15" i="1"/>
  <c r="J14" i="1"/>
  <c r="M14" i="1" s="1"/>
  <c r="M15" i="1"/>
  <c r="Q16" i="1"/>
  <c r="Q10" i="1"/>
  <c r="Q13" i="1"/>
  <c r="Q17" i="1"/>
  <c r="K96" i="1"/>
  <c r="Q97" i="1"/>
  <c r="Q96" i="1" s="1"/>
  <c r="K16" i="1"/>
  <c r="K13" i="1"/>
  <c r="M13" i="1" s="1"/>
  <c r="K10" i="1"/>
  <c r="M10" i="1" s="1"/>
  <c r="M19" i="1"/>
  <c r="K17" i="1"/>
  <c r="M17" i="1" s="1"/>
  <c r="K14" i="1" l="1"/>
  <c r="S128" i="1"/>
  <c r="S12" i="1"/>
  <c r="S11" i="1" s="1"/>
  <c r="Q14" i="1"/>
  <c r="R95" i="1"/>
  <c r="R12" i="1"/>
  <c r="R11" i="1" s="1"/>
  <c r="R9" i="1"/>
  <c r="R8" i="1" s="1"/>
  <c r="K95" i="1"/>
  <c r="K9" i="1"/>
  <c r="K12" i="1"/>
  <c r="S9" i="1"/>
  <c r="S8" i="1" s="1"/>
  <c r="T95" i="1"/>
  <c r="T12" i="1"/>
  <c r="T11" i="1" s="1"/>
  <c r="T9" i="1"/>
  <c r="T8" i="1" s="1"/>
  <c r="Q95" i="1"/>
  <c r="Q12" i="1"/>
  <c r="Q11" i="1" s="1"/>
  <c r="Q9" i="1"/>
  <c r="Q8" i="1" s="1"/>
  <c r="K11" i="1" l="1"/>
  <c r="M11" i="1" s="1"/>
  <c r="M12" i="1"/>
  <c r="K8" i="1"/>
  <c r="M8" i="1" s="1"/>
  <c r="M9" i="1"/>
</calcChain>
</file>

<file path=xl/sharedStrings.xml><?xml version="1.0" encoding="utf-8"?>
<sst xmlns="http://schemas.openxmlformats.org/spreadsheetml/2006/main" count="468" uniqueCount="243">
  <si>
    <t>Информация</t>
  </si>
  <si>
    <t>о финансировании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в  2020 году</t>
  </si>
  <si>
    <t>по состоянию на 31.12.2020</t>
  </si>
  <si>
    <t>тыс. рублей</t>
  </si>
  <si>
    <t>Направление финансирования</t>
  </si>
  <si>
    <t>уровень бюджета</t>
  </si>
  <si>
    <t>КБК в 2020 году</t>
  </si>
  <si>
    <t>Закон края от 05.12.2019              № 8-3414</t>
  </si>
  <si>
    <t>Изменение росписи расходов от 12.03.2020</t>
  </si>
  <si>
    <t xml:space="preserve">Закон края от 02.04.2020                  № 9-3811 </t>
  </si>
  <si>
    <t>Изменение росписи расходов от 26.06.2020</t>
  </si>
  <si>
    <t>Закон края от 08.10.2020                  № 10-4129</t>
  </si>
  <si>
    <t>Изменения в ГП от 17.11.2020 № 791-п</t>
  </si>
  <si>
    <t>Изменения в ГП от 15.12.2020 № 867-п</t>
  </si>
  <si>
    <t>Начислено с начала года</t>
  </si>
  <si>
    <t>Перечислено получателям на 31.12.2020</t>
  </si>
  <si>
    <t>Начислено, но не перечислено получателям</t>
  </si>
  <si>
    <t>Остаток  средств бюджета после начисления</t>
  </si>
  <si>
    <t>Остаток  средств после начисления с учетом корректировки</t>
  </si>
  <si>
    <t>Потребность в средствах на год на 16.10</t>
  </si>
  <si>
    <t>Изменения от проекта Закона о бюджете</t>
  </si>
  <si>
    <t>Комментарии</t>
  </si>
  <si>
    <t>Сумма</t>
  </si>
  <si>
    <t xml:space="preserve">% исполнения </t>
  </si>
  <si>
    <t>доп потребность (+)</t>
  </si>
  <si>
    <t>экономия       (-)</t>
  </si>
  <si>
    <t>Государственная программа края "Развитие сельского хозяйства и регулирование рынков сельскохозяйственной продукции, сырья и продовольствия"</t>
  </si>
  <si>
    <t>краевой бюджет</t>
  </si>
  <si>
    <t>01</t>
  </si>
  <si>
    <t>федеральный бюджет</t>
  </si>
  <si>
    <t>02</t>
  </si>
  <si>
    <t>Прямая поддержка отрасли</t>
  </si>
  <si>
    <t>На поддержку агропромышленного комплекса</t>
  </si>
  <si>
    <t>искл</t>
  </si>
  <si>
    <t>1 Подпрограмма "Развитие отраслей агропромышленного комплекса"</t>
  </si>
  <si>
    <t>соф</t>
  </si>
  <si>
    <t>Субсидии на компенсацию части стоимости элитных и (или) репродукционных, и (или) гибридных семян сельскохозяйственных растений</t>
  </si>
  <si>
    <t>14 Б 00 21720</t>
  </si>
  <si>
    <t>Субсидии на  компенсацию части затрат на производство и реализацию сухого молока и (или) сыра полутвердого, и (или) сыра твердого</t>
  </si>
  <si>
    <t>14 Б 00 21730</t>
  </si>
  <si>
    <t>Субсидии на возмещение части затрат на уплату страховых премий по договорам с/х страхования в области растениеводства</t>
  </si>
  <si>
    <t>14 Б 00 21800</t>
  </si>
  <si>
    <t>Субсидии на оказание несвязанной поддержки в области растениеводства государственным и муниципальным предприятиям, сельскохозяйственным товаропроизводителям</t>
  </si>
  <si>
    <t>14 Б 00 21880</t>
  </si>
  <si>
    <t>Субсидии на возмещение части затрат на уплату страховых премий по договорам сельскохозяйственного страхования в области  аквакультуры (рыбоводства)</t>
  </si>
  <si>
    <t>14 Б 00 22020</t>
  </si>
  <si>
    <t>Субсидии на  компенсацию части затрат на содержание племенных рогачей маралов</t>
  </si>
  <si>
    <t>14 Б 00 22120</t>
  </si>
  <si>
    <t>Субсидии на компенсацию части затрат на приобретение кормов для рыбы</t>
  </si>
  <si>
    <t>14 Б 00 22180</t>
  </si>
  <si>
    <t>Субсидии на компенсацию части затрат на производство и реализацию молока</t>
  </si>
  <si>
    <t>14 Б 00 24050</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</si>
  <si>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</si>
  <si>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14 Б 00 24220</t>
  </si>
  <si>
    <t>Субсидии на удешевление стоимости семени и жидкого азота, реализованных в крае для искусственного осеменения сельскохозяйственных животных</t>
  </si>
  <si>
    <t>14 Б 00 24240</t>
  </si>
  <si>
    <t>Субсидии на  компенсацию части затрат, связанных с приобретением телок и (или) нетелей и (или) коров-первотелок (за исключением импортированных) для замены поголовья коров, больных лейкозом и (или) инфицированных вирусом лейкоза крупного рогатого скота, выбывших на убой</t>
  </si>
  <si>
    <t>14 Б 00 24270</t>
  </si>
  <si>
    <t>Субсидии на возмещение части  затрат на уплату процентов по кредитным договорам (договорам займа), заключенным с 1 января 2017 года на срок до 2 лет</t>
  </si>
  <si>
    <t>14 Б 00 24300</t>
  </si>
  <si>
    <t>Субсидии на компенсацию части затрат на содержание коров и нетелей крупного рогатого скота</t>
  </si>
  <si>
    <t>14 Б 00 24330</t>
  </si>
  <si>
    <t>Субсидии на возмещение части затрат, связанных с проведением добровольной сертификации пищевых продуктов</t>
  </si>
  <si>
    <t>14 Б 00 24340</t>
  </si>
  <si>
    <t>Субсидии на возмещение части затрат, связанных с оказанием услуг по продвижению пищевых продуктов</t>
  </si>
  <si>
    <t>14 Б 00 24350</t>
  </si>
  <si>
    <t>Субсидии на компенсацию части затрат на производство и реализацию продукции птицеводства</t>
  </si>
  <si>
    <t>14 Б 00 24360</t>
  </si>
  <si>
    <t>Субсидии на компенсацию части затрат на производство оригинальных и элитных семян зерновых и (или) зернобобовых культур</t>
  </si>
  <si>
    <t>14 Б 00 24390</t>
  </si>
  <si>
    <t>Субсидии на оказание поддержки производства продукции животноводства в районах Крайнего Севера</t>
  </si>
  <si>
    <t>14 Б 00 24450</t>
  </si>
  <si>
    <t>Субсидии на возмещение части затрат на проведение некорневой подкормки минеральными азотными удобрениями повевов озимой и яровой пшеницы</t>
  </si>
  <si>
    <t>14 Б 00 24460</t>
  </si>
  <si>
    <t>Гранты в форме субсидий сельскохозяйственным научным организациям на финансовое обеспечение затрат на развитие материально-технической базы, необходимой для реализации научных, научно-технических проектов и (или) на поддержку производства, и (или) на реализацию сельскохозяйственной продукции собственного производства</t>
  </si>
  <si>
    <t>14 Б 00 24470</t>
  </si>
  <si>
    <t>Субсидии на компенсация части затрат на производство и реализацию муки, и (или) крупы, и (или) макаронных изделий</t>
  </si>
  <si>
    <t>14 Б 00 24810</t>
  </si>
  <si>
    <t>Субсидии на возмещение части затрат, направленных на обеспечение прироста собственного производства зерновых, зернобобовых и масличных (за исключением рапса и сои) культур</t>
  </si>
  <si>
    <t>14 Б 00 R5021</t>
  </si>
  <si>
    <t>Субсидии на возмещение части затрат, направленных на обеспечение прироста собственного производства молока</t>
  </si>
  <si>
    <t>14 Б 00 R5022</t>
  </si>
  <si>
    <t>Cубсидии на возмещение части затрат на поддержку элитного семеноводства и на проведение комплекса агротехнических работ в области развития семеноводства сельскохозяйственных культур</t>
  </si>
  <si>
    <t>14 Б 00 R5081</t>
  </si>
  <si>
    <t>Cубсидии на возмещение части затрат на поддержку собственного производства молока</t>
  </si>
  <si>
    <t>14 Б 00 R5082</t>
  </si>
  <si>
    <t xml:space="preserve">Субсидии на возмещение части затрат на племенное маточное поголовье с/х животных, племенных быков-производителей  </t>
  </si>
  <si>
    <t>14 Б 00 R5083</t>
  </si>
  <si>
    <t>Субсидии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</si>
  <si>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14 Б 00 R5084</t>
  </si>
  <si>
    <t>Субсидии на возмещение части затрат на уплату страховых премий, начисленных по договорам сельскохозяйственного страхования в области животноводства</t>
  </si>
  <si>
    <t>согласно доп соглашению к Соглашению, заключенному с МСХ, от 04.12.2020 уменьшен лимит на страхование КБ -256,367 тыс. руб., ФБ -769,1 тыс. руб., освоение составило 100%</t>
  </si>
  <si>
    <t>14 Б 00 R5085</t>
  </si>
  <si>
    <t>Субсидии на возмещение части затрат на уплату страховых премий, начисленных по договорам сельскохозяйственного страхования в области растениеводства</t>
  </si>
  <si>
    <t>14 Б 00 R5087</t>
  </si>
  <si>
    <t>Субсидии на возмещение части затрат, направленных на производство бобов соевых и (или) семян рапса масличных культур</t>
  </si>
  <si>
    <t>14 Б Т2 52590</t>
  </si>
  <si>
    <t>2 Подпрограмма "Развитие малых форм хозяйствования и сельскохозяйственной кооперации"</t>
  </si>
  <si>
    <t>Субсидии на возмещение части затрат на содержание коров молочного направления продуктивности, находящихся в собственности и (или) пользовании у граждан, ведущих личное подсобное хозяйство, являющихся членами сельскохозяйственного потребительского кооператива</t>
  </si>
  <si>
    <t>14 5 00 22460</t>
  </si>
  <si>
    <t>Субсидии на возмещение части затрат на приобретение племенных нетелей и (или) коров молочного направления продуктивности, включенных в Государственный реестр селекционных достижений, допущенных к использованию</t>
  </si>
  <si>
    <t>14 5 00 22470</t>
  </si>
  <si>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</si>
  <si>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14 5 00 22900</t>
  </si>
  <si>
    <t>Гранты в форме субсидий на финансовое обеспечение затрат на развитие несельскохозяйственных видов деятельности</t>
  </si>
  <si>
    <t>14 5 00 22920</t>
  </si>
  <si>
    <t>Субсидии крестьянским (фермерским) хозяйствам и сельскохозяйственным потребительским кооперативам на возмещение части затрат на уплату процентов по кредитам (займам), полученным на срок до 8 лет</t>
  </si>
  <si>
    <t>14 5 00 24370</t>
  </si>
  <si>
    <t>Субсидии крестьянским (фермерским) хозяйствам, сельскохозяйственным потребительским кооперативам и сельскохозяйственным потребительским кооперативам, образованным двумя и более сельскохозяйственными потребительскими кооперативами, зарегистрированными на территории края, на возмещение части затрат на уплату процентов по кредитам (займам), полученным на срок до 2 лет и до 8 лет</t>
  </si>
  <si>
    <t>14 5 00 22440</t>
  </si>
  <si>
    <t>Субсидии гражданам, ведущим личное подсобное хозяйство на территории края, на возмещение части затрат на уплату процентов по кредитам, полученным на срок до 5 лет</t>
  </si>
  <si>
    <t>14 5 00 24380</t>
  </si>
  <si>
    <t>ОМСУ возвращают средства в краевой бюджет в связи с досрочным погашением кредитов</t>
  </si>
  <si>
    <t>Гранты в форме субсидий на финансовое обеспечение затрат на создание и (или) развитие сельскохозяйственных потребительских кооперативов</t>
  </si>
  <si>
    <t>14 5 00 22480</t>
  </si>
  <si>
    <t>Гранты в форме субсидий главам крестьянских (фермерских) хозяйств на финансовое обеспечение затрат на развитие семейных ферм</t>
  </si>
  <si>
    <t>14 5 00 R5023</t>
  </si>
  <si>
    <t>Гранты в форме субсидий сельскохозяйственным потребительским кооперативам на финансовое обеспечение затрат на развитие материально-технической базы</t>
  </si>
  <si>
    <t>14 5 00 R5024</t>
  </si>
  <si>
    <t>Гранты в форме субсидий «Агростартап» крестьянским (фермерским) хозяйствам на финансовое обеспечение затрат, связанных с реализацией проекта создания и развития крестьянского (фермерского) хозяйства</t>
  </si>
  <si>
    <t>14 5 I7 54801</t>
  </si>
  <si>
    <t>Субсидии сельскохозяйственным потребительским кооперативам на возмещение части затрат, понесенных в текущем финансовом году</t>
  </si>
  <si>
    <t>14 5 I7 54802</t>
  </si>
  <si>
    <t xml:space="preserve">Cубсидии центру компетенций в сфере сельскохозяйствен-ной кооперации и поддержки фермеров на возмещение затрат, связанных с осуществлением его деятельности, с оказанием консультационных услуг </t>
  </si>
  <si>
    <t>14 5 00 22450</t>
  </si>
  <si>
    <t>Субсидии центру компетенций в сфере сельскохозяйственной кооперации и поддержки фермеров на софинансирование затрат, связанных с осуществлением деятельности</t>
  </si>
  <si>
    <t>14 5 I7 54803</t>
  </si>
  <si>
    <t>3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</si>
  <si>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</si>
  <si>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t>14 В 00 22080</t>
  </si>
  <si>
    <r>
      <t xml:space="preserve">Расходы на закупку автотранспортных средств,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приборов и инструментов для проведения искусственного осеменения сельскохозяйственных животных </t>
    </r>
    <r>
      <rPr>
        <b/>
        <sz val="12"/>
        <color rgb="FF996633"/>
        <rFont val="Times New Roman"/>
        <family val="1"/>
        <charset val="204"/>
      </rPr>
      <t>(ветслужба)</t>
    </r>
  </si>
  <si>
    <t>14 В 00 24040</t>
  </si>
  <si>
    <t>4 Подпрограмма "Стимулирование инвестиционной деятельности в агропромышленном комплексе"</t>
  </si>
  <si>
    <t xml:space="preserve">Субсидии на возмещение части затрат на уплату процентов по кредитам, полученным на срок до 10 лет </t>
  </si>
  <si>
    <t>14 Г 00 22820</t>
  </si>
  <si>
    <t>Субсидии на компенсацию части затрат на разработку проектной документации и строительство учебно-опытных животноводческих комплексов  молочного направления, животноводческих объектов для содержания быков-производителей или маралов</t>
  </si>
  <si>
    <t>14 Г 00 22350</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</si>
  <si>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</si>
  <si>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14 Г 00 22830</t>
  </si>
  <si>
    <t>Субсидии на возмещение части прямых понесенных затрат на создание объектов агропромышленного комплекса, на приобретение племенного материала, специализированного и технологического оборудования, сельскохозяйственной техники, автомобильного транспорта, на подключение (технологическое присоединение) к сетям инженерно-технического обеспечения в рамках реализации приоритетных инвестиционных проектов в агропромышленном комплексе</t>
  </si>
  <si>
    <t>14 Г 00 22860</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</si>
  <si>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</si>
  <si>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14 Г 00 22890</t>
  </si>
  <si>
    <t>Субсидии на возмещение части затрат на уплату процентов по инвестиционным кредитам (займам), полученным на строительство, реконструкцию и модернизацию животноводческих комплексов для содержания свиней на срок до 8 лет, а также инвестиционным кредитам (займам), полученным на строительство, реконструкцию и модернизацию животноводческих комплексов (ферм) для содержания крупного рогатого скота на срок до 15 лет</t>
  </si>
  <si>
    <t>14 Г 00 23100</t>
  </si>
  <si>
    <t>Субсидии на возмещение части затрат на уплату процентов по инвестиционным кредитам (займам), полученным на срок до 8 лет, до 10 лет и до 15 лет</t>
  </si>
  <si>
    <t>14 Г 00 23110</t>
  </si>
  <si>
    <t xml:space="preserve">Субсидии на возмещение части затрат на строительство заготовительных пунктов, включая приобретение технологического оборудования для переработки сельскохозяйственной продукции, недревесных и пищевых лесных ресурсов, лекарственных растений </t>
  </si>
  <si>
    <t>14 Г 00 23120</t>
  </si>
  <si>
    <t>Субсидии на возмещение части затрат на уплату процентов по инвестиционным кредитам (займам) в агропромышленном комплексе</t>
  </si>
  <si>
    <t>14 Г 00 R4330</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</si>
  <si>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</si>
  <si>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14 Г 00 R5260</t>
  </si>
  <si>
    <t>5 Подпрограмма "Техническая и технологическая модернизация"</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</si>
  <si>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 техники и оборудования</t>
  </si>
  <si>
    <t>14 4 00 22310</t>
  </si>
  <si>
    <t>Расходы на приобретение изделий автомобильной промышленности, тракторов, сельскохозяйственных машин и племенных сельскохозяйственных животных для передачи в федеральную собственность для нужд учреждений системы исполнения наказаний</t>
  </si>
  <si>
    <t>14 4 00 22330</t>
  </si>
  <si>
    <t>Субсидии на компенсацию части затрат, связанных с проведением капитального ремонта тракторов и (или) их агрегатов</t>
  </si>
  <si>
    <t>14 4 00 22360</t>
  </si>
  <si>
    <t>Субсидии на компенсацию части затрат, связанных с оплатой первоначального (авансового) лизингового взноса и  очередных лизинговых платежей</t>
  </si>
  <si>
    <t>14 4 00 22800</t>
  </si>
  <si>
    <t>Субсидии на компенсацию части затрат, связанных с приобретением машин и оборудования для пищевой, перерабатывающей и элеваторной промышленности, модульных объектов,  медицинской техники, оборудования лабораторного для анализа молока, оборудования лабораторного для иммуногенетических и молекулярно-генетических исследований, оборудования для содержания птицы яичного направления</t>
  </si>
  <si>
    <t>14 4 00 24510</t>
  </si>
  <si>
    <t>Субсидии на компенсацию части затрат на реализацию мероприятий, направленных на увеличение уровня напряжения в точке присоединения энергопринимающих устройств</t>
  </si>
  <si>
    <t>14 4 00 24520</t>
  </si>
  <si>
    <t>Отказ в предоставлении субсидии ООО Саянмолоко в связи с несоответствием представленных документов</t>
  </si>
  <si>
    <t>Субсидии на компенсацию части затрат, связанных с приобретением новых тракторов и (или) новых самоходных зерноуборочных, и (или) самоходных кормоуборочных комбайнов, и (или) зерновых сушилок, и (или) новых посевных комплексов</t>
  </si>
  <si>
    <t>14 4 00 24530</t>
  </si>
  <si>
    <t>6 Подпрограмма "Развитие мелиорации земель сельскохозяйственного назначения"</t>
  </si>
  <si>
    <t>Субсидии на возмещение части затрат на проведение культуртехнических мероприятий</t>
  </si>
  <si>
    <t>14 А 00 24180</t>
  </si>
  <si>
    <t>7 Подпрограмма "Кадровое обеспечение агропромышленного комплекса"</t>
  </si>
  <si>
    <t>Оплата услуг по проведению лекций, семинаров, дополнительному профессиональному образованию рабочих, служащих сельскохозяйственных товаропроизводителей, вновь созданных сельскохозяйственных товаропроизводителей, организаций агропромышленного комплекса, государственных и муниципальных предприятий, преподавателей, мастеров производственного обучения сельскохозяйственных образовательных организаций и муниципальных служащих</t>
  </si>
  <si>
    <t>14 6 00 22520</t>
  </si>
  <si>
    <t>экономия по результатам торгов 109,33 тыс. руб.</t>
  </si>
  <si>
    <t>Социальные выплаты на обустройство молодым специалистам, молодым рабочим</t>
  </si>
  <si>
    <t>14 6 00 22550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</si>
  <si>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выплатой заработной платы молодому специалисту</t>
  </si>
  <si>
    <t>14 6 00 22560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</si>
  <si>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дополнительным профессиональным образованием по программам повышения квалификации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</si>
  <si>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14 6 00 22580</t>
  </si>
  <si>
    <t>Субсидии базовым хозяйствам на компенсацию затрат, связанных с доплатой работнику базового хозяйства, осуществляющему руководство производственной и (или) преддипломной практикой студента</t>
  </si>
  <si>
    <t>14 6 00 23000</t>
  </si>
  <si>
    <t>Субсидии базовым хозяйствам на компенсацию затрат, связанных  с выплатой заработной платы  студентам, в случае его трудоустройства по срочному трудовому договору в период прохождения производственной и (или) преддипломной практики</t>
  </si>
  <si>
    <t>14 6 00 23010</t>
  </si>
  <si>
    <t xml:space="preserve">Социальные выплаты на обустройство гражданам, изъявившим желание переехать на постоянное место жительства в сельскую местность </t>
  </si>
  <si>
    <t>14 6 00 24640</t>
  </si>
  <si>
    <t>Социальная выплата рабочим, служащим на компенсацию затрат, связанных с получением высшего образования по очно-заочной, заочной форме обучения</t>
  </si>
  <si>
    <t>14 6 00 24680</t>
  </si>
  <si>
    <r>
      <t xml:space="preserve">Гранты в форме субсидий общеобразовательным организациям на финансовое обеспечение затрат, связанных с реализацией сетевых программ в области агротехнического образования  </t>
    </r>
    <r>
      <rPr>
        <sz val="12"/>
        <color theme="3" tint="0.39997558519241921"/>
        <rFont val="Times New Roman"/>
        <family val="1"/>
        <charset val="204"/>
      </rPr>
      <t>(минобразования края)</t>
    </r>
  </si>
  <si>
    <t>14 6 00 24670</t>
  </si>
  <si>
    <t>ожидается освоение, отчет от минобра будет представлен в январе</t>
  </si>
  <si>
    <r>
      <t xml:space="preserve">Субсидии на цели, не связанные с финансовым обеспечением выполнения государственного задания на оказание государственных услуг (выполнение работ), профессиональным образовательным организациям, осуществляющим подготовку кадров по укрупненным группам профессий и специальностей «Сельское хозяйство и сельскохозяйственные науки», «Промышленная экология и биотехнологии», для приобретения минеральных удобрений, средств химической защиты растений, элитных семян, племенных телок и (или) нетелей молочного направления продуктивности, оленей, изделий автомобильной промышленности, тракторов, сельскохозяйственных машин и оборудования, оборудования технологического для легкой и пищевой промышленности, учебного и лабораторного оборудования, программного обеспечения, в целях укрепления их материально-технической базы </t>
    </r>
    <r>
      <rPr>
        <sz val="12"/>
        <color rgb="FF008080"/>
        <rFont val="Times New Roman"/>
        <family val="1"/>
        <charset val="204"/>
      </rPr>
      <t>(минобразования края)</t>
    </r>
  </si>
  <si>
    <t>14 6 00 22570</t>
  </si>
  <si>
    <t>7 Подпрограмма "Комплексное развитие сельских территорий"</t>
  </si>
  <si>
    <t>Социальные выплаты на строительство (приобретение) жилья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</si>
  <si>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14 7 00 22610</t>
  </si>
  <si>
    <t>Субсидии сельскохозяйственным товаропроизводителям, за исключением граждан, ведущих ЛПХ,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</si>
  <si>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14 7 00 22620</t>
  </si>
  <si>
    <t>Социальные выплаты гражданам, постоянно проживающим и работающим в государственных учреждениях ветеринарии края в сельской местности или в городах Крайнего Севера и приравненных к ним местностях, на строительство (приобретение) жилья</t>
  </si>
  <si>
    <t>14 7 00 22650</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</si>
  <si>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</si>
  <si>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14 7 00 74530</t>
  </si>
  <si>
    <t>Улучшение жилищных условий граждан, проживающих на сельских территориях</t>
  </si>
  <si>
    <t>14 7 00 R5760</t>
  </si>
  <si>
    <t>8 Подпрограмма "Поддержка садоводства и огородничества"</t>
  </si>
  <si>
    <t>Гранты в форме субсидий некоммерческим товариществам на финансовое обеспечение затрат на реализацию программ развития инфраструктуры территорий некоммерческих товариществ</t>
  </si>
  <si>
    <t>14 Д 00 24400</t>
  </si>
  <si>
    <t>Гранты в форме субсидий некоммерческим товариществам на финансовое обеспечение затрат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товарищества</t>
  </si>
  <si>
    <t>14 Д 00 24420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</si>
  <si>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t>
  </si>
  <si>
    <t>14 Д 00 75750</t>
  </si>
  <si>
    <t xml:space="preserve">Отказ г. Дивногорска в связи с отсутствием доп средств местного бюджета и в связи с окончанием текущего финансового года
</t>
  </si>
  <si>
    <t>9 Подпрограмма "Обеспечение реализации Государственной программы"</t>
  </si>
  <si>
    <t>Руководство и управление в сфере установленных функций органов государственной власти, в том числе:</t>
  </si>
  <si>
    <t>министерство сельского хозяйства и торговли (грбс - 121)</t>
  </si>
  <si>
    <t>14 8 00 00210</t>
  </si>
  <si>
    <t>служба ветнадзора (грбс-120)</t>
  </si>
  <si>
    <t>служба гостехнадзора (грбс - 069)</t>
  </si>
  <si>
    <t>Обеспечение деятельности (оказание услуг) подведомственных учреждений, в том числе:</t>
  </si>
  <si>
    <t>Подведомственное учреждение (Центр ДИТО МСХ и ГТН (гостехнадзор))</t>
  </si>
  <si>
    <t>14 8 00 00610</t>
  </si>
  <si>
    <r>
      <rPr>
        <sz val="12"/>
        <rFont val="Times New Roman"/>
        <family val="1"/>
        <charset val="204"/>
      </rPr>
      <t>ветеринарная сеть</t>
    </r>
    <r>
      <rPr>
        <sz val="11"/>
        <rFont val="Times New Roman"/>
        <family val="1"/>
        <charset val="204"/>
      </rPr>
      <t xml:space="preserve"> (ветслужба)</t>
    </r>
  </si>
  <si>
    <r>
      <t>за счет приносящей доход предпринимательской  деятельности</t>
    </r>
    <r>
      <rPr>
        <sz val="11"/>
        <rFont val="Times New Roman"/>
        <family val="1"/>
        <charset val="204"/>
      </rPr>
      <t xml:space="preserve"> (ветслужба)</t>
    </r>
  </si>
  <si>
    <t>14 8 00 08100</t>
  </si>
  <si>
    <r>
      <t>за счет доходов от сдачи в аренду имущества</t>
    </r>
    <r>
      <rPr>
        <sz val="11"/>
        <rFont val="Times New Roman"/>
        <family val="1"/>
        <charset val="204"/>
      </rPr>
      <t xml:space="preserve"> (ветслужба)</t>
    </r>
  </si>
  <si>
    <t>14 8 00 07200</t>
  </si>
  <si>
    <t>Расходы на закупку электронно-вычислительной техники, оргтехники, сетевого и серверного оборудования, компьютерного программного обеспечения и услуг по его разработке, модификации, адаптации, тестированию, сопровождению (в том числе технической поддержки) для центрального узла информационного обеспечения агропромышленного комплекса и услуг по обучению специалистов, использующих программное обеспечение</t>
  </si>
  <si>
    <t>14 8 00 22710</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</si>
  <si>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</si>
  <si>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14 8 00 22730</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</si>
  <si>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</si>
  <si>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14 8 00 22740</t>
  </si>
  <si>
    <t>Расходы на закупку консультационных услуг</t>
  </si>
  <si>
    <t>14 8 00 22770</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</si>
  <si>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</si>
  <si>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t>14 8 00 75170</t>
  </si>
  <si>
    <t>Расходы на реализацию региональной программы Красноярского края "Обеспечение защиты прав потребителей"</t>
  </si>
  <si>
    <t>14 8 00 22720</t>
  </si>
  <si>
    <t xml:space="preserve">Субвенция бюджету Эвенкийского муниципального района на осуществление органами местного самоуправления отдельных государственных полномочий по лицензированию розничной продажи алкогольной продукции (в соответствии с Законом края от 7 февраля 2008 года N 4-1254) </t>
  </si>
  <si>
    <t>14 8 00 75120</t>
  </si>
  <si>
    <t>Предусмотрено на 2020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</si>
</sst>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0000"/>
    <numFmt numFmtId="166" formatCode="#,##0.000000"/>
    <numFmt numFmtId="167" formatCode="?"/>
    <numFmt numFmtId="168" formatCode="#,##0.000"/>
    <numFmt numFmtId="169" formatCode="#,##0.0000"/>
    <numFmt numFmtId="170" formatCode="#,##0.00000"/>
  </numFmts>
  <fonts count="25" x14ac:knownFonts="1">
    <font>
      <sz val="10"/>
      <name val="Arial Cyr"/>
      <charset val="204"/>
    </font>
    <font>
      <sz val="10"/>
      <name val="Arial Cyr"/>
      <charset val="204"/>
    </font>
    <font>
      <b/>
      <sz val="12"/>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2"/>
      <color indexed="10"/>
      <name val="Times New Roman"/>
      <family val="1"/>
      <charset val="204"/>
    </font>
    <font>
      <b/>
      <sz val="11"/>
      <name val="Times New Roman"/>
      <family val="1"/>
      <charset val="204"/>
    </font>
    <font>
      <b/>
      <sz val="12"/>
      <color rgb="FFFF0000"/>
      <name val="Times New Roman"/>
      <family val="1"/>
      <charset val="204"/>
    </font>
    <font>
      <b/>
      <i/>
      <sz val="12"/>
      <color rgb="FF0070C0"/>
      <name val="Times New Roman"/>
      <family val="1"/>
      <charset val="204"/>
    </font>
    <font>
      <b/>
      <sz val="12"/>
      <color rgb="FF0070C0"/>
      <name val="Times New Roman"/>
      <family val="1"/>
      <charset val="204"/>
    </font>
    <font>
      <b/>
      <i/>
      <sz val="11"/>
      <color rgb="FF0070C0"/>
      <name val="Times New Roman"/>
      <family val="1"/>
      <charset val="204"/>
    </font>
    <font>
      <b/>
      <i/>
      <sz val="12"/>
      <name val="Times New Roman"/>
      <family val="1"/>
      <charset val="204"/>
    </font>
    <font>
      <i/>
      <sz val="12"/>
      <color rgb="FF0070C0"/>
      <name val="Times New Roman"/>
      <family val="1"/>
      <charset val="204"/>
    </font>
    <font>
      <sz val="12"/>
      <color rgb="FF0070C0"/>
      <name val="Times New Roman"/>
      <family val="1"/>
      <charset val="204"/>
    </font>
    <font>
      <b/>
      <i/>
      <sz val="12"/>
      <color rgb="FFFF0000"/>
      <name val="Times New Roman"/>
      <family val="1"/>
      <charset val="204"/>
    </font>
    <font>
      <sz val="10"/>
      <name val="Arial"/>
      <family val="2"/>
      <charset val="204"/>
    </font>
    <font>
      <sz val="8"/>
      <name val="Arial Cyr"/>
    </font>
    <font>
      <b/>
      <sz val="11"/>
      <color rgb="FF996633"/>
      <name val="Times New Roman"/>
      <family val="1"/>
      <charset val="204"/>
    </font>
    <font>
      <b/>
      <sz val="12"/>
      <color rgb="FF996633"/>
      <name val="Times New Roman"/>
      <family val="1"/>
      <charset val="204"/>
    </font>
    <font>
      <sz val="12"/>
      <color indexed="8"/>
      <name val="Times New Roman"/>
      <family val="1"/>
      <charset val="204"/>
    </font>
    <font>
      <sz val="12"/>
      <color theme="3" tint="0.39997558519241921"/>
      <name val="Times New Roman"/>
      <family val="1"/>
      <charset val="204"/>
    </font>
    <font>
      <sz val="12"/>
      <color rgb="FF008080"/>
      <name val="Times New Roman"/>
      <family val="1"/>
      <charset val="204"/>
    </font>
    <font>
      <i/>
      <sz val="12"/>
      <name val="Times New Roman"/>
      <family val="1"/>
      <charset val="204"/>
    </font>
    <font>
      <i/>
      <sz val="11"/>
      <name val="Times New Roman"/>
      <family val="1"/>
      <charset val="204"/>
    </font>
  </fonts>
  <fills count="12">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rgb="FF99FF99"/>
        <bgColor indexed="64"/>
      </patternFill>
    </fill>
    <fill>
      <patternFill patternType="solid">
        <fgColor rgb="FFFFFF00"/>
        <bgColor indexed="64"/>
      </patternFill>
    </fill>
    <fill>
      <patternFill patternType="solid">
        <fgColor rgb="FFFFCCCC"/>
        <bgColor indexed="64"/>
      </patternFill>
    </fill>
    <fill>
      <patternFill patternType="solid">
        <fgColor rgb="FFFFCCFF"/>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66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0" fontId="16" fillId="0" borderId="0"/>
    <xf numFmtId="0" fontId="1" fillId="0" borderId="0"/>
    <xf numFmtId="0" fontId="1" fillId="0" borderId="0"/>
  </cellStyleXfs>
  <cellXfs count="166">
    <xf numFmtId="0" fontId="0" fillId="0" borderId="0" xfId="0"/>
    <xf numFmtId="0" fontId="2" fillId="0" borderId="0" xfId="0" applyFont="1" applyFill="1" applyAlignment="1">
      <alignment horizontal="center" vertical="center" wrapText="1"/>
    </xf>
    <xf numFmtId="0" fontId="3" fillId="0" borderId="0" xfId="0" applyFont="1" applyAlignment="1">
      <alignment vertical="top"/>
    </xf>
    <xf numFmtId="14" fontId="2" fillId="0" borderId="0" xfId="0" applyNumberFormat="1" applyFont="1" applyFill="1" applyAlignment="1">
      <alignment horizontal="center"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wrapText="1"/>
    </xf>
    <xf numFmtId="164" fontId="3" fillId="0" borderId="0"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wrapText="1"/>
    </xf>
    <xf numFmtId="165" fontId="3" fillId="0" borderId="0" xfId="0" applyNumberFormat="1" applyFont="1" applyAlignment="1">
      <alignment vertical="top"/>
    </xf>
    <xf numFmtId="4" fontId="3" fillId="0" borderId="0" xfId="0" applyNumberFormat="1" applyFont="1" applyFill="1" applyAlignment="1">
      <alignment horizontal="right" vertical="top"/>
    </xf>
    <xf numFmtId="0" fontId="3" fillId="0" borderId="0" xfId="0" applyFont="1" applyFill="1" applyAlignment="1">
      <alignment vertical="top"/>
    </xf>
    <xf numFmtId="0" fontId="5" fillId="0" borderId="0" xfId="0" applyFont="1" applyFill="1" applyAlignment="1">
      <alignment horizontal="right"/>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65" fontId="2" fillId="0" borderId="5"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top" wrapText="1"/>
    </xf>
    <xf numFmtId="1" fontId="3" fillId="0" borderId="1" xfId="0" applyNumberFormat="1" applyFont="1" applyFill="1" applyBorder="1" applyAlignment="1">
      <alignment horizontal="center" wrapText="1"/>
    </xf>
    <xf numFmtId="1" fontId="5" fillId="0" borderId="1" xfId="0" applyNumberFormat="1" applyFont="1" applyFill="1" applyBorder="1" applyAlignment="1">
      <alignment horizontal="center" vertical="top" wrapText="1"/>
    </xf>
    <xf numFmtId="1" fontId="3" fillId="0" borderId="1" xfId="0" applyNumberFormat="1" applyFont="1" applyBorder="1" applyAlignment="1">
      <alignment horizontal="center" vertical="top"/>
    </xf>
    <xf numFmtId="1" fontId="3" fillId="0" borderId="0" xfId="0" applyNumberFormat="1" applyFont="1" applyAlignment="1">
      <alignment horizontal="center" vertical="top"/>
    </xf>
    <xf numFmtId="0" fontId="6" fillId="2" borderId="1" xfId="0" applyFont="1" applyFill="1" applyBorder="1" applyAlignment="1">
      <alignment horizontal="left" vertical="top" wrapText="1"/>
    </xf>
    <xf numFmtId="0" fontId="6" fillId="2" borderId="1" xfId="0" applyFont="1" applyFill="1" applyBorder="1" applyAlignment="1">
      <alignment horizontal="center" wrapText="1"/>
    </xf>
    <xf numFmtId="4" fontId="7" fillId="2" borderId="1" xfId="0" applyNumberFormat="1" applyFont="1" applyFill="1" applyBorder="1" applyAlignment="1">
      <alignment horizontal="right" wrapText="1"/>
    </xf>
    <xf numFmtId="4" fontId="8" fillId="2" borderId="1" xfId="0" applyNumberFormat="1" applyFont="1" applyFill="1" applyBorder="1" applyAlignment="1">
      <alignment horizontal="right" wrapText="1"/>
    </xf>
    <xf numFmtId="0" fontId="2" fillId="0" borderId="1" xfId="0" applyFont="1" applyFill="1" applyBorder="1" applyAlignment="1">
      <alignment vertical="top"/>
    </xf>
    <xf numFmtId="0" fontId="2" fillId="0" borderId="0" xfId="0" applyFont="1" applyFill="1" applyAlignment="1">
      <alignment vertical="top"/>
    </xf>
    <xf numFmtId="0" fontId="9" fillId="0" borderId="1" xfId="0" applyFont="1" applyFill="1" applyBorder="1" applyAlignment="1">
      <alignment horizontal="left" vertical="top" wrapText="1" indent="2"/>
    </xf>
    <xf numFmtId="49" fontId="10" fillId="0" borderId="1" xfId="0" applyNumberFormat="1" applyFont="1" applyFill="1" applyBorder="1" applyAlignment="1">
      <alignment horizontal="center"/>
    </xf>
    <xf numFmtId="4" fontId="11" fillId="0" borderId="1" xfId="0" applyNumberFormat="1" applyFont="1" applyFill="1" applyBorder="1" applyAlignment="1">
      <alignment horizontal="right" wrapText="1"/>
    </xf>
    <xf numFmtId="4" fontId="9" fillId="0" borderId="1" xfId="0" applyNumberFormat="1" applyFont="1" applyFill="1" applyBorder="1" applyAlignment="1">
      <alignment horizontal="right" wrapText="1"/>
    </xf>
    <xf numFmtId="164" fontId="9" fillId="0" borderId="1" xfId="0" applyNumberFormat="1" applyFont="1" applyFill="1" applyBorder="1" applyAlignment="1">
      <alignment horizontal="right" wrapText="1"/>
    </xf>
    <xf numFmtId="0" fontId="12" fillId="0" borderId="0" xfId="0" applyFont="1" applyFill="1" applyAlignment="1">
      <alignment vertical="top"/>
    </xf>
    <xf numFmtId="4" fontId="12" fillId="0" borderId="0" xfId="0" applyNumberFormat="1" applyFont="1" applyFill="1" applyAlignment="1">
      <alignment vertical="top"/>
    </xf>
    <xf numFmtId="0" fontId="6" fillId="3" borderId="1" xfId="0" applyFont="1" applyFill="1" applyBorder="1" applyAlignment="1">
      <alignment horizontal="left" vertical="top" wrapText="1"/>
    </xf>
    <xf numFmtId="4" fontId="8" fillId="3" borderId="1" xfId="0" applyNumberFormat="1" applyFont="1" applyFill="1" applyBorder="1" applyAlignment="1">
      <alignment horizontal="right" wrapText="1"/>
    </xf>
    <xf numFmtId="164" fontId="8" fillId="3" borderId="1" xfId="0" applyNumberFormat="1" applyFont="1" applyFill="1" applyBorder="1" applyAlignment="1">
      <alignment horizontal="right" wrapText="1"/>
    </xf>
    <xf numFmtId="0" fontId="13" fillId="0" borderId="1" xfId="0" applyFont="1" applyFill="1" applyBorder="1" applyAlignment="1">
      <alignment horizontal="left" vertical="top" wrapText="1" indent="2"/>
    </xf>
    <xf numFmtId="0" fontId="6" fillId="3" borderId="1" xfId="0" applyFont="1" applyFill="1" applyBorder="1" applyAlignment="1">
      <alignment horizontal="center" wrapText="1"/>
    </xf>
    <xf numFmtId="4" fontId="7" fillId="3" borderId="1" xfId="0" applyNumberFormat="1" applyFont="1" applyFill="1" applyBorder="1" applyAlignment="1">
      <alignment horizontal="right" wrapText="1"/>
    </xf>
    <xf numFmtId="0" fontId="2" fillId="3" borderId="0" xfId="0" applyFont="1" applyFill="1" applyAlignment="1">
      <alignment vertical="top"/>
    </xf>
    <xf numFmtId="0" fontId="13" fillId="0" borderId="1" xfId="0" applyFont="1" applyFill="1" applyBorder="1" applyAlignment="1">
      <alignment horizontal="center" wrapText="1"/>
    </xf>
    <xf numFmtId="0" fontId="12" fillId="0" borderId="1" xfId="0" applyFont="1" applyFill="1" applyBorder="1" applyAlignment="1">
      <alignment vertical="top"/>
    </xf>
    <xf numFmtId="0" fontId="8" fillId="0" borderId="1" xfId="0" applyFont="1" applyFill="1" applyBorder="1" applyAlignment="1">
      <alignment horizontal="left" vertical="top" wrapText="1"/>
    </xf>
    <xf numFmtId="49" fontId="3" fillId="4" borderId="1" xfId="0" applyNumberFormat="1" applyFont="1" applyFill="1" applyBorder="1" applyAlignment="1">
      <alignment horizontal="center"/>
    </xf>
    <xf numFmtId="4" fontId="8" fillId="0" borderId="1" xfId="0" applyNumberFormat="1" applyFont="1" applyFill="1" applyBorder="1" applyAlignment="1">
      <alignment horizontal="right" wrapText="1"/>
    </xf>
    <xf numFmtId="4" fontId="8" fillId="0" borderId="1" xfId="0" applyNumberFormat="1" applyFont="1" applyBorder="1" applyAlignment="1">
      <alignment vertical="top"/>
    </xf>
    <xf numFmtId="0" fontId="8" fillId="0" borderId="0" xfId="0" applyFont="1" applyAlignment="1">
      <alignment vertical="top"/>
    </xf>
    <xf numFmtId="49" fontId="14" fillId="0" borderId="1" xfId="0" applyNumberFormat="1" applyFont="1" applyFill="1" applyBorder="1" applyAlignment="1">
      <alignment horizontal="center"/>
    </xf>
    <xf numFmtId="0" fontId="15" fillId="0" borderId="1" xfId="0" applyFont="1" applyBorder="1" applyAlignment="1">
      <alignment vertical="top"/>
    </xf>
    <xf numFmtId="0" fontId="15" fillId="0" borderId="0" xfId="0" applyFont="1" applyAlignment="1">
      <alignment vertical="top"/>
    </xf>
    <xf numFmtId="167" fontId="3" fillId="0" borderId="1" xfId="0" applyNumberFormat="1" applyFont="1" applyFill="1" applyBorder="1" applyAlignment="1" applyProtection="1">
      <alignment horizontal="left" vertical="center" wrapText="1"/>
    </xf>
    <xf numFmtId="49" fontId="3" fillId="0" borderId="1" xfId="0" applyNumberFormat="1" applyFont="1" applyFill="1" applyBorder="1" applyAlignment="1">
      <alignment horizontal="center"/>
    </xf>
    <xf numFmtId="0" fontId="3" fillId="0" borderId="1" xfId="0" applyNumberFormat="1" applyFont="1" applyFill="1" applyBorder="1" applyAlignment="1">
      <alignment horizontal="center"/>
    </xf>
    <xf numFmtId="4" fontId="3" fillId="0" borderId="1" xfId="0" applyNumberFormat="1" applyFont="1" applyFill="1" applyBorder="1" applyAlignment="1">
      <alignment horizontal="right"/>
    </xf>
    <xf numFmtId="4" fontId="3" fillId="0" borderId="5" xfId="0" applyNumberFormat="1" applyFont="1" applyFill="1" applyBorder="1" applyAlignment="1">
      <alignment horizontal="right" wrapText="1"/>
    </xf>
    <xf numFmtId="4" fontId="3" fillId="5" borderId="5" xfId="0" applyNumberFormat="1" applyFont="1" applyFill="1" applyBorder="1" applyAlignment="1">
      <alignment horizontal="right" wrapText="1"/>
    </xf>
    <xf numFmtId="4" fontId="3" fillId="0" borderId="1" xfId="0" applyNumberFormat="1" applyFont="1" applyFill="1" applyBorder="1" applyAlignment="1">
      <alignment horizontal="right" wrapText="1"/>
    </xf>
    <xf numFmtId="164" fontId="3" fillId="0" borderId="1" xfId="0" applyNumberFormat="1" applyFont="1" applyBorder="1" applyAlignment="1"/>
    <xf numFmtId="4" fontId="3" fillId="0" borderId="1" xfId="0" applyNumberFormat="1" applyFont="1" applyFill="1" applyBorder="1" applyAlignment="1"/>
    <xf numFmtId="0" fontId="3" fillId="0" borderId="1" xfId="0" applyFont="1" applyBorder="1" applyAlignment="1">
      <alignment vertical="top"/>
    </xf>
    <xf numFmtId="4" fontId="3" fillId="6" borderId="5" xfId="0" applyNumberFormat="1" applyFont="1" applyFill="1" applyBorder="1" applyAlignment="1">
      <alignment horizontal="right" wrapText="1"/>
    </xf>
    <xf numFmtId="164" fontId="3" fillId="0" borderId="1" xfId="0" applyNumberFormat="1" applyFont="1" applyFill="1" applyBorder="1" applyAlignment="1">
      <alignment horizontal="right" wrapText="1"/>
    </xf>
    <xf numFmtId="0" fontId="3" fillId="0" borderId="1" xfId="0" applyNumberFormat="1" applyFont="1" applyFill="1" applyBorder="1" applyAlignment="1">
      <alignment horizontal="left" wrapText="1"/>
    </xf>
    <xf numFmtId="49" fontId="3" fillId="0" borderId="1" xfId="0" applyNumberFormat="1" applyFont="1" applyFill="1" applyBorder="1" applyAlignment="1">
      <alignment horizontal="left" vertical="top" wrapText="1"/>
    </xf>
    <xf numFmtId="4" fontId="3" fillId="7" borderId="5" xfId="0" applyNumberFormat="1" applyFont="1" applyFill="1" applyBorder="1" applyAlignment="1">
      <alignment horizontal="right" wrapText="1"/>
    </xf>
    <xf numFmtId="164" fontId="3" fillId="0" borderId="1" xfId="0" applyNumberFormat="1" applyFont="1" applyFill="1" applyBorder="1" applyAlignment="1"/>
    <xf numFmtId="49" fontId="3" fillId="4" borderId="1" xfId="0" applyNumberFormat="1" applyFont="1" applyFill="1" applyBorder="1" applyAlignment="1">
      <alignment horizontal="left" wrapText="1"/>
    </xf>
    <xf numFmtId="0" fontId="3" fillId="0" borderId="1" xfId="0" applyNumberFormat="1" applyFont="1" applyFill="1" applyBorder="1" applyAlignment="1">
      <alignment horizontal="left" vertical="top" wrapText="1"/>
    </xf>
    <xf numFmtId="164" fontId="3" fillId="8" borderId="1" xfId="0" applyNumberFormat="1" applyFont="1" applyFill="1" applyBorder="1" applyAlignment="1"/>
    <xf numFmtId="49" fontId="3" fillId="0" borderId="2" xfId="0" applyNumberFormat="1" applyFont="1" applyFill="1" applyBorder="1" applyAlignment="1">
      <alignment horizontal="left" vertical="top" wrapText="1"/>
    </xf>
    <xf numFmtId="49" fontId="3" fillId="0" borderId="2" xfId="0" applyNumberFormat="1" applyFont="1" applyFill="1" applyBorder="1" applyAlignment="1">
      <alignment horizontal="center"/>
    </xf>
    <xf numFmtId="0" fontId="3" fillId="0" borderId="2" xfId="0" applyNumberFormat="1" applyFont="1" applyFill="1" applyBorder="1" applyAlignment="1">
      <alignment horizontal="center"/>
    </xf>
    <xf numFmtId="0" fontId="3" fillId="0" borderId="1" xfId="0" applyFont="1" applyBorder="1" applyAlignment="1"/>
    <xf numFmtId="166" fontId="3" fillId="0" borderId="1" xfId="0" applyNumberFormat="1" applyFont="1" applyFill="1" applyBorder="1" applyAlignment="1">
      <alignment horizontal="right" wrapText="1"/>
    </xf>
    <xf numFmtId="0" fontId="3" fillId="0" borderId="1" xfId="0" applyFont="1" applyBorder="1" applyAlignment="1">
      <alignment wrapText="1"/>
    </xf>
    <xf numFmtId="0" fontId="3" fillId="0" borderId="1" xfId="0" applyFont="1" applyBorder="1" applyAlignment="1">
      <alignment vertical="top" wrapText="1"/>
    </xf>
    <xf numFmtId="4" fontId="17" fillId="0" borderId="0" xfId="1" applyNumberFormat="1" applyFont="1" applyBorder="1" applyAlignment="1" applyProtection="1">
      <alignment horizontal="right" vertical="center" wrapText="1"/>
    </xf>
    <xf numFmtId="165" fontId="3" fillId="0" borderId="1" xfId="0" applyNumberFormat="1" applyFont="1" applyFill="1" applyBorder="1" applyAlignment="1">
      <alignment horizontal="right" wrapText="1"/>
    </xf>
    <xf numFmtId="0" fontId="3" fillId="0" borderId="2" xfId="0" applyFont="1" applyBorder="1" applyAlignment="1">
      <alignment vertical="top" wrapText="1"/>
    </xf>
    <xf numFmtId="0" fontId="3" fillId="0" borderId="5" xfId="0" applyFont="1" applyBorder="1" applyAlignment="1">
      <alignment vertical="top" wrapText="1"/>
    </xf>
    <xf numFmtId="0" fontId="3" fillId="0" borderId="2" xfId="0" applyFont="1" applyBorder="1" applyAlignment="1">
      <alignment wrapText="1"/>
    </xf>
    <xf numFmtId="168" fontId="3" fillId="0" borderId="1" xfId="0" applyNumberFormat="1" applyFont="1" applyFill="1" applyBorder="1" applyAlignment="1">
      <alignment horizontal="right" wrapText="1"/>
    </xf>
    <xf numFmtId="0" fontId="3" fillId="0" borderId="6" xfId="0" applyFont="1" applyBorder="1" applyAlignment="1">
      <alignment wrapText="1"/>
    </xf>
    <xf numFmtId="0" fontId="3" fillId="0" borderId="5" xfId="0" applyFont="1" applyBorder="1" applyAlignment="1">
      <alignment wrapText="1"/>
    </xf>
    <xf numFmtId="4" fontId="3" fillId="9" borderId="5" xfId="0" applyNumberFormat="1" applyFont="1" applyFill="1" applyBorder="1" applyAlignment="1">
      <alignment horizontal="right" wrapText="1"/>
    </xf>
    <xf numFmtId="4" fontId="8" fillId="4" borderId="1" xfId="0" applyNumberFormat="1" applyFont="1" applyFill="1" applyBorder="1" applyAlignment="1">
      <alignment horizontal="right" wrapText="1"/>
    </xf>
    <xf numFmtId="164" fontId="8" fillId="0" borderId="1" xfId="0" applyNumberFormat="1" applyFont="1" applyFill="1" applyBorder="1" applyAlignment="1">
      <alignment horizontal="right" wrapText="1"/>
    </xf>
    <xf numFmtId="0" fontId="5" fillId="0" borderId="1" xfId="0" applyNumberFormat="1" applyFont="1" applyFill="1" applyBorder="1" applyAlignment="1">
      <alignment horizontal="left" wrapText="1"/>
    </xf>
    <xf numFmtId="49" fontId="3" fillId="0" borderId="1" xfId="0" applyNumberFormat="1" applyFont="1" applyFill="1" applyBorder="1" applyAlignment="1">
      <alignment horizontal="center" vertical="center"/>
    </xf>
    <xf numFmtId="4" fontId="3" fillId="10" borderId="5" xfId="0" applyNumberFormat="1" applyFont="1" applyFill="1" applyBorder="1" applyAlignment="1">
      <alignment horizontal="right" wrapText="1"/>
    </xf>
    <xf numFmtId="0" fontId="3" fillId="0" borderId="1" xfId="0" applyNumberFormat="1" applyFont="1" applyFill="1" applyBorder="1" applyAlignment="1">
      <alignment horizontal="center" vertical="center"/>
    </xf>
    <xf numFmtId="4" fontId="3" fillId="11" borderId="5" xfId="0" applyNumberFormat="1" applyFont="1" applyFill="1" applyBorder="1" applyAlignment="1">
      <alignment horizontal="right" wrapText="1"/>
    </xf>
    <xf numFmtId="169" fontId="3" fillId="0" borderId="1" xfId="0" applyNumberFormat="1" applyFont="1" applyFill="1" applyBorder="1" applyAlignment="1">
      <alignment horizontal="right" wrapText="1"/>
    </xf>
    <xf numFmtId="0" fontId="3" fillId="0" borderId="1" xfId="0" applyNumberFormat="1" applyFont="1" applyFill="1" applyBorder="1" applyAlignment="1">
      <alignment vertical="center" wrapText="1"/>
    </xf>
    <xf numFmtId="0" fontId="8" fillId="0" borderId="1" xfId="0" applyNumberFormat="1" applyFont="1" applyFill="1" applyBorder="1" applyAlignment="1">
      <alignment horizontal="right"/>
    </xf>
    <xf numFmtId="0" fontId="8" fillId="0" borderId="1" xfId="0" applyFont="1" applyBorder="1" applyAlignment="1">
      <alignment vertical="top"/>
    </xf>
    <xf numFmtId="0" fontId="8" fillId="0" borderId="2" xfId="0" applyNumberFormat="1" applyFont="1" applyFill="1" applyBorder="1" applyAlignment="1">
      <alignment horizontal="right"/>
    </xf>
    <xf numFmtId="0" fontId="3" fillId="0" borderId="1" xfId="0" applyNumberFormat="1" applyFont="1" applyFill="1" applyBorder="1" applyAlignment="1">
      <alignment horizontal="right"/>
    </xf>
    <xf numFmtId="0" fontId="3" fillId="0" borderId="1" xfId="0" applyFont="1" applyFill="1" applyBorder="1" applyAlignment="1">
      <alignment horizontal="left"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2" xfId="0" applyNumberFormat="1" applyFont="1" applyFill="1" applyBorder="1" applyAlignment="1">
      <alignment horizontal="right"/>
    </xf>
    <xf numFmtId="4" fontId="3" fillId="0" borderId="1" xfId="0" applyNumberFormat="1" applyFont="1" applyFill="1" applyBorder="1" applyAlignment="1">
      <alignment wrapText="1"/>
    </xf>
    <xf numFmtId="4" fontId="3" fillId="0" borderId="1" xfId="0" applyNumberFormat="1" applyFont="1" applyFill="1" applyBorder="1" applyAlignment="1">
      <alignment vertical="center" wrapText="1"/>
    </xf>
    <xf numFmtId="49" fontId="3" fillId="0" borderId="0" xfId="0" applyNumberFormat="1" applyFont="1" applyFill="1" applyBorder="1" applyAlignment="1">
      <alignment horizontal="left" wrapText="1"/>
    </xf>
    <xf numFmtId="0" fontId="3" fillId="0" borderId="3" xfId="0" applyNumberFormat="1" applyFont="1" applyFill="1" applyBorder="1" applyAlignment="1">
      <alignment horizontal="left" vertical="top" wrapText="1"/>
    </xf>
    <xf numFmtId="49" fontId="3" fillId="0" borderId="3" xfId="0" applyNumberFormat="1" applyFont="1" applyFill="1" applyBorder="1" applyAlignment="1">
      <alignment horizontal="center"/>
    </xf>
    <xf numFmtId="170" fontId="3" fillId="0" borderId="1" xfId="0" applyNumberFormat="1" applyFont="1" applyFill="1" applyBorder="1" applyAlignment="1">
      <alignment horizontal="right" wrapText="1"/>
    </xf>
    <xf numFmtId="0" fontId="13" fillId="0" borderId="1" xfId="0" applyFont="1" applyFill="1" applyBorder="1" applyAlignment="1">
      <alignment horizontal="left" wrapText="1" indent="2"/>
    </xf>
    <xf numFmtId="0" fontId="3" fillId="0" borderId="1" xfId="0" applyNumberFormat="1" applyFont="1" applyFill="1" applyBorder="1" applyAlignment="1">
      <alignment wrapText="1"/>
    </xf>
    <xf numFmtId="0" fontId="3" fillId="0" borderId="2" xfId="0" applyFont="1" applyFill="1" applyBorder="1" applyAlignment="1">
      <alignment vertical="top" wrapText="1"/>
    </xf>
    <xf numFmtId="4" fontId="3" fillId="0" borderId="0" xfId="0" applyNumberFormat="1" applyFont="1" applyAlignment="1">
      <alignment vertical="top"/>
    </xf>
    <xf numFmtId="0" fontId="20" fillId="0" borderId="1" xfId="0" applyFont="1" applyFill="1" applyBorder="1" applyAlignment="1">
      <alignment horizontal="left" vertical="top" wrapText="1"/>
    </xf>
    <xf numFmtId="49" fontId="20" fillId="0" borderId="1" xfId="0" applyNumberFormat="1" applyFont="1" applyFill="1" applyBorder="1" applyAlignment="1">
      <alignment horizontal="center"/>
    </xf>
    <xf numFmtId="0" fontId="20" fillId="0" borderId="1" xfId="0" applyNumberFormat="1" applyFont="1" applyFill="1" applyBorder="1" applyAlignment="1">
      <alignment horizontal="right"/>
    </xf>
    <xf numFmtId="49" fontId="3" fillId="0" borderId="1" xfId="0" applyNumberFormat="1" applyFont="1" applyFill="1" applyBorder="1" applyAlignment="1">
      <alignment horizontal="left" wrapText="1"/>
    </xf>
    <xf numFmtId="0" fontId="3" fillId="0" borderId="1" xfId="0" applyFont="1" applyFill="1" applyBorder="1" applyAlignment="1">
      <alignment vertical="top" wrapText="1"/>
    </xf>
    <xf numFmtId="49" fontId="20" fillId="0" borderId="2" xfId="0" applyNumberFormat="1" applyFont="1" applyFill="1" applyBorder="1" applyAlignment="1">
      <alignment horizontal="center"/>
    </xf>
    <xf numFmtId="0" fontId="3" fillId="0" borderId="2" xfId="0" applyNumberFormat="1" applyFont="1" applyFill="1" applyBorder="1" applyAlignment="1">
      <alignment horizontal="left" vertical="top" wrapText="1"/>
    </xf>
    <xf numFmtId="0" fontId="20" fillId="0" borderId="2" xfId="0" applyNumberFormat="1" applyFont="1" applyFill="1" applyBorder="1" applyAlignment="1">
      <alignment horizontal="right"/>
    </xf>
    <xf numFmtId="4" fontId="8" fillId="0" borderId="1" xfId="0" applyNumberFormat="1" applyFont="1" applyFill="1" applyBorder="1" applyAlignment="1">
      <alignment horizontal="right"/>
    </xf>
    <xf numFmtId="0" fontId="3" fillId="0" borderId="1" xfId="0" quotePrefix="1" applyNumberFormat="1" applyFont="1" applyFill="1" applyBorder="1" applyAlignment="1">
      <alignment horizontal="left" vertical="top" wrapText="1"/>
    </xf>
    <xf numFmtId="0" fontId="23" fillId="0" borderId="1" xfId="0" applyFont="1" applyFill="1" applyBorder="1" applyAlignment="1">
      <alignment horizontal="left" vertical="top" wrapText="1"/>
    </xf>
    <xf numFmtId="49" fontId="23" fillId="0" borderId="1" xfId="0" applyNumberFormat="1" applyFont="1" applyFill="1" applyBorder="1" applyAlignment="1">
      <alignment horizontal="center"/>
    </xf>
    <xf numFmtId="0" fontId="24" fillId="0" borderId="1" xfId="0" applyNumberFormat="1" applyFont="1" applyFill="1" applyBorder="1" applyAlignment="1">
      <alignment horizontal="right"/>
    </xf>
    <xf numFmtId="4" fontId="24" fillId="0" borderId="1" xfId="0" applyNumberFormat="1" applyFont="1" applyFill="1" applyBorder="1" applyAlignment="1">
      <alignment horizontal="right" wrapText="1"/>
    </xf>
    <xf numFmtId="164" fontId="23" fillId="0" borderId="1" xfId="0" applyNumberFormat="1" applyFont="1" applyFill="1" applyBorder="1" applyAlignment="1">
      <alignment horizontal="right" wrapText="1"/>
    </xf>
    <xf numFmtId="0" fontId="23" fillId="0" borderId="1" xfId="0" applyFont="1" applyBorder="1" applyAlignment="1">
      <alignment vertical="top"/>
    </xf>
    <xf numFmtId="0" fontId="23" fillId="0" borderId="0" xfId="0" applyFont="1" applyAlignment="1">
      <alignment vertical="top"/>
    </xf>
    <xf numFmtId="0" fontId="3" fillId="0" borderId="1" xfId="0" applyFont="1" applyFill="1" applyBorder="1" applyAlignment="1">
      <alignment vertical="top"/>
    </xf>
    <xf numFmtId="0" fontId="23" fillId="0" borderId="1" xfId="0" applyNumberFormat="1" applyFont="1" applyFill="1" applyBorder="1" applyAlignment="1">
      <alignment horizontal="right"/>
    </xf>
    <xf numFmtId="164" fontId="24" fillId="0" borderId="1" xfId="0" applyNumberFormat="1" applyFont="1" applyFill="1" applyBorder="1" applyAlignment="1">
      <alignment horizontal="right" wrapText="1"/>
    </xf>
    <xf numFmtId="0" fontId="23" fillId="0" borderId="1" xfId="0" applyFont="1" applyFill="1" applyBorder="1" applyAlignment="1">
      <alignment vertical="top"/>
    </xf>
    <xf numFmtId="0" fontId="23" fillId="0" borderId="0" xfId="0" applyFont="1" applyFill="1" applyAlignment="1">
      <alignment vertical="top"/>
    </xf>
    <xf numFmtId="0" fontId="5"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0" fontId="3" fillId="0" borderId="1" xfId="0" applyFont="1" applyFill="1" applyBorder="1" applyAlignment="1">
      <alignment horizontal="left" vertical="top"/>
    </xf>
    <xf numFmtId="4" fontId="3" fillId="6" borderId="1" xfId="0" applyNumberFormat="1" applyFont="1" applyFill="1" applyBorder="1" applyAlignment="1">
      <alignment horizontal="right" wrapText="1"/>
    </xf>
    <xf numFmtId="4" fontId="3" fillId="0" borderId="1" xfId="0" applyNumberFormat="1" applyFont="1" applyBorder="1" applyAlignment="1"/>
    <xf numFmtId="4" fontId="3" fillId="0" borderId="7" xfId="0" applyNumberFormat="1" applyFont="1" applyFill="1" applyBorder="1" applyAlignment="1">
      <alignment horizontal="right" wrapText="1"/>
    </xf>
    <xf numFmtId="4" fontId="3" fillId="7" borderId="1" xfId="0" applyNumberFormat="1" applyFont="1" applyFill="1" applyBorder="1" applyAlignment="1">
      <alignment horizontal="right" wrapText="1"/>
    </xf>
    <xf numFmtId="4" fontId="3" fillId="5" borderId="1" xfId="0" applyNumberFormat="1" applyFont="1" applyFill="1" applyBorder="1" applyAlignment="1">
      <alignment horizontal="right" wrapText="1"/>
    </xf>
    <xf numFmtId="0" fontId="3" fillId="0" borderId="0" xfId="0" applyFont="1" applyFill="1" applyBorder="1" applyAlignment="1">
      <alignment vertical="top"/>
    </xf>
    <xf numFmtId="0" fontId="3" fillId="0" borderId="0" xfId="0" applyFont="1" applyFill="1" applyBorder="1" applyAlignment="1">
      <alignment horizontal="center"/>
    </xf>
    <xf numFmtId="0" fontId="3" fillId="0" borderId="0" xfId="0" applyFont="1" applyBorder="1" applyAlignment="1">
      <alignment vertical="top"/>
    </xf>
    <xf numFmtId="4" fontId="3" fillId="0" borderId="0" xfId="0" applyNumberFormat="1" applyFont="1" applyFill="1" applyBorder="1" applyAlignment="1">
      <alignment horizontal="right" wrapText="1"/>
    </xf>
    <xf numFmtId="165" fontId="3" fillId="0" borderId="0" xfId="0" applyNumberFormat="1" applyFont="1" applyFill="1" applyBorder="1" applyAlignment="1">
      <alignment vertical="top"/>
    </xf>
    <xf numFmtId="0" fontId="3" fillId="0" borderId="0" xfId="0" applyFont="1" applyFill="1" applyBorder="1" applyAlignment="1">
      <alignment horizontal="right" vertical="top"/>
    </xf>
    <xf numFmtId="0" fontId="3" fillId="0" borderId="0" xfId="0" applyFont="1" applyFill="1" applyAlignment="1">
      <alignment vertical="top" wrapText="1"/>
    </xf>
    <xf numFmtId="0" fontId="3" fillId="0" borderId="0" xfId="0" applyFont="1" applyFill="1" applyAlignment="1">
      <alignment horizontal="center" wrapText="1"/>
    </xf>
    <xf numFmtId="0" fontId="3" fillId="0" borderId="0" xfId="0" applyFont="1" applyFill="1" applyAlignment="1">
      <alignment horizontal="right" vertical="top" wrapText="1"/>
    </xf>
    <xf numFmtId="0" fontId="3" fillId="0" borderId="0" xfId="0" applyFont="1" applyAlignment="1">
      <alignment horizontal="right" vertical="top"/>
    </xf>
    <xf numFmtId="0" fontId="3" fillId="0" borderId="0" xfId="0" applyFont="1" applyFill="1" applyAlignment="1">
      <alignment horizontal="right" vertical="top"/>
    </xf>
    <xf numFmtId="165" fontId="3" fillId="0" borderId="0" xfId="0" applyNumberFormat="1" applyFont="1" applyAlignment="1">
      <alignment horizontal="right" vertical="top"/>
    </xf>
    <xf numFmtId="0" fontId="3" fillId="0" borderId="0" xfId="0" applyNumberFormat="1" applyFont="1" applyFill="1" applyBorder="1" applyAlignment="1">
      <alignment horizontal="left" vertical="top" wrapText="1"/>
    </xf>
    <xf numFmtId="0" fontId="3" fillId="0" borderId="0" xfId="0" applyFont="1" applyFill="1" applyAlignment="1">
      <alignment horizontal="center"/>
    </xf>
  </cellXfs>
  <cellStyles count="4">
    <cellStyle name="Обычный" xfId="0" builtinId="0"/>
    <cellStyle name="Обычный 2" xfId="2"/>
    <cellStyle name="Обычный 2 2" xfId="3"/>
    <cellStyle name="Обычный_край"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tdel_08/&#1041;&#1102;&#1076;&#1078;&#1077;&#1090;/&#1041;&#1102;&#1076;&#1078;&#1077;&#1090;%202020/&#1041;&#1102;&#1076;&#1078;&#1077;&#109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ай"/>
      <sheetName val="Бюдж роспись КБ"/>
      <sheetName val="Роспись фед"/>
      <sheetName val="доведение ФБ"/>
      <sheetName val="КБ+ФБ по соглашению"/>
      <sheetName val="Парафир на 2020"/>
      <sheetName val="Парафир на 2021-2023"/>
      <sheetName val="Лист1"/>
    </sheetNames>
    <sheetDataSet>
      <sheetData sheetId="0"/>
      <sheetData sheetId="1">
        <row r="19">
          <cell r="K19">
            <v>0</v>
          </cell>
        </row>
        <row r="20">
          <cell r="K20">
            <v>35981888</v>
          </cell>
        </row>
        <row r="21">
          <cell r="K21">
            <v>658512</v>
          </cell>
        </row>
        <row r="22">
          <cell r="K22">
            <v>469351999.99999994</v>
          </cell>
        </row>
        <row r="23">
          <cell r="K23">
            <v>0</v>
          </cell>
        </row>
        <row r="24">
          <cell r="K24">
            <v>1357171.22</v>
          </cell>
        </row>
        <row r="25">
          <cell r="K25">
            <v>234613523.47999999</v>
          </cell>
        </row>
        <row r="26">
          <cell r="K26">
            <v>0</v>
          </cell>
        </row>
        <row r="27">
          <cell r="K27">
            <v>1000000</v>
          </cell>
        </row>
        <row r="28">
          <cell r="K28">
            <v>38117100</v>
          </cell>
        </row>
        <row r="29">
          <cell r="K29">
            <v>5264490.54</v>
          </cell>
        </row>
        <row r="30">
          <cell r="K30">
            <v>886475139.45999992</v>
          </cell>
        </row>
        <row r="31">
          <cell r="K31">
            <v>52323500</v>
          </cell>
        </row>
        <row r="32">
          <cell r="K32">
            <v>4838800</v>
          </cell>
        </row>
        <row r="33">
          <cell r="K33">
            <v>0</v>
          </cell>
        </row>
        <row r="34">
          <cell r="K34">
            <v>17500000</v>
          </cell>
        </row>
        <row r="35">
          <cell r="K35">
            <v>154000011.67999998</v>
          </cell>
        </row>
        <row r="36">
          <cell r="K36">
            <v>61983999.990000002</v>
          </cell>
        </row>
        <row r="37">
          <cell r="K37">
            <v>68779.570000000007</v>
          </cell>
        </row>
        <row r="38">
          <cell r="K38">
            <v>35999999.989999995</v>
          </cell>
        </row>
        <row r="39">
          <cell r="K39">
            <v>168088797.90000001</v>
          </cell>
        </row>
        <row r="42">
          <cell r="K42">
            <v>43996000</v>
          </cell>
        </row>
        <row r="43">
          <cell r="K43">
            <v>5813100</v>
          </cell>
        </row>
        <row r="44">
          <cell r="K44">
            <v>16032360</v>
          </cell>
        </row>
        <row r="45">
          <cell r="K45">
            <v>50000000</v>
          </cell>
        </row>
        <row r="46">
          <cell r="K46">
            <v>2918102.94</v>
          </cell>
        </row>
        <row r="47">
          <cell r="K47">
            <v>37890152.670000002</v>
          </cell>
        </row>
        <row r="48">
          <cell r="K48">
            <v>113670458.02</v>
          </cell>
        </row>
        <row r="49">
          <cell r="K49">
            <v>36316147.329999998</v>
          </cell>
        </row>
        <row r="50">
          <cell r="K50">
            <v>108948441.98</v>
          </cell>
        </row>
        <row r="51">
          <cell r="K51">
            <v>39233574.990000002</v>
          </cell>
        </row>
        <row r="52">
          <cell r="K52">
            <v>117700725.01000002</v>
          </cell>
        </row>
        <row r="53">
          <cell r="K53">
            <v>16373732.5</v>
          </cell>
        </row>
        <row r="54">
          <cell r="K54">
            <v>49121197.5</v>
          </cell>
        </row>
        <row r="55">
          <cell r="K55">
            <v>46229167.5</v>
          </cell>
        </row>
        <row r="56">
          <cell r="K56">
            <v>138687502.5</v>
          </cell>
        </row>
        <row r="57">
          <cell r="K57">
            <v>68227535.780000001</v>
          </cell>
        </row>
        <row r="58">
          <cell r="K58">
            <v>204682607.42999995</v>
          </cell>
        </row>
        <row r="59">
          <cell r="K59">
            <v>3248354.74</v>
          </cell>
        </row>
        <row r="60">
          <cell r="K60">
            <v>9745064.2300000004</v>
          </cell>
        </row>
        <row r="61">
          <cell r="K61">
            <v>4230913.1500000004</v>
          </cell>
        </row>
        <row r="62">
          <cell r="K62">
            <v>12692739.470000001</v>
          </cell>
        </row>
        <row r="63">
          <cell r="K63">
            <v>474663.16</v>
          </cell>
        </row>
        <row r="64">
          <cell r="K64">
            <v>9018600</v>
          </cell>
        </row>
        <row r="68">
          <cell r="K68">
            <v>70990028.319999993</v>
          </cell>
        </row>
        <row r="69">
          <cell r="K69">
            <v>206830.8</v>
          </cell>
        </row>
        <row r="70">
          <cell r="K70">
            <v>48906169.200000003</v>
          </cell>
        </row>
        <row r="71">
          <cell r="K71">
            <v>40000000</v>
          </cell>
        </row>
        <row r="72">
          <cell r="K72">
            <v>128308464.3</v>
          </cell>
        </row>
        <row r="73">
          <cell r="K73">
            <v>12000000</v>
          </cell>
        </row>
        <row r="74">
          <cell r="K74">
            <v>1220200</v>
          </cell>
        </row>
        <row r="75">
          <cell r="K75">
            <v>214240</v>
          </cell>
        </row>
        <row r="77">
          <cell r="K77">
            <v>22500000</v>
          </cell>
        </row>
        <row r="78">
          <cell r="K78">
            <v>67500000</v>
          </cell>
        </row>
        <row r="79">
          <cell r="K79">
            <v>17500000</v>
          </cell>
        </row>
        <row r="80">
          <cell r="K80">
            <v>52500000</v>
          </cell>
        </row>
        <row r="81">
          <cell r="K81">
            <v>37677435.310000002</v>
          </cell>
        </row>
        <row r="82">
          <cell r="K82">
            <v>19845366.690000001</v>
          </cell>
        </row>
        <row r="83">
          <cell r="K83">
            <v>7866834.7799999993</v>
          </cell>
        </row>
        <row r="84">
          <cell r="K84">
            <v>4143600</v>
          </cell>
        </row>
        <row r="85">
          <cell r="K85">
            <v>2834500</v>
          </cell>
        </row>
        <row r="86">
          <cell r="K86">
            <v>5894303.8099999996</v>
          </cell>
        </row>
        <row r="87">
          <cell r="K87">
            <v>3104633.31</v>
          </cell>
        </row>
        <row r="90">
          <cell r="K90">
            <v>4695375</v>
          </cell>
        </row>
        <row r="92">
          <cell r="K92">
            <v>14652224.139999999</v>
          </cell>
        </row>
        <row r="93">
          <cell r="K93">
            <v>2187157.48</v>
          </cell>
        </row>
        <row r="94">
          <cell r="K94">
            <v>233514951.93000001</v>
          </cell>
        </row>
        <row r="95">
          <cell r="K95">
            <v>82685699.999999985</v>
          </cell>
        </row>
        <row r="96">
          <cell r="K96">
            <v>72898600.000000015</v>
          </cell>
        </row>
        <row r="97">
          <cell r="K97">
            <v>48843999.969999999</v>
          </cell>
        </row>
        <row r="98">
          <cell r="K98">
            <v>0</v>
          </cell>
        </row>
        <row r="99">
          <cell r="K99">
            <v>74789290.169999987</v>
          </cell>
        </row>
        <row r="100">
          <cell r="K100">
            <v>46105165.440000005</v>
          </cell>
        </row>
        <row r="101">
          <cell r="K101">
            <v>196553599.99999997</v>
          </cell>
        </row>
        <row r="102">
          <cell r="K102">
            <v>6474184.7399999993</v>
          </cell>
        </row>
        <row r="103">
          <cell r="K103">
            <v>19422554.23</v>
          </cell>
        </row>
        <row r="105">
          <cell r="K105">
            <v>433805700</v>
          </cell>
        </row>
        <row r="107">
          <cell r="K107">
            <v>50905179.420000002</v>
          </cell>
        </row>
        <row r="108">
          <cell r="K108">
            <v>115143026.10000002</v>
          </cell>
        </row>
        <row r="109">
          <cell r="K109">
            <v>54722248.68999999</v>
          </cell>
        </row>
        <row r="110">
          <cell r="K110">
            <v>868842.72</v>
          </cell>
        </row>
        <row r="111">
          <cell r="K111">
            <v>222821236.60000002</v>
          </cell>
        </row>
        <row r="112">
          <cell r="K112">
            <v>186733221.10000002</v>
          </cell>
        </row>
        <row r="115">
          <cell r="K115">
            <v>13586162.109999999</v>
          </cell>
        </row>
        <row r="120">
          <cell r="K120">
            <v>127500000</v>
          </cell>
        </row>
        <row r="121">
          <cell r="K121">
            <v>65652900</v>
          </cell>
        </row>
        <row r="122">
          <cell r="K122">
            <v>277749.24</v>
          </cell>
        </row>
        <row r="123">
          <cell r="K123">
            <v>355900.29000000004</v>
          </cell>
        </row>
        <row r="124">
          <cell r="K124">
            <v>1083000</v>
          </cell>
        </row>
        <row r="125">
          <cell r="K125">
            <v>10000000</v>
          </cell>
        </row>
        <row r="126">
          <cell r="K126">
            <v>1105200</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V191"/>
  <sheetViews>
    <sheetView showZeros="0" tabSelected="1" view="pageBreakPreview" zoomScale="80" zoomScaleNormal="90" zoomScaleSheetLayoutView="80" workbookViewId="0">
      <pane xSplit="10" ySplit="7" topLeftCell="K8" activePane="bottomRight" state="frozen"/>
      <selection pane="topRight" activeCell="K1" sqref="K1"/>
      <selection pane="bottomLeft" activeCell="A8" sqref="A8"/>
      <selection pane="bottomRight" activeCell="X19" sqref="X19"/>
    </sheetView>
  </sheetViews>
  <sheetFormatPr defaultColWidth="9.140625" defaultRowHeight="15.75" x14ac:dyDescent="0.25"/>
  <cols>
    <col min="1" max="1" width="54.42578125" style="10" customWidth="1"/>
    <col min="2" max="2" width="9.140625" style="165" hidden="1" customWidth="1"/>
    <col min="3" max="3" width="15.42578125" style="10" hidden="1" customWidth="1"/>
    <col min="4" max="4" width="16" style="10" hidden="1" customWidth="1"/>
    <col min="5" max="5" width="15.42578125" style="10" hidden="1" customWidth="1"/>
    <col min="6" max="6" width="15.28515625" style="2" hidden="1" customWidth="1"/>
    <col min="7" max="7" width="14.5703125" style="2" hidden="1" customWidth="1"/>
    <col min="8" max="8" width="15.42578125" style="2" hidden="1" customWidth="1"/>
    <col min="9" max="9" width="15" style="2" hidden="1" customWidth="1"/>
    <col min="10" max="10" width="14.42578125" style="10" hidden="1" customWidth="1"/>
    <col min="11" max="11" width="16.7109375" style="10" customWidth="1"/>
    <col min="12" max="12" width="15.28515625" style="10" customWidth="1"/>
    <col min="13" max="13" width="9" style="10" customWidth="1"/>
    <col min="14" max="14" width="15" style="8" hidden="1" customWidth="1"/>
    <col min="15" max="15" width="14.7109375" style="162" hidden="1" customWidth="1"/>
    <col min="16" max="16" width="12.140625" style="10" customWidth="1"/>
    <col min="17" max="17" width="17" style="10" hidden="1" customWidth="1"/>
    <col min="18" max="18" width="14.85546875" style="2" hidden="1" customWidth="1"/>
    <col min="19" max="19" width="13" style="2" hidden="1" customWidth="1"/>
    <col min="20" max="20" width="13.7109375" style="2" hidden="1" customWidth="1"/>
    <col min="21" max="21" width="39" style="2" hidden="1" customWidth="1"/>
    <col min="22" max="22" width="20.7109375" style="2" customWidth="1"/>
    <col min="23" max="23" width="15.28515625" style="2" customWidth="1"/>
    <col min="24" max="16384" width="9.140625" style="2"/>
  </cols>
  <sheetData>
    <row r="1" spans="1:22" x14ac:dyDescent="0.2">
      <c r="A1" s="1" t="s">
        <v>0</v>
      </c>
      <c r="B1" s="1"/>
      <c r="C1" s="1"/>
      <c r="D1" s="1"/>
      <c r="E1" s="1"/>
      <c r="F1" s="1"/>
      <c r="G1" s="1"/>
      <c r="H1" s="1"/>
      <c r="I1" s="1"/>
      <c r="J1" s="1"/>
      <c r="K1" s="1"/>
      <c r="L1" s="1"/>
      <c r="M1" s="1"/>
      <c r="N1" s="1"/>
      <c r="O1" s="1"/>
      <c r="P1" s="1"/>
      <c r="Q1" s="1"/>
      <c r="R1" s="1"/>
      <c r="S1" s="1"/>
      <c r="T1" s="1"/>
      <c r="U1" s="1"/>
    </row>
    <row r="2" spans="1:22" ht="34.5" customHeight="1" x14ac:dyDescent="0.2">
      <c r="A2" s="1" t="s">
        <v>1</v>
      </c>
      <c r="B2" s="1"/>
      <c r="C2" s="1"/>
      <c r="D2" s="1"/>
      <c r="E2" s="1"/>
      <c r="F2" s="1"/>
      <c r="G2" s="1"/>
      <c r="H2" s="1"/>
      <c r="I2" s="1"/>
      <c r="J2" s="1"/>
      <c r="K2" s="1"/>
      <c r="L2" s="1"/>
      <c r="M2" s="1"/>
      <c r="N2" s="1"/>
      <c r="O2" s="1"/>
      <c r="P2" s="1"/>
      <c r="Q2" s="1"/>
      <c r="R2" s="1"/>
      <c r="S2" s="1"/>
      <c r="T2" s="1"/>
      <c r="U2" s="1"/>
    </row>
    <row r="3" spans="1:22" x14ac:dyDescent="0.2">
      <c r="A3" s="3" t="s">
        <v>2</v>
      </c>
      <c r="B3" s="3"/>
      <c r="C3" s="3"/>
      <c r="D3" s="3"/>
      <c r="E3" s="3"/>
      <c r="F3" s="3"/>
      <c r="G3" s="3"/>
      <c r="H3" s="3"/>
      <c r="I3" s="3"/>
      <c r="J3" s="3"/>
      <c r="K3" s="3"/>
      <c r="L3" s="3"/>
      <c r="M3" s="3"/>
      <c r="N3" s="3"/>
      <c r="O3" s="3"/>
      <c r="P3" s="3"/>
      <c r="Q3" s="3"/>
      <c r="R3" s="3"/>
      <c r="S3" s="3"/>
      <c r="T3" s="3"/>
      <c r="U3" s="3"/>
    </row>
    <row r="4" spans="1:22" x14ac:dyDescent="0.25">
      <c r="A4" s="4"/>
      <c r="B4" s="5"/>
      <c r="C4" s="4"/>
      <c r="D4" s="4"/>
      <c r="E4" s="6"/>
      <c r="F4" s="7"/>
      <c r="G4" s="7"/>
      <c r="H4" s="7"/>
      <c r="I4" s="7"/>
      <c r="J4" s="7"/>
      <c r="K4" s="7"/>
      <c r="L4" s="7"/>
      <c r="M4" s="7"/>
      <c r="O4" s="9"/>
      <c r="Q4" s="11"/>
      <c r="U4" s="11" t="s">
        <v>3</v>
      </c>
    </row>
    <row r="5" spans="1:22" s="19" customFormat="1" ht="33.75" customHeight="1" x14ac:dyDescent="0.2">
      <c r="A5" s="12" t="s">
        <v>4</v>
      </c>
      <c r="B5" s="12" t="s">
        <v>5</v>
      </c>
      <c r="C5" s="13" t="s">
        <v>6</v>
      </c>
      <c r="D5" s="14" t="s">
        <v>7</v>
      </c>
      <c r="E5" s="14" t="s">
        <v>8</v>
      </c>
      <c r="F5" s="14" t="s">
        <v>9</v>
      </c>
      <c r="G5" s="14" t="s">
        <v>10</v>
      </c>
      <c r="H5" s="14" t="s">
        <v>11</v>
      </c>
      <c r="I5" s="15" t="s">
        <v>12</v>
      </c>
      <c r="J5" s="15" t="s">
        <v>13</v>
      </c>
      <c r="K5" s="14" t="s">
        <v>242</v>
      </c>
      <c r="L5" s="16" t="s">
        <v>14</v>
      </c>
      <c r="M5" s="17"/>
      <c r="N5" s="18" t="s">
        <v>15</v>
      </c>
      <c r="O5" s="14" t="s">
        <v>16</v>
      </c>
      <c r="P5" s="14" t="s">
        <v>17</v>
      </c>
      <c r="Q5" s="14" t="s">
        <v>18</v>
      </c>
      <c r="R5" s="14" t="s">
        <v>19</v>
      </c>
      <c r="S5" s="14" t="s">
        <v>20</v>
      </c>
      <c r="T5" s="14"/>
      <c r="U5" s="14" t="s">
        <v>21</v>
      </c>
    </row>
    <row r="6" spans="1:22" s="19" customFormat="1" ht="47.25" x14ac:dyDescent="0.2">
      <c r="A6" s="12"/>
      <c r="B6" s="12"/>
      <c r="C6" s="20"/>
      <c r="D6" s="14"/>
      <c r="E6" s="14"/>
      <c r="F6" s="14"/>
      <c r="G6" s="14"/>
      <c r="H6" s="14"/>
      <c r="I6" s="21"/>
      <c r="J6" s="21"/>
      <c r="K6" s="14"/>
      <c r="L6" s="22" t="s">
        <v>22</v>
      </c>
      <c r="M6" s="23" t="s">
        <v>23</v>
      </c>
      <c r="N6" s="24"/>
      <c r="O6" s="14"/>
      <c r="P6" s="14"/>
      <c r="Q6" s="14"/>
      <c r="R6" s="15"/>
      <c r="S6" s="23" t="s">
        <v>24</v>
      </c>
      <c r="T6" s="23" t="s">
        <v>25</v>
      </c>
      <c r="U6" s="14"/>
    </row>
    <row r="7" spans="1:22" s="29" customFormat="1" x14ac:dyDescent="0.25">
      <c r="A7" s="25">
        <v>1</v>
      </c>
      <c r="B7" s="26"/>
      <c r="C7" s="25"/>
      <c r="D7" s="27">
        <v>2</v>
      </c>
      <c r="E7" s="25"/>
      <c r="F7" s="25"/>
      <c r="G7" s="25"/>
      <c r="H7" s="25"/>
      <c r="I7" s="25"/>
      <c r="J7" s="25">
        <v>2</v>
      </c>
      <c r="K7" s="25">
        <v>2</v>
      </c>
      <c r="L7" s="25">
        <v>3</v>
      </c>
      <c r="M7" s="25">
        <v>4</v>
      </c>
      <c r="N7" s="25">
        <v>5</v>
      </c>
      <c r="O7" s="25">
        <v>6</v>
      </c>
      <c r="P7" s="25">
        <v>5</v>
      </c>
      <c r="Q7" s="25"/>
      <c r="R7" s="28"/>
      <c r="S7" s="28"/>
      <c r="T7" s="28"/>
      <c r="U7" s="28">
        <v>8</v>
      </c>
    </row>
    <row r="8" spans="1:22" s="35" customFormat="1" ht="63" x14ac:dyDescent="0.25">
      <c r="A8" s="30" t="s">
        <v>26</v>
      </c>
      <c r="B8" s="31"/>
      <c r="C8" s="32">
        <f>C17+C95+C99+C116+C125+C128+C140+C155+C150</f>
        <v>0</v>
      </c>
      <c r="D8" s="33">
        <f>D9+D10</f>
        <v>8042380.3999999994</v>
      </c>
      <c r="E8" s="33">
        <f t="shared" ref="E8:L8" si="0">E9+E10</f>
        <v>8042380.3999999994</v>
      </c>
      <c r="F8" s="33">
        <f t="shared" si="0"/>
        <v>8122620.2999999989</v>
      </c>
      <c r="G8" s="33">
        <f t="shared" si="0"/>
        <v>8222683.3999999985</v>
      </c>
      <c r="H8" s="33">
        <f t="shared" si="0"/>
        <v>8461890.4000000004</v>
      </c>
      <c r="I8" s="33">
        <f t="shared" si="0"/>
        <v>8461890.4000000004</v>
      </c>
      <c r="J8" s="33">
        <f t="shared" si="0"/>
        <v>8461890.4000000004</v>
      </c>
      <c r="K8" s="33">
        <f t="shared" si="0"/>
        <v>8457304.8542300016</v>
      </c>
      <c r="L8" s="33">
        <f t="shared" si="0"/>
        <v>8385022.240770001</v>
      </c>
      <c r="M8" s="33">
        <f t="shared" ref="M8:M13" si="1">L8/K8*100</f>
        <v>99.145323306823357</v>
      </c>
      <c r="N8" s="33">
        <f t="shared" ref="N8:T8" si="2">N9+N10</f>
        <v>8385022.240770001</v>
      </c>
      <c r="O8" s="33">
        <f t="shared" si="2"/>
        <v>0</v>
      </c>
      <c r="P8" s="33">
        <f>P9+P10</f>
        <v>72282.613460000299</v>
      </c>
      <c r="Q8" s="33">
        <f t="shared" ref="Q8" si="3">Q9+Q10</f>
        <v>72282.613460000299</v>
      </c>
      <c r="R8" s="33">
        <f t="shared" si="2"/>
        <v>8599406.9305199999</v>
      </c>
      <c r="S8" s="33">
        <f t="shared" si="2"/>
        <v>151299.50514000008</v>
      </c>
      <c r="T8" s="33">
        <f t="shared" si="2"/>
        <v>-14089.998850000122</v>
      </c>
      <c r="U8" s="34"/>
    </row>
    <row r="9" spans="1:22" s="41" customFormat="1" x14ac:dyDescent="0.25">
      <c r="A9" s="36" t="s">
        <v>27</v>
      </c>
      <c r="B9" s="37" t="s">
        <v>28</v>
      </c>
      <c r="C9" s="38"/>
      <c r="D9" s="39">
        <f t="shared" ref="D9:L9" si="4">D18+D69+D96+D100+D117+D126+D129+D141+D156+D151</f>
        <v>6990467.6999999993</v>
      </c>
      <c r="E9" s="39">
        <f t="shared" si="4"/>
        <v>6990467.6999999993</v>
      </c>
      <c r="F9" s="39">
        <f t="shared" si="4"/>
        <v>7070707.5999999987</v>
      </c>
      <c r="G9" s="39">
        <f t="shared" si="4"/>
        <v>7070707.5999999987</v>
      </c>
      <c r="H9" s="39">
        <f t="shared" si="4"/>
        <v>7309914.6000000006</v>
      </c>
      <c r="I9" s="39">
        <f t="shared" si="4"/>
        <v>7309914.6000000006</v>
      </c>
      <c r="J9" s="39">
        <f t="shared" si="4"/>
        <v>7309914.6000000006</v>
      </c>
      <c r="K9" s="39">
        <f t="shared" si="4"/>
        <v>7309914.6000000006</v>
      </c>
      <c r="L9" s="39">
        <f t="shared" si="4"/>
        <v>7237632.050400001</v>
      </c>
      <c r="M9" s="39">
        <f t="shared" si="1"/>
        <v>99.011171079891966</v>
      </c>
      <c r="N9" s="39">
        <f t="shared" ref="N9:R9" si="5">N18+N69+N96+N100+N117+N126+N129+N141+N156+N151</f>
        <v>7237632.050400001</v>
      </c>
      <c r="O9" s="39">
        <f t="shared" si="5"/>
        <v>0</v>
      </c>
      <c r="P9" s="40">
        <f t="shared" si="5"/>
        <v>72282.549600000246</v>
      </c>
      <c r="Q9" s="39">
        <f t="shared" si="5"/>
        <v>72282.549600000246</v>
      </c>
      <c r="R9" s="39">
        <f t="shared" si="5"/>
        <v>7451247.5762900002</v>
      </c>
      <c r="S9" s="39">
        <f>S18+S69+S96+S100+S117+S126+S129+S141+S156+S151</f>
        <v>150530.40514000008</v>
      </c>
      <c r="T9" s="39">
        <f>T18+T69+T96+T100+T117+T126+T129+T141+T156+T151</f>
        <v>-14089.998850000122</v>
      </c>
      <c r="U9" s="34"/>
    </row>
    <row r="10" spans="1:22" s="41" customFormat="1" x14ac:dyDescent="0.25">
      <c r="A10" s="36" t="s">
        <v>29</v>
      </c>
      <c r="B10" s="37" t="s">
        <v>30</v>
      </c>
      <c r="C10" s="38"/>
      <c r="D10" s="39">
        <f t="shared" ref="D10:L10" si="6">D19+D70+D101+D142</f>
        <v>1051912.7</v>
      </c>
      <c r="E10" s="39">
        <f t="shared" si="6"/>
        <v>1051912.7</v>
      </c>
      <c r="F10" s="39">
        <f t="shared" si="6"/>
        <v>1051912.7</v>
      </c>
      <c r="G10" s="39">
        <f t="shared" si="6"/>
        <v>1151975.8</v>
      </c>
      <c r="H10" s="39">
        <f t="shared" si="6"/>
        <v>1151975.8</v>
      </c>
      <c r="I10" s="39">
        <f t="shared" si="6"/>
        <v>1151975.8</v>
      </c>
      <c r="J10" s="39">
        <f t="shared" si="6"/>
        <v>1151975.8</v>
      </c>
      <c r="K10" s="39">
        <f t="shared" si="6"/>
        <v>1147390.2542300001</v>
      </c>
      <c r="L10" s="39">
        <f t="shared" si="6"/>
        <v>1147390.19037</v>
      </c>
      <c r="M10" s="39">
        <f t="shared" si="1"/>
        <v>99.999994434326084</v>
      </c>
      <c r="N10" s="39">
        <f t="shared" ref="N10:R10" si="7">N19+N70+N101+N142</f>
        <v>1147390.1903700002</v>
      </c>
      <c r="O10" s="39">
        <f t="shared" si="7"/>
        <v>0</v>
      </c>
      <c r="P10" s="39">
        <f t="shared" si="7"/>
        <v>6.3860000047952781E-2</v>
      </c>
      <c r="Q10" s="39">
        <f t="shared" si="7"/>
        <v>6.3860000047952781E-2</v>
      </c>
      <c r="R10" s="39">
        <f t="shared" si="7"/>
        <v>1148159.3542300002</v>
      </c>
      <c r="S10" s="39">
        <f>S19+S101+S142</f>
        <v>769.10000000000036</v>
      </c>
      <c r="T10" s="39">
        <f>T19+T101+T142</f>
        <v>0</v>
      </c>
      <c r="U10" s="34"/>
      <c r="V10" s="42"/>
    </row>
    <row r="11" spans="1:22" s="41" customFormat="1" x14ac:dyDescent="0.25">
      <c r="A11" s="43" t="s">
        <v>31</v>
      </c>
      <c r="B11" s="37"/>
      <c r="C11" s="38"/>
      <c r="D11" s="44">
        <f>D12+D13</f>
        <v>6169759.9999999991</v>
      </c>
      <c r="E11" s="44">
        <f t="shared" ref="E11:L11" si="8">E12+E13</f>
        <v>6169759.9999999991</v>
      </c>
      <c r="F11" s="44">
        <f t="shared" si="8"/>
        <v>6177087.4999999991</v>
      </c>
      <c r="G11" s="44">
        <f t="shared" si="8"/>
        <v>6277150.5999999987</v>
      </c>
      <c r="H11" s="44">
        <f t="shared" si="8"/>
        <v>6527813.9000000004</v>
      </c>
      <c r="I11" s="44">
        <f t="shared" si="8"/>
        <v>6538956.1000000006</v>
      </c>
      <c r="J11" s="44">
        <f t="shared" si="8"/>
        <v>6538956.1000000006</v>
      </c>
      <c r="K11" s="44">
        <f t="shared" si="8"/>
        <v>6534370.5542300008</v>
      </c>
      <c r="L11" s="44">
        <f t="shared" si="8"/>
        <v>6487290.739000001</v>
      </c>
      <c r="M11" s="44">
        <f t="shared" si="1"/>
        <v>99.279504967781122</v>
      </c>
      <c r="N11" s="44">
        <f t="shared" ref="N11:T11" si="9">N12+N13</f>
        <v>6487290.739000001</v>
      </c>
      <c r="O11" s="44">
        <f t="shared" si="9"/>
        <v>0</v>
      </c>
      <c r="P11" s="45">
        <f t="shared" si="9"/>
        <v>47079.815230000269</v>
      </c>
      <c r="Q11" s="44">
        <f t="shared" si="9"/>
        <v>47079.815230000269</v>
      </c>
      <c r="R11" s="44">
        <f t="shared" si="9"/>
        <v>6667214.5831199996</v>
      </c>
      <c r="S11" s="44">
        <f t="shared" si="9"/>
        <v>142041.45774000007</v>
      </c>
      <c r="T11" s="44">
        <f t="shared" si="9"/>
        <v>-14089.998850000122</v>
      </c>
      <c r="U11" s="34"/>
    </row>
    <row r="12" spans="1:22" s="41" customFormat="1" x14ac:dyDescent="0.25">
      <c r="A12" s="46" t="s">
        <v>27</v>
      </c>
      <c r="B12" s="37"/>
      <c r="C12" s="38"/>
      <c r="D12" s="39">
        <f t="shared" ref="D12:L12" si="10">D18+D69+D96+D100+D117+D126+D129+D141+D151</f>
        <v>5117847.2999999989</v>
      </c>
      <c r="E12" s="39">
        <f t="shared" si="10"/>
        <v>5117847.2999999989</v>
      </c>
      <c r="F12" s="39">
        <f t="shared" si="10"/>
        <v>5125174.7999999989</v>
      </c>
      <c r="G12" s="39">
        <f t="shared" si="10"/>
        <v>5125174.7999999989</v>
      </c>
      <c r="H12" s="39">
        <f t="shared" si="10"/>
        <v>5375838.1000000006</v>
      </c>
      <c r="I12" s="39">
        <f t="shared" si="10"/>
        <v>5386980.3000000007</v>
      </c>
      <c r="J12" s="39">
        <f t="shared" si="10"/>
        <v>5386980.3000000007</v>
      </c>
      <c r="K12" s="39">
        <f t="shared" si="10"/>
        <v>5386980.3000000007</v>
      </c>
      <c r="L12" s="39">
        <f t="shared" si="10"/>
        <v>5339900.548630001</v>
      </c>
      <c r="M12" s="39">
        <f t="shared" si="1"/>
        <v>99.126045599795503</v>
      </c>
      <c r="N12" s="39">
        <f t="shared" ref="N12:T12" si="11">N18+N69+N96+N100+N117+N126+N129+N141+N151</f>
        <v>5339900.548630001</v>
      </c>
      <c r="O12" s="39">
        <f t="shared" si="11"/>
        <v>0</v>
      </c>
      <c r="P12" s="40">
        <f t="shared" si="11"/>
        <v>47079.751370000224</v>
      </c>
      <c r="Q12" s="39">
        <f t="shared" si="11"/>
        <v>47079.751370000224</v>
      </c>
      <c r="R12" s="39">
        <f t="shared" si="11"/>
        <v>5519055.2288899999</v>
      </c>
      <c r="S12" s="39">
        <f t="shared" si="11"/>
        <v>141272.35774000006</v>
      </c>
      <c r="T12" s="39">
        <f t="shared" si="11"/>
        <v>-14089.998850000122</v>
      </c>
      <c r="U12" s="34"/>
    </row>
    <row r="13" spans="1:22" s="41" customFormat="1" x14ac:dyDescent="0.25">
      <c r="A13" s="46" t="s">
        <v>29</v>
      </c>
      <c r="B13" s="37"/>
      <c r="C13" s="38"/>
      <c r="D13" s="39">
        <f t="shared" ref="D13:L13" si="12">D19+D70+D101+D142</f>
        <v>1051912.7</v>
      </c>
      <c r="E13" s="39">
        <f t="shared" si="12"/>
        <v>1051912.7</v>
      </c>
      <c r="F13" s="39">
        <f t="shared" si="12"/>
        <v>1051912.7</v>
      </c>
      <c r="G13" s="39">
        <f t="shared" si="12"/>
        <v>1151975.8</v>
      </c>
      <c r="H13" s="39">
        <f t="shared" si="12"/>
        <v>1151975.8</v>
      </c>
      <c r="I13" s="39">
        <f t="shared" si="12"/>
        <v>1151975.8</v>
      </c>
      <c r="J13" s="39">
        <f t="shared" si="12"/>
        <v>1151975.8</v>
      </c>
      <c r="K13" s="39">
        <f t="shared" si="12"/>
        <v>1147390.2542300001</v>
      </c>
      <c r="L13" s="39">
        <f t="shared" si="12"/>
        <v>1147390.19037</v>
      </c>
      <c r="M13" s="39">
        <f t="shared" si="1"/>
        <v>99.999994434326084</v>
      </c>
      <c r="N13" s="39">
        <f t="shared" ref="N13:R13" si="13">N19+N70+N101+N142</f>
        <v>1147390.1903700002</v>
      </c>
      <c r="O13" s="39">
        <f t="shared" si="13"/>
        <v>0</v>
      </c>
      <c r="P13" s="39">
        <f t="shared" si="13"/>
        <v>6.3860000047952781E-2</v>
      </c>
      <c r="Q13" s="39">
        <f t="shared" si="13"/>
        <v>6.3860000047952781E-2</v>
      </c>
      <c r="R13" s="39">
        <f t="shared" si="13"/>
        <v>1148159.3542300002</v>
      </c>
      <c r="S13" s="39">
        <f>S19+S101+S142</f>
        <v>769.10000000000036</v>
      </c>
      <c r="T13" s="39">
        <f>T19+T101+T142</f>
        <v>0</v>
      </c>
      <c r="U13" s="34"/>
    </row>
    <row r="14" spans="1:22" s="49" customFormat="1" hidden="1" x14ac:dyDescent="0.25">
      <c r="A14" s="43" t="s">
        <v>32</v>
      </c>
      <c r="B14" s="47" t="s">
        <v>33</v>
      </c>
      <c r="C14" s="48"/>
      <c r="D14" s="44">
        <f>D15+D16</f>
        <v>5438050.2999999998</v>
      </c>
      <c r="E14" s="44">
        <f t="shared" ref="E14:L14" si="14">E15+E16</f>
        <v>5438050.2999999998</v>
      </c>
      <c r="F14" s="44">
        <f t="shared" si="14"/>
        <v>5432543.4999999991</v>
      </c>
      <c r="G14" s="44">
        <f t="shared" si="14"/>
        <v>5532606.5999999996</v>
      </c>
      <c r="H14" s="44">
        <f t="shared" si="14"/>
        <v>5782456.4000000013</v>
      </c>
      <c r="I14" s="44">
        <f t="shared" si="14"/>
        <v>5787723.5000000009</v>
      </c>
      <c r="J14" s="44">
        <f t="shared" si="14"/>
        <v>5787723.5000000009</v>
      </c>
      <c r="K14" s="44">
        <f t="shared" si="14"/>
        <v>5783137.9542300012</v>
      </c>
      <c r="L14" s="44">
        <f t="shared" si="14"/>
        <v>5821533.5525800008</v>
      </c>
      <c r="M14" s="44">
        <f t="shared" ref="M14:M21" si="15">L14/J14*100</f>
        <v>100.5841684140578</v>
      </c>
      <c r="N14" s="44">
        <f t="shared" ref="N14:T14" si="16">N15+N16</f>
        <v>5821533.5525800008</v>
      </c>
      <c r="O14" s="44">
        <f t="shared" si="16"/>
        <v>0</v>
      </c>
      <c r="P14" s="44">
        <f t="shared" si="16"/>
        <v>45058.201650000272</v>
      </c>
      <c r="Q14" s="44">
        <f t="shared" si="16"/>
        <v>45058.201650000272</v>
      </c>
      <c r="R14" s="44">
        <f t="shared" si="16"/>
        <v>5894988.7427700004</v>
      </c>
      <c r="S14" s="44">
        <f t="shared" si="16"/>
        <v>116065.3507400001</v>
      </c>
      <c r="T14" s="44">
        <f t="shared" si="16"/>
        <v>-12586.703500000129</v>
      </c>
      <c r="U14" s="34"/>
    </row>
    <row r="15" spans="1:22" s="41" customFormat="1" hidden="1" x14ac:dyDescent="0.25">
      <c r="A15" s="46" t="s">
        <v>27</v>
      </c>
      <c r="B15" s="50" t="s">
        <v>33</v>
      </c>
      <c r="C15" s="38"/>
      <c r="D15" s="39">
        <f t="shared" ref="D15:K15" si="17">D18+D69+D100+D117+D126</f>
        <v>4406190.7</v>
      </c>
      <c r="E15" s="39">
        <f t="shared" si="17"/>
        <v>4406190.7</v>
      </c>
      <c r="F15" s="39">
        <f t="shared" si="17"/>
        <v>4400683.8999999994</v>
      </c>
      <c r="G15" s="39">
        <f t="shared" si="17"/>
        <v>4400683.8999999994</v>
      </c>
      <c r="H15" s="39">
        <f t="shared" si="17"/>
        <v>4650533.7000000011</v>
      </c>
      <c r="I15" s="39">
        <f t="shared" si="17"/>
        <v>4655800.8000000007</v>
      </c>
      <c r="J15" s="39">
        <f t="shared" si="17"/>
        <v>4655800.8000000007</v>
      </c>
      <c r="K15" s="39">
        <f t="shared" si="17"/>
        <v>4655800.8000000007</v>
      </c>
      <c r="L15" s="39">
        <f>L18+L69+L96+L100+L117+L126</f>
        <v>4694196.4622100005</v>
      </c>
      <c r="M15" s="39">
        <f t="shared" si="15"/>
        <v>100.82468438533709</v>
      </c>
      <c r="N15" s="39">
        <f>N18+N69+N96+N100+N117+N126</f>
        <v>4694196.4622100005</v>
      </c>
      <c r="O15" s="39">
        <f>O18+O69+O96+O100+O117+O126</f>
        <v>0</v>
      </c>
      <c r="P15" s="39">
        <f>P18+P69+P100+P117+P126</f>
        <v>45058.137790000226</v>
      </c>
      <c r="Q15" s="39">
        <f t="shared" ref="Q15" si="18">Q18+Q69+Q100+Q117+Q126</f>
        <v>45058.137790000226</v>
      </c>
      <c r="R15" s="39">
        <f>R18+R69+R100+R117+R126</f>
        <v>4766882.4885400003</v>
      </c>
      <c r="S15" s="39">
        <f>S18+S100+S117+S126</f>
        <v>115296.25074000009</v>
      </c>
      <c r="T15" s="39">
        <f>T18+T100+T117+T126</f>
        <v>-12586.703500000129</v>
      </c>
      <c r="U15" s="51"/>
    </row>
    <row r="16" spans="1:22" s="41" customFormat="1" hidden="1" x14ac:dyDescent="0.25">
      <c r="A16" s="46" t="s">
        <v>29</v>
      </c>
      <c r="B16" s="50" t="s">
        <v>33</v>
      </c>
      <c r="C16" s="38"/>
      <c r="D16" s="39">
        <f t="shared" ref="D16:L16" si="19">D19+D70+D101</f>
        <v>1031859.6</v>
      </c>
      <c r="E16" s="39">
        <f t="shared" si="19"/>
        <v>1031859.6</v>
      </c>
      <c r="F16" s="39">
        <f t="shared" si="19"/>
        <v>1031859.6</v>
      </c>
      <c r="G16" s="39">
        <f t="shared" si="19"/>
        <v>1131922.7</v>
      </c>
      <c r="H16" s="39">
        <f t="shared" si="19"/>
        <v>1131922.7</v>
      </c>
      <c r="I16" s="39">
        <f t="shared" si="19"/>
        <v>1131922.7</v>
      </c>
      <c r="J16" s="39">
        <f t="shared" si="19"/>
        <v>1131922.7</v>
      </c>
      <c r="K16" s="39">
        <f t="shared" si="19"/>
        <v>1127337.15423</v>
      </c>
      <c r="L16" s="39">
        <f t="shared" si="19"/>
        <v>1127337.0903699999</v>
      </c>
      <c r="M16" s="39">
        <f t="shared" si="15"/>
        <v>99.594883146172435</v>
      </c>
      <c r="N16" s="39">
        <f t="shared" ref="N16:R16" si="20">N19+N70+N101</f>
        <v>1127337.0903700001</v>
      </c>
      <c r="O16" s="39">
        <f t="shared" si="20"/>
        <v>0</v>
      </c>
      <c r="P16" s="39">
        <f t="shared" si="20"/>
        <v>6.3860000047952781E-2</v>
      </c>
      <c r="Q16" s="39">
        <f t="shared" si="20"/>
        <v>6.3860000047952781E-2</v>
      </c>
      <c r="R16" s="39">
        <f t="shared" si="20"/>
        <v>1128106.2542300001</v>
      </c>
      <c r="S16" s="39">
        <f>S19+S101</f>
        <v>769.10000000000036</v>
      </c>
      <c r="T16" s="39">
        <f>T19+T101</f>
        <v>0</v>
      </c>
      <c r="U16" s="51"/>
    </row>
    <row r="17" spans="1:21" s="56" customFormat="1" ht="31.5" x14ac:dyDescent="0.25">
      <c r="A17" s="52" t="s">
        <v>34</v>
      </c>
      <c r="B17" s="53" t="s">
        <v>35</v>
      </c>
      <c r="C17" s="54">
        <f>SUM(C20:C67)</f>
        <v>0</v>
      </c>
      <c r="D17" s="54">
        <f>D18+D19</f>
        <v>3087612.3999999994</v>
      </c>
      <c r="E17" s="54">
        <f t="shared" ref="E17:T17" si="21">E18+E19</f>
        <v>3087612.3999999994</v>
      </c>
      <c r="F17" s="54">
        <f t="shared" si="21"/>
        <v>3069637.8999999994</v>
      </c>
      <c r="G17" s="54">
        <f t="shared" si="21"/>
        <v>3078656.4999999995</v>
      </c>
      <c r="H17" s="54">
        <f t="shared" si="21"/>
        <v>3238144.2000000011</v>
      </c>
      <c r="I17" s="54">
        <f t="shared" si="21"/>
        <v>3303900.5000000009</v>
      </c>
      <c r="J17" s="54">
        <f t="shared" si="21"/>
        <v>3303900.5000000009</v>
      </c>
      <c r="K17" s="54">
        <f t="shared" si="21"/>
        <v>3303131.4000000008</v>
      </c>
      <c r="L17" s="54">
        <f t="shared" si="21"/>
        <v>3302874.8547299998</v>
      </c>
      <c r="M17" s="54">
        <f>L17/K17*100</f>
        <v>99.992233270828976</v>
      </c>
      <c r="N17" s="54">
        <f t="shared" ref="N17" si="22">N18+N19</f>
        <v>3302874.8547299998</v>
      </c>
      <c r="O17" s="54">
        <f t="shared" si="21"/>
        <v>0</v>
      </c>
      <c r="P17" s="54">
        <f>P18+P19</f>
        <v>256.54527000019334</v>
      </c>
      <c r="Q17" s="54">
        <f t="shared" ref="Q17" si="23">Q18+Q19</f>
        <v>256.54527000019334</v>
      </c>
      <c r="R17" s="54">
        <f t="shared" si="21"/>
        <v>3350606.0883400007</v>
      </c>
      <c r="S17" s="54">
        <f t="shared" si="21"/>
        <v>47795.320000000022</v>
      </c>
      <c r="T17" s="54">
        <f t="shared" si="21"/>
        <v>-320.63166000001564</v>
      </c>
      <c r="U17" s="55"/>
    </row>
    <row r="18" spans="1:21" s="59" customFormat="1" x14ac:dyDescent="0.25">
      <c r="A18" s="46" t="s">
        <v>27</v>
      </c>
      <c r="B18" s="57" t="s">
        <v>28</v>
      </c>
      <c r="C18" s="39"/>
      <c r="D18" s="39">
        <f t="shared" ref="D18:L18" si="24">SUMIF($B$20:$B$67,"=01",D20:D67)</f>
        <v>2331594.4999999995</v>
      </c>
      <c r="E18" s="39">
        <f t="shared" si="24"/>
        <v>2331594.4999999995</v>
      </c>
      <c r="F18" s="39">
        <f t="shared" si="24"/>
        <v>2313619.9999999995</v>
      </c>
      <c r="G18" s="39">
        <f t="shared" si="24"/>
        <v>2313619.9999999995</v>
      </c>
      <c r="H18" s="39">
        <f t="shared" si="24"/>
        <v>2473107.7000000011</v>
      </c>
      <c r="I18" s="39">
        <f t="shared" si="24"/>
        <v>2538864.0000000009</v>
      </c>
      <c r="J18" s="39">
        <f t="shared" si="24"/>
        <v>2538864.0000000009</v>
      </c>
      <c r="K18" s="39">
        <f t="shared" si="24"/>
        <v>2538864.0000000009</v>
      </c>
      <c r="L18" s="39">
        <f t="shared" si="24"/>
        <v>2538607.51859</v>
      </c>
      <c r="M18" s="39">
        <f>L18/K18*100</f>
        <v>99.989897788538457</v>
      </c>
      <c r="N18" s="39">
        <f t="shared" ref="N18:T18" si="25">SUMIF($B$20:$B$67,"=01",N20:N67)</f>
        <v>2538607.51859</v>
      </c>
      <c r="O18" s="39">
        <f t="shared" si="25"/>
        <v>0</v>
      </c>
      <c r="P18" s="39">
        <f t="shared" si="25"/>
        <v>256.48141000014402</v>
      </c>
      <c r="Q18" s="39">
        <f t="shared" si="25"/>
        <v>256.48141000014402</v>
      </c>
      <c r="R18" s="39">
        <f t="shared" si="25"/>
        <v>2585569.5883400007</v>
      </c>
      <c r="S18" s="39">
        <f t="shared" si="25"/>
        <v>47026.220000000023</v>
      </c>
      <c r="T18" s="39">
        <f t="shared" si="25"/>
        <v>-320.63166000001564</v>
      </c>
      <c r="U18" s="58"/>
    </row>
    <row r="19" spans="1:21" s="59" customFormat="1" x14ac:dyDescent="0.25">
      <c r="A19" s="46" t="s">
        <v>29</v>
      </c>
      <c r="B19" s="57" t="s">
        <v>30</v>
      </c>
      <c r="C19" s="39"/>
      <c r="D19" s="39">
        <f t="shared" ref="D19:L19" si="26">SUMIF($B$20:$B$67,"=02",D20:D67)</f>
        <v>756017.9</v>
      </c>
      <c r="E19" s="39">
        <f t="shared" si="26"/>
        <v>756017.9</v>
      </c>
      <c r="F19" s="39">
        <f t="shared" si="26"/>
        <v>756017.9</v>
      </c>
      <c r="G19" s="39">
        <f t="shared" si="26"/>
        <v>765036.5</v>
      </c>
      <c r="H19" s="39">
        <f t="shared" si="26"/>
        <v>765036.5</v>
      </c>
      <c r="I19" s="39">
        <f t="shared" si="26"/>
        <v>765036.5</v>
      </c>
      <c r="J19" s="39">
        <f t="shared" si="26"/>
        <v>765036.5</v>
      </c>
      <c r="K19" s="39">
        <f t="shared" si="26"/>
        <v>764267.39999999991</v>
      </c>
      <c r="L19" s="39">
        <f t="shared" si="26"/>
        <v>764267.33614000003</v>
      </c>
      <c r="M19" s="39">
        <f>L19/K19*100</f>
        <v>99.999991644285771</v>
      </c>
      <c r="N19" s="39">
        <f t="shared" ref="N19:T19" si="27">SUMIF($B$20:$B$67,"=02",N20:N67)</f>
        <v>764267.33614000003</v>
      </c>
      <c r="O19" s="39">
        <f t="shared" si="27"/>
        <v>0</v>
      </c>
      <c r="P19" s="39">
        <f t="shared" si="27"/>
        <v>6.3860000049317023E-2</v>
      </c>
      <c r="Q19" s="39">
        <f t="shared" si="27"/>
        <v>6.3860000049317023E-2</v>
      </c>
      <c r="R19" s="39">
        <f t="shared" si="27"/>
        <v>765036.5</v>
      </c>
      <c r="S19" s="39">
        <f t="shared" si="27"/>
        <v>769.10000000000036</v>
      </c>
      <c r="T19" s="39">
        <f t="shared" si="27"/>
        <v>0</v>
      </c>
      <c r="U19" s="58"/>
    </row>
    <row r="20" spans="1:21" ht="51.75" customHeight="1" x14ac:dyDescent="0.25">
      <c r="A20" s="60" t="s">
        <v>36</v>
      </c>
      <c r="B20" s="61" t="s">
        <v>28</v>
      </c>
      <c r="C20" s="62" t="s">
        <v>37</v>
      </c>
      <c r="D20" s="63">
        <v>38826.5</v>
      </c>
      <c r="E20" s="64">
        <f>D20</f>
        <v>38826.5</v>
      </c>
      <c r="F20" s="64">
        <f t="shared" ref="F20:K35" si="28">E20</f>
        <v>38826.5</v>
      </c>
      <c r="G20" s="64">
        <f t="shared" si="28"/>
        <v>38826.5</v>
      </c>
      <c r="H20" s="65">
        <f>G20-2186.1</f>
        <v>36640.400000000001</v>
      </c>
      <c r="I20" s="64">
        <f t="shared" si="28"/>
        <v>36640.400000000001</v>
      </c>
      <c r="J20" s="64">
        <f t="shared" si="28"/>
        <v>36640.400000000001</v>
      </c>
      <c r="K20" s="64">
        <f t="shared" si="28"/>
        <v>36640.400000000001</v>
      </c>
      <c r="L20" s="66">
        <f>('[1]Бюдж роспись КБ'!K19+'[1]Бюдж роспись КБ'!K20+'[1]Бюдж роспись КБ'!K21)/1000</f>
        <v>36640.400000000001</v>
      </c>
      <c r="M20" s="66">
        <f t="shared" si="15"/>
        <v>100</v>
      </c>
      <c r="N20" s="66">
        <v>36640.400000000001</v>
      </c>
      <c r="O20" s="66">
        <f t="shared" ref="O20:O56" si="29">L20-N20</f>
        <v>0</v>
      </c>
      <c r="P20" s="66">
        <f t="shared" ref="P20:P67" si="30">I20-L20</f>
        <v>0</v>
      </c>
      <c r="Q20" s="66">
        <f>K20-L20</f>
        <v>0</v>
      </c>
      <c r="R20" s="67">
        <v>36640.400000000001</v>
      </c>
      <c r="S20" s="68" t="str">
        <f t="shared" ref="S20:S61" si="31">IF(R20-K20&gt;0,R20-K20,"")</f>
        <v/>
      </c>
      <c r="T20" s="68" t="str">
        <f t="shared" ref="T20:T57" si="32">IF(R20-K20&lt;0,R20-K20,"")</f>
        <v/>
      </c>
      <c r="U20" s="69"/>
    </row>
    <row r="21" spans="1:21" ht="59.25" customHeight="1" x14ac:dyDescent="0.25">
      <c r="A21" s="60" t="s">
        <v>38</v>
      </c>
      <c r="B21" s="61" t="s">
        <v>28</v>
      </c>
      <c r="C21" s="62" t="s">
        <v>39</v>
      </c>
      <c r="D21" s="63">
        <v>325020</v>
      </c>
      <c r="E21" s="64">
        <f t="shared" ref="E21:K36" si="33">D21</f>
        <v>325020</v>
      </c>
      <c r="F21" s="64">
        <f t="shared" si="33"/>
        <v>325020</v>
      </c>
      <c r="G21" s="64">
        <f t="shared" si="33"/>
        <v>325020</v>
      </c>
      <c r="H21" s="65">
        <f>G21+137830.7</f>
        <v>462850.7</v>
      </c>
      <c r="I21" s="70">
        <f>H21+6501.3</f>
        <v>469352</v>
      </c>
      <c r="J21" s="64">
        <f t="shared" si="33"/>
        <v>469352</v>
      </c>
      <c r="K21" s="64">
        <f t="shared" si="28"/>
        <v>469352</v>
      </c>
      <c r="L21" s="66">
        <f>'[1]Бюдж роспись КБ'!K22/1000</f>
        <v>469351.99999999994</v>
      </c>
      <c r="M21" s="66">
        <f t="shared" si="15"/>
        <v>99.999999999999986</v>
      </c>
      <c r="N21" s="66">
        <v>469352</v>
      </c>
      <c r="O21" s="66">
        <f t="shared" si="29"/>
        <v>0</v>
      </c>
      <c r="P21" s="71">
        <f t="shared" si="30"/>
        <v>0</v>
      </c>
      <c r="Q21" s="66">
        <f t="shared" ref="Q21:Q85" si="34">K21-L21</f>
        <v>0</v>
      </c>
      <c r="R21" s="67">
        <v>469352</v>
      </c>
      <c r="S21" s="68" t="str">
        <f t="shared" si="31"/>
        <v/>
      </c>
      <c r="T21" s="68" t="str">
        <f t="shared" si="32"/>
        <v/>
      </c>
      <c r="U21" s="72"/>
    </row>
    <row r="22" spans="1:21" ht="47.25" hidden="1" x14ac:dyDescent="0.25">
      <c r="A22" s="73" t="s">
        <v>40</v>
      </c>
      <c r="B22" s="61" t="s">
        <v>28</v>
      </c>
      <c r="C22" s="62" t="s">
        <v>41</v>
      </c>
      <c r="D22" s="63">
        <v>5140.2</v>
      </c>
      <c r="E22" s="64">
        <f t="shared" si="33"/>
        <v>5140.2</v>
      </c>
      <c r="F22" s="74">
        <f>E22-5140.2</f>
        <v>0</v>
      </c>
      <c r="G22" s="64">
        <f t="shared" si="33"/>
        <v>0</v>
      </c>
      <c r="H22" s="64">
        <f t="shared" si="33"/>
        <v>0</v>
      </c>
      <c r="I22" s="64">
        <f t="shared" si="28"/>
        <v>0</v>
      </c>
      <c r="J22" s="64">
        <f t="shared" si="33"/>
        <v>0</v>
      </c>
      <c r="K22" s="64">
        <f t="shared" si="28"/>
        <v>0</v>
      </c>
      <c r="L22" s="66">
        <f>'[1]Бюдж роспись КБ'!K23/1000</f>
        <v>0</v>
      </c>
      <c r="M22" s="66"/>
      <c r="N22" s="66"/>
      <c r="O22" s="66">
        <f>L22-N22</f>
        <v>0</v>
      </c>
      <c r="P22" s="71">
        <f t="shared" si="30"/>
        <v>0</v>
      </c>
      <c r="Q22" s="66">
        <f t="shared" si="34"/>
        <v>0</v>
      </c>
      <c r="R22" s="67">
        <v>0</v>
      </c>
      <c r="S22" s="68" t="str">
        <f t="shared" si="31"/>
        <v/>
      </c>
      <c r="T22" s="68" t="str">
        <f t="shared" si="32"/>
        <v/>
      </c>
      <c r="U22" s="69"/>
    </row>
    <row r="23" spans="1:21" ht="76.5" customHeight="1" x14ac:dyDescent="0.25">
      <c r="A23" s="60" t="s">
        <v>42</v>
      </c>
      <c r="B23" s="61" t="s">
        <v>28</v>
      </c>
      <c r="C23" s="62" t="s">
        <v>43</v>
      </c>
      <c r="D23" s="63">
        <v>235973.6</v>
      </c>
      <c r="E23" s="64">
        <f t="shared" si="33"/>
        <v>235973.6</v>
      </c>
      <c r="F23" s="64">
        <f t="shared" si="33"/>
        <v>235973.6</v>
      </c>
      <c r="G23" s="64">
        <f t="shared" si="33"/>
        <v>235973.6</v>
      </c>
      <c r="H23" s="64">
        <f t="shared" si="33"/>
        <v>235973.6</v>
      </c>
      <c r="I23" s="70">
        <f>H23-2.9</f>
        <v>235970.7</v>
      </c>
      <c r="J23" s="64">
        <f t="shared" si="33"/>
        <v>235970.7</v>
      </c>
      <c r="K23" s="64">
        <f t="shared" si="28"/>
        <v>235970.7</v>
      </c>
      <c r="L23" s="66">
        <f>('[1]Бюдж роспись КБ'!K24+'[1]Бюдж роспись КБ'!K25)/1000</f>
        <v>235970.69469999999</v>
      </c>
      <c r="M23" s="66">
        <f>L23/J23*100</f>
        <v>99.999997753958425</v>
      </c>
      <c r="N23" s="66">
        <v>235970.69469999999</v>
      </c>
      <c r="O23" s="66">
        <f>L23-N23</f>
        <v>0</v>
      </c>
      <c r="P23" s="71">
        <f t="shared" si="30"/>
        <v>5.3000000189058483E-3</v>
      </c>
      <c r="Q23" s="66">
        <f t="shared" si="34"/>
        <v>5.3000000189058483E-3</v>
      </c>
      <c r="R23" s="75">
        <v>235970.7</v>
      </c>
      <c r="S23" s="68" t="str">
        <f t="shared" si="31"/>
        <v/>
      </c>
      <c r="T23" s="68" t="str">
        <f t="shared" si="32"/>
        <v/>
      </c>
      <c r="U23" s="69"/>
    </row>
    <row r="24" spans="1:21" ht="63" hidden="1" x14ac:dyDescent="0.25">
      <c r="A24" s="60" t="s">
        <v>44</v>
      </c>
      <c r="B24" s="61" t="s">
        <v>28</v>
      </c>
      <c r="C24" s="62" t="s">
        <v>45</v>
      </c>
      <c r="D24" s="63">
        <v>2330</v>
      </c>
      <c r="E24" s="64">
        <f t="shared" si="33"/>
        <v>2330</v>
      </c>
      <c r="F24" s="64">
        <f t="shared" si="33"/>
        <v>2330</v>
      </c>
      <c r="G24" s="64">
        <f t="shared" si="33"/>
        <v>2330</v>
      </c>
      <c r="H24" s="65">
        <f>G24-2330</f>
        <v>0</v>
      </c>
      <c r="I24" s="64">
        <f t="shared" si="33"/>
        <v>0</v>
      </c>
      <c r="J24" s="64">
        <f t="shared" si="33"/>
        <v>0</v>
      </c>
      <c r="K24" s="64">
        <f t="shared" si="28"/>
        <v>0</v>
      </c>
      <c r="L24" s="66">
        <f>'[1]Бюдж роспись КБ'!K26/1000</f>
        <v>0</v>
      </c>
      <c r="M24" s="66"/>
      <c r="N24" s="66"/>
      <c r="O24" s="66">
        <f>L24-N24</f>
        <v>0</v>
      </c>
      <c r="P24" s="71">
        <f t="shared" si="30"/>
        <v>0</v>
      </c>
      <c r="Q24" s="66">
        <f t="shared" si="34"/>
        <v>0</v>
      </c>
      <c r="R24" s="67">
        <v>0</v>
      </c>
      <c r="S24" s="68" t="str">
        <f t="shared" si="31"/>
        <v/>
      </c>
      <c r="T24" s="68" t="str">
        <f t="shared" si="32"/>
        <v/>
      </c>
      <c r="U24" s="76"/>
    </row>
    <row r="25" spans="1:21" ht="42" customHeight="1" x14ac:dyDescent="0.25">
      <c r="A25" s="60" t="s">
        <v>46</v>
      </c>
      <c r="B25" s="61" t="s">
        <v>28</v>
      </c>
      <c r="C25" s="62" t="s">
        <v>47</v>
      </c>
      <c r="D25" s="63">
        <v>1000</v>
      </c>
      <c r="E25" s="64">
        <f t="shared" si="33"/>
        <v>1000</v>
      </c>
      <c r="F25" s="64">
        <f t="shared" si="33"/>
        <v>1000</v>
      </c>
      <c r="G25" s="64">
        <f t="shared" si="33"/>
        <v>1000</v>
      </c>
      <c r="H25" s="64">
        <f t="shared" si="33"/>
        <v>1000</v>
      </c>
      <c r="I25" s="64">
        <f t="shared" si="33"/>
        <v>1000</v>
      </c>
      <c r="J25" s="64">
        <f t="shared" si="33"/>
        <v>1000</v>
      </c>
      <c r="K25" s="64">
        <f t="shared" si="28"/>
        <v>1000</v>
      </c>
      <c r="L25" s="66">
        <f>'[1]Бюдж роспись КБ'!K27/1000</f>
        <v>1000</v>
      </c>
      <c r="M25" s="66">
        <f>L25/J25*100</f>
        <v>100</v>
      </c>
      <c r="N25" s="66">
        <v>1000</v>
      </c>
      <c r="O25" s="66">
        <f t="shared" si="29"/>
        <v>0</v>
      </c>
      <c r="P25" s="71">
        <f t="shared" si="30"/>
        <v>0</v>
      </c>
      <c r="Q25" s="66">
        <f t="shared" si="34"/>
        <v>0</v>
      </c>
      <c r="R25" s="67">
        <v>1000</v>
      </c>
      <c r="S25" s="68" t="str">
        <f t="shared" si="31"/>
        <v/>
      </c>
      <c r="T25" s="68" t="str">
        <f t="shared" si="32"/>
        <v/>
      </c>
      <c r="U25" s="72"/>
    </row>
    <row r="26" spans="1:21" ht="43.5" customHeight="1" x14ac:dyDescent="0.25">
      <c r="A26" s="77" t="s">
        <v>48</v>
      </c>
      <c r="B26" s="61" t="s">
        <v>28</v>
      </c>
      <c r="C26" s="62" t="s">
        <v>49</v>
      </c>
      <c r="D26" s="63">
        <v>31800</v>
      </c>
      <c r="E26" s="64">
        <f t="shared" si="33"/>
        <v>31800</v>
      </c>
      <c r="F26" s="64">
        <f t="shared" si="33"/>
        <v>31800</v>
      </c>
      <c r="G26" s="64">
        <f t="shared" si="33"/>
        <v>31800</v>
      </c>
      <c r="H26" s="64">
        <f t="shared" si="33"/>
        <v>31800</v>
      </c>
      <c r="I26" s="70">
        <f>H26+6317.1</f>
        <v>38117.1</v>
      </c>
      <c r="J26" s="64">
        <f t="shared" si="33"/>
        <v>38117.1</v>
      </c>
      <c r="K26" s="64">
        <f t="shared" si="28"/>
        <v>38117.1</v>
      </c>
      <c r="L26" s="66">
        <f>'[1]Бюдж роспись КБ'!K28/1000</f>
        <v>38117.1</v>
      </c>
      <c r="M26" s="66">
        <f>L26/J26*100</f>
        <v>100</v>
      </c>
      <c r="N26" s="66">
        <v>38117.1</v>
      </c>
      <c r="O26" s="66">
        <f t="shared" si="29"/>
        <v>0</v>
      </c>
      <c r="P26" s="71">
        <f t="shared" si="30"/>
        <v>0</v>
      </c>
      <c r="Q26" s="66">
        <f t="shared" si="34"/>
        <v>0</v>
      </c>
      <c r="R26" s="78">
        <v>37796.470439999997</v>
      </c>
      <c r="S26" s="68" t="str">
        <f t="shared" si="31"/>
        <v/>
      </c>
      <c r="T26" s="68">
        <f t="shared" si="32"/>
        <v>-320.62956000000122</v>
      </c>
      <c r="U26" s="72"/>
    </row>
    <row r="27" spans="1:21" ht="42" customHeight="1" x14ac:dyDescent="0.25">
      <c r="A27" s="73" t="s">
        <v>50</v>
      </c>
      <c r="B27" s="61" t="s">
        <v>28</v>
      </c>
      <c r="C27" s="62" t="s">
        <v>51</v>
      </c>
      <c r="D27" s="63">
        <v>708412.1</v>
      </c>
      <c r="E27" s="64">
        <f t="shared" si="33"/>
        <v>708412.1</v>
      </c>
      <c r="F27" s="64">
        <f t="shared" si="33"/>
        <v>708412.1</v>
      </c>
      <c r="G27" s="64">
        <f t="shared" si="33"/>
        <v>708412.1</v>
      </c>
      <c r="H27" s="65">
        <f>G27+103327.5</f>
        <v>811739.6</v>
      </c>
      <c r="I27" s="70">
        <f>H27+80000</f>
        <v>891739.6</v>
      </c>
      <c r="J27" s="64">
        <f t="shared" si="33"/>
        <v>891739.6</v>
      </c>
      <c r="K27" s="64">
        <f t="shared" si="28"/>
        <v>891739.6</v>
      </c>
      <c r="L27" s="66">
        <f>('[1]Бюдж роспись КБ'!K29+'[1]Бюдж роспись КБ'!K30)/1000</f>
        <v>891739.62999999989</v>
      </c>
      <c r="M27" s="66">
        <f t="shared" ref="M27:M40" si="35">L27/J27*100</f>
        <v>100.0000033642108</v>
      </c>
      <c r="N27" s="66">
        <v>891739.63</v>
      </c>
      <c r="O27" s="66">
        <f t="shared" si="29"/>
        <v>0</v>
      </c>
      <c r="P27" s="71">
        <f t="shared" si="30"/>
        <v>-2.9999999911524355E-2</v>
      </c>
      <c r="Q27" s="66">
        <f t="shared" si="34"/>
        <v>-2.9999999911524355E-2</v>
      </c>
      <c r="R27" s="78">
        <f>811739.6+106411.4</f>
        <v>918151</v>
      </c>
      <c r="S27" s="68">
        <f t="shared" si="31"/>
        <v>26411.400000000023</v>
      </c>
      <c r="T27" s="68" t="str">
        <f t="shared" si="32"/>
        <v/>
      </c>
      <c r="U27" s="72"/>
    </row>
    <row r="28" spans="1:21" ht="88.5" customHeight="1" x14ac:dyDescent="0.25">
      <c r="A28" s="73" t="s">
        <v>52</v>
      </c>
      <c r="B28" s="61" t="s">
        <v>28</v>
      </c>
      <c r="C28" s="62" t="s">
        <v>53</v>
      </c>
      <c r="D28" s="63">
        <v>69473.5</v>
      </c>
      <c r="E28" s="64">
        <f t="shared" si="33"/>
        <v>69473.5</v>
      </c>
      <c r="F28" s="64">
        <f t="shared" si="33"/>
        <v>69473.5</v>
      </c>
      <c r="G28" s="64">
        <f t="shared" si="33"/>
        <v>69473.5</v>
      </c>
      <c r="H28" s="64">
        <f t="shared" si="33"/>
        <v>69473.5</v>
      </c>
      <c r="I28" s="70">
        <f>H28-17150</f>
        <v>52323.5</v>
      </c>
      <c r="J28" s="64">
        <f t="shared" si="33"/>
        <v>52323.5</v>
      </c>
      <c r="K28" s="64">
        <f t="shared" si="28"/>
        <v>52323.5</v>
      </c>
      <c r="L28" s="66">
        <f>'[1]Бюдж роспись КБ'!K31/1000</f>
        <v>52323.5</v>
      </c>
      <c r="M28" s="66">
        <f t="shared" si="35"/>
        <v>100</v>
      </c>
      <c r="N28" s="66">
        <v>52323.5</v>
      </c>
      <c r="O28" s="66">
        <f t="shared" si="29"/>
        <v>0</v>
      </c>
      <c r="P28" s="71">
        <f t="shared" si="30"/>
        <v>0</v>
      </c>
      <c r="Q28" s="66">
        <f t="shared" si="34"/>
        <v>0</v>
      </c>
      <c r="R28" s="67">
        <v>61395.6</v>
      </c>
      <c r="S28" s="68">
        <f t="shared" si="31"/>
        <v>9072.0999999999985</v>
      </c>
      <c r="T28" s="68" t="str">
        <f t="shared" si="32"/>
        <v/>
      </c>
      <c r="U28" s="76"/>
    </row>
    <row r="29" spans="1:21" ht="71.25" customHeight="1" x14ac:dyDescent="0.25">
      <c r="A29" s="77" t="s">
        <v>54</v>
      </c>
      <c r="B29" s="61" t="s">
        <v>28</v>
      </c>
      <c r="C29" s="62" t="s">
        <v>55</v>
      </c>
      <c r="D29" s="63">
        <v>4376</v>
      </c>
      <c r="E29" s="64">
        <f t="shared" si="33"/>
        <v>4376</v>
      </c>
      <c r="F29" s="64">
        <f t="shared" si="33"/>
        <v>4376</v>
      </c>
      <c r="G29" s="64">
        <f t="shared" si="33"/>
        <v>4376</v>
      </c>
      <c r="H29" s="65">
        <f>G29+462.8</f>
        <v>4838.8</v>
      </c>
      <c r="I29" s="64">
        <f t="shared" si="33"/>
        <v>4838.8</v>
      </c>
      <c r="J29" s="64">
        <f t="shared" si="33"/>
        <v>4838.8</v>
      </c>
      <c r="K29" s="64">
        <f t="shared" si="28"/>
        <v>4838.8</v>
      </c>
      <c r="L29" s="63">
        <f>'[1]Бюдж роспись КБ'!K32/1000</f>
        <v>4838.8</v>
      </c>
      <c r="M29" s="66">
        <f t="shared" si="35"/>
        <v>100</v>
      </c>
      <c r="N29" s="63">
        <v>4838.8</v>
      </c>
      <c r="O29" s="66">
        <f t="shared" si="29"/>
        <v>0</v>
      </c>
      <c r="P29" s="71">
        <f t="shared" si="30"/>
        <v>0</v>
      </c>
      <c r="Q29" s="66">
        <f t="shared" si="34"/>
        <v>0</v>
      </c>
      <c r="R29" s="67">
        <v>4838.8</v>
      </c>
      <c r="S29" s="68" t="str">
        <f t="shared" si="31"/>
        <v/>
      </c>
      <c r="T29" s="68" t="str">
        <f t="shared" si="32"/>
        <v/>
      </c>
      <c r="U29" s="72"/>
    </row>
    <row r="30" spans="1:21" ht="110.25" x14ac:dyDescent="0.25">
      <c r="A30" s="77" t="s">
        <v>56</v>
      </c>
      <c r="B30" s="61" t="s">
        <v>28</v>
      </c>
      <c r="C30" s="62" t="s">
        <v>57</v>
      </c>
      <c r="D30" s="63">
        <v>24500</v>
      </c>
      <c r="E30" s="64">
        <f t="shared" si="33"/>
        <v>24500</v>
      </c>
      <c r="F30" s="64">
        <f t="shared" si="33"/>
        <v>24500</v>
      </c>
      <c r="G30" s="64">
        <f t="shared" si="33"/>
        <v>24500</v>
      </c>
      <c r="H30" s="64">
        <f t="shared" si="33"/>
        <v>24500</v>
      </c>
      <c r="I30" s="70">
        <f>H30-7000</f>
        <v>17500</v>
      </c>
      <c r="J30" s="64">
        <f t="shared" si="33"/>
        <v>17500</v>
      </c>
      <c r="K30" s="64">
        <f t="shared" si="28"/>
        <v>17500</v>
      </c>
      <c r="L30" s="66">
        <f>('[1]Бюдж роспись КБ'!K33+'[1]Бюдж роспись КБ'!K34)/1000</f>
        <v>17500</v>
      </c>
      <c r="M30" s="66">
        <f t="shared" si="35"/>
        <v>100</v>
      </c>
      <c r="N30" s="66">
        <v>17500</v>
      </c>
      <c r="O30" s="66">
        <f t="shared" si="29"/>
        <v>0</v>
      </c>
      <c r="P30" s="71">
        <f t="shared" si="30"/>
        <v>0</v>
      </c>
      <c r="Q30" s="66">
        <f t="shared" si="34"/>
        <v>0</v>
      </c>
      <c r="R30" s="67">
        <v>24500</v>
      </c>
      <c r="S30" s="68">
        <f t="shared" si="31"/>
        <v>7000</v>
      </c>
      <c r="T30" s="68" t="str">
        <f t="shared" si="32"/>
        <v/>
      </c>
      <c r="U30" s="72"/>
    </row>
    <row r="31" spans="1:21" ht="63" x14ac:dyDescent="0.25">
      <c r="A31" s="79" t="s">
        <v>58</v>
      </c>
      <c r="B31" s="80" t="s">
        <v>28</v>
      </c>
      <c r="C31" s="81" t="s">
        <v>59</v>
      </c>
      <c r="D31" s="63">
        <v>212608.2</v>
      </c>
      <c r="E31" s="64">
        <f t="shared" si="33"/>
        <v>212608.2</v>
      </c>
      <c r="F31" s="74">
        <f>E31-12834.3</f>
        <v>199773.90000000002</v>
      </c>
      <c r="G31" s="64">
        <f t="shared" si="33"/>
        <v>199773.90000000002</v>
      </c>
      <c r="H31" s="65">
        <f>G31-49773.9</f>
        <v>150000.00000000003</v>
      </c>
      <c r="I31" s="70">
        <f>H31+4000</f>
        <v>154000.00000000003</v>
      </c>
      <c r="J31" s="64">
        <f t="shared" si="33"/>
        <v>154000.00000000003</v>
      </c>
      <c r="K31" s="64">
        <f t="shared" si="28"/>
        <v>154000.00000000003</v>
      </c>
      <c r="L31" s="66">
        <f>'[1]Бюдж роспись КБ'!K35/1000</f>
        <v>154000.01167999997</v>
      </c>
      <c r="M31" s="66">
        <f t="shared" si="35"/>
        <v>100.00000758441554</v>
      </c>
      <c r="N31" s="66">
        <v>154000.01168</v>
      </c>
      <c r="O31" s="66">
        <f t="shared" si="29"/>
        <v>0</v>
      </c>
      <c r="P31" s="71">
        <f t="shared" si="30"/>
        <v>-1.1679999937769026E-2</v>
      </c>
      <c r="Q31" s="66">
        <f t="shared" si="34"/>
        <v>-1.1679999937769026E-2</v>
      </c>
      <c r="R31" s="78">
        <v>154000</v>
      </c>
      <c r="S31" s="68" t="str">
        <f t="shared" si="31"/>
        <v/>
      </c>
      <c r="T31" s="68">
        <f t="shared" si="32"/>
        <v>-2.9103830456733704E-11</v>
      </c>
      <c r="U31" s="72"/>
    </row>
    <row r="32" spans="1:21" ht="47.25" x14ac:dyDescent="0.25">
      <c r="A32" s="73" t="s">
        <v>60</v>
      </c>
      <c r="B32" s="61" t="s">
        <v>28</v>
      </c>
      <c r="C32" s="62" t="s">
        <v>61</v>
      </c>
      <c r="D32" s="63">
        <v>61984</v>
      </c>
      <c r="E32" s="64">
        <f t="shared" si="33"/>
        <v>61984</v>
      </c>
      <c r="F32" s="64">
        <f t="shared" si="33"/>
        <v>61984</v>
      </c>
      <c r="G32" s="64">
        <f t="shared" si="33"/>
        <v>61984</v>
      </c>
      <c r="H32" s="64">
        <f t="shared" si="33"/>
        <v>61984</v>
      </c>
      <c r="I32" s="64">
        <f t="shared" si="33"/>
        <v>61984</v>
      </c>
      <c r="J32" s="64">
        <f t="shared" si="33"/>
        <v>61984</v>
      </c>
      <c r="K32" s="64">
        <f t="shared" si="28"/>
        <v>61984</v>
      </c>
      <c r="L32" s="66">
        <f>'[1]Бюдж роспись КБ'!K36/1000</f>
        <v>61983.999990000004</v>
      </c>
      <c r="M32" s="66">
        <f t="shared" si="35"/>
        <v>99.9999999838668</v>
      </c>
      <c r="N32" s="66">
        <v>61983.999989999997</v>
      </c>
      <c r="O32" s="66">
        <f t="shared" si="29"/>
        <v>0</v>
      </c>
      <c r="P32" s="71">
        <f t="shared" si="30"/>
        <v>9.9999961093999445E-6</v>
      </c>
      <c r="Q32" s="66">
        <f t="shared" si="34"/>
        <v>9.9999961093999445E-6</v>
      </c>
      <c r="R32" s="67">
        <v>66526.720000000001</v>
      </c>
      <c r="S32" s="68">
        <f t="shared" si="31"/>
        <v>4542.7200000000012</v>
      </c>
      <c r="T32" s="68" t="str">
        <f t="shared" si="32"/>
        <v/>
      </c>
      <c r="U32" s="72"/>
    </row>
    <row r="33" spans="1:21" ht="58.5" customHeight="1" x14ac:dyDescent="0.25">
      <c r="A33" s="60" t="s">
        <v>62</v>
      </c>
      <c r="B33" s="61" t="s">
        <v>28</v>
      </c>
      <c r="C33" s="62" t="s">
        <v>63</v>
      </c>
      <c r="D33" s="63">
        <v>3000</v>
      </c>
      <c r="E33" s="64">
        <f t="shared" si="33"/>
        <v>3000</v>
      </c>
      <c r="F33" s="64">
        <f t="shared" si="33"/>
        <v>3000</v>
      </c>
      <c r="G33" s="64">
        <f t="shared" si="33"/>
        <v>3000</v>
      </c>
      <c r="H33" s="65">
        <f>G33-2928.7</f>
        <v>71.300000000000182</v>
      </c>
      <c r="I33" s="70">
        <f>H33-2.5</f>
        <v>68.800000000000182</v>
      </c>
      <c r="J33" s="64">
        <f t="shared" si="33"/>
        <v>68.800000000000182</v>
      </c>
      <c r="K33" s="64">
        <f t="shared" si="28"/>
        <v>68.800000000000182</v>
      </c>
      <c r="L33" s="66">
        <f>'[1]Бюдж роспись КБ'!K37/1000</f>
        <v>68.779570000000007</v>
      </c>
      <c r="M33" s="66">
        <f t="shared" si="35"/>
        <v>99.970305232557891</v>
      </c>
      <c r="N33" s="66">
        <v>68.779570000000007</v>
      </c>
      <c r="O33" s="66">
        <f t="shared" si="29"/>
        <v>0</v>
      </c>
      <c r="P33" s="71">
        <f t="shared" si="30"/>
        <v>2.0430000000175141E-2</v>
      </c>
      <c r="Q33" s="66">
        <f t="shared" si="34"/>
        <v>2.0430000000175141E-2</v>
      </c>
      <c r="R33" s="67">
        <v>68.8</v>
      </c>
      <c r="S33" s="68" t="str">
        <f t="shared" si="31"/>
        <v/>
      </c>
      <c r="T33" s="68">
        <f t="shared" si="32"/>
        <v>-1.8474111129762605E-13</v>
      </c>
      <c r="U33" s="82"/>
    </row>
    <row r="34" spans="1:21" ht="55.5" customHeight="1" x14ac:dyDescent="0.25">
      <c r="A34" s="60" t="s">
        <v>64</v>
      </c>
      <c r="B34" s="61" t="s">
        <v>28</v>
      </c>
      <c r="C34" s="62" t="s">
        <v>65</v>
      </c>
      <c r="D34" s="63">
        <v>36000</v>
      </c>
      <c r="E34" s="64">
        <f t="shared" si="33"/>
        <v>36000</v>
      </c>
      <c r="F34" s="64">
        <f t="shared" si="33"/>
        <v>36000</v>
      </c>
      <c r="G34" s="64">
        <f t="shared" si="33"/>
        <v>36000</v>
      </c>
      <c r="H34" s="64">
        <f t="shared" si="33"/>
        <v>36000</v>
      </c>
      <c r="I34" s="64">
        <f t="shared" si="33"/>
        <v>36000</v>
      </c>
      <c r="J34" s="64">
        <f t="shared" si="33"/>
        <v>36000</v>
      </c>
      <c r="K34" s="64">
        <f t="shared" si="28"/>
        <v>36000</v>
      </c>
      <c r="L34" s="66">
        <f>'[1]Бюдж роспись КБ'!K38/1000</f>
        <v>35999.999989999997</v>
      </c>
      <c r="M34" s="66">
        <f t="shared" si="35"/>
        <v>99.999999972222213</v>
      </c>
      <c r="N34" s="66">
        <v>35999.999989999997</v>
      </c>
      <c r="O34" s="83">
        <f t="shared" si="29"/>
        <v>0</v>
      </c>
      <c r="P34" s="71">
        <f t="shared" si="30"/>
        <v>1.0000003385357559E-5</v>
      </c>
      <c r="Q34" s="66">
        <f t="shared" si="34"/>
        <v>1.0000003385357559E-5</v>
      </c>
      <c r="R34" s="67">
        <v>36000</v>
      </c>
      <c r="S34" s="68" t="str">
        <f t="shared" si="31"/>
        <v/>
      </c>
      <c r="T34" s="68" t="str">
        <f t="shared" si="32"/>
        <v/>
      </c>
      <c r="U34" s="60"/>
    </row>
    <row r="35" spans="1:21" ht="47.25" x14ac:dyDescent="0.25">
      <c r="A35" s="73" t="s">
        <v>66</v>
      </c>
      <c r="B35" s="61" t="s">
        <v>28</v>
      </c>
      <c r="C35" s="62" t="s">
        <v>67</v>
      </c>
      <c r="D35" s="63">
        <v>169000</v>
      </c>
      <c r="E35" s="64">
        <f t="shared" si="33"/>
        <v>169000</v>
      </c>
      <c r="F35" s="64">
        <f t="shared" si="33"/>
        <v>169000</v>
      </c>
      <c r="G35" s="64">
        <f t="shared" si="33"/>
        <v>169000</v>
      </c>
      <c r="H35" s="64">
        <f t="shared" si="33"/>
        <v>169000</v>
      </c>
      <c r="I35" s="70">
        <f>H35-911.2</f>
        <v>168088.8</v>
      </c>
      <c r="J35" s="64">
        <f t="shared" si="33"/>
        <v>168088.8</v>
      </c>
      <c r="K35" s="64">
        <f t="shared" si="28"/>
        <v>168088.8</v>
      </c>
      <c r="L35" s="66">
        <f>'[1]Бюдж роспись КБ'!K39/1000</f>
        <v>168088.79790000001</v>
      </c>
      <c r="M35" s="66">
        <f t="shared" si="35"/>
        <v>99.999998750660382</v>
      </c>
      <c r="N35" s="66">
        <v>168088.79790000001</v>
      </c>
      <c r="O35" s="66">
        <f t="shared" si="29"/>
        <v>0</v>
      </c>
      <c r="P35" s="71">
        <f t="shared" si="30"/>
        <v>2.0999999833293259E-3</v>
      </c>
      <c r="Q35" s="66">
        <f t="shared" si="34"/>
        <v>2.0999999833293259E-3</v>
      </c>
      <c r="R35" s="78">
        <f>105455.1429+62633.655</f>
        <v>168088.79790000001</v>
      </c>
      <c r="S35" s="68" t="str">
        <f t="shared" si="31"/>
        <v/>
      </c>
      <c r="T35" s="68">
        <f t="shared" si="32"/>
        <v>-2.0999999833293259E-3</v>
      </c>
      <c r="U35" s="72"/>
    </row>
    <row r="36" spans="1:21" ht="55.5" customHeight="1" x14ac:dyDescent="0.25">
      <c r="A36" s="73" t="s">
        <v>68</v>
      </c>
      <c r="B36" s="61" t="s">
        <v>28</v>
      </c>
      <c r="C36" s="62" t="s">
        <v>69</v>
      </c>
      <c r="D36" s="63">
        <v>46096</v>
      </c>
      <c r="E36" s="64">
        <f t="shared" si="33"/>
        <v>46096</v>
      </c>
      <c r="F36" s="64">
        <f t="shared" si="33"/>
        <v>46096</v>
      </c>
      <c r="G36" s="64">
        <f t="shared" si="33"/>
        <v>46096</v>
      </c>
      <c r="H36" s="65">
        <f>G36-2100</f>
        <v>43996</v>
      </c>
      <c r="I36" s="64">
        <f t="shared" si="33"/>
        <v>43996</v>
      </c>
      <c r="J36" s="64">
        <f t="shared" si="33"/>
        <v>43996</v>
      </c>
      <c r="K36" s="64">
        <f t="shared" si="33"/>
        <v>43996</v>
      </c>
      <c r="L36" s="66">
        <f>'[1]Бюдж роспись КБ'!K42/1000</f>
        <v>43996</v>
      </c>
      <c r="M36" s="66">
        <f t="shared" si="35"/>
        <v>100</v>
      </c>
      <c r="N36" s="66">
        <v>43996</v>
      </c>
      <c r="O36" s="66">
        <f>L36-N36</f>
        <v>0</v>
      </c>
      <c r="P36" s="71">
        <f t="shared" si="30"/>
        <v>0</v>
      </c>
      <c r="Q36" s="66">
        <f t="shared" si="34"/>
        <v>0</v>
      </c>
      <c r="R36" s="67">
        <v>43996</v>
      </c>
      <c r="S36" s="68" t="str">
        <f t="shared" si="31"/>
        <v/>
      </c>
      <c r="T36" s="68" t="str">
        <f t="shared" si="32"/>
        <v/>
      </c>
      <c r="U36" s="72"/>
    </row>
    <row r="37" spans="1:21" ht="55.5" customHeight="1" x14ac:dyDescent="0.25">
      <c r="A37" s="73" t="s">
        <v>70</v>
      </c>
      <c r="B37" s="61" t="s">
        <v>28</v>
      </c>
      <c r="C37" s="62" t="s">
        <v>71</v>
      </c>
      <c r="D37" s="63">
        <v>3975</v>
      </c>
      <c r="E37" s="64">
        <f t="shared" ref="E37:K52" si="36">D37</f>
        <v>3975</v>
      </c>
      <c r="F37" s="64">
        <f t="shared" si="36"/>
        <v>3975</v>
      </c>
      <c r="G37" s="64">
        <f t="shared" si="36"/>
        <v>3975</v>
      </c>
      <c r="H37" s="65">
        <f>G37+1838.1</f>
        <v>5813.1</v>
      </c>
      <c r="I37" s="64">
        <f t="shared" ref="I37:I44" si="37">H37</f>
        <v>5813.1</v>
      </c>
      <c r="J37" s="64">
        <f t="shared" si="36"/>
        <v>5813.1</v>
      </c>
      <c r="K37" s="64">
        <f t="shared" si="36"/>
        <v>5813.1</v>
      </c>
      <c r="L37" s="66">
        <f>'[1]Бюдж роспись КБ'!K43/1000</f>
        <v>5813.1</v>
      </c>
      <c r="M37" s="66">
        <f t="shared" si="35"/>
        <v>100</v>
      </c>
      <c r="N37" s="66">
        <v>5813.1</v>
      </c>
      <c r="O37" s="66">
        <f>L37-N37</f>
        <v>0</v>
      </c>
      <c r="P37" s="71">
        <f t="shared" si="30"/>
        <v>0</v>
      </c>
      <c r="Q37" s="66">
        <f t="shared" si="34"/>
        <v>0</v>
      </c>
      <c r="R37" s="67">
        <v>5813.1</v>
      </c>
      <c r="S37" s="68" t="str">
        <f t="shared" si="31"/>
        <v/>
      </c>
      <c r="T37" s="68" t="str">
        <f t="shared" si="32"/>
        <v/>
      </c>
      <c r="U37" s="72"/>
    </row>
    <row r="38" spans="1:21" ht="63" x14ac:dyDescent="0.25">
      <c r="A38" s="73" t="s">
        <v>72</v>
      </c>
      <c r="B38" s="61" t="s">
        <v>28</v>
      </c>
      <c r="C38" s="62" t="s">
        <v>73</v>
      </c>
      <c r="D38" s="63">
        <v>44754</v>
      </c>
      <c r="E38" s="64">
        <f t="shared" si="36"/>
        <v>44754</v>
      </c>
      <c r="F38" s="64">
        <f>E38-506.6</f>
        <v>44247.4</v>
      </c>
      <c r="G38" s="64">
        <f t="shared" si="36"/>
        <v>44247.4</v>
      </c>
      <c r="H38" s="65">
        <f>G38-24620.8</f>
        <v>19626.600000000002</v>
      </c>
      <c r="I38" s="70">
        <f>H38-3594.2</f>
        <v>16032.400000000001</v>
      </c>
      <c r="J38" s="64">
        <f t="shared" si="36"/>
        <v>16032.400000000001</v>
      </c>
      <c r="K38" s="64">
        <f t="shared" si="36"/>
        <v>16032.400000000001</v>
      </c>
      <c r="L38" s="66">
        <f>'[1]Бюдж роспись КБ'!K44/1000</f>
        <v>16032.36</v>
      </c>
      <c r="M38" s="66">
        <f t="shared" si="35"/>
        <v>99.999750505226913</v>
      </c>
      <c r="N38" s="66">
        <v>16032.36</v>
      </c>
      <c r="O38" s="66">
        <f>L38-N38</f>
        <v>0</v>
      </c>
      <c r="P38" s="71">
        <f t="shared" si="30"/>
        <v>4.0000000000873115E-2</v>
      </c>
      <c r="Q38" s="66">
        <f t="shared" si="34"/>
        <v>4.0000000000873115E-2</v>
      </c>
      <c r="R38" s="78">
        <v>16032.4</v>
      </c>
      <c r="S38" s="68" t="str">
        <f t="shared" si="31"/>
        <v/>
      </c>
      <c r="T38" s="68">
        <f t="shared" si="32"/>
        <v>-1.8189894035458565E-12</v>
      </c>
      <c r="U38" s="69"/>
    </row>
    <row r="39" spans="1:21" ht="134.25" customHeight="1" x14ac:dyDescent="0.25">
      <c r="A39" s="77" t="s">
        <v>74</v>
      </c>
      <c r="B39" s="61" t="s">
        <v>28</v>
      </c>
      <c r="C39" s="62" t="s">
        <v>75</v>
      </c>
      <c r="D39" s="63">
        <v>50000</v>
      </c>
      <c r="E39" s="64">
        <f t="shared" si="36"/>
        <v>50000</v>
      </c>
      <c r="F39" s="64">
        <f t="shared" si="36"/>
        <v>50000</v>
      </c>
      <c r="G39" s="64">
        <f t="shared" si="36"/>
        <v>50000</v>
      </c>
      <c r="H39" s="64">
        <f t="shared" si="36"/>
        <v>50000</v>
      </c>
      <c r="I39" s="64">
        <f t="shared" si="36"/>
        <v>50000</v>
      </c>
      <c r="J39" s="64">
        <f t="shared" si="36"/>
        <v>50000</v>
      </c>
      <c r="K39" s="64">
        <f t="shared" si="36"/>
        <v>50000</v>
      </c>
      <c r="L39" s="66">
        <f>'[1]Бюдж роспись КБ'!K45/1000</f>
        <v>50000</v>
      </c>
      <c r="M39" s="66">
        <f t="shared" si="35"/>
        <v>100</v>
      </c>
      <c r="N39" s="66">
        <v>50000</v>
      </c>
      <c r="O39" s="66">
        <f>L39-N39</f>
        <v>0</v>
      </c>
      <c r="P39" s="71">
        <f t="shared" si="30"/>
        <v>0</v>
      </c>
      <c r="Q39" s="66">
        <f t="shared" si="34"/>
        <v>0</v>
      </c>
      <c r="R39" s="67">
        <v>50000</v>
      </c>
      <c r="S39" s="68" t="str">
        <f t="shared" si="31"/>
        <v/>
      </c>
      <c r="T39" s="68" t="str">
        <f t="shared" si="32"/>
        <v/>
      </c>
      <c r="U39" s="69"/>
    </row>
    <row r="40" spans="1:21" ht="53.25" customHeight="1" x14ac:dyDescent="0.25">
      <c r="A40" s="73" t="s">
        <v>76</v>
      </c>
      <c r="B40" s="61" t="s">
        <v>28</v>
      </c>
      <c r="C40" s="62" t="s">
        <v>77</v>
      </c>
      <c r="D40" s="63">
        <v>5319.4</v>
      </c>
      <c r="E40" s="64">
        <f t="shared" si="36"/>
        <v>5319.4</v>
      </c>
      <c r="F40" s="64">
        <f t="shared" si="36"/>
        <v>5319.4</v>
      </c>
      <c r="G40" s="64">
        <f t="shared" si="36"/>
        <v>5319.4</v>
      </c>
      <c r="H40" s="64">
        <f t="shared" si="36"/>
        <v>5319.4</v>
      </c>
      <c r="I40" s="70">
        <f>H40-2401.3</f>
        <v>2918.0999999999995</v>
      </c>
      <c r="J40" s="64">
        <f t="shared" si="36"/>
        <v>2918.0999999999995</v>
      </c>
      <c r="K40" s="64">
        <f t="shared" si="36"/>
        <v>2918.0999999999995</v>
      </c>
      <c r="L40" s="66">
        <f>'[1]Бюдж роспись КБ'!K46/1000</f>
        <v>2918.1029399999998</v>
      </c>
      <c r="M40" s="66">
        <f t="shared" si="35"/>
        <v>100.00010075048836</v>
      </c>
      <c r="N40" s="66">
        <v>2918.1029400000002</v>
      </c>
      <c r="O40" s="66">
        <f>L40-N40</f>
        <v>0</v>
      </c>
      <c r="P40" s="71">
        <f t="shared" si="30"/>
        <v>-2.9400000003079185E-3</v>
      </c>
      <c r="Q40" s="66">
        <f t="shared" si="34"/>
        <v>-2.9400000003079185E-3</v>
      </c>
      <c r="R40" s="78">
        <v>2918.1</v>
      </c>
      <c r="S40" s="68">
        <f t="shared" si="31"/>
        <v>4.5474735088646412E-13</v>
      </c>
      <c r="T40" s="68" t="str">
        <f t="shared" si="32"/>
        <v/>
      </c>
      <c r="U40" s="69"/>
    </row>
    <row r="41" spans="1:21" ht="71.25" customHeight="1" x14ac:dyDescent="0.25">
      <c r="A41" s="73" t="s">
        <v>78</v>
      </c>
      <c r="B41" s="61" t="s">
        <v>35</v>
      </c>
      <c r="C41" s="62"/>
      <c r="D41" s="63"/>
      <c r="E41" s="64">
        <f t="shared" si="36"/>
        <v>0</v>
      </c>
      <c r="F41" s="64">
        <f t="shared" si="36"/>
        <v>0</v>
      </c>
      <c r="G41" s="64">
        <f t="shared" si="36"/>
        <v>0</v>
      </c>
      <c r="H41" s="64">
        <f t="shared" si="36"/>
        <v>0</v>
      </c>
      <c r="I41" s="64">
        <f t="shared" si="36"/>
        <v>0</v>
      </c>
      <c r="J41" s="64">
        <f t="shared" si="36"/>
        <v>0</v>
      </c>
      <c r="K41" s="64">
        <f t="shared" si="36"/>
        <v>0</v>
      </c>
      <c r="L41" s="66"/>
      <c r="M41" s="66"/>
      <c r="N41" s="66"/>
      <c r="O41" s="66"/>
      <c r="P41" s="71">
        <f t="shared" si="30"/>
        <v>0</v>
      </c>
      <c r="Q41" s="66">
        <f t="shared" si="34"/>
        <v>0</v>
      </c>
      <c r="R41" s="67">
        <v>0</v>
      </c>
      <c r="S41" s="68" t="str">
        <f t="shared" si="31"/>
        <v/>
      </c>
      <c r="T41" s="68" t="str">
        <f t="shared" si="32"/>
        <v/>
      </c>
      <c r="U41" s="84"/>
    </row>
    <row r="42" spans="1:21" x14ac:dyDescent="0.25">
      <c r="A42" s="46" t="s">
        <v>27</v>
      </c>
      <c r="B42" s="61" t="s">
        <v>28</v>
      </c>
      <c r="C42" s="62" t="s">
        <v>79</v>
      </c>
      <c r="D42" s="63">
        <v>41273.4</v>
      </c>
      <c r="E42" s="64">
        <f t="shared" si="36"/>
        <v>41273.4</v>
      </c>
      <c r="F42" s="64">
        <f t="shared" si="36"/>
        <v>41273.4</v>
      </c>
      <c r="G42" s="64">
        <f t="shared" si="36"/>
        <v>41273.4</v>
      </c>
      <c r="H42" s="64">
        <f t="shared" si="36"/>
        <v>41273.4</v>
      </c>
      <c r="I42" s="70">
        <f>H42-3383.2</f>
        <v>37890.200000000004</v>
      </c>
      <c r="J42" s="64">
        <f t="shared" si="36"/>
        <v>37890.200000000004</v>
      </c>
      <c r="K42" s="64">
        <f t="shared" si="36"/>
        <v>37890.200000000004</v>
      </c>
      <c r="L42" s="66">
        <f>'[1]Бюдж роспись КБ'!K47/1000</f>
        <v>37890.152670000003</v>
      </c>
      <c r="M42" s="66">
        <f>L42/J42*100</f>
        <v>99.99987508643396</v>
      </c>
      <c r="N42" s="66">
        <v>37890.152670000003</v>
      </c>
      <c r="O42" s="66">
        <f t="shared" ref="O42:O43" si="38">L42-N42</f>
        <v>0</v>
      </c>
      <c r="P42" s="71">
        <f>I42-L42</f>
        <v>4.7330000001238659E-2</v>
      </c>
      <c r="Q42" s="66">
        <f t="shared" si="34"/>
        <v>4.7330000001238659E-2</v>
      </c>
      <c r="R42" s="67">
        <v>37890.200000000004</v>
      </c>
      <c r="S42" s="68" t="str">
        <f t="shared" si="31"/>
        <v/>
      </c>
      <c r="T42" s="68" t="str">
        <f t="shared" si="32"/>
        <v/>
      </c>
      <c r="U42" s="84"/>
    </row>
    <row r="43" spans="1:21" x14ac:dyDescent="0.25">
      <c r="A43" s="46" t="s">
        <v>29</v>
      </c>
      <c r="B43" s="61" t="s">
        <v>30</v>
      </c>
      <c r="C43" s="62" t="s">
        <v>79</v>
      </c>
      <c r="D43" s="63">
        <v>123820.3</v>
      </c>
      <c r="E43" s="64">
        <f t="shared" si="36"/>
        <v>123820.3</v>
      </c>
      <c r="F43" s="64">
        <f t="shared" si="36"/>
        <v>123820.3</v>
      </c>
      <c r="G43" s="64">
        <f t="shared" si="36"/>
        <v>123820.3</v>
      </c>
      <c r="H43" s="64">
        <f t="shared" si="36"/>
        <v>123820.3</v>
      </c>
      <c r="I43" s="70">
        <f>H43-10149.8</f>
        <v>113670.5</v>
      </c>
      <c r="J43" s="64">
        <f t="shared" si="36"/>
        <v>113670.5</v>
      </c>
      <c r="K43" s="64">
        <f t="shared" si="36"/>
        <v>113670.5</v>
      </c>
      <c r="L43" s="66">
        <f>'[1]Бюдж роспись КБ'!K48/1000</f>
        <v>113670.45801999999</v>
      </c>
      <c r="M43" s="66">
        <f>L43/J43*100</f>
        <v>99.999963068694157</v>
      </c>
      <c r="N43" s="66">
        <v>113670.45802000001</v>
      </c>
      <c r="O43" s="66">
        <f t="shared" si="38"/>
        <v>0</v>
      </c>
      <c r="P43" s="71">
        <f>I43-L43</f>
        <v>4.1980000009061769E-2</v>
      </c>
      <c r="Q43" s="66">
        <f t="shared" si="34"/>
        <v>4.1980000009061769E-2</v>
      </c>
      <c r="R43" s="67">
        <v>113670.5</v>
      </c>
      <c r="S43" s="68" t="str">
        <f t="shared" si="31"/>
        <v/>
      </c>
      <c r="T43" s="68" t="str">
        <f t="shared" si="32"/>
        <v/>
      </c>
      <c r="U43" s="84"/>
    </row>
    <row r="44" spans="1:21" ht="57" customHeight="1" x14ac:dyDescent="0.25">
      <c r="A44" s="73" t="s">
        <v>80</v>
      </c>
      <c r="B44" s="61" t="s">
        <v>35</v>
      </c>
      <c r="C44" s="62"/>
      <c r="D44" s="63"/>
      <c r="E44" s="64">
        <f t="shared" si="36"/>
        <v>0</v>
      </c>
      <c r="F44" s="64">
        <f t="shared" si="36"/>
        <v>0</v>
      </c>
      <c r="G44" s="64">
        <f t="shared" si="36"/>
        <v>0</v>
      </c>
      <c r="H44" s="64">
        <f t="shared" si="36"/>
        <v>0</v>
      </c>
      <c r="I44" s="64">
        <f t="shared" si="36"/>
        <v>0</v>
      </c>
      <c r="J44" s="64">
        <f t="shared" si="36"/>
        <v>0</v>
      </c>
      <c r="K44" s="64">
        <f t="shared" si="36"/>
        <v>0</v>
      </c>
      <c r="L44" s="66"/>
      <c r="M44" s="66"/>
      <c r="N44" s="66"/>
      <c r="O44" s="66">
        <f>L44-N44</f>
        <v>0</v>
      </c>
      <c r="P44" s="71">
        <f t="shared" ref="P44:P55" si="39">I44-L44</f>
        <v>0</v>
      </c>
      <c r="Q44" s="66">
        <f t="shared" si="34"/>
        <v>0</v>
      </c>
      <c r="R44" s="67">
        <v>0</v>
      </c>
      <c r="S44" s="68" t="str">
        <f t="shared" si="31"/>
        <v/>
      </c>
      <c r="T44" s="68" t="str">
        <f t="shared" si="32"/>
        <v/>
      </c>
      <c r="U44" s="69"/>
    </row>
    <row r="45" spans="1:21" x14ac:dyDescent="0.25">
      <c r="A45" s="46" t="s">
        <v>27</v>
      </c>
      <c r="B45" s="61" t="s">
        <v>28</v>
      </c>
      <c r="C45" s="62" t="s">
        <v>81</v>
      </c>
      <c r="D45" s="63">
        <v>32932.9</v>
      </c>
      <c r="E45" s="64">
        <f t="shared" si="36"/>
        <v>32932.9</v>
      </c>
      <c r="F45" s="64">
        <f t="shared" si="36"/>
        <v>32932.9</v>
      </c>
      <c r="G45" s="64">
        <f t="shared" si="36"/>
        <v>32932.9</v>
      </c>
      <c r="H45" s="64">
        <f t="shared" si="36"/>
        <v>32932.9</v>
      </c>
      <c r="I45" s="70">
        <f>H45+3383.2</f>
        <v>36316.1</v>
      </c>
      <c r="J45" s="64">
        <f t="shared" si="36"/>
        <v>36316.1</v>
      </c>
      <c r="K45" s="64">
        <f t="shared" si="36"/>
        <v>36316.1</v>
      </c>
      <c r="L45" s="66">
        <f>'[1]Бюдж роспись КБ'!K49/1000</f>
        <v>36316.14733</v>
      </c>
      <c r="M45" s="66">
        <f>L45/J45*100</f>
        <v>100.00013032787112</v>
      </c>
      <c r="N45" s="66">
        <v>36316.14733</v>
      </c>
      <c r="O45" s="66">
        <f t="shared" ref="O45:O55" si="40">L45-N45</f>
        <v>0</v>
      </c>
      <c r="P45" s="71">
        <f t="shared" si="39"/>
        <v>-4.7330000001238659E-2</v>
      </c>
      <c r="Q45" s="66">
        <f t="shared" si="34"/>
        <v>-4.7330000001238659E-2</v>
      </c>
      <c r="R45" s="67">
        <v>36316.1</v>
      </c>
      <c r="S45" s="68" t="str">
        <f t="shared" si="31"/>
        <v/>
      </c>
      <c r="T45" s="68" t="str">
        <f t="shared" si="32"/>
        <v/>
      </c>
      <c r="U45" s="69"/>
    </row>
    <row r="46" spans="1:21" x14ac:dyDescent="0.25">
      <c r="A46" s="46" t="s">
        <v>29</v>
      </c>
      <c r="B46" s="61" t="s">
        <v>30</v>
      </c>
      <c r="C46" s="62" t="s">
        <v>81</v>
      </c>
      <c r="D46" s="63">
        <v>98798.6</v>
      </c>
      <c r="E46" s="64">
        <f t="shared" si="36"/>
        <v>98798.6</v>
      </c>
      <c r="F46" s="64">
        <f t="shared" si="36"/>
        <v>98798.6</v>
      </c>
      <c r="G46" s="64">
        <f t="shared" si="36"/>
        <v>98798.6</v>
      </c>
      <c r="H46" s="64">
        <f t="shared" si="36"/>
        <v>98798.6</v>
      </c>
      <c r="I46" s="70">
        <f>H46+10149.8</f>
        <v>108948.40000000001</v>
      </c>
      <c r="J46" s="64">
        <f t="shared" si="36"/>
        <v>108948.40000000001</v>
      </c>
      <c r="K46" s="64">
        <f t="shared" si="36"/>
        <v>108948.40000000001</v>
      </c>
      <c r="L46" s="66">
        <f>'[1]Бюдж роспись КБ'!K50/1000</f>
        <v>108948.44198</v>
      </c>
      <c r="M46" s="66">
        <f>L46/J46*100</f>
        <v>100.00003853200229</v>
      </c>
      <c r="N46" s="66">
        <v>108948.44198</v>
      </c>
      <c r="O46" s="66">
        <f t="shared" si="40"/>
        <v>0</v>
      </c>
      <c r="P46" s="71">
        <f t="shared" si="39"/>
        <v>-4.1979999994509853E-2</v>
      </c>
      <c r="Q46" s="66">
        <f t="shared" si="34"/>
        <v>-4.1979999994509853E-2</v>
      </c>
      <c r="R46" s="67">
        <v>108948.40000000001</v>
      </c>
      <c r="S46" s="68" t="str">
        <f t="shared" si="31"/>
        <v/>
      </c>
      <c r="T46" s="68" t="str">
        <f t="shared" si="32"/>
        <v/>
      </c>
      <c r="U46" s="69"/>
    </row>
    <row r="47" spans="1:21" ht="74.25" customHeight="1" x14ac:dyDescent="0.25">
      <c r="A47" s="73" t="s">
        <v>82</v>
      </c>
      <c r="B47" s="61" t="s">
        <v>35</v>
      </c>
      <c r="C47" s="62"/>
      <c r="D47" s="63"/>
      <c r="E47" s="64">
        <f t="shared" si="36"/>
        <v>0</v>
      </c>
      <c r="F47" s="64">
        <f t="shared" si="36"/>
        <v>0</v>
      </c>
      <c r="G47" s="64">
        <f t="shared" si="36"/>
        <v>0</v>
      </c>
      <c r="H47" s="64">
        <f t="shared" si="36"/>
        <v>0</v>
      </c>
      <c r="I47" s="64">
        <f t="shared" si="36"/>
        <v>0</v>
      </c>
      <c r="J47" s="64">
        <f t="shared" si="36"/>
        <v>0</v>
      </c>
      <c r="K47" s="64">
        <f t="shared" si="36"/>
        <v>0</v>
      </c>
      <c r="L47" s="66"/>
      <c r="M47" s="66"/>
      <c r="N47" s="66"/>
      <c r="O47" s="66">
        <f t="shared" si="40"/>
        <v>0</v>
      </c>
      <c r="P47" s="71">
        <f t="shared" si="39"/>
        <v>0</v>
      </c>
      <c r="Q47" s="66">
        <f t="shared" si="34"/>
        <v>0</v>
      </c>
      <c r="R47" s="67">
        <v>0</v>
      </c>
      <c r="S47" s="68" t="str">
        <f t="shared" si="31"/>
        <v/>
      </c>
      <c r="T47" s="68" t="str">
        <f t="shared" si="32"/>
        <v/>
      </c>
      <c r="U47" s="69"/>
    </row>
    <row r="48" spans="1:21" x14ac:dyDescent="0.25">
      <c r="A48" s="46" t="s">
        <v>27</v>
      </c>
      <c r="B48" s="61" t="s">
        <v>28</v>
      </c>
      <c r="C48" s="62" t="s">
        <v>83</v>
      </c>
      <c r="D48" s="63">
        <v>41686.400000000001</v>
      </c>
      <c r="E48" s="64">
        <f t="shared" si="36"/>
        <v>41686.400000000001</v>
      </c>
      <c r="F48" s="64">
        <f t="shared" si="36"/>
        <v>41686.400000000001</v>
      </c>
      <c r="G48" s="64">
        <f t="shared" si="36"/>
        <v>41686.400000000001</v>
      </c>
      <c r="H48" s="65">
        <f>G48-2452.8</f>
        <v>39233.599999999999</v>
      </c>
      <c r="I48" s="64">
        <f t="shared" si="36"/>
        <v>39233.599999999999</v>
      </c>
      <c r="J48" s="64">
        <f t="shared" si="36"/>
        <v>39233.599999999999</v>
      </c>
      <c r="K48" s="64">
        <f t="shared" si="36"/>
        <v>39233.599999999999</v>
      </c>
      <c r="L48" s="66">
        <f>'[1]Бюдж роспись КБ'!K51/1000</f>
        <v>39233.574990000001</v>
      </c>
      <c r="M48" s="66">
        <f>L48/J48*100</f>
        <v>99.999936253619353</v>
      </c>
      <c r="N48" s="66">
        <v>39233.574990000001</v>
      </c>
      <c r="O48" s="71">
        <f t="shared" si="40"/>
        <v>0</v>
      </c>
      <c r="P48" s="71">
        <f t="shared" si="39"/>
        <v>2.5009999997564591E-2</v>
      </c>
      <c r="Q48" s="66">
        <f t="shared" si="34"/>
        <v>2.5009999997564591E-2</v>
      </c>
      <c r="R48" s="67">
        <f t="shared" ref="R48:R66" si="41">K48</f>
        <v>39233.599999999999</v>
      </c>
      <c r="S48" s="68" t="str">
        <f t="shared" si="31"/>
        <v/>
      </c>
      <c r="T48" s="68" t="str">
        <f t="shared" si="32"/>
        <v/>
      </c>
      <c r="U48" s="85"/>
    </row>
    <row r="49" spans="1:22" x14ac:dyDescent="0.25">
      <c r="A49" s="46" t="s">
        <v>29</v>
      </c>
      <c r="B49" s="61" t="s">
        <v>30</v>
      </c>
      <c r="C49" s="62" t="s">
        <v>83</v>
      </c>
      <c r="D49" s="63">
        <v>125059.2</v>
      </c>
      <c r="E49" s="64">
        <f t="shared" si="36"/>
        <v>125059.2</v>
      </c>
      <c r="F49" s="64">
        <f t="shared" si="36"/>
        <v>125059.2</v>
      </c>
      <c r="G49" s="64">
        <f t="shared" si="36"/>
        <v>125059.2</v>
      </c>
      <c r="H49" s="65">
        <f>G49-7358.5</f>
        <v>117700.7</v>
      </c>
      <c r="I49" s="64">
        <f t="shared" si="36"/>
        <v>117700.7</v>
      </c>
      <c r="J49" s="64">
        <f t="shared" si="36"/>
        <v>117700.7</v>
      </c>
      <c r="K49" s="64">
        <f t="shared" si="36"/>
        <v>117700.7</v>
      </c>
      <c r="L49" s="66">
        <f>'[1]Бюдж роспись КБ'!K52/1000</f>
        <v>117700.72501000002</v>
      </c>
      <c r="M49" s="66">
        <f>L49/J49*100</f>
        <v>100.00002124881162</v>
      </c>
      <c r="N49" s="66">
        <v>117700.72500999999</v>
      </c>
      <c r="O49" s="71">
        <f t="shared" si="40"/>
        <v>0</v>
      </c>
      <c r="P49" s="71">
        <f t="shared" si="39"/>
        <v>-2.5010000026668422E-2</v>
      </c>
      <c r="Q49" s="66">
        <f t="shared" si="34"/>
        <v>-2.5010000026668422E-2</v>
      </c>
      <c r="R49" s="67">
        <f t="shared" si="41"/>
        <v>117700.7</v>
      </c>
      <c r="S49" s="68" t="str">
        <f t="shared" si="31"/>
        <v/>
      </c>
      <c r="T49" s="68" t="str">
        <f t="shared" si="32"/>
        <v/>
      </c>
      <c r="U49" s="85"/>
    </row>
    <row r="50" spans="1:22" ht="39" customHeight="1" x14ac:dyDescent="0.25">
      <c r="A50" s="73" t="s">
        <v>84</v>
      </c>
      <c r="B50" s="61" t="s">
        <v>35</v>
      </c>
      <c r="C50" s="62"/>
      <c r="D50" s="63"/>
      <c r="E50" s="64">
        <f t="shared" si="36"/>
        <v>0</v>
      </c>
      <c r="F50" s="64">
        <f t="shared" si="36"/>
        <v>0</v>
      </c>
      <c r="G50" s="64">
        <f t="shared" si="36"/>
        <v>0</v>
      </c>
      <c r="H50" s="64">
        <f t="shared" si="36"/>
        <v>0</v>
      </c>
      <c r="I50" s="64">
        <f t="shared" si="36"/>
        <v>0</v>
      </c>
      <c r="J50" s="64">
        <f t="shared" si="36"/>
        <v>0</v>
      </c>
      <c r="K50" s="64">
        <f t="shared" si="36"/>
        <v>0</v>
      </c>
      <c r="L50" s="66"/>
      <c r="M50" s="66"/>
      <c r="N50" s="66"/>
      <c r="O50" s="66">
        <f t="shared" si="40"/>
        <v>0</v>
      </c>
      <c r="P50" s="71">
        <f t="shared" si="39"/>
        <v>0</v>
      </c>
      <c r="Q50" s="66">
        <f t="shared" si="34"/>
        <v>0</v>
      </c>
      <c r="R50" s="67">
        <f t="shared" si="41"/>
        <v>0</v>
      </c>
      <c r="S50" s="68" t="str">
        <f t="shared" si="31"/>
        <v/>
      </c>
      <c r="T50" s="68" t="str">
        <f t="shared" si="32"/>
        <v/>
      </c>
      <c r="U50" s="69"/>
      <c r="V50" s="86"/>
    </row>
    <row r="51" spans="1:22" x14ac:dyDescent="0.25">
      <c r="A51" s="46" t="s">
        <v>27</v>
      </c>
      <c r="B51" s="61" t="s">
        <v>28</v>
      </c>
      <c r="C51" s="62" t="s">
        <v>85</v>
      </c>
      <c r="D51" s="63">
        <v>13920.8</v>
      </c>
      <c r="E51" s="64">
        <f t="shared" si="36"/>
        <v>13920.8</v>
      </c>
      <c r="F51" s="64">
        <f t="shared" si="36"/>
        <v>13920.8</v>
      </c>
      <c r="G51" s="64">
        <f t="shared" si="36"/>
        <v>13920.8</v>
      </c>
      <c r="H51" s="65">
        <f>G51+2452.9</f>
        <v>16373.699999999999</v>
      </c>
      <c r="I51" s="64">
        <f t="shared" si="36"/>
        <v>16373.699999999999</v>
      </c>
      <c r="J51" s="64">
        <f t="shared" si="36"/>
        <v>16373.699999999999</v>
      </c>
      <c r="K51" s="64">
        <f t="shared" si="36"/>
        <v>16373.699999999999</v>
      </c>
      <c r="L51" s="66">
        <f>'[1]Бюдж роспись КБ'!K53/1000</f>
        <v>16373.7325</v>
      </c>
      <c r="M51" s="66">
        <f>L51/J51*100</f>
        <v>100.00019848904036</v>
      </c>
      <c r="N51" s="66">
        <v>16373.7325</v>
      </c>
      <c r="O51" s="66">
        <f t="shared" si="40"/>
        <v>0</v>
      </c>
      <c r="P51" s="71">
        <f t="shared" si="39"/>
        <v>-3.2500000001164153E-2</v>
      </c>
      <c r="Q51" s="66">
        <f t="shared" si="34"/>
        <v>-3.2500000001164153E-2</v>
      </c>
      <c r="R51" s="67">
        <f t="shared" si="41"/>
        <v>16373.699999999999</v>
      </c>
      <c r="S51" s="68" t="str">
        <f t="shared" si="31"/>
        <v/>
      </c>
      <c r="T51" s="68" t="str">
        <f t="shared" si="32"/>
        <v/>
      </c>
      <c r="U51" s="69"/>
      <c r="V51" s="86"/>
    </row>
    <row r="52" spans="1:22" x14ac:dyDescent="0.25">
      <c r="A52" s="46" t="s">
        <v>29</v>
      </c>
      <c r="B52" s="61" t="s">
        <v>30</v>
      </c>
      <c r="C52" s="62" t="s">
        <v>85</v>
      </c>
      <c r="D52" s="63">
        <v>41762.300000000003</v>
      </c>
      <c r="E52" s="64">
        <f t="shared" si="36"/>
        <v>41762.300000000003</v>
      </c>
      <c r="F52" s="64">
        <f t="shared" si="36"/>
        <v>41762.300000000003</v>
      </c>
      <c r="G52" s="64">
        <f t="shared" si="36"/>
        <v>41762.300000000003</v>
      </c>
      <c r="H52" s="65">
        <f>G52+7358.9</f>
        <v>49121.200000000004</v>
      </c>
      <c r="I52" s="64">
        <f t="shared" si="36"/>
        <v>49121.200000000004</v>
      </c>
      <c r="J52" s="64">
        <f t="shared" si="36"/>
        <v>49121.200000000004</v>
      </c>
      <c r="K52" s="64">
        <f t="shared" si="36"/>
        <v>49121.200000000004</v>
      </c>
      <c r="L52" s="66">
        <f>'[1]Бюдж роспись КБ'!K54/1000</f>
        <v>49121.197500000002</v>
      </c>
      <c r="M52" s="66">
        <f>L52/J52*100</f>
        <v>99.999994910547784</v>
      </c>
      <c r="N52" s="66">
        <v>49121.197500000002</v>
      </c>
      <c r="O52" s="66">
        <f t="shared" si="40"/>
        <v>0</v>
      </c>
      <c r="P52" s="71">
        <f t="shared" si="39"/>
        <v>2.5000000023283064E-3</v>
      </c>
      <c r="Q52" s="66">
        <f t="shared" si="34"/>
        <v>2.5000000023283064E-3</v>
      </c>
      <c r="R52" s="67">
        <f t="shared" si="41"/>
        <v>49121.200000000004</v>
      </c>
      <c r="S52" s="68" t="str">
        <f t="shared" si="31"/>
        <v/>
      </c>
      <c r="T52" s="68" t="str">
        <f t="shared" si="32"/>
        <v/>
      </c>
      <c r="U52" s="69"/>
    </row>
    <row r="53" spans="1:22" ht="47.25" x14ac:dyDescent="0.25">
      <c r="A53" s="73" t="s">
        <v>86</v>
      </c>
      <c r="B53" s="61" t="s">
        <v>35</v>
      </c>
      <c r="C53" s="62"/>
      <c r="D53" s="63"/>
      <c r="E53" s="64">
        <f t="shared" ref="E53:K62" si="42">D53</f>
        <v>0</v>
      </c>
      <c r="F53" s="64">
        <f t="shared" si="42"/>
        <v>0</v>
      </c>
      <c r="G53" s="64">
        <f t="shared" si="42"/>
        <v>0</v>
      </c>
      <c r="H53" s="64">
        <f t="shared" si="42"/>
        <v>0</v>
      </c>
      <c r="I53" s="64">
        <f t="shared" si="42"/>
        <v>0</v>
      </c>
      <c r="J53" s="64">
        <f t="shared" si="42"/>
        <v>0</v>
      </c>
      <c r="K53" s="64">
        <f t="shared" si="42"/>
        <v>0</v>
      </c>
      <c r="L53" s="66"/>
      <c r="M53" s="66"/>
      <c r="N53" s="66"/>
      <c r="O53" s="66">
        <f t="shared" si="40"/>
        <v>0</v>
      </c>
      <c r="P53" s="71">
        <f t="shared" si="39"/>
        <v>0</v>
      </c>
      <c r="Q53" s="66">
        <f t="shared" si="34"/>
        <v>0</v>
      </c>
      <c r="R53" s="67">
        <f t="shared" si="41"/>
        <v>0</v>
      </c>
      <c r="S53" s="68" t="str">
        <f t="shared" si="31"/>
        <v/>
      </c>
      <c r="T53" s="68" t="str">
        <f t="shared" si="32"/>
        <v/>
      </c>
      <c r="U53" s="69"/>
    </row>
    <row r="54" spans="1:22" x14ac:dyDescent="0.25">
      <c r="A54" s="46" t="s">
        <v>27</v>
      </c>
      <c r="B54" s="61" t="s">
        <v>28</v>
      </c>
      <c r="C54" s="62" t="s">
        <v>87</v>
      </c>
      <c r="D54" s="63">
        <v>50795.5</v>
      </c>
      <c r="E54" s="64">
        <f t="shared" si="42"/>
        <v>50795.5</v>
      </c>
      <c r="F54" s="74">
        <f>E54-4566.2</f>
        <v>46229.3</v>
      </c>
      <c r="G54" s="64">
        <f t="shared" si="42"/>
        <v>46229.3</v>
      </c>
      <c r="H54" s="65">
        <f>G54-0.1</f>
        <v>46229.200000000004</v>
      </c>
      <c r="I54" s="64">
        <f t="shared" si="42"/>
        <v>46229.200000000004</v>
      </c>
      <c r="J54" s="64">
        <f t="shared" si="42"/>
        <v>46229.200000000004</v>
      </c>
      <c r="K54" s="64">
        <f t="shared" si="42"/>
        <v>46229.200000000004</v>
      </c>
      <c r="L54" s="66">
        <f>'[1]Бюдж роспись КБ'!K55/1000</f>
        <v>46229.167500000003</v>
      </c>
      <c r="M54" s="66">
        <f t="shared" ref="M54:M55" si="43">L54/J54*100</f>
        <v>99.999929698112879</v>
      </c>
      <c r="N54" s="66">
        <v>46229.167500000003</v>
      </c>
      <c r="O54" s="66">
        <f t="shared" si="40"/>
        <v>0</v>
      </c>
      <c r="P54" s="71">
        <f t="shared" si="39"/>
        <v>3.2500000001164153E-2</v>
      </c>
      <c r="Q54" s="66">
        <f t="shared" si="34"/>
        <v>3.2500000001164153E-2</v>
      </c>
      <c r="R54" s="67">
        <f t="shared" si="41"/>
        <v>46229.200000000004</v>
      </c>
      <c r="S54" s="68" t="str">
        <f t="shared" si="31"/>
        <v/>
      </c>
      <c r="T54" s="68" t="str">
        <f t="shared" si="32"/>
        <v/>
      </c>
      <c r="U54" s="69"/>
    </row>
    <row r="55" spans="1:22" x14ac:dyDescent="0.25">
      <c r="A55" s="46" t="s">
        <v>29</v>
      </c>
      <c r="B55" s="61" t="s">
        <v>30</v>
      </c>
      <c r="C55" s="62" t="s">
        <v>87</v>
      </c>
      <c r="D55" s="63">
        <v>152386.5</v>
      </c>
      <c r="E55" s="64">
        <f t="shared" si="42"/>
        <v>152386.5</v>
      </c>
      <c r="F55" s="74">
        <f>E55-13698.6</f>
        <v>138687.9</v>
      </c>
      <c r="G55" s="64">
        <f t="shared" si="42"/>
        <v>138687.9</v>
      </c>
      <c r="H55" s="65">
        <f>G55-0.4</f>
        <v>138687.5</v>
      </c>
      <c r="I55" s="64">
        <f t="shared" si="42"/>
        <v>138687.5</v>
      </c>
      <c r="J55" s="64">
        <f t="shared" si="42"/>
        <v>138687.5</v>
      </c>
      <c r="K55" s="64">
        <f t="shared" si="42"/>
        <v>138687.5</v>
      </c>
      <c r="L55" s="66">
        <f>'[1]Бюдж роспись КБ'!K56/1000</f>
        <v>138687.5025</v>
      </c>
      <c r="M55" s="66">
        <f t="shared" si="43"/>
        <v>100.0000018026138</v>
      </c>
      <c r="N55" s="66">
        <v>138687.5025</v>
      </c>
      <c r="O55" s="66">
        <f t="shared" si="40"/>
        <v>0</v>
      </c>
      <c r="P55" s="71">
        <f t="shared" si="39"/>
        <v>-2.5000000023283064E-3</v>
      </c>
      <c r="Q55" s="66">
        <f t="shared" si="34"/>
        <v>-2.5000000023283064E-3</v>
      </c>
      <c r="R55" s="67">
        <f t="shared" si="41"/>
        <v>138687.5</v>
      </c>
      <c r="S55" s="68" t="str">
        <f t="shared" si="31"/>
        <v/>
      </c>
      <c r="T55" s="68" t="str">
        <f t="shared" si="32"/>
        <v/>
      </c>
      <c r="U55" s="69"/>
    </row>
    <row r="56" spans="1:22" ht="93" customHeight="1" x14ac:dyDescent="0.25">
      <c r="A56" s="77" t="s">
        <v>88</v>
      </c>
      <c r="B56" s="61" t="s">
        <v>35</v>
      </c>
      <c r="C56" s="62"/>
      <c r="D56" s="63"/>
      <c r="E56" s="64">
        <f t="shared" si="42"/>
        <v>0</v>
      </c>
      <c r="F56" s="64">
        <f t="shared" si="42"/>
        <v>0</v>
      </c>
      <c r="G56" s="64">
        <f t="shared" si="42"/>
        <v>0</v>
      </c>
      <c r="H56" s="64">
        <f t="shared" si="42"/>
        <v>0</v>
      </c>
      <c r="I56" s="64">
        <f t="shared" si="42"/>
        <v>0</v>
      </c>
      <c r="J56" s="64">
        <f t="shared" si="42"/>
        <v>0</v>
      </c>
      <c r="K56" s="64">
        <f t="shared" si="42"/>
        <v>0</v>
      </c>
      <c r="L56" s="66"/>
      <c r="M56" s="66"/>
      <c r="N56" s="66"/>
      <c r="O56" s="83">
        <f t="shared" si="29"/>
        <v>0</v>
      </c>
      <c r="P56" s="71">
        <f t="shared" si="30"/>
        <v>0</v>
      </c>
      <c r="Q56" s="66">
        <f t="shared" si="34"/>
        <v>0</v>
      </c>
      <c r="R56" s="67">
        <f t="shared" si="41"/>
        <v>0</v>
      </c>
      <c r="S56" s="68" t="str">
        <f t="shared" si="31"/>
        <v/>
      </c>
      <c r="T56" s="68" t="str">
        <f t="shared" si="32"/>
        <v/>
      </c>
      <c r="U56" s="69"/>
    </row>
    <row r="57" spans="1:22" x14ac:dyDescent="0.25">
      <c r="A57" s="46" t="s">
        <v>27</v>
      </c>
      <c r="B57" s="61" t="s">
        <v>28</v>
      </c>
      <c r="C57" s="62" t="s">
        <v>89</v>
      </c>
      <c r="D57" s="63">
        <v>68227.8</v>
      </c>
      <c r="E57" s="64">
        <f t="shared" si="42"/>
        <v>68227.8</v>
      </c>
      <c r="F57" s="64">
        <f t="shared" si="42"/>
        <v>68227.8</v>
      </c>
      <c r="G57" s="64">
        <f t="shared" si="42"/>
        <v>68227.8</v>
      </c>
      <c r="H57" s="64">
        <f t="shared" si="42"/>
        <v>68227.8</v>
      </c>
      <c r="I57" s="70">
        <f>H57-0.3</f>
        <v>68227.5</v>
      </c>
      <c r="J57" s="64">
        <f t="shared" si="42"/>
        <v>68227.5</v>
      </c>
      <c r="K57" s="64">
        <f t="shared" si="42"/>
        <v>68227.5</v>
      </c>
      <c r="L57" s="66">
        <f>'[1]Бюдж роспись КБ'!K57/1000</f>
        <v>68227.535780000006</v>
      </c>
      <c r="M57" s="66">
        <f>L57/J57*100</f>
        <v>100.00005244219707</v>
      </c>
      <c r="N57" s="66">
        <v>68227.535780000006</v>
      </c>
      <c r="O57" s="87">
        <f>L57-N57</f>
        <v>0</v>
      </c>
      <c r="P57" s="71">
        <f t="shared" si="30"/>
        <v>-3.5780000005615875E-2</v>
      </c>
      <c r="Q57" s="66">
        <f t="shared" si="34"/>
        <v>-3.5780000005615875E-2</v>
      </c>
      <c r="R57" s="67">
        <v>68227.5</v>
      </c>
      <c r="S57" s="68" t="str">
        <f t="shared" si="31"/>
        <v/>
      </c>
      <c r="T57" s="68" t="str">
        <f t="shared" si="32"/>
        <v/>
      </c>
      <c r="U57" s="88"/>
      <c r="V57" s="86"/>
    </row>
    <row r="58" spans="1:22" x14ac:dyDescent="0.25">
      <c r="A58" s="46" t="s">
        <v>29</v>
      </c>
      <c r="B58" s="61" t="s">
        <v>30</v>
      </c>
      <c r="C58" s="62" t="s">
        <v>89</v>
      </c>
      <c r="D58" s="63">
        <v>204683.4</v>
      </c>
      <c r="E58" s="64">
        <f t="shared" si="42"/>
        <v>204683.4</v>
      </c>
      <c r="F58" s="64">
        <f t="shared" si="42"/>
        <v>204683.4</v>
      </c>
      <c r="G58" s="64">
        <f t="shared" si="42"/>
        <v>204683.4</v>
      </c>
      <c r="H58" s="64">
        <f t="shared" si="42"/>
        <v>204683.4</v>
      </c>
      <c r="I58" s="70">
        <f>H58-0.8</f>
        <v>204682.6</v>
      </c>
      <c r="J58" s="64">
        <f t="shared" si="42"/>
        <v>204682.6</v>
      </c>
      <c r="K58" s="64">
        <f t="shared" si="42"/>
        <v>204682.6</v>
      </c>
      <c r="L58" s="66">
        <f>'[1]Бюдж роспись КБ'!K58/1000</f>
        <v>204682.60742999995</v>
      </c>
      <c r="M58" s="66">
        <f>L58/J58*100</f>
        <v>100.00000363001054</v>
      </c>
      <c r="N58" s="66">
        <v>204682.60743</v>
      </c>
      <c r="O58" s="87">
        <f>L58-N58</f>
        <v>0</v>
      </c>
      <c r="P58" s="71">
        <f t="shared" si="30"/>
        <v>-7.4299999396316707E-3</v>
      </c>
      <c r="Q58" s="66">
        <f t="shared" si="34"/>
        <v>-7.4299999396316707E-3</v>
      </c>
      <c r="R58" s="67">
        <v>204682.6</v>
      </c>
      <c r="S58" s="68" t="str">
        <f t="shared" si="31"/>
        <v/>
      </c>
      <c r="T58" s="68" t="str">
        <f>IF((R58-K58)&lt;0,R58-K58,"")</f>
        <v/>
      </c>
      <c r="U58" s="89"/>
      <c r="V58" s="86"/>
    </row>
    <row r="59" spans="1:22" ht="69.75" customHeight="1" x14ac:dyDescent="0.25">
      <c r="A59" s="73" t="s">
        <v>90</v>
      </c>
      <c r="B59" s="61" t="s">
        <v>35</v>
      </c>
      <c r="C59" s="62"/>
      <c r="D59" s="63"/>
      <c r="E59" s="64">
        <f t="shared" si="42"/>
        <v>0</v>
      </c>
      <c r="F59" s="64">
        <f t="shared" si="42"/>
        <v>0</v>
      </c>
      <c r="G59" s="64">
        <f t="shared" si="42"/>
        <v>0</v>
      </c>
      <c r="H59" s="64">
        <f t="shared" si="42"/>
        <v>0</v>
      </c>
      <c r="I59" s="64">
        <f>H59</f>
        <v>0</v>
      </c>
      <c r="J59" s="64">
        <f t="shared" si="42"/>
        <v>0</v>
      </c>
      <c r="K59" s="64">
        <f t="shared" si="42"/>
        <v>0</v>
      </c>
      <c r="L59" s="66"/>
      <c r="M59" s="66"/>
      <c r="N59" s="66"/>
      <c r="O59" s="66">
        <f t="shared" ref="O59:O67" si="44">L59-N59</f>
        <v>0</v>
      </c>
      <c r="P59" s="71">
        <f>I59-L59</f>
        <v>0</v>
      </c>
      <c r="Q59" s="66">
        <f t="shared" si="34"/>
        <v>0</v>
      </c>
      <c r="R59" s="67">
        <v>0</v>
      </c>
      <c r="S59" s="68" t="str">
        <f t="shared" si="31"/>
        <v/>
      </c>
      <c r="T59" s="68" t="str">
        <f>IF(R59-K59&lt;0,R59-K59,"")</f>
        <v/>
      </c>
      <c r="U59" s="90" t="s">
        <v>91</v>
      </c>
    </row>
    <row r="60" spans="1:22" x14ac:dyDescent="0.25">
      <c r="A60" s="46" t="s">
        <v>27</v>
      </c>
      <c r="B60" s="61" t="s">
        <v>28</v>
      </c>
      <c r="C60" s="62" t="s">
        <v>92</v>
      </c>
      <c r="D60" s="63">
        <v>3169.2</v>
      </c>
      <c r="E60" s="64">
        <f t="shared" si="42"/>
        <v>3169.2</v>
      </c>
      <c r="F60" s="64">
        <f t="shared" si="42"/>
        <v>3169.2</v>
      </c>
      <c r="G60" s="64">
        <f t="shared" si="42"/>
        <v>3169.2</v>
      </c>
      <c r="H60" s="64">
        <f t="shared" si="42"/>
        <v>3169.2</v>
      </c>
      <c r="I60" s="70">
        <f>H60+335.6</f>
        <v>3504.7999999999997</v>
      </c>
      <c r="J60" s="64">
        <f t="shared" si="42"/>
        <v>3504.7999999999997</v>
      </c>
      <c r="K60" s="64">
        <f t="shared" si="42"/>
        <v>3504.7999999999997</v>
      </c>
      <c r="L60" s="66">
        <f>'[1]Бюдж роспись КБ'!K59/1000</f>
        <v>3248.3547400000002</v>
      </c>
      <c r="M60" s="66">
        <f>L60/K60*100</f>
        <v>92.683027276877439</v>
      </c>
      <c r="N60" s="66">
        <v>3248.3547400000002</v>
      </c>
      <c r="O60" s="66">
        <f t="shared" si="44"/>
        <v>0</v>
      </c>
      <c r="P60" s="91">
        <f>I60-L60</f>
        <v>256.44525999999951</v>
      </c>
      <c r="Q60" s="66">
        <f t="shared" si="34"/>
        <v>256.44525999999951</v>
      </c>
      <c r="R60" s="67">
        <v>3504.7999999999997</v>
      </c>
      <c r="S60" s="68" t="str">
        <f t="shared" si="31"/>
        <v/>
      </c>
      <c r="T60" s="68" t="str">
        <f>IF(R60-K60&lt;0,R60-K60,"")</f>
        <v/>
      </c>
      <c r="U60" s="92"/>
    </row>
    <row r="61" spans="1:22" x14ac:dyDescent="0.25">
      <c r="A61" s="46" t="s">
        <v>29</v>
      </c>
      <c r="B61" s="61" t="s">
        <v>30</v>
      </c>
      <c r="C61" s="62" t="s">
        <v>92</v>
      </c>
      <c r="D61" s="63">
        <v>9507.6</v>
      </c>
      <c r="E61" s="64">
        <f t="shared" si="42"/>
        <v>9507.6</v>
      </c>
      <c r="F61" s="64">
        <f t="shared" si="42"/>
        <v>9507.6</v>
      </c>
      <c r="G61" s="64">
        <f t="shared" si="42"/>
        <v>9507.6</v>
      </c>
      <c r="H61" s="64">
        <f t="shared" si="42"/>
        <v>9507.6</v>
      </c>
      <c r="I61" s="70">
        <f>H61+1006.7</f>
        <v>10514.300000000001</v>
      </c>
      <c r="J61" s="64">
        <f t="shared" si="42"/>
        <v>10514.300000000001</v>
      </c>
      <c r="K61" s="64">
        <f>J61-769.1</f>
        <v>9745.2000000000007</v>
      </c>
      <c r="L61" s="66">
        <f>'[1]Бюдж роспись КБ'!K60/1000</f>
        <v>9745.06423</v>
      </c>
      <c r="M61" s="66">
        <f>L61/K61*100</f>
        <v>99.998606801297043</v>
      </c>
      <c r="N61" s="66">
        <v>9745.06423</v>
      </c>
      <c r="O61" s="66">
        <f t="shared" si="44"/>
        <v>0</v>
      </c>
      <c r="P61" s="91">
        <f>K61-L61</f>
        <v>0.13577000000077533</v>
      </c>
      <c r="Q61" s="66">
        <f t="shared" si="34"/>
        <v>0.13577000000077533</v>
      </c>
      <c r="R61" s="67">
        <v>10514.300000000001</v>
      </c>
      <c r="S61" s="68">
        <f t="shared" si="31"/>
        <v>769.10000000000036</v>
      </c>
      <c r="T61" s="68" t="str">
        <f>IF(R61-K61&lt;0,R61-K61,"")</f>
        <v/>
      </c>
      <c r="U61" s="93"/>
    </row>
    <row r="62" spans="1:22" ht="74.25" customHeight="1" x14ac:dyDescent="0.25">
      <c r="A62" s="73" t="s">
        <v>93</v>
      </c>
      <c r="B62" s="61" t="s">
        <v>35</v>
      </c>
      <c r="C62" s="62"/>
      <c r="D62" s="63"/>
      <c r="E62" s="64"/>
      <c r="F62" s="64"/>
      <c r="G62" s="64"/>
      <c r="H62" s="64"/>
      <c r="I62" s="64">
        <f t="shared" si="42"/>
        <v>0</v>
      </c>
      <c r="J62" s="64"/>
      <c r="K62" s="64">
        <f t="shared" ref="K62:K65" si="45">J62</f>
        <v>0</v>
      </c>
      <c r="L62" s="66"/>
      <c r="M62" s="66"/>
      <c r="N62" s="66"/>
      <c r="O62" s="66">
        <f t="shared" si="44"/>
        <v>0</v>
      </c>
      <c r="P62" s="71">
        <f t="shared" si="30"/>
        <v>0</v>
      </c>
      <c r="Q62" s="66">
        <f t="shared" si="34"/>
        <v>0</v>
      </c>
      <c r="R62" s="67">
        <v>0</v>
      </c>
      <c r="S62" s="68"/>
      <c r="T62" s="68"/>
      <c r="U62" s="69"/>
      <c r="V62" s="86"/>
    </row>
    <row r="63" spans="1:22" x14ac:dyDescent="0.25">
      <c r="A63" s="46" t="s">
        <v>27</v>
      </c>
      <c r="B63" s="61" t="s">
        <v>28</v>
      </c>
      <c r="C63" s="62" t="s">
        <v>94</v>
      </c>
      <c r="D63" s="63"/>
      <c r="E63" s="64"/>
      <c r="F63" s="74">
        <v>4566.2</v>
      </c>
      <c r="G63" s="64">
        <f t="shared" ref="G63:H64" si="46">F63</f>
        <v>4566.2</v>
      </c>
      <c r="H63" s="64">
        <f t="shared" si="46"/>
        <v>4566.2</v>
      </c>
      <c r="I63" s="70">
        <f>H63-335.3</f>
        <v>4230.8999999999996</v>
      </c>
      <c r="J63" s="64">
        <f t="shared" ref="J63:J64" si="47">I63</f>
        <v>4230.8999999999996</v>
      </c>
      <c r="K63" s="64">
        <f t="shared" si="45"/>
        <v>4230.8999999999996</v>
      </c>
      <c r="L63" s="66">
        <f>'[1]Бюдж роспись КБ'!K61/1000</f>
        <v>4230.9131500000003</v>
      </c>
      <c r="M63" s="66">
        <f>L63/J63*100</f>
        <v>100.00031080857504</v>
      </c>
      <c r="N63" s="66">
        <v>4230.9131500000003</v>
      </c>
      <c r="O63" s="66">
        <f t="shared" si="44"/>
        <v>0</v>
      </c>
      <c r="P63" s="71">
        <f t="shared" si="30"/>
        <v>-1.3150000000678119E-2</v>
      </c>
      <c r="Q63" s="66">
        <f t="shared" si="34"/>
        <v>-1.3150000000678119E-2</v>
      </c>
      <c r="R63" s="67">
        <v>4230.8999999999996</v>
      </c>
      <c r="S63" s="68" t="str">
        <f>IF(R63-K63&gt;0,R63-K63,"")</f>
        <v/>
      </c>
      <c r="T63" s="68" t="str">
        <f>IF(R63-K63&lt;0,R63-K63,"")</f>
        <v/>
      </c>
      <c r="U63" s="88"/>
      <c r="V63" s="86"/>
    </row>
    <row r="64" spans="1:22" x14ac:dyDescent="0.25">
      <c r="A64" s="46" t="s">
        <v>29</v>
      </c>
      <c r="B64" s="61" t="s">
        <v>30</v>
      </c>
      <c r="C64" s="62" t="s">
        <v>94</v>
      </c>
      <c r="D64" s="63"/>
      <c r="E64" s="64"/>
      <c r="F64" s="74">
        <v>13698.6</v>
      </c>
      <c r="G64" s="64">
        <f t="shared" si="46"/>
        <v>13698.6</v>
      </c>
      <c r="H64" s="64">
        <f t="shared" si="46"/>
        <v>13698.6</v>
      </c>
      <c r="I64" s="70">
        <f>H64-1005.9</f>
        <v>12692.7</v>
      </c>
      <c r="J64" s="64">
        <f t="shared" si="47"/>
        <v>12692.7</v>
      </c>
      <c r="K64" s="64">
        <f t="shared" si="45"/>
        <v>12692.7</v>
      </c>
      <c r="L64" s="66">
        <f>'[1]Бюдж роспись КБ'!K62/1000</f>
        <v>12692.73947</v>
      </c>
      <c r="M64" s="66">
        <f>L64/J64*100</f>
        <v>100.0003109661459</v>
      </c>
      <c r="N64" s="66">
        <v>12692.73947</v>
      </c>
      <c r="O64" s="66">
        <f t="shared" si="44"/>
        <v>0</v>
      </c>
      <c r="P64" s="71">
        <f t="shared" si="30"/>
        <v>-3.9469999999710126E-2</v>
      </c>
      <c r="Q64" s="66">
        <f t="shared" si="34"/>
        <v>-3.9469999999710126E-2</v>
      </c>
      <c r="R64" s="67">
        <v>12692.7</v>
      </c>
      <c r="S64" s="68" t="str">
        <f>IF(R64-K64&gt;0,R64-K64,"")</f>
        <v/>
      </c>
      <c r="T64" s="68" t="str">
        <f>IF(R64-K64&lt;0,R64-K64,"")</f>
        <v/>
      </c>
      <c r="U64" s="89"/>
      <c r="V64" s="86"/>
    </row>
    <row r="65" spans="1:22" ht="62.25" customHeight="1" x14ac:dyDescent="0.25">
      <c r="A65" s="73" t="s">
        <v>95</v>
      </c>
      <c r="B65" s="61" t="s">
        <v>35</v>
      </c>
      <c r="C65" s="62"/>
      <c r="D65" s="63"/>
      <c r="E65" s="64"/>
      <c r="F65" s="64"/>
      <c r="G65" s="64"/>
      <c r="H65" s="64"/>
      <c r="I65" s="64">
        <f t="shared" ref="I65:K67" si="48">H65</f>
        <v>0</v>
      </c>
      <c r="J65" s="64"/>
      <c r="K65" s="64">
        <f t="shared" si="45"/>
        <v>0</v>
      </c>
      <c r="L65" s="66"/>
      <c r="M65" s="66"/>
      <c r="N65" s="66"/>
      <c r="O65" s="66"/>
      <c r="P65" s="71">
        <f t="shared" si="30"/>
        <v>0</v>
      </c>
      <c r="Q65" s="66">
        <f t="shared" si="34"/>
        <v>0</v>
      </c>
      <c r="R65" s="67">
        <f t="shared" si="41"/>
        <v>0</v>
      </c>
      <c r="S65" s="68"/>
      <c r="T65" s="68"/>
      <c r="U65" s="84"/>
      <c r="V65" s="86"/>
    </row>
    <row r="66" spans="1:22" x14ac:dyDescent="0.25">
      <c r="A66" s="46" t="s">
        <v>27</v>
      </c>
      <c r="B66" s="61" t="s">
        <v>28</v>
      </c>
      <c r="C66" s="62" t="s">
        <v>96</v>
      </c>
      <c r="D66" s="63"/>
      <c r="E66" s="64"/>
      <c r="F66" s="74">
        <v>506.6</v>
      </c>
      <c r="G66" s="64">
        <f t="shared" ref="G66" si="49">F66</f>
        <v>506.6</v>
      </c>
      <c r="H66" s="65">
        <f>G66-31.9</f>
        <v>474.70000000000005</v>
      </c>
      <c r="I66" s="64">
        <f t="shared" si="48"/>
        <v>474.70000000000005</v>
      </c>
      <c r="J66" s="64">
        <f t="shared" si="48"/>
        <v>474.70000000000005</v>
      </c>
      <c r="K66" s="64">
        <f t="shared" si="48"/>
        <v>474.70000000000005</v>
      </c>
      <c r="L66" s="66">
        <f>'[1]Бюдж роспись КБ'!K63/1000</f>
        <v>474.66315999999995</v>
      </c>
      <c r="M66" s="66">
        <f>L66/J66*100</f>
        <v>99.992239309037274</v>
      </c>
      <c r="N66" s="66">
        <v>474.66316</v>
      </c>
      <c r="O66" s="66">
        <f t="shared" si="44"/>
        <v>0</v>
      </c>
      <c r="P66" s="71">
        <f t="shared" si="30"/>
        <v>3.6840000000097461E-2</v>
      </c>
      <c r="Q66" s="66">
        <f t="shared" si="34"/>
        <v>3.6840000000097461E-2</v>
      </c>
      <c r="R66" s="67">
        <f t="shared" si="41"/>
        <v>474.70000000000005</v>
      </c>
      <c r="S66" s="68"/>
      <c r="T66" s="68"/>
      <c r="U66" s="84"/>
      <c r="V66" s="86"/>
    </row>
    <row r="67" spans="1:22" x14ac:dyDescent="0.25">
      <c r="A67" s="46" t="s">
        <v>29</v>
      </c>
      <c r="B67" s="61" t="s">
        <v>30</v>
      </c>
      <c r="C67" s="62" t="s">
        <v>96</v>
      </c>
      <c r="D67" s="63"/>
      <c r="E67" s="64"/>
      <c r="F67" s="64"/>
      <c r="G67" s="94">
        <v>9018.6</v>
      </c>
      <c r="H67" s="64">
        <f t="shared" ref="H67" si="50">G67</f>
        <v>9018.6</v>
      </c>
      <c r="I67" s="64">
        <f t="shared" si="48"/>
        <v>9018.6</v>
      </c>
      <c r="J67" s="64">
        <f t="shared" si="48"/>
        <v>9018.6</v>
      </c>
      <c r="K67" s="64">
        <f t="shared" si="48"/>
        <v>9018.6</v>
      </c>
      <c r="L67" s="66">
        <f>'[1]Бюдж роспись КБ'!K64/1000</f>
        <v>9018.6</v>
      </c>
      <c r="M67" s="66">
        <f>L67/J67*100</f>
        <v>100</v>
      </c>
      <c r="N67" s="66">
        <v>9018.6</v>
      </c>
      <c r="O67" s="66">
        <f t="shared" si="44"/>
        <v>0</v>
      </c>
      <c r="P67" s="71">
        <f t="shared" si="30"/>
        <v>0</v>
      </c>
      <c r="Q67" s="66">
        <f t="shared" si="34"/>
        <v>0</v>
      </c>
      <c r="R67" s="67">
        <f>K67</f>
        <v>9018.6</v>
      </c>
      <c r="S67" s="68"/>
      <c r="T67" s="68"/>
      <c r="U67" s="84"/>
      <c r="V67" s="86"/>
    </row>
    <row r="68" spans="1:22" ht="47.25" x14ac:dyDescent="0.25">
      <c r="A68" s="52" t="s">
        <v>97</v>
      </c>
      <c r="B68" s="61" t="s">
        <v>35</v>
      </c>
      <c r="C68" s="62"/>
      <c r="D68" s="54">
        <f>D69+D70</f>
        <v>407475.10000000003</v>
      </c>
      <c r="E68" s="54">
        <f t="shared" ref="E68:N68" si="51">E69+E70</f>
        <v>457487.67390000005</v>
      </c>
      <c r="F68" s="54">
        <f t="shared" si="51"/>
        <v>465760</v>
      </c>
      <c r="G68" s="54">
        <f t="shared" si="51"/>
        <v>465760</v>
      </c>
      <c r="H68" s="54">
        <f t="shared" si="51"/>
        <v>550016.30000000005</v>
      </c>
      <c r="I68" s="54">
        <f t="shared" si="51"/>
        <v>544079.80000000005</v>
      </c>
      <c r="J68" s="54">
        <f t="shared" si="51"/>
        <v>544079.80000000005</v>
      </c>
      <c r="K68" s="54">
        <f t="shared" si="51"/>
        <v>544079.80000000005</v>
      </c>
      <c r="L68" s="54">
        <f t="shared" si="51"/>
        <v>543994.96039999998</v>
      </c>
      <c r="M68" s="95">
        <f t="shared" ref="M68:M70" si="52">L68/J68*100</f>
        <v>99.984406772682959</v>
      </c>
      <c r="N68" s="54">
        <f t="shared" si="51"/>
        <v>543994.96039999998</v>
      </c>
      <c r="O68" s="54">
        <f>O69+O70</f>
        <v>0</v>
      </c>
      <c r="P68" s="96">
        <f>P69+P70</f>
        <v>84.83960000001116</v>
      </c>
      <c r="Q68" s="54">
        <f t="shared" ref="Q68:T68" si="53">Q69+Q70</f>
        <v>84.83960000001116</v>
      </c>
      <c r="R68" s="54">
        <f t="shared" si="53"/>
        <v>547559.3713</v>
      </c>
      <c r="S68" s="54">
        <f t="shared" si="53"/>
        <v>3685.8070000000016</v>
      </c>
      <c r="T68" s="54">
        <f t="shared" si="53"/>
        <v>-206.23569999999364</v>
      </c>
      <c r="U68" s="69"/>
    </row>
    <row r="69" spans="1:22" x14ac:dyDescent="0.25">
      <c r="A69" s="46" t="s">
        <v>27</v>
      </c>
      <c r="B69" s="57" t="s">
        <v>28</v>
      </c>
      <c r="C69" s="62"/>
      <c r="D69" s="39">
        <f t="shared" ref="D69:L69" si="54">SUMIF($B$71:$B$94,"=01",D71:D94)</f>
        <v>260381.50000000003</v>
      </c>
      <c r="E69" s="39">
        <f t="shared" si="54"/>
        <v>310394.07390000002</v>
      </c>
      <c r="F69" s="39">
        <f t="shared" si="54"/>
        <v>318666.40000000002</v>
      </c>
      <c r="G69" s="39">
        <f t="shared" si="54"/>
        <v>318666.40000000002</v>
      </c>
      <c r="H69" s="39">
        <f t="shared" si="54"/>
        <v>402922.7</v>
      </c>
      <c r="I69" s="39">
        <f t="shared" si="54"/>
        <v>396986.20000000007</v>
      </c>
      <c r="J69" s="39">
        <f t="shared" si="54"/>
        <v>396986.20000000007</v>
      </c>
      <c r="K69" s="39">
        <f t="shared" si="54"/>
        <v>396986.20000000007</v>
      </c>
      <c r="L69" s="39">
        <f t="shared" si="54"/>
        <v>396901.36040000001</v>
      </c>
      <c r="M69" s="39">
        <f t="shared" si="52"/>
        <v>99.978629080809341</v>
      </c>
      <c r="N69" s="39">
        <f t="shared" ref="N69:T69" si="55">SUMIF($B$71:$B$94,"=01",N71:N94)</f>
        <v>396901.36040000001</v>
      </c>
      <c r="O69" s="39">
        <f t="shared" si="55"/>
        <v>0</v>
      </c>
      <c r="P69" s="40">
        <f t="shared" si="55"/>
        <v>84.839600000012524</v>
      </c>
      <c r="Q69" s="39">
        <f t="shared" si="55"/>
        <v>84.839600000012524</v>
      </c>
      <c r="R69" s="39">
        <f t="shared" si="55"/>
        <v>400465.77130000002</v>
      </c>
      <c r="S69" s="39">
        <f t="shared" si="55"/>
        <v>3614.7070000000012</v>
      </c>
      <c r="T69" s="39">
        <f t="shared" si="55"/>
        <v>-135.13569999999373</v>
      </c>
      <c r="U69" s="69"/>
    </row>
    <row r="70" spans="1:22" x14ac:dyDescent="0.25">
      <c r="A70" s="46" t="s">
        <v>29</v>
      </c>
      <c r="B70" s="57" t="s">
        <v>30</v>
      </c>
      <c r="C70" s="62"/>
      <c r="D70" s="39">
        <f t="shared" ref="D70:L70" si="56">SUMIF($B$71:$B$94,"=02",D71:D94)</f>
        <v>147093.6</v>
      </c>
      <c r="E70" s="39">
        <f t="shared" si="56"/>
        <v>147093.6</v>
      </c>
      <c r="F70" s="39">
        <f t="shared" si="56"/>
        <v>147093.6</v>
      </c>
      <c r="G70" s="39">
        <f t="shared" si="56"/>
        <v>147093.6</v>
      </c>
      <c r="H70" s="39">
        <f t="shared" si="56"/>
        <v>147093.6</v>
      </c>
      <c r="I70" s="39">
        <f t="shared" si="56"/>
        <v>147093.6</v>
      </c>
      <c r="J70" s="39">
        <f t="shared" si="56"/>
        <v>147093.6</v>
      </c>
      <c r="K70" s="39">
        <f t="shared" si="56"/>
        <v>147093.6</v>
      </c>
      <c r="L70" s="39">
        <f t="shared" si="56"/>
        <v>147093.6</v>
      </c>
      <c r="M70" s="39">
        <f t="shared" si="52"/>
        <v>100</v>
      </c>
      <c r="N70" s="39">
        <f t="shared" ref="N70:T70" si="57">SUMIF($B$71:$B$94,"=02",N71:N94)</f>
        <v>147093.6</v>
      </c>
      <c r="O70" s="39">
        <f t="shared" si="57"/>
        <v>0</v>
      </c>
      <c r="P70" s="40">
        <f t="shared" si="57"/>
        <v>-1.3642420526593924E-12</v>
      </c>
      <c r="Q70" s="39">
        <f t="shared" si="57"/>
        <v>-1.3642420526593924E-12</v>
      </c>
      <c r="R70" s="39">
        <f t="shared" si="57"/>
        <v>147093.6</v>
      </c>
      <c r="S70" s="39">
        <f t="shared" si="57"/>
        <v>71.100000000000364</v>
      </c>
      <c r="T70" s="39">
        <f t="shared" si="57"/>
        <v>-71.099999999999909</v>
      </c>
      <c r="U70" s="69"/>
    </row>
    <row r="71" spans="1:22" ht="110.25" x14ac:dyDescent="0.25">
      <c r="A71" s="77" t="s">
        <v>98</v>
      </c>
      <c r="B71" s="61" t="s">
        <v>28</v>
      </c>
      <c r="C71" s="62" t="s">
        <v>99</v>
      </c>
      <c r="D71" s="63">
        <v>32720</v>
      </c>
      <c r="E71" s="64">
        <f t="shared" ref="E71:K86" si="58">D71</f>
        <v>32720</v>
      </c>
      <c r="F71" s="64">
        <f t="shared" si="58"/>
        <v>32720</v>
      </c>
      <c r="G71" s="64">
        <f t="shared" si="58"/>
        <v>32720</v>
      </c>
      <c r="H71" s="65">
        <f>G71+41752</f>
        <v>74472</v>
      </c>
      <c r="I71" s="64">
        <f>H71-3456</f>
        <v>71016</v>
      </c>
      <c r="J71" s="64">
        <f t="shared" si="58"/>
        <v>71016</v>
      </c>
      <c r="K71" s="64">
        <f t="shared" si="58"/>
        <v>71016</v>
      </c>
      <c r="L71" s="66">
        <f>'[1]Бюдж роспись КБ'!K68/1000</f>
        <v>70990.028319999998</v>
      </c>
      <c r="M71" s="66">
        <f>L71/J71*100</f>
        <v>99.963428410499048</v>
      </c>
      <c r="N71" s="66">
        <v>70990.028319999998</v>
      </c>
      <c r="O71" s="66">
        <f>L71-N71</f>
        <v>0</v>
      </c>
      <c r="P71" s="91">
        <f>I71-L71</f>
        <v>25.97168000000238</v>
      </c>
      <c r="Q71" s="66">
        <f t="shared" si="34"/>
        <v>25.97168000000238</v>
      </c>
      <c r="R71" s="67">
        <v>74472</v>
      </c>
      <c r="S71" s="68">
        <f t="shared" ref="S71:S94" si="59">IF(R71-K71&gt;0,R71-K71,"")</f>
        <v>3456</v>
      </c>
      <c r="T71" s="68" t="str">
        <f t="shared" ref="T71:T94" si="60">IF(R71-K71&lt;0,R71-K71,"")</f>
        <v/>
      </c>
      <c r="U71" s="97"/>
    </row>
    <row r="72" spans="1:22" ht="102" customHeight="1" x14ac:dyDescent="0.25">
      <c r="A72" s="77" t="s">
        <v>100</v>
      </c>
      <c r="B72" s="61" t="s">
        <v>28</v>
      </c>
      <c r="C72" s="62" t="s">
        <v>101</v>
      </c>
      <c r="D72" s="63">
        <v>10890</v>
      </c>
      <c r="E72" s="64">
        <f t="shared" si="58"/>
        <v>10890</v>
      </c>
      <c r="F72" s="64">
        <f t="shared" si="58"/>
        <v>10890</v>
      </c>
      <c r="G72" s="64">
        <f t="shared" si="58"/>
        <v>10890</v>
      </c>
      <c r="H72" s="65">
        <f>G72+38223</f>
        <v>49113</v>
      </c>
      <c r="I72" s="64">
        <f t="shared" si="58"/>
        <v>49113</v>
      </c>
      <c r="J72" s="64">
        <f t="shared" si="58"/>
        <v>49113</v>
      </c>
      <c r="K72" s="64">
        <f t="shared" si="58"/>
        <v>49113</v>
      </c>
      <c r="L72" s="66">
        <f>('[1]Бюдж роспись КБ'!K70+'[1]Бюдж роспись КБ'!K69)/1000</f>
        <v>49113</v>
      </c>
      <c r="M72" s="66">
        <f>L72/J72*100</f>
        <v>100</v>
      </c>
      <c r="N72" s="66">
        <v>49113</v>
      </c>
      <c r="O72" s="66">
        <f>L72-N72</f>
        <v>0</v>
      </c>
      <c r="P72" s="71">
        <f>I72-L72</f>
        <v>0</v>
      </c>
      <c r="Q72" s="66">
        <f t="shared" si="34"/>
        <v>0</v>
      </c>
      <c r="R72" s="67">
        <v>49113</v>
      </c>
      <c r="S72" s="68" t="str">
        <f t="shared" si="59"/>
        <v/>
      </c>
      <c r="T72" s="68" t="str">
        <f t="shared" si="60"/>
        <v/>
      </c>
      <c r="U72" s="69"/>
    </row>
    <row r="73" spans="1:22" ht="73.5" customHeight="1" x14ac:dyDescent="0.25">
      <c r="A73" s="77" t="s">
        <v>102</v>
      </c>
      <c r="B73" s="61" t="s">
        <v>28</v>
      </c>
      <c r="C73" s="62" t="s">
        <v>103</v>
      </c>
      <c r="D73" s="63">
        <v>125351.2</v>
      </c>
      <c r="E73" s="64">
        <f t="shared" si="58"/>
        <v>125351.2</v>
      </c>
      <c r="F73" s="64">
        <f t="shared" si="58"/>
        <v>125351.2</v>
      </c>
      <c r="G73" s="64">
        <f t="shared" si="58"/>
        <v>125351.2</v>
      </c>
      <c r="H73" s="64">
        <f t="shared" si="58"/>
        <v>125351.2</v>
      </c>
      <c r="I73" s="64">
        <f>H73+2957.3</f>
        <v>128308.5</v>
      </c>
      <c r="J73" s="64">
        <f t="shared" si="58"/>
        <v>128308.5</v>
      </c>
      <c r="K73" s="64">
        <f t="shared" si="58"/>
        <v>128308.5</v>
      </c>
      <c r="L73" s="66">
        <f>'[1]Бюдж роспись КБ'!K72/1000</f>
        <v>128308.46429999999</v>
      </c>
      <c r="M73" s="66">
        <f>L73/J73*100</f>
        <v>99.999972176434142</v>
      </c>
      <c r="N73" s="66">
        <v>128308.46430000001</v>
      </c>
      <c r="O73" s="66">
        <f>L73-N73</f>
        <v>0</v>
      </c>
      <c r="P73" s="71">
        <f>I73-L73</f>
        <v>3.5700000007636845E-2</v>
      </c>
      <c r="Q73" s="66">
        <f t="shared" si="34"/>
        <v>3.5700000007636845E-2</v>
      </c>
      <c r="R73" s="78">
        <v>128308.46430000001</v>
      </c>
      <c r="S73" s="68" t="str">
        <f t="shared" si="59"/>
        <v/>
      </c>
      <c r="T73" s="68">
        <f t="shared" si="60"/>
        <v>-3.569999999308493E-2</v>
      </c>
      <c r="U73" s="69"/>
    </row>
    <row r="74" spans="1:22" ht="55.5" customHeight="1" x14ac:dyDescent="0.25">
      <c r="A74" s="77" t="s">
        <v>104</v>
      </c>
      <c r="B74" s="61" t="s">
        <v>28</v>
      </c>
      <c r="C74" s="62" t="s">
        <v>105</v>
      </c>
      <c r="D74" s="63">
        <v>15000</v>
      </c>
      <c r="E74" s="64">
        <f t="shared" si="58"/>
        <v>15000</v>
      </c>
      <c r="F74" s="64">
        <f t="shared" si="58"/>
        <v>15000</v>
      </c>
      <c r="G74" s="64">
        <f t="shared" si="58"/>
        <v>15000</v>
      </c>
      <c r="H74" s="65">
        <f>G74-3000</f>
        <v>12000</v>
      </c>
      <c r="I74" s="64">
        <f t="shared" si="58"/>
        <v>12000</v>
      </c>
      <c r="J74" s="64">
        <f t="shared" si="58"/>
        <v>12000</v>
      </c>
      <c r="K74" s="64">
        <f t="shared" si="58"/>
        <v>12000</v>
      </c>
      <c r="L74" s="66">
        <f>'[1]Бюдж роспись КБ'!K73/1000</f>
        <v>12000</v>
      </c>
      <c r="M74" s="66">
        <f t="shared" ref="M74:M94" si="61">L74/J74*100</f>
        <v>100</v>
      </c>
      <c r="N74" s="66">
        <v>12000</v>
      </c>
      <c r="O74" s="66">
        <f t="shared" ref="O74:O94" si="62">L74-N74</f>
        <v>0</v>
      </c>
      <c r="P74" s="71">
        <f t="shared" ref="P74:P84" si="63">I74-L74</f>
        <v>0</v>
      </c>
      <c r="Q74" s="66">
        <f t="shared" si="34"/>
        <v>0</v>
      </c>
      <c r="R74" s="67">
        <v>12000</v>
      </c>
      <c r="S74" s="68" t="str">
        <f t="shared" si="59"/>
        <v/>
      </c>
      <c r="T74" s="68" t="str">
        <f t="shared" si="60"/>
        <v/>
      </c>
      <c r="U74" s="69"/>
    </row>
    <row r="75" spans="1:22" ht="89.25" customHeight="1" x14ac:dyDescent="0.25">
      <c r="A75" s="77" t="s">
        <v>106</v>
      </c>
      <c r="B75" s="61" t="s">
        <v>28</v>
      </c>
      <c r="C75" s="62" t="s">
        <v>107</v>
      </c>
      <c r="D75" s="63">
        <v>14382.2</v>
      </c>
      <c r="E75" s="64">
        <f t="shared" si="58"/>
        <v>14382.2</v>
      </c>
      <c r="F75" s="74">
        <f>E75-13162</f>
        <v>1220.2000000000007</v>
      </c>
      <c r="G75" s="64">
        <f t="shared" si="58"/>
        <v>1220.2000000000007</v>
      </c>
      <c r="H75" s="64">
        <f t="shared" si="58"/>
        <v>1220.2000000000007</v>
      </c>
      <c r="I75" s="64">
        <f t="shared" si="58"/>
        <v>1220.2000000000007</v>
      </c>
      <c r="J75" s="64">
        <f t="shared" si="58"/>
        <v>1220.2000000000007</v>
      </c>
      <c r="K75" s="64">
        <f t="shared" si="58"/>
        <v>1220.2000000000007</v>
      </c>
      <c r="L75" s="66">
        <f>'[1]Бюдж роспись КБ'!K74/1000</f>
        <v>1220.2</v>
      </c>
      <c r="M75" s="66">
        <f t="shared" si="61"/>
        <v>99.999999999999943</v>
      </c>
      <c r="N75" s="66">
        <v>1220.2</v>
      </c>
      <c r="O75" s="66">
        <f t="shared" si="62"/>
        <v>0</v>
      </c>
      <c r="P75" s="71">
        <f t="shared" si="63"/>
        <v>0</v>
      </c>
      <c r="Q75" s="66">
        <f t="shared" si="34"/>
        <v>0</v>
      </c>
      <c r="R75" s="67">
        <v>1220.2000000000007</v>
      </c>
      <c r="S75" s="68" t="str">
        <f t="shared" si="59"/>
        <v/>
      </c>
      <c r="T75" s="68" t="str">
        <f t="shared" si="60"/>
        <v/>
      </c>
      <c r="U75" s="69"/>
    </row>
    <row r="76" spans="1:22" ht="168" customHeight="1" x14ac:dyDescent="0.25">
      <c r="A76" s="77" t="s">
        <v>108</v>
      </c>
      <c r="B76" s="61" t="s">
        <v>28</v>
      </c>
      <c r="C76" s="62" t="s">
        <v>109</v>
      </c>
      <c r="D76" s="63"/>
      <c r="E76" s="64"/>
      <c r="F76" s="74">
        <v>12281.5</v>
      </c>
      <c r="G76" s="64">
        <f t="shared" si="58"/>
        <v>12281.5</v>
      </c>
      <c r="H76" s="65">
        <f>G76-12067.3</f>
        <v>214.20000000000073</v>
      </c>
      <c r="I76" s="64">
        <f t="shared" si="58"/>
        <v>214.20000000000073</v>
      </c>
      <c r="J76" s="64">
        <f t="shared" si="58"/>
        <v>214.20000000000073</v>
      </c>
      <c r="K76" s="64">
        <f t="shared" si="58"/>
        <v>214.20000000000073</v>
      </c>
      <c r="L76" s="66">
        <f>'[1]Бюдж роспись КБ'!K75/1000</f>
        <v>214.24</v>
      </c>
      <c r="M76" s="71">
        <f t="shared" si="61"/>
        <v>100.01867413632087</v>
      </c>
      <c r="N76" s="66">
        <v>214.24</v>
      </c>
      <c r="O76" s="66">
        <f t="shared" si="62"/>
        <v>0</v>
      </c>
      <c r="P76" s="71">
        <f t="shared" si="63"/>
        <v>-3.9999999999281499E-2</v>
      </c>
      <c r="Q76" s="66">
        <f t="shared" si="34"/>
        <v>-3.9999999999281499E-2</v>
      </c>
      <c r="R76" s="67">
        <v>214.2</v>
      </c>
      <c r="S76" s="68" t="str">
        <f t="shared" si="59"/>
        <v/>
      </c>
      <c r="T76" s="68">
        <f t="shared" si="60"/>
        <v>-7.3896444519050419E-13</v>
      </c>
      <c r="U76" s="69"/>
    </row>
    <row r="77" spans="1:22" ht="77.25" customHeight="1" x14ac:dyDescent="0.25">
      <c r="A77" s="77" t="s">
        <v>110</v>
      </c>
      <c r="B77" s="61" t="s">
        <v>28</v>
      </c>
      <c r="C77" s="62" t="s">
        <v>111</v>
      </c>
      <c r="D77" s="63">
        <v>612.1</v>
      </c>
      <c r="E77" s="64">
        <f t="shared" si="58"/>
        <v>612.1</v>
      </c>
      <c r="F77" s="74">
        <f>E77+880.5</f>
        <v>1492.6</v>
      </c>
      <c r="G77" s="64">
        <f t="shared" si="58"/>
        <v>1492.6</v>
      </c>
      <c r="H77" s="65">
        <f>G77-651.4</f>
        <v>841.19999999999993</v>
      </c>
      <c r="I77" s="64">
        <f t="shared" si="58"/>
        <v>841.19999999999993</v>
      </c>
      <c r="J77" s="64">
        <f t="shared" si="58"/>
        <v>841.19999999999993</v>
      </c>
      <c r="K77" s="64">
        <f t="shared" si="58"/>
        <v>841.19999999999993</v>
      </c>
      <c r="L77" s="66">
        <f>N77</f>
        <v>782.35388</v>
      </c>
      <c r="M77" s="66">
        <f t="shared" si="61"/>
        <v>93.004503090822638</v>
      </c>
      <c r="N77" s="66">
        <v>782.35388</v>
      </c>
      <c r="O77" s="66">
        <f t="shared" si="62"/>
        <v>0</v>
      </c>
      <c r="P77" s="71">
        <f t="shared" si="63"/>
        <v>58.846119999999928</v>
      </c>
      <c r="Q77" s="66">
        <f t="shared" si="34"/>
        <v>58.846119999999928</v>
      </c>
      <c r="R77" s="67">
        <v>841.1</v>
      </c>
      <c r="S77" s="68" t="str">
        <f t="shared" si="59"/>
        <v/>
      </c>
      <c r="T77" s="68">
        <f t="shared" si="60"/>
        <v>-9.9999999999909051E-2</v>
      </c>
      <c r="U77" s="72" t="s">
        <v>112</v>
      </c>
    </row>
    <row r="78" spans="1:22" ht="63" x14ac:dyDescent="0.25">
      <c r="A78" s="77" t="s">
        <v>113</v>
      </c>
      <c r="B78" s="61" t="s">
        <v>28</v>
      </c>
      <c r="C78" s="62" t="s">
        <v>114</v>
      </c>
      <c r="D78" s="63">
        <v>20000</v>
      </c>
      <c r="E78" s="64">
        <f t="shared" si="58"/>
        <v>20000</v>
      </c>
      <c r="F78" s="64">
        <f t="shared" si="58"/>
        <v>20000</v>
      </c>
      <c r="G78" s="64">
        <f t="shared" si="58"/>
        <v>20000</v>
      </c>
      <c r="H78" s="65">
        <f>G78+20000</f>
        <v>40000</v>
      </c>
      <c r="I78" s="64">
        <f t="shared" si="58"/>
        <v>40000</v>
      </c>
      <c r="J78" s="64">
        <f t="shared" si="58"/>
        <v>40000</v>
      </c>
      <c r="K78" s="64">
        <f t="shared" si="58"/>
        <v>40000</v>
      </c>
      <c r="L78" s="66">
        <f>'[1]Бюдж роспись КБ'!K71/1000</f>
        <v>40000</v>
      </c>
      <c r="M78" s="66">
        <f t="shared" si="61"/>
        <v>100</v>
      </c>
      <c r="N78" s="66">
        <v>40000</v>
      </c>
      <c r="O78" s="66">
        <f t="shared" si="62"/>
        <v>0</v>
      </c>
      <c r="P78" s="71">
        <f t="shared" si="63"/>
        <v>0</v>
      </c>
      <c r="Q78" s="66">
        <f t="shared" si="34"/>
        <v>0</v>
      </c>
      <c r="R78" s="67">
        <v>40000</v>
      </c>
      <c r="S78" s="68" t="str">
        <f t="shared" si="59"/>
        <v/>
      </c>
      <c r="T78" s="68" t="str">
        <f t="shared" si="60"/>
        <v/>
      </c>
      <c r="U78" s="85"/>
    </row>
    <row r="79" spans="1:22" ht="55.5" customHeight="1" x14ac:dyDescent="0.25">
      <c r="A79" s="73" t="s">
        <v>115</v>
      </c>
      <c r="B79" s="61"/>
      <c r="C79" s="62"/>
      <c r="D79" s="63"/>
      <c r="E79" s="64">
        <f t="shared" si="58"/>
        <v>0</v>
      </c>
      <c r="F79" s="64">
        <f t="shared" si="58"/>
        <v>0</v>
      </c>
      <c r="G79" s="64">
        <f t="shared" si="58"/>
        <v>0</v>
      </c>
      <c r="H79" s="64">
        <f t="shared" si="58"/>
        <v>0</v>
      </c>
      <c r="I79" s="64">
        <f t="shared" si="58"/>
        <v>0</v>
      </c>
      <c r="J79" s="64">
        <f t="shared" si="58"/>
        <v>0</v>
      </c>
      <c r="K79" s="64">
        <f t="shared" si="58"/>
        <v>0</v>
      </c>
      <c r="L79" s="66"/>
      <c r="M79" s="66"/>
      <c r="N79" s="66"/>
      <c r="O79" s="66">
        <f t="shared" si="62"/>
        <v>0</v>
      </c>
      <c r="P79" s="71">
        <f t="shared" si="63"/>
        <v>0</v>
      </c>
      <c r="Q79" s="66">
        <f t="shared" si="34"/>
        <v>0</v>
      </c>
      <c r="R79" s="67">
        <v>0</v>
      </c>
      <c r="S79" s="68" t="str">
        <f t="shared" si="59"/>
        <v/>
      </c>
      <c r="T79" s="68" t="str">
        <f t="shared" si="60"/>
        <v/>
      </c>
      <c r="U79" s="69"/>
    </row>
    <row r="80" spans="1:22" x14ac:dyDescent="0.25">
      <c r="A80" s="46" t="s">
        <v>27</v>
      </c>
      <c r="B80" s="61" t="s">
        <v>28</v>
      </c>
      <c r="C80" s="98" t="s">
        <v>116</v>
      </c>
      <c r="D80" s="63">
        <v>22500</v>
      </c>
      <c r="E80" s="64">
        <f t="shared" si="58"/>
        <v>22500</v>
      </c>
      <c r="F80" s="64">
        <f t="shared" si="58"/>
        <v>22500</v>
      </c>
      <c r="G80" s="64">
        <f t="shared" si="58"/>
        <v>22500</v>
      </c>
      <c r="H80" s="64">
        <f t="shared" si="58"/>
        <v>22500</v>
      </c>
      <c r="I80" s="64">
        <f t="shared" si="58"/>
        <v>22500</v>
      </c>
      <c r="J80" s="64">
        <f t="shared" si="58"/>
        <v>22500</v>
      </c>
      <c r="K80" s="64">
        <f t="shared" si="58"/>
        <v>22500</v>
      </c>
      <c r="L80" s="66">
        <f>'[1]Бюдж роспись КБ'!K77/1000</f>
        <v>22500</v>
      </c>
      <c r="M80" s="66">
        <f t="shared" si="61"/>
        <v>100</v>
      </c>
      <c r="N80" s="66">
        <v>22500</v>
      </c>
      <c r="O80" s="66">
        <f t="shared" si="62"/>
        <v>0</v>
      </c>
      <c r="P80" s="71">
        <f t="shared" si="63"/>
        <v>0</v>
      </c>
      <c r="Q80" s="66">
        <f t="shared" si="34"/>
        <v>0</v>
      </c>
      <c r="R80" s="67">
        <v>22500</v>
      </c>
      <c r="S80" s="68" t="str">
        <f t="shared" si="59"/>
        <v/>
      </c>
      <c r="T80" s="68" t="str">
        <f t="shared" si="60"/>
        <v/>
      </c>
      <c r="U80" s="69"/>
    </row>
    <row r="81" spans="1:21" x14ac:dyDescent="0.25">
      <c r="A81" s="46" t="s">
        <v>29</v>
      </c>
      <c r="B81" s="61" t="s">
        <v>30</v>
      </c>
      <c r="C81" s="98" t="s">
        <v>116</v>
      </c>
      <c r="D81" s="63">
        <v>67500</v>
      </c>
      <c r="E81" s="64">
        <f t="shared" si="58"/>
        <v>67500</v>
      </c>
      <c r="F81" s="64">
        <f t="shared" si="58"/>
        <v>67500</v>
      </c>
      <c r="G81" s="64">
        <f t="shared" si="58"/>
        <v>67500</v>
      </c>
      <c r="H81" s="64">
        <f t="shared" si="58"/>
        <v>67500</v>
      </c>
      <c r="I81" s="64">
        <f t="shared" si="58"/>
        <v>67500</v>
      </c>
      <c r="J81" s="64">
        <f t="shared" si="58"/>
        <v>67500</v>
      </c>
      <c r="K81" s="64">
        <f t="shared" si="58"/>
        <v>67500</v>
      </c>
      <c r="L81" s="66">
        <f>'[1]Бюдж роспись КБ'!K78/1000</f>
        <v>67500</v>
      </c>
      <c r="M81" s="66">
        <f t="shared" si="61"/>
        <v>100</v>
      </c>
      <c r="N81" s="66">
        <v>67500</v>
      </c>
      <c r="O81" s="66">
        <f t="shared" si="62"/>
        <v>0</v>
      </c>
      <c r="P81" s="71">
        <f t="shared" si="63"/>
        <v>0</v>
      </c>
      <c r="Q81" s="66">
        <f t="shared" si="34"/>
        <v>0</v>
      </c>
      <c r="R81" s="67">
        <v>67500</v>
      </c>
      <c r="S81" s="68" t="str">
        <f t="shared" si="59"/>
        <v/>
      </c>
      <c r="T81" s="68" t="str">
        <f t="shared" si="60"/>
        <v/>
      </c>
      <c r="U81" s="69"/>
    </row>
    <row r="82" spans="1:21" ht="63" x14ac:dyDescent="0.25">
      <c r="A82" s="73" t="s">
        <v>117</v>
      </c>
      <c r="B82" s="61"/>
      <c r="C82" s="62"/>
      <c r="D82" s="63"/>
      <c r="E82" s="64">
        <f t="shared" si="58"/>
        <v>0</v>
      </c>
      <c r="F82" s="64">
        <f t="shared" si="58"/>
        <v>0</v>
      </c>
      <c r="G82" s="64">
        <f t="shared" si="58"/>
        <v>0</v>
      </c>
      <c r="H82" s="64">
        <f t="shared" si="58"/>
        <v>0</v>
      </c>
      <c r="I82" s="64">
        <f t="shared" si="58"/>
        <v>0</v>
      </c>
      <c r="J82" s="64">
        <f t="shared" si="58"/>
        <v>0</v>
      </c>
      <c r="K82" s="64">
        <f t="shared" si="58"/>
        <v>0</v>
      </c>
      <c r="L82" s="66"/>
      <c r="M82" s="66"/>
      <c r="N82" s="66"/>
      <c r="O82" s="66">
        <f t="shared" si="62"/>
        <v>0</v>
      </c>
      <c r="P82" s="71">
        <f t="shared" si="63"/>
        <v>0</v>
      </c>
      <c r="Q82" s="66">
        <f t="shared" si="34"/>
        <v>0</v>
      </c>
      <c r="R82" s="67">
        <v>0</v>
      </c>
      <c r="S82" s="68" t="str">
        <f t="shared" si="59"/>
        <v/>
      </c>
      <c r="T82" s="68" t="str">
        <f t="shared" si="60"/>
        <v/>
      </c>
      <c r="U82" s="84"/>
    </row>
    <row r="83" spans="1:21" x14ac:dyDescent="0.25">
      <c r="A83" s="46" t="s">
        <v>27</v>
      </c>
      <c r="B83" s="61" t="s">
        <v>28</v>
      </c>
      <c r="C83" s="98" t="s">
        <v>118</v>
      </c>
      <c r="D83" s="63">
        <v>17500</v>
      </c>
      <c r="E83" s="64">
        <f t="shared" si="58"/>
        <v>17500</v>
      </c>
      <c r="F83" s="64">
        <f t="shared" si="58"/>
        <v>17500</v>
      </c>
      <c r="G83" s="64">
        <f t="shared" si="58"/>
        <v>17500</v>
      </c>
      <c r="H83" s="64">
        <f t="shared" si="58"/>
        <v>17500</v>
      </c>
      <c r="I83" s="64">
        <f t="shared" si="58"/>
        <v>17500</v>
      </c>
      <c r="J83" s="64">
        <f t="shared" si="58"/>
        <v>17500</v>
      </c>
      <c r="K83" s="64">
        <f t="shared" si="58"/>
        <v>17500</v>
      </c>
      <c r="L83" s="66">
        <f>'[1]Бюдж роспись КБ'!K79/1000</f>
        <v>17500</v>
      </c>
      <c r="M83" s="66">
        <f t="shared" si="61"/>
        <v>100</v>
      </c>
      <c r="N83" s="66">
        <v>17500</v>
      </c>
      <c r="O83" s="66">
        <f t="shared" si="62"/>
        <v>0</v>
      </c>
      <c r="P83" s="71">
        <f t="shared" si="63"/>
        <v>0</v>
      </c>
      <c r="Q83" s="66">
        <f t="shared" si="34"/>
        <v>0</v>
      </c>
      <c r="R83" s="67">
        <v>17500</v>
      </c>
      <c r="S83" s="68" t="str">
        <f t="shared" si="59"/>
        <v/>
      </c>
      <c r="T83" s="68" t="str">
        <f t="shared" si="60"/>
        <v/>
      </c>
      <c r="U83" s="84"/>
    </row>
    <row r="84" spans="1:21" x14ac:dyDescent="0.25">
      <c r="A84" s="46" t="s">
        <v>29</v>
      </c>
      <c r="B84" s="61" t="s">
        <v>30</v>
      </c>
      <c r="C84" s="98" t="s">
        <v>118</v>
      </c>
      <c r="D84" s="63">
        <v>52500</v>
      </c>
      <c r="E84" s="64">
        <f t="shared" si="58"/>
        <v>52500</v>
      </c>
      <c r="F84" s="64">
        <f t="shared" si="58"/>
        <v>52500</v>
      </c>
      <c r="G84" s="64">
        <f t="shared" si="58"/>
        <v>52500</v>
      </c>
      <c r="H84" s="64">
        <f t="shared" si="58"/>
        <v>52500</v>
      </c>
      <c r="I84" s="64">
        <f t="shared" si="58"/>
        <v>52500</v>
      </c>
      <c r="J84" s="64">
        <f t="shared" si="58"/>
        <v>52500</v>
      </c>
      <c r="K84" s="64">
        <f t="shared" si="58"/>
        <v>52500</v>
      </c>
      <c r="L84" s="66">
        <f>'[1]Бюдж роспись КБ'!K80/1000</f>
        <v>52500</v>
      </c>
      <c r="M84" s="66">
        <f t="shared" si="61"/>
        <v>100</v>
      </c>
      <c r="N84" s="66">
        <v>52500</v>
      </c>
      <c r="O84" s="66">
        <f t="shared" si="62"/>
        <v>0</v>
      </c>
      <c r="P84" s="71">
        <f t="shared" si="63"/>
        <v>0</v>
      </c>
      <c r="Q84" s="66">
        <f t="shared" si="34"/>
        <v>0</v>
      </c>
      <c r="R84" s="67">
        <v>52500</v>
      </c>
      <c r="S84" s="68" t="str">
        <f t="shared" si="59"/>
        <v/>
      </c>
      <c r="T84" s="68" t="str">
        <f t="shared" si="60"/>
        <v/>
      </c>
      <c r="U84" s="84"/>
    </row>
    <row r="85" spans="1:21" ht="78.75" x14ac:dyDescent="0.25">
      <c r="A85" s="73" t="s">
        <v>119</v>
      </c>
      <c r="B85" s="61"/>
      <c r="C85" s="62"/>
      <c r="D85" s="63"/>
      <c r="E85" s="64"/>
      <c r="F85" s="64"/>
      <c r="G85" s="64"/>
      <c r="H85" s="64"/>
      <c r="I85" s="64"/>
      <c r="J85" s="64"/>
      <c r="K85" s="64">
        <f t="shared" si="58"/>
        <v>0</v>
      </c>
      <c r="L85" s="66"/>
      <c r="M85" s="66"/>
      <c r="N85" s="66"/>
      <c r="O85" s="66">
        <f t="shared" si="62"/>
        <v>0</v>
      </c>
      <c r="P85" s="71"/>
      <c r="Q85" s="66">
        <f t="shared" si="34"/>
        <v>0</v>
      </c>
      <c r="R85" s="67"/>
      <c r="S85" s="68" t="str">
        <f t="shared" si="59"/>
        <v/>
      </c>
      <c r="T85" s="68" t="str">
        <f t="shared" si="60"/>
        <v/>
      </c>
    </row>
    <row r="86" spans="1:21" x14ac:dyDescent="0.25">
      <c r="A86" s="46" t="s">
        <v>27</v>
      </c>
      <c r="B86" s="61" t="s">
        <v>28</v>
      </c>
      <c r="C86" s="98" t="s">
        <v>120</v>
      </c>
      <c r="D86" s="63">
        <v>1050</v>
      </c>
      <c r="E86" s="99">
        <f>D86+36826.08695</f>
        <v>37876.086949999997</v>
      </c>
      <c r="F86" s="64">
        <v>37876.1</v>
      </c>
      <c r="G86" s="64">
        <f t="shared" ref="G86:I94" si="64">F86</f>
        <v>37876.1</v>
      </c>
      <c r="H86" s="64">
        <f t="shared" si="64"/>
        <v>37876.1</v>
      </c>
      <c r="I86" s="70">
        <f>H86-198.7</f>
        <v>37677.4</v>
      </c>
      <c r="J86" s="64">
        <f t="shared" ref="J86:K94" si="65">I86</f>
        <v>37677.4</v>
      </c>
      <c r="K86" s="64">
        <f t="shared" si="58"/>
        <v>37677.4</v>
      </c>
      <c r="L86" s="66">
        <f>'[1]Бюдж роспись КБ'!K81/1000</f>
        <v>37677.435310000001</v>
      </c>
      <c r="M86" s="66">
        <f t="shared" si="61"/>
        <v>100.00009371665772</v>
      </c>
      <c r="N86" s="66">
        <v>37677.435310000001</v>
      </c>
      <c r="O86" s="66">
        <f t="shared" si="62"/>
        <v>0</v>
      </c>
      <c r="P86" s="71">
        <f t="shared" ref="P86:P97" si="66">I86-L86</f>
        <v>-3.530999999929918E-2</v>
      </c>
      <c r="Q86" s="66">
        <f t="shared" ref="Q86:Q149" si="67">K86-L86</f>
        <v>-3.530999999929918E-2</v>
      </c>
      <c r="R86" s="67">
        <v>37677.4</v>
      </c>
      <c r="S86" s="68" t="str">
        <f t="shared" si="59"/>
        <v/>
      </c>
      <c r="T86" s="68" t="str">
        <f t="shared" si="60"/>
        <v/>
      </c>
      <c r="U86" s="84"/>
    </row>
    <row r="87" spans="1:21" x14ac:dyDescent="0.25">
      <c r="A87" s="46" t="s">
        <v>29</v>
      </c>
      <c r="B87" s="61" t="s">
        <v>30</v>
      </c>
      <c r="C87" s="98" t="s">
        <v>120</v>
      </c>
      <c r="D87" s="63">
        <v>19950</v>
      </c>
      <c r="E87" s="64">
        <f t="shared" ref="E87:F94" si="68">D87</f>
        <v>19950</v>
      </c>
      <c r="F87" s="64">
        <f t="shared" si="68"/>
        <v>19950</v>
      </c>
      <c r="G87" s="64">
        <f t="shared" si="64"/>
        <v>19950</v>
      </c>
      <c r="H87" s="64">
        <f t="shared" si="64"/>
        <v>19950</v>
      </c>
      <c r="I87" s="70">
        <f>H87-104.6</f>
        <v>19845.400000000001</v>
      </c>
      <c r="J87" s="64">
        <f t="shared" si="65"/>
        <v>19845.400000000001</v>
      </c>
      <c r="K87" s="64">
        <f t="shared" si="65"/>
        <v>19845.400000000001</v>
      </c>
      <c r="L87" s="66">
        <f>'[1]Бюдж роспись КБ'!K82/1000</f>
        <v>19845.366690000003</v>
      </c>
      <c r="M87" s="66">
        <f t="shared" si="61"/>
        <v>99.999832152539142</v>
      </c>
      <c r="N87" s="66">
        <v>19845.366690000003</v>
      </c>
      <c r="O87" s="66">
        <f t="shared" si="62"/>
        <v>0</v>
      </c>
      <c r="P87" s="71">
        <f t="shared" si="66"/>
        <v>3.3309999998891726E-2</v>
      </c>
      <c r="Q87" s="66">
        <f t="shared" si="67"/>
        <v>3.3309999998891726E-2</v>
      </c>
      <c r="R87" s="67">
        <v>19845.400000000001</v>
      </c>
      <c r="S87" s="68" t="str">
        <f t="shared" si="59"/>
        <v/>
      </c>
      <c r="T87" s="68" t="str">
        <f t="shared" si="60"/>
        <v/>
      </c>
      <c r="U87" s="84"/>
    </row>
    <row r="88" spans="1:21" ht="47.25" x14ac:dyDescent="0.25">
      <c r="A88" s="73" t="s">
        <v>121</v>
      </c>
      <c r="B88" s="61"/>
      <c r="D88" s="63"/>
      <c r="E88" s="64">
        <f t="shared" si="68"/>
        <v>0</v>
      </c>
      <c r="F88" s="64">
        <f t="shared" si="68"/>
        <v>0</v>
      </c>
      <c r="G88" s="64">
        <f t="shared" si="64"/>
        <v>0</v>
      </c>
      <c r="H88" s="64">
        <f t="shared" si="64"/>
        <v>0</v>
      </c>
      <c r="I88" s="64">
        <f t="shared" si="64"/>
        <v>0</v>
      </c>
      <c r="J88" s="64">
        <f t="shared" si="65"/>
        <v>0</v>
      </c>
      <c r="K88" s="64">
        <f t="shared" si="65"/>
        <v>0</v>
      </c>
      <c r="L88" s="66"/>
      <c r="M88" s="66"/>
      <c r="N88" s="66"/>
      <c r="O88" s="66">
        <f t="shared" si="62"/>
        <v>0</v>
      </c>
      <c r="P88" s="71">
        <f t="shared" si="66"/>
        <v>0</v>
      </c>
      <c r="Q88" s="66">
        <f t="shared" si="67"/>
        <v>0</v>
      </c>
      <c r="R88" s="67">
        <v>0</v>
      </c>
      <c r="S88" s="68" t="str">
        <f t="shared" si="59"/>
        <v/>
      </c>
      <c r="T88" s="68" t="str">
        <f t="shared" si="60"/>
        <v/>
      </c>
      <c r="U88" s="69"/>
    </row>
    <row r="89" spans="1:21" x14ac:dyDescent="0.25">
      <c r="A89" s="46" t="s">
        <v>27</v>
      </c>
      <c r="B89" s="61" t="s">
        <v>28</v>
      </c>
      <c r="C89" s="100" t="s">
        <v>122</v>
      </c>
      <c r="D89" s="63">
        <v>218.1</v>
      </c>
      <c r="E89" s="99">
        <f>D89+7648.73478</f>
        <v>7866.8347800000001</v>
      </c>
      <c r="F89" s="64">
        <v>7866.8</v>
      </c>
      <c r="G89" s="64">
        <f t="shared" si="64"/>
        <v>7866.8</v>
      </c>
      <c r="H89" s="64">
        <f t="shared" si="64"/>
        <v>7866.8</v>
      </c>
      <c r="I89" s="70">
        <f>H89+135</f>
        <v>8001.8</v>
      </c>
      <c r="J89" s="101">
        <f>I89-135</f>
        <v>7866.8</v>
      </c>
      <c r="K89" s="64">
        <f t="shared" si="65"/>
        <v>7866.8</v>
      </c>
      <c r="L89" s="66">
        <f>'[1]Бюдж роспись КБ'!K83/1000</f>
        <v>7866.8347799999992</v>
      </c>
      <c r="M89" s="66">
        <f t="shared" si="61"/>
        <v>100.00044211115065</v>
      </c>
      <c r="N89" s="66">
        <v>7866.8347800000001</v>
      </c>
      <c r="O89" s="66">
        <f t="shared" si="62"/>
        <v>0</v>
      </c>
      <c r="P89" s="71">
        <f>J89-L89</f>
        <v>-3.4779999999045685E-2</v>
      </c>
      <c r="Q89" s="66">
        <f t="shared" si="67"/>
        <v>-3.4779999999045685E-2</v>
      </c>
      <c r="R89" s="67">
        <f>7866.8+135</f>
        <v>8001.8</v>
      </c>
      <c r="S89" s="68">
        <f t="shared" si="59"/>
        <v>135</v>
      </c>
      <c r="T89" s="68" t="str">
        <f t="shared" si="60"/>
        <v/>
      </c>
      <c r="U89" s="69"/>
    </row>
    <row r="90" spans="1:21" x14ac:dyDescent="0.25">
      <c r="A90" s="46" t="s">
        <v>29</v>
      </c>
      <c r="B90" s="61" t="s">
        <v>30</v>
      </c>
      <c r="C90" s="100" t="s">
        <v>122</v>
      </c>
      <c r="D90" s="63">
        <v>4143.6000000000004</v>
      </c>
      <c r="E90" s="64">
        <f t="shared" si="68"/>
        <v>4143.6000000000004</v>
      </c>
      <c r="F90" s="64">
        <f t="shared" si="68"/>
        <v>4143.6000000000004</v>
      </c>
      <c r="G90" s="64">
        <f t="shared" si="64"/>
        <v>4143.6000000000004</v>
      </c>
      <c r="H90" s="64">
        <f t="shared" si="64"/>
        <v>4143.6000000000004</v>
      </c>
      <c r="I90" s="70">
        <f>H90+71.1</f>
        <v>4214.7000000000007</v>
      </c>
      <c r="J90" s="101">
        <f>I90-71.1</f>
        <v>4143.6000000000004</v>
      </c>
      <c r="K90" s="64">
        <f t="shared" si="65"/>
        <v>4143.6000000000004</v>
      </c>
      <c r="L90" s="91">
        <f>'[1]Бюдж роспись КБ'!K84/1000</f>
        <v>4143.6000000000004</v>
      </c>
      <c r="M90" s="66">
        <f t="shared" si="61"/>
        <v>100</v>
      </c>
      <c r="N90" s="66">
        <v>4143.6000000000004</v>
      </c>
      <c r="O90" s="66">
        <f t="shared" si="62"/>
        <v>0</v>
      </c>
      <c r="P90" s="71">
        <f t="shared" ref="P90:P94" si="69">J90-L90</f>
        <v>0</v>
      </c>
      <c r="Q90" s="66">
        <f t="shared" si="67"/>
        <v>0</v>
      </c>
      <c r="R90" s="67">
        <f>4143.6+71.1</f>
        <v>4214.7000000000007</v>
      </c>
      <c r="S90" s="68">
        <f t="shared" si="59"/>
        <v>71.100000000000364</v>
      </c>
      <c r="T90" s="68" t="str">
        <f t="shared" si="60"/>
        <v/>
      </c>
      <c r="U90" s="69"/>
    </row>
    <row r="91" spans="1:21" ht="87" customHeight="1" x14ac:dyDescent="0.25">
      <c r="A91" s="77" t="s">
        <v>123</v>
      </c>
      <c r="B91" s="61" t="s">
        <v>28</v>
      </c>
      <c r="C91" s="62" t="s">
        <v>124</v>
      </c>
      <c r="D91" s="63"/>
      <c r="E91" s="64"/>
      <c r="F91" s="74">
        <v>8272.2999999999993</v>
      </c>
      <c r="G91" s="64">
        <f t="shared" si="64"/>
        <v>8272.2999999999993</v>
      </c>
      <c r="H91" s="64">
        <f t="shared" si="64"/>
        <v>8272.2999999999993</v>
      </c>
      <c r="I91" s="70">
        <f>H91-5437.8</f>
        <v>2834.4999999999991</v>
      </c>
      <c r="J91" s="64">
        <f t="shared" ref="J91" si="70">I91</f>
        <v>2834.4999999999991</v>
      </c>
      <c r="K91" s="64">
        <f t="shared" si="65"/>
        <v>2834.4999999999991</v>
      </c>
      <c r="L91" s="66">
        <f>'[1]Бюдж роспись КБ'!K85/1000</f>
        <v>2834.5</v>
      </c>
      <c r="M91" s="66">
        <f t="shared" si="61"/>
        <v>100.00000000000003</v>
      </c>
      <c r="N91" s="66">
        <v>2834.5</v>
      </c>
      <c r="O91" s="66">
        <f t="shared" si="62"/>
        <v>0</v>
      </c>
      <c r="P91" s="102">
        <f t="shared" si="69"/>
        <v>0</v>
      </c>
      <c r="Q91" s="66">
        <f t="shared" si="67"/>
        <v>0</v>
      </c>
      <c r="R91" s="67">
        <f>2104.36+753.847</f>
        <v>2858.2070000000003</v>
      </c>
      <c r="S91" s="68">
        <f t="shared" si="59"/>
        <v>23.707000000001244</v>
      </c>
      <c r="T91" s="68" t="str">
        <f t="shared" si="60"/>
        <v/>
      </c>
      <c r="U91" s="103"/>
    </row>
    <row r="92" spans="1:21" ht="69.75" customHeight="1" x14ac:dyDescent="0.25">
      <c r="A92" s="73" t="s">
        <v>125</v>
      </c>
      <c r="B92" s="61"/>
      <c r="C92" s="62"/>
      <c r="D92" s="63"/>
      <c r="E92" s="64">
        <f t="shared" si="68"/>
        <v>0</v>
      </c>
      <c r="F92" s="64">
        <f t="shared" si="68"/>
        <v>0</v>
      </c>
      <c r="G92" s="64">
        <f t="shared" si="64"/>
        <v>0</v>
      </c>
      <c r="H92" s="64">
        <f t="shared" si="64"/>
        <v>0</v>
      </c>
      <c r="I92" s="64">
        <f t="shared" si="64"/>
        <v>0</v>
      </c>
      <c r="J92" s="64">
        <f t="shared" si="65"/>
        <v>0</v>
      </c>
      <c r="K92" s="64">
        <f t="shared" si="65"/>
        <v>0</v>
      </c>
      <c r="L92" s="66"/>
      <c r="M92" s="66"/>
      <c r="N92" s="66"/>
      <c r="O92" s="66">
        <f t="shared" si="62"/>
        <v>0</v>
      </c>
      <c r="P92" s="71">
        <f t="shared" si="69"/>
        <v>0</v>
      </c>
      <c r="Q92" s="66">
        <f t="shared" si="67"/>
        <v>0</v>
      </c>
      <c r="R92" s="67">
        <v>0</v>
      </c>
      <c r="S92" s="68" t="str">
        <f t="shared" si="59"/>
        <v/>
      </c>
      <c r="T92" s="68" t="str">
        <f t="shared" si="60"/>
        <v/>
      </c>
      <c r="U92" s="103"/>
    </row>
    <row r="93" spans="1:21" x14ac:dyDescent="0.25">
      <c r="A93" s="46" t="s">
        <v>27</v>
      </c>
      <c r="B93" s="61" t="s">
        <v>28</v>
      </c>
      <c r="C93" s="100" t="s">
        <v>126</v>
      </c>
      <c r="D93" s="63">
        <v>157.9</v>
      </c>
      <c r="E93" s="99">
        <f>D93+5537.75217</f>
        <v>5695.6521699999994</v>
      </c>
      <c r="F93" s="64">
        <v>5695.7</v>
      </c>
      <c r="G93" s="64">
        <f t="shared" si="64"/>
        <v>5695.7</v>
      </c>
      <c r="H93" s="64">
        <f t="shared" si="64"/>
        <v>5695.7</v>
      </c>
      <c r="I93" s="70">
        <f>H93+63.7</f>
        <v>5759.4</v>
      </c>
      <c r="J93" s="101">
        <f>I93+135</f>
        <v>5894.4</v>
      </c>
      <c r="K93" s="64">
        <f t="shared" si="65"/>
        <v>5894.4</v>
      </c>
      <c r="L93" s="66">
        <f>'[1]Бюдж роспись КБ'!K86/1000</f>
        <v>5894.3038099999994</v>
      </c>
      <c r="M93" s="66">
        <f t="shared" si="61"/>
        <v>99.998368112106405</v>
      </c>
      <c r="N93" s="66">
        <v>5894.3038100000003</v>
      </c>
      <c r="O93" s="66">
        <f t="shared" si="62"/>
        <v>0</v>
      </c>
      <c r="P93" s="71">
        <f t="shared" si="69"/>
        <v>9.6190000000206055E-2</v>
      </c>
      <c r="Q93" s="66">
        <f t="shared" si="67"/>
        <v>9.6190000000206055E-2</v>
      </c>
      <c r="R93" s="67">
        <f>5695.7+63.7</f>
        <v>5759.4</v>
      </c>
      <c r="S93" s="68" t="str">
        <f t="shared" si="59"/>
        <v/>
      </c>
      <c r="T93" s="68">
        <f t="shared" si="60"/>
        <v>-135</v>
      </c>
      <c r="U93" s="103"/>
    </row>
    <row r="94" spans="1:21" x14ac:dyDescent="0.25">
      <c r="A94" s="46" t="s">
        <v>29</v>
      </c>
      <c r="B94" s="61" t="s">
        <v>30</v>
      </c>
      <c r="C94" s="100" t="s">
        <v>126</v>
      </c>
      <c r="D94" s="63">
        <v>3000</v>
      </c>
      <c r="E94" s="64">
        <f t="shared" si="68"/>
        <v>3000</v>
      </c>
      <c r="F94" s="64">
        <f t="shared" si="68"/>
        <v>3000</v>
      </c>
      <c r="G94" s="64">
        <f t="shared" si="64"/>
        <v>3000</v>
      </c>
      <c r="H94" s="64">
        <f t="shared" si="64"/>
        <v>3000</v>
      </c>
      <c r="I94" s="70">
        <f>H94+33.5</f>
        <v>3033.5</v>
      </c>
      <c r="J94" s="101">
        <f>I94+71.1</f>
        <v>3104.6</v>
      </c>
      <c r="K94" s="64">
        <f t="shared" si="65"/>
        <v>3104.6</v>
      </c>
      <c r="L94" s="66">
        <f>'[1]Бюдж роспись КБ'!K87/1000</f>
        <v>3104.6333100000002</v>
      </c>
      <c r="M94" s="66">
        <f t="shared" si="61"/>
        <v>100.00107292404819</v>
      </c>
      <c r="N94" s="66">
        <v>3104.6333100000002</v>
      </c>
      <c r="O94" s="66">
        <f t="shared" si="62"/>
        <v>0</v>
      </c>
      <c r="P94" s="71">
        <f t="shared" si="69"/>
        <v>-3.3310000000255968E-2</v>
      </c>
      <c r="Q94" s="66">
        <f t="shared" si="67"/>
        <v>-3.3310000000255968E-2</v>
      </c>
      <c r="R94" s="67">
        <f>3000+33.5</f>
        <v>3033.5</v>
      </c>
      <c r="S94" s="68" t="str">
        <f t="shared" si="59"/>
        <v/>
      </c>
      <c r="T94" s="68">
        <f t="shared" si="60"/>
        <v>-71.099999999999909</v>
      </c>
      <c r="U94" s="103"/>
    </row>
    <row r="95" spans="1:21" s="56" customFormat="1" ht="47.25" x14ac:dyDescent="0.25">
      <c r="A95" s="52" t="s">
        <v>127</v>
      </c>
      <c r="B95" s="57" t="s">
        <v>28</v>
      </c>
      <c r="C95" s="104">
        <f>SUM(C97:C98)</f>
        <v>0</v>
      </c>
      <c r="D95" s="54">
        <f>D96</f>
        <v>89126.9</v>
      </c>
      <c r="E95" s="54">
        <f t="shared" ref="E95:O95" si="71">E96</f>
        <v>89126.9</v>
      </c>
      <c r="F95" s="54">
        <f t="shared" si="71"/>
        <v>89126.9</v>
      </c>
      <c r="G95" s="54">
        <f t="shared" si="71"/>
        <v>89126.9</v>
      </c>
      <c r="H95" s="54">
        <f t="shared" si="71"/>
        <v>83704.399999999994</v>
      </c>
      <c r="I95" s="54">
        <f t="shared" si="71"/>
        <v>83704.399999999994</v>
      </c>
      <c r="J95" s="54">
        <f t="shared" si="71"/>
        <v>83704.399999999994</v>
      </c>
      <c r="K95" s="54">
        <f t="shared" si="71"/>
        <v>83704.399999999994</v>
      </c>
      <c r="L95" s="54">
        <f t="shared" si="71"/>
        <v>83453.8</v>
      </c>
      <c r="M95" s="54">
        <f t="shared" si="71"/>
        <v>99.700613109944044</v>
      </c>
      <c r="N95" s="54">
        <f t="shared" si="71"/>
        <v>83453.8</v>
      </c>
      <c r="O95" s="54">
        <f t="shared" si="71"/>
        <v>0</v>
      </c>
      <c r="P95" s="96">
        <f>P96</f>
        <v>250.59999999999854</v>
      </c>
      <c r="Q95" s="54">
        <f t="shared" ref="Q95:T95" si="72">Q96</f>
        <v>250.59999999999854</v>
      </c>
      <c r="R95" s="54">
        <f t="shared" si="72"/>
        <v>83704.399999999994</v>
      </c>
      <c r="S95" s="54">
        <f t="shared" si="72"/>
        <v>0</v>
      </c>
      <c r="T95" s="54">
        <f t="shared" si="72"/>
        <v>0</v>
      </c>
      <c r="U95" s="105"/>
    </row>
    <row r="96" spans="1:21" s="56" customFormat="1" x14ac:dyDescent="0.25">
      <c r="A96" s="46" t="s">
        <v>27</v>
      </c>
      <c r="B96" s="57" t="s">
        <v>28</v>
      </c>
      <c r="C96" s="106"/>
      <c r="D96" s="39">
        <f t="shared" ref="D96:L96" si="73">SUMIF($B$97:$B$98,"=01",D97:D98)</f>
        <v>89126.9</v>
      </c>
      <c r="E96" s="39">
        <f t="shared" si="73"/>
        <v>89126.9</v>
      </c>
      <c r="F96" s="39">
        <f t="shared" si="73"/>
        <v>89126.9</v>
      </c>
      <c r="G96" s="39">
        <f t="shared" si="73"/>
        <v>89126.9</v>
      </c>
      <c r="H96" s="39">
        <f t="shared" si="73"/>
        <v>83704.399999999994</v>
      </c>
      <c r="I96" s="39">
        <f t="shared" si="73"/>
        <v>83704.399999999994</v>
      </c>
      <c r="J96" s="39">
        <f t="shared" si="73"/>
        <v>83704.399999999994</v>
      </c>
      <c r="K96" s="39">
        <f t="shared" si="73"/>
        <v>83704.399999999994</v>
      </c>
      <c r="L96" s="39">
        <f t="shared" si="73"/>
        <v>83453.8</v>
      </c>
      <c r="M96" s="39">
        <f t="shared" ref="M96:M105" si="74">L96/J96*100</f>
        <v>99.700613109944044</v>
      </c>
      <c r="N96" s="39">
        <f>SUMIF($B$97:$B$98,"=01",N97:N98)</f>
        <v>83453.8</v>
      </c>
      <c r="O96" s="39">
        <f>SUMIF($B$97:$B$98,"=01",O97:O98)</f>
        <v>0</v>
      </c>
      <c r="P96" s="40">
        <f t="shared" ref="P96:T96" si="75">SUMIF($B$97:$B$98,"=01",P97:P98)</f>
        <v>250.59999999999854</v>
      </c>
      <c r="Q96" s="39">
        <f t="shared" si="75"/>
        <v>250.59999999999854</v>
      </c>
      <c r="R96" s="39">
        <f t="shared" si="75"/>
        <v>83704.399999999994</v>
      </c>
      <c r="S96" s="39">
        <f t="shared" si="75"/>
        <v>0</v>
      </c>
      <c r="T96" s="39">
        <f t="shared" si="75"/>
        <v>0</v>
      </c>
      <c r="U96" s="105"/>
    </row>
    <row r="97" spans="1:22" ht="101.25" customHeight="1" x14ac:dyDescent="0.25">
      <c r="A97" s="73" t="s">
        <v>128</v>
      </c>
      <c r="B97" s="61" t="s">
        <v>28</v>
      </c>
      <c r="C97" s="107" t="s">
        <v>129</v>
      </c>
      <c r="D97" s="63">
        <v>66000</v>
      </c>
      <c r="E97" s="64">
        <f t="shared" ref="E97:G98" si="76">D97</f>
        <v>66000</v>
      </c>
      <c r="F97" s="64">
        <f t="shared" si="76"/>
        <v>66000</v>
      </c>
      <c r="G97" s="64">
        <f t="shared" si="76"/>
        <v>66000</v>
      </c>
      <c r="H97" s="65">
        <f>G97-3912.6</f>
        <v>62087.4</v>
      </c>
      <c r="I97" s="64">
        <f t="shared" ref="I97:K98" si="77">H97</f>
        <v>62087.4</v>
      </c>
      <c r="J97" s="64">
        <f t="shared" si="77"/>
        <v>62087.4</v>
      </c>
      <c r="K97" s="64">
        <f t="shared" si="77"/>
        <v>62087.4</v>
      </c>
      <c r="L97" s="66">
        <f>N97</f>
        <v>61839.3</v>
      </c>
      <c r="M97" s="66">
        <f t="shared" si="74"/>
        <v>99.600402013935195</v>
      </c>
      <c r="N97" s="66">
        <v>61839.3</v>
      </c>
      <c r="O97" s="66">
        <f>L97-N97</f>
        <v>0</v>
      </c>
      <c r="P97" s="71">
        <f t="shared" si="66"/>
        <v>248.09999999999854</v>
      </c>
      <c r="Q97" s="66">
        <f t="shared" si="67"/>
        <v>248.09999999999854</v>
      </c>
      <c r="R97" s="67">
        <f t="shared" ref="R97" si="78">J97</f>
        <v>62087.4</v>
      </c>
      <c r="S97" s="68"/>
      <c r="T97" s="68" t="str">
        <f>IF(R97-K97&lt;0,R97-K97,"")</f>
        <v/>
      </c>
      <c r="U97" s="108"/>
    </row>
    <row r="98" spans="1:22" ht="134.25" customHeight="1" x14ac:dyDescent="0.25">
      <c r="A98" s="109" t="s">
        <v>130</v>
      </c>
      <c r="B98" s="61" t="s">
        <v>28</v>
      </c>
      <c r="C98" s="107" t="s">
        <v>131</v>
      </c>
      <c r="D98" s="63">
        <v>23126.9</v>
      </c>
      <c r="E98" s="64">
        <f t="shared" si="76"/>
        <v>23126.9</v>
      </c>
      <c r="F98" s="64">
        <f t="shared" si="76"/>
        <v>23126.9</v>
      </c>
      <c r="G98" s="64">
        <f t="shared" si="76"/>
        <v>23126.9</v>
      </c>
      <c r="H98" s="65">
        <f>G98-1509.9</f>
        <v>21617</v>
      </c>
      <c r="I98" s="64">
        <f t="shared" si="77"/>
        <v>21617</v>
      </c>
      <c r="J98" s="64">
        <f t="shared" si="77"/>
        <v>21617</v>
      </c>
      <c r="K98" s="64">
        <f t="shared" si="77"/>
        <v>21617</v>
      </c>
      <c r="L98" s="66">
        <f>N98</f>
        <v>21614.5</v>
      </c>
      <c r="M98" s="66">
        <f t="shared" si="74"/>
        <v>99.988435027987236</v>
      </c>
      <c r="N98" s="66">
        <v>21614.5</v>
      </c>
      <c r="O98" s="66">
        <f>L98-N98</f>
        <v>0</v>
      </c>
      <c r="P98" s="71">
        <f>I98-L98</f>
        <v>2.5</v>
      </c>
      <c r="Q98" s="66">
        <f t="shared" si="67"/>
        <v>2.5</v>
      </c>
      <c r="R98" s="67">
        <v>21617</v>
      </c>
      <c r="S98" s="68" t="str">
        <f>IF(R98-K98&gt;0,R98-K98,"")</f>
        <v/>
      </c>
      <c r="T98" s="68"/>
      <c r="U98" s="108"/>
    </row>
    <row r="99" spans="1:22" s="56" customFormat="1" ht="47.25" x14ac:dyDescent="0.25">
      <c r="A99" s="52" t="s">
        <v>132</v>
      </c>
      <c r="B99" s="61" t="s">
        <v>35</v>
      </c>
      <c r="C99" s="104">
        <f>SUM(C102:C115)</f>
        <v>0</v>
      </c>
      <c r="D99" s="54">
        <f>D100+D101</f>
        <v>1032310.7</v>
      </c>
      <c r="E99" s="54">
        <f t="shared" ref="E99:T99" si="79">E100+E101</f>
        <v>1032310.7</v>
      </c>
      <c r="F99" s="54">
        <f t="shared" si="79"/>
        <v>1036506.1</v>
      </c>
      <c r="G99" s="54">
        <f t="shared" si="79"/>
        <v>1127550.6000000001</v>
      </c>
      <c r="H99" s="54">
        <f t="shared" si="79"/>
        <v>951563.99999999988</v>
      </c>
      <c r="I99" s="54">
        <f t="shared" si="79"/>
        <v>844605.6</v>
      </c>
      <c r="J99" s="54">
        <f t="shared" si="79"/>
        <v>844605.6</v>
      </c>
      <c r="K99" s="54">
        <f t="shared" si="79"/>
        <v>840789.15422999999</v>
      </c>
      <c r="L99" s="54">
        <f t="shared" si="79"/>
        <v>802822.80310000014</v>
      </c>
      <c r="M99" s="54">
        <f>L99/K99*100</f>
        <v>95.484438525521938</v>
      </c>
      <c r="N99" s="54">
        <f t="shared" si="79"/>
        <v>802822.80310000014</v>
      </c>
      <c r="O99" s="54">
        <f>SUM(O102:O115)</f>
        <v>0</v>
      </c>
      <c r="P99" s="96">
        <f>P100+P101</f>
        <v>37966.35113000009</v>
      </c>
      <c r="Q99" s="54">
        <f t="shared" ref="Q99" si="80">Q100+Q101</f>
        <v>37966.35113000009</v>
      </c>
      <c r="R99" s="54">
        <f t="shared" si="79"/>
        <v>846247.21897000005</v>
      </c>
      <c r="S99" s="54">
        <f t="shared" si="79"/>
        <v>14958.084740000015</v>
      </c>
      <c r="T99" s="54">
        <f t="shared" si="79"/>
        <v>-9500.0200000000768</v>
      </c>
      <c r="U99" s="105"/>
    </row>
    <row r="100" spans="1:22" s="56" customFormat="1" x14ac:dyDescent="0.25">
      <c r="A100" s="46" t="s">
        <v>27</v>
      </c>
      <c r="B100" s="57" t="s">
        <v>28</v>
      </c>
      <c r="C100" s="104"/>
      <c r="D100" s="39">
        <f t="shared" ref="D100:L100" si="81">SUMIF($B$102:$B$115,"=01",D102:D115)</f>
        <v>903562.6</v>
      </c>
      <c r="E100" s="39">
        <f t="shared" si="81"/>
        <v>903562.6</v>
      </c>
      <c r="F100" s="39">
        <f t="shared" si="81"/>
        <v>907758</v>
      </c>
      <c r="G100" s="39">
        <f t="shared" si="81"/>
        <v>907758</v>
      </c>
      <c r="H100" s="39">
        <f t="shared" si="81"/>
        <v>731771.39999999991</v>
      </c>
      <c r="I100" s="39">
        <f t="shared" si="81"/>
        <v>624813</v>
      </c>
      <c r="J100" s="39">
        <f t="shared" si="81"/>
        <v>624813</v>
      </c>
      <c r="K100" s="39">
        <f t="shared" si="81"/>
        <v>624813</v>
      </c>
      <c r="L100" s="39">
        <f t="shared" si="81"/>
        <v>586846.64887000015</v>
      </c>
      <c r="M100" s="39">
        <f>L100/K100*100</f>
        <v>93.923565750072441</v>
      </c>
      <c r="N100" s="39">
        <f t="shared" ref="N100:T100" si="82">SUMIF($B$102:$B$115,"=01",N102:N115)</f>
        <v>586846.64887000015</v>
      </c>
      <c r="O100" s="39">
        <f t="shared" si="82"/>
        <v>0</v>
      </c>
      <c r="P100" s="40">
        <f t="shared" si="82"/>
        <v>37966.35113000009</v>
      </c>
      <c r="Q100" s="39">
        <f t="shared" si="82"/>
        <v>37966.35113000009</v>
      </c>
      <c r="R100" s="39">
        <f t="shared" si="82"/>
        <v>630271.06474000006</v>
      </c>
      <c r="S100" s="39">
        <f t="shared" si="82"/>
        <v>14958.084740000015</v>
      </c>
      <c r="T100" s="39">
        <f t="shared" si="82"/>
        <v>-9500.0200000000768</v>
      </c>
      <c r="U100" s="105"/>
    </row>
    <row r="101" spans="1:22" s="56" customFormat="1" x14ac:dyDescent="0.25">
      <c r="A101" s="46" t="s">
        <v>29</v>
      </c>
      <c r="B101" s="57" t="s">
        <v>30</v>
      </c>
      <c r="C101" s="104"/>
      <c r="D101" s="39">
        <f t="shared" ref="D101:L101" si="83">SUMIF($B$102:$B$115,"=02",D102:D115)</f>
        <v>128748.1</v>
      </c>
      <c r="E101" s="39">
        <f t="shared" si="83"/>
        <v>128748.1</v>
      </c>
      <c r="F101" s="39">
        <f t="shared" si="83"/>
        <v>128748.1</v>
      </c>
      <c r="G101" s="39">
        <f t="shared" si="83"/>
        <v>219792.6</v>
      </c>
      <c r="H101" s="39">
        <f t="shared" si="83"/>
        <v>219792.6</v>
      </c>
      <c r="I101" s="39">
        <f t="shared" si="83"/>
        <v>219792.6</v>
      </c>
      <c r="J101" s="39">
        <f t="shared" si="83"/>
        <v>219792.6</v>
      </c>
      <c r="K101" s="39">
        <f t="shared" si="83"/>
        <v>215976.15423000001</v>
      </c>
      <c r="L101" s="39">
        <f t="shared" si="83"/>
        <v>215976.15422999999</v>
      </c>
      <c r="M101" s="39">
        <f>L101/K101*100</f>
        <v>99.999999999999986</v>
      </c>
      <c r="N101" s="39">
        <f t="shared" ref="N101:T101" si="84">SUMIF($B$102:$B$115,"=02",N102:N115)</f>
        <v>215976.15423000001</v>
      </c>
      <c r="O101" s="39">
        <f t="shared" si="84"/>
        <v>0</v>
      </c>
      <c r="P101" s="40">
        <f t="shared" si="84"/>
        <v>0</v>
      </c>
      <c r="Q101" s="39">
        <f t="shared" si="84"/>
        <v>0</v>
      </c>
      <c r="R101" s="39">
        <f t="shared" si="84"/>
        <v>215976.15423000001</v>
      </c>
      <c r="S101" s="39">
        <f t="shared" si="84"/>
        <v>0</v>
      </c>
      <c r="T101" s="39">
        <f t="shared" si="84"/>
        <v>0</v>
      </c>
      <c r="U101" s="105"/>
    </row>
    <row r="102" spans="1:22" ht="57" customHeight="1" x14ac:dyDescent="0.25">
      <c r="A102" s="110" t="s">
        <v>133</v>
      </c>
      <c r="B102" s="80" t="s">
        <v>28</v>
      </c>
      <c r="C102" s="111" t="s">
        <v>134</v>
      </c>
      <c r="D102" s="63">
        <v>23782.799999999999</v>
      </c>
      <c r="E102" s="64">
        <f t="shared" ref="E102:H115" si="85">D102</f>
        <v>23782.799999999999</v>
      </c>
      <c r="F102" s="64">
        <f t="shared" si="85"/>
        <v>23782.799999999999</v>
      </c>
      <c r="G102" s="64">
        <f t="shared" si="85"/>
        <v>23782.799999999999</v>
      </c>
      <c r="H102" s="65">
        <f>G102-8380.3</f>
        <v>15402.5</v>
      </c>
      <c r="I102" s="70">
        <f>H102-750.3</f>
        <v>14652.2</v>
      </c>
      <c r="J102" s="64">
        <f t="shared" ref="H102:K115" si="86">I102</f>
        <v>14652.2</v>
      </c>
      <c r="K102" s="64">
        <f t="shared" si="86"/>
        <v>14652.2</v>
      </c>
      <c r="L102" s="66">
        <f>'[1]Бюдж роспись КБ'!K92/1000</f>
        <v>14652.224139999998</v>
      </c>
      <c r="M102" s="66">
        <f t="shared" si="74"/>
        <v>100.00016475341585</v>
      </c>
      <c r="N102" s="66">
        <v>14652.22414</v>
      </c>
      <c r="O102" s="66">
        <f>L102-N102</f>
        <v>0</v>
      </c>
      <c r="P102" s="71">
        <f>I102-L102</f>
        <v>-2.4139999997714767E-2</v>
      </c>
      <c r="Q102" s="66">
        <f t="shared" si="67"/>
        <v>-2.4139999997714767E-2</v>
      </c>
      <c r="R102" s="78">
        <v>14652.2</v>
      </c>
      <c r="S102" s="68" t="str">
        <f>IF(R102-K102&gt;0,R102-K102,"")</f>
        <v/>
      </c>
      <c r="T102" s="68" t="str">
        <f t="shared" ref="T102:T115" si="87">IF(R102-K102&lt;0,R102-K102,"")</f>
        <v/>
      </c>
      <c r="U102" s="112"/>
    </row>
    <row r="103" spans="1:22" ht="94.5" x14ac:dyDescent="0.25">
      <c r="A103" s="110" t="s">
        <v>135</v>
      </c>
      <c r="B103" s="80" t="s">
        <v>28</v>
      </c>
      <c r="C103" s="111" t="s">
        <v>136</v>
      </c>
      <c r="D103" s="63"/>
      <c r="E103" s="64"/>
      <c r="F103" s="74">
        <v>4195.3999999999996</v>
      </c>
      <c r="G103" s="64">
        <f t="shared" si="85"/>
        <v>4195.3999999999996</v>
      </c>
      <c r="H103" s="64">
        <f t="shared" si="86"/>
        <v>4195.3999999999996</v>
      </c>
      <c r="I103" s="70">
        <f>H103+500</f>
        <v>4695.3999999999996</v>
      </c>
      <c r="J103" s="64">
        <f t="shared" si="86"/>
        <v>4695.3999999999996</v>
      </c>
      <c r="K103" s="64">
        <f t="shared" si="86"/>
        <v>4695.3999999999996</v>
      </c>
      <c r="L103" s="66">
        <f>'[1]Бюдж роспись КБ'!K90/1000</f>
        <v>4695.375</v>
      </c>
      <c r="M103" s="66">
        <f t="shared" si="74"/>
        <v>99.999467563998806</v>
      </c>
      <c r="N103" s="66">
        <v>4695.375</v>
      </c>
      <c r="O103" s="66">
        <f>L103-N103</f>
        <v>0</v>
      </c>
      <c r="P103" s="71">
        <f>I103-L103</f>
        <v>2.4999999999636202E-2</v>
      </c>
      <c r="Q103" s="66">
        <f t="shared" si="67"/>
        <v>2.4999999999636202E-2</v>
      </c>
      <c r="R103" s="67">
        <v>4195.3999999999996</v>
      </c>
      <c r="S103" s="68" t="str">
        <f>IF(R103-K103&gt;0,R103-K103,"")</f>
        <v/>
      </c>
      <c r="T103" s="68">
        <f t="shared" si="87"/>
        <v>-500</v>
      </c>
      <c r="U103" s="113"/>
    </row>
    <row r="104" spans="1:22" ht="198.75" customHeight="1" x14ac:dyDescent="0.25">
      <c r="A104" s="77" t="s">
        <v>137</v>
      </c>
      <c r="B104" s="61" t="s">
        <v>28</v>
      </c>
      <c r="C104" s="107" t="s">
        <v>138</v>
      </c>
      <c r="D104" s="63">
        <v>23241.200000000001</v>
      </c>
      <c r="E104" s="64">
        <f t="shared" si="85"/>
        <v>23241.200000000001</v>
      </c>
      <c r="F104" s="64">
        <f t="shared" si="85"/>
        <v>23241.200000000001</v>
      </c>
      <c r="G104" s="64">
        <f t="shared" si="85"/>
        <v>23241.200000000001</v>
      </c>
      <c r="H104" s="65">
        <f>G104-21054</f>
        <v>2187.2000000000007</v>
      </c>
      <c r="I104" s="64">
        <f t="shared" si="86"/>
        <v>2187.2000000000007</v>
      </c>
      <c r="J104" s="64">
        <f t="shared" si="86"/>
        <v>2187.2000000000007</v>
      </c>
      <c r="K104" s="64">
        <f t="shared" si="86"/>
        <v>2187.2000000000007</v>
      </c>
      <c r="L104" s="66">
        <f>'[1]Бюдж роспись КБ'!K93/1000</f>
        <v>2187.1574799999999</v>
      </c>
      <c r="M104" s="66">
        <f t="shared" si="74"/>
        <v>99.998055961960446</v>
      </c>
      <c r="N104" s="66">
        <v>2187.1574799999999</v>
      </c>
      <c r="O104" s="66">
        <f>L104-N104</f>
        <v>0</v>
      </c>
      <c r="P104" s="71">
        <f>I104-L104</f>
        <v>4.2520000000877189E-2</v>
      </c>
      <c r="Q104" s="66">
        <f t="shared" si="67"/>
        <v>4.2520000000877189E-2</v>
      </c>
      <c r="R104" s="67">
        <v>2187.1999999999998</v>
      </c>
      <c r="S104" s="68"/>
      <c r="T104" s="68">
        <f t="shared" si="87"/>
        <v>-9.0949470177292824E-13</v>
      </c>
      <c r="U104" s="113"/>
      <c r="V104" s="114"/>
    </row>
    <row r="105" spans="1:22" ht="169.5" customHeight="1" x14ac:dyDescent="0.25">
      <c r="A105" s="115" t="s">
        <v>139</v>
      </c>
      <c r="B105" s="116" t="s">
        <v>28</v>
      </c>
      <c r="C105" s="107" t="s">
        <v>140</v>
      </c>
      <c r="D105" s="63">
        <v>571303.30000000005</v>
      </c>
      <c r="E105" s="64">
        <f t="shared" si="85"/>
        <v>571303.30000000005</v>
      </c>
      <c r="F105" s="64">
        <f t="shared" si="85"/>
        <v>571303.30000000005</v>
      </c>
      <c r="G105" s="94">
        <f>F105-34697.1</f>
        <v>536606.20000000007</v>
      </c>
      <c r="H105" s="65">
        <f>G105-174659.2</f>
        <v>361947.00000000006</v>
      </c>
      <c r="I105" s="70">
        <f>H105-90466.4</f>
        <v>271480.60000000009</v>
      </c>
      <c r="J105" s="64">
        <f t="shared" si="86"/>
        <v>271480.60000000009</v>
      </c>
      <c r="K105" s="64">
        <f t="shared" si="86"/>
        <v>271480.60000000009</v>
      </c>
      <c r="L105" s="66">
        <f>'[1]Бюдж роспись КБ'!K94/1000</f>
        <v>233514.95193000001</v>
      </c>
      <c r="M105" s="66">
        <f t="shared" si="74"/>
        <v>86.015336613371247</v>
      </c>
      <c r="N105" s="66">
        <v>233514.95193000001</v>
      </c>
      <c r="O105" s="66">
        <f>L105-N105</f>
        <v>0</v>
      </c>
      <c r="P105" s="71">
        <f>I105-L105</f>
        <v>37965.648070000083</v>
      </c>
      <c r="Q105" s="66">
        <f t="shared" si="67"/>
        <v>37965.648070000083</v>
      </c>
      <c r="R105" s="78">
        <v>271480.58</v>
      </c>
      <c r="S105" s="68" t="str">
        <f t="shared" ref="S105:S115" si="88">IF(R105-K105&gt;0,R105-K105,"")</f>
        <v/>
      </c>
      <c r="T105" s="68">
        <f t="shared" si="87"/>
        <v>-2.0000000076834112E-2</v>
      </c>
      <c r="U105" s="113"/>
      <c r="V105" s="114"/>
    </row>
    <row r="106" spans="1:22" ht="75" customHeight="1" x14ac:dyDescent="0.25">
      <c r="A106" s="110" t="s">
        <v>141</v>
      </c>
      <c r="B106" s="61" t="s">
        <v>28</v>
      </c>
      <c r="C106" s="111" t="s">
        <v>142</v>
      </c>
      <c r="D106" s="63">
        <v>82685.7</v>
      </c>
      <c r="E106" s="64">
        <f t="shared" si="85"/>
        <v>82685.7</v>
      </c>
      <c r="F106" s="64">
        <f t="shared" si="85"/>
        <v>82685.7</v>
      </c>
      <c r="G106" s="64">
        <f t="shared" si="85"/>
        <v>82685.7</v>
      </c>
      <c r="H106" s="64">
        <f t="shared" si="85"/>
        <v>82685.7</v>
      </c>
      <c r="I106" s="64">
        <f t="shared" si="86"/>
        <v>82685.7</v>
      </c>
      <c r="J106" s="64">
        <f t="shared" si="86"/>
        <v>82685.7</v>
      </c>
      <c r="K106" s="64">
        <f t="shared" si="86"/>
        <v>82685.7</v>
      </c>
      <c r="L106" s="66">
        <f>'[1]Бюдж роспись КБ'!K95/1000</f>
        <v>82685.699999999983</v>
      </c>
      <c r="M106" s="66">
        <f>L106/J106*100</f>
        <v>99.999999999999972</v>
      </c>
      <c r="N106" s="66">
        <v>82685.7</v>
      </c>
      <c r="O106" s="66">
        <f t="shared" ref="O106:O115" si="89">L106-N106</f>
        <v>0</v>
      </c>
      <c r="P106" s="71">
        <f t="shared" ref="P106:P114" si="90">I106-L106</f>
        <v>0</v>
      </c>
      <c r="Q106" s="66">
        <f t="shared" si="67"/>
        <v>0</v>
      </c>
      <c r="R106" s="78">
        <v>73685.7</v>
      </c>
      <c r="S106" s="68" t="str">
        <f t="shared" si="88"/>
        <v/>
      </c>
      <c r="T106" s="68">
        <f t="shared" si="87"/>
        <v>-9000</v>
      </c>
      <c r="U106" s="72"/>
    </row>
    <row r="107" spans="1:22" ht="164.25" customHeight="1" x14ac:dyDescent="0.25">
      <c r="A107" s="110" t="s">
        <v>143</v>
      </c>
      <c r="B107" s="80" t="s">
        <v>28</v>
      </c>
      <c r="C107" s="111" t="s">
        <v>144</v>
      </c>
      <c r="D107" s="63">
        <v>33057.199999999997</v>
      </c>
      <c r="E107" s="64">
        <f t="shared" si="85"/>
        <v>33057.199999999997</v>
      </c>
      <c r="F107" s="64">
        <f t="shared" si="85"/>
        <v>33057.199999999997</v>
      </c>
      <c r="G107" s="64">
        <f t="shared" si="85"/>
        <v>33057.199999999997</v>
      </c>
      <c r="H107" s="65">
        <f>G107+40853</f>
        <v>73910.2</v>
      </c>
      <c r="I107" s="70">
        <f>H107-1011.6</f>
        <v>72898.599999999991</v>
      </c>
      <c r="J107" s="64">
        <f t="shared" si="86"/>
        <v>72898.599999999991</v>
      </c>
      <c r="K107" s="64">
        <f t="shared" si="86"/>
        <v>72898.599999999991</v>
      </c>
      <c r="L107" s="66">
        <f>'[1]Бюдж роспись КБ'!K96/1000</f>
        <v>72898.60000000002</v>
      </c>
      <c r="M107" s="66">
        <f>L107/J107*100</f>
        <v>100.00000000000004</v>
      </c>
      <c r="N107" s="66">
        <v>72898.600000000006</v>
      </c>
      <c r="O107" s="66">
        <f>L107-N107</f>
        <v>0</v>
      </c>
      <c r="P107" s="71">
        <f t="shared" si="90"/>
        <v>0</v>
      </c>
      <c r="Q107" s="66">
        <f t="shared" si="67"/>
        <v>0</v>
      </c>
      <c r="R107" s="78">
        <v>72898.600000000006</v>
      </c>
      <c r="S107" s="68">
        <f t="shared" si="88"/>
        <v>1.4551915228366852E-11</v>
      </c>
      <c r="T107" s="68" t="str">
        <f t="shared" si="87"/>
        <v/>
      </c>
      <c r="U107" s="72"/>
    </row>
    <row r="108" spans="1:22" ht="64.5" customHeight="1" x14ac:dyDescent="0.25">
      <c r="A108" s="110" t="s">
        <v>145</v>
      </c>
      <c r="B108" s="61" t="s">
        <v>28</v>
      </c>
      <c r="C108" s="111" t="s">
        <v>146</v>
      </c>
      <c r="D108" s="63">
        <v>35159</v>
      </c>
      <c r="E108" s="64">
        <f t="shared" si="85"/>
        <v>35159</v>
      </c>
      <c r="F108" s="64">
        <f t="shared" si="85"/>
        <v>35159</v>
      </c>
      <c r="G108" s="94">
        <f>F108+13341</f>
        <v>48500</v>
      </c>
      <c r="H108" s="64">
        <f t="shared" ref="H108:H115" si="91">G108</f>
        <v>48500</v>
      </c>
      <c r="I108" s="70">
        <f>H108+344</f>
        <v>48844</v>
      </c>
      <c r="J108" s="64">
        <f t="shared" si="86"/>
        <v>48844</v>
      </c>
      <c r="K108" s="64">
        <f t="shared" si="86"/>
        <v>48844</v>
      </c>
      <c r="L108" s="66">
        <f>'[1]Бюдж роспись КБ'!K97/1000</f>
        <v>48843.999969999997</v>
      </c>
      <c r="M108" s="66">
        <f>L108/J108*100</f>
        <v>99.999999938579961</v>
      </c>
      <c r="N108" s="66">
        <v>48843.999969999997</v>
      </c>
      <c r="O108" s="66">
        <f t="shared" si="89"/>
        <v>0</v>
      </c>
      <c r="P108" s="71">
        <f t="shared" si="90"/>
        <v>3.0000002880115062E-5</v>
      </c>
      <c r="Q108" s="66">
        <f t="shared" si="67"/>
        <v>3.0000002880115062E-5</v>
      </c>
      <c r="R108" s="78">
        <v>48844</v>
      </c>
      <c r="S108" s="68" t="str">
        <f t="shared" si="88"/>
        <v/>
      </c>
      <c r="T108" s="68" t="str">
        <f t="shared" si="87"/>
        <v/>
      </c>
      <c r="U108" s="72"/>
    </row>
    <row r="109" spans="1:22" ht="104.25" customHeight="1" x14ac:dyDescent="0.25">
      <c r="A109" s="60" t="s">
        <v>147</v>
      </c>
      <c r="B109" s="61" t="s">
        <v>28</v>
      </c>
      <c r="C109" s="111" t="s">
        <v>148</v>
      </c>
      <c r="D109" s="63">
        <v>101838</v>
      </c>
      <c r="E109" s="64">
        <f t="shared" si="85"/>
        <v>101838</v>
      </c>
      <c r="F109" s="64">
        <f t="shared" si="85"/>
        <v>101838</v>
      </c>
      <c r="G109" s="64">
        <f t="shared" si="85"/>
        <v>101838</v>
      </c>
      <c r="H109" s="65">
        <f>G109-12090</f>
        <v>89748</v>
      </c>
      <c r="I109" s="70">
        <f>H109-14958</f>
        <v>74790</v>
      </c>
      <c r="J109" s="64">
        <f t="shared" si="86"/>
        <v>74790</v>
      </c>
      <c r="K109" s="64">
        <f t="shared" si="86"/>
        <v>74790</v>
      </c>
      <c r="L109" s="66">
        <f>('[1]Бюдж роспись КБ'!K99+'[1]Бюдж роспись КБ'!K98)/1000</f>
        <v>74789.290169999993</v>
      </c>
      <c r="M109" s="66">
        <f>L109/J109*100</f>
        <v>99.99905090252706</v>
      </c>
      <c r="N109" s="66">
        <v>74789.290169999993</v>
      </c>
      <c r="O109" s="66">
        <f t="shared" si="89"/>
        <v>0</v>
      </c>
      <c r="P109" s="117">
        <f t="shared" si="90"/>
        <v>0.70983000000705943</v>
      </c>
      <c r="Q109" s="66">
        <f t="shared" si="67"/>
        <v>0.70983000000705943</v>
      </c>
      <c r="R109" s="67">
        <v>89748</v>
      </c>
      <c r="S109" s="68">
        <f t="shared" si="88"/>
        <v>14958</v>
      </c>
      <c r="T109" s="68" t="str">
        <f t="shared" si="87"/>
        <v/>
      </c>
      <c r="U109" s="72"/>
    </row>
    <row r="110" spans="1:22" ht="59.25" customHeight="1" x14ac:dyDescent="0.25">
      <c r="A110" s="110" t="s">
        <v>149</v>
      </c>
      <c r="B110" s="61" t="s">
        <v>35</v>
      </c>
      <c r="C110" s="111" t="s">
        <v>150</v>
      </c>
      <c r="D110" s="63"/>
      <c r="E110" s="64">
        <f t="shared" si="85"/>
        <v>0</v>
      </c>
      <c r="F110" s="64">
        <f t="shared" si="85"/>
        <v>0</v>
      </c>
      <c r="G110" s="64">
        <f t="shared" si="85"/>
        <v>0</v>
      </c>
      <c r="H110" s="64">
        <f t="shared" si="86"/>
        <v>0</v>
      </c>
      <c r="I110" s="64">
        <f t="shared" si="86"/>
        <v>0</v>
      </c>
      <c r="J110" s="64">
        <f t="shared" si="86"/>
        <v>0</v>
      </c>
      <c r="K110" s="64">
        <f t="shared" si="86"/>
        <v>0</v>
      </c>
      <c r="L110" s="66"/>
      <c r="M110" s="66"/>
      <c r="N110" s="66"/>
      <c r="O110" s="66">
        <f t="shared" si="89"/>
        <v>0</v>
      </c>
      <c r="P110" s="71">
        <f t="shared" si="90"/>
        <v>0</v>
      </c>
      <c r="Q110" s="66">
        <f t="shared" si="67"/>
        <v>0</v>
      </c>
      <c r="R110" s="67">
        <v>0</v>
      </c>
      <c r="S110" s="68" t="str">
        <f t="shared" si="88"/>
        <v/>
      </c>
      <c r="T110" s="68" t="str">
        <f t="shared" si="87"/>
        <v/>
      </c>
      <c r="U110" s="72"/>
    </row>
    <row r="111" spans="1:22" x14ac:dyDescent="0.25">
      <c r="A111" s="118" t="s">
        <v>27</v>
      </c>
      <c r="B111" s="61" t="s">
        <v>28</v>
      </c>
      <c r="C111" s="111" t="s">
        <v>150</v>
      </c>
      <c r="D111" s="63">
        <v>24749.1</v>
      </c>
      <c r="E111" s="64">
        <f t="shared" si="85"/>
        <v>24749.1</v>
      </c>
      <c r="F111" s="64">
        <f t="shared" si="85"/>
        <v>24749.1</v>
      </c>
      <c r="G111" s="94">
        <f>F111+21356.1</f>
        <v>46105.2</v>
      </c>
      <c r="H111" s="64">
        <f>G111</f>
        <v>46105.2</v>
      </c>
      <c r="I111" s="64">
        <f t="shared" si="86"/>
        <v>46105.2</v>
      </c>
      <c r="J111" s="64">
        <f t="shared" si="86"/>
        <v>46105.2</v>
      </c>
      <c r="K111" s="64">
        <f t="shared" si="86"/>
        <v>46105.2</v>
      </c>
      <c r="L111" s="66">
        <f>'[1]Бюдж роспись КБ'!K100/1000</f>
        <v>46105.165440000004</v>
      </c>
      <c r="M111" s="66">
        <f>L111/J111*100</f>
        <v>99.999925040993219</v>
      </c>
      <c r="N111" s="66">
        <v>46105.165439999997</v>
      </c>
      <c r="O111" s="66">
        <f t="shared" si="89"/>
        <v>0</v>
      </c>
      <c r="P111" s="71">
        <f t="shared" si="90"/>
        <v>3.4559999992779922E-2</v>
      </c>
      <c r="Q111" s="66">
        <f t="shared" si="67"/>
        <v>3.4559999992779922E-2</v>
      </c>
      <c r="R111" s="67">
        <v>46105.2</v>
      </c>
      <c r="S111" s="68" t="str">
        <f t="shared" si="88"/>
        <v/>
      </c>
      <c r="T111" s="68" t="str">
        <f t="shared" si="87"/>
        <v/>
      </c>
      <c r="U111" s="119"/>
    </row>
    <row r="112" spans="1:22" x14ac:dyDescent="0.25">
      <c r="A112" s="118" t="s">
        <v>29</v>
      </c>
      <c r="B112" s="61" t="s">
        <v>30</v>
      </c>
      <c r="C112" s="111" t="s">
        <v>150</v>
      </c>
      <c r="D112" s="63">
        <v>105509.1</v>
      </c>
      <c r="E112" s="64">
        <f t="shared" si="85"/>
        <v>105509.1</v>
      </c>
      <c r="F112" s="64">
        <f t="shared" si="85"/>
        <v>105509.1</v>
      </c>
      <c r="G112" s="94">
        <f>F112+91044.5</f>
        <v>196553.60000000001</v>
      </c>
      <c r="H112" s="64">
        <f t="shared" si="86"/>
        <v>196553.60000000001</v>
      </c>
      <c r="I112" s="64">
        <f t="shared" si="86"/>
        <v>196553.60000000001</v>
      </c>
      <c r="J112" s="64">
        <f t="shared" si="86"/>
        <v>196553.60000000001</v>
      </c>
      <c r="K112" s="64">
        <f t="shared" si="86"/>
        <v>196553.60000000001</v>
      </c>
      <c r="L112" s="66">
        <f>'[1]Бюдж роспись КБ'!K101/1000</f>
        <v>196553.59999999998</v>
      </c>
      <c r="M112" s="66">
        <f>L112/J112*100</f>
        <v>99.999999999999986</v>
      </c>
      <c r="N112" s="66">
        <v>196553.60000000001</v>
      </c>
      <c r="O112" s="66">
        <f t="shared" si="89"/>
        <v>0</v>
      </c>
      <c r="P112" s="71">
        <f t="shared" si="90"/>
        <v>0</v>
      </c>
      <c r="Q112" s="66">
        <f t="shared" si="67"/>
        <v>0</v>
      </c>
      <c r="R112" s="67">
        <v>196553.60000000001</v>
      </c>
      <c r="S112" s="68" t="str">
        <f t="shared" si="88"/>
        <v/>
      </c>
      <c r="T112" s="68" t="str">
        <f t="shared" si="87"/>
        <v/>
      </c>
      <c r="U112" s="119"/>
    </row>
    <row r="113" spans="1:22" ht="77.25" customHeight="1" x14ac:dyDescent="0.25">
      <c r="A113" s="120" t="s">
        <v>151</v>
      </c>
      <c r="B113" s="61" t="s">
        <v>35</v>
      </c>
      <c r="C113" s="111" t="s">
        <v>152</v>
      </c>
      <c r="D113" s="63"/>
      <c r="E113" s="64">
        <f t="shared" si="85"/>
        <v>0</v>
      </c>
      <c r="F113" s="64">
        <f t="shared" si="85"/>
        <v>0</v>
      </c>
      <c r="G113" s="64">
        <f t="shared" si="85"/>
        <v>0</v>
      </c>
      <c r="H113" s="64">
        <f t="shared" si="86"/>
        <v>0</v>
      </c>
      <c r="I113" s="64">
        <f t="shared" si="86"/>
        <v>0</v>
      </c>
      <c r="J113" s="64">
        <f t="shared" si="86"/>
        <v>0</v>
      </c>
      <c r="K113" s="64">
        <f t="shared" si="86"/>
        <v>0</v>
      </c>
      <c r="L113" s="66"/>
      <c r="M113" s="66"/>
      <c r="N113" s="66"/>
      <c r="O113" s="66">
        <f t="shared" si="89"/>
        <v>0</v>
      </c>
      <c r="P113" s="71">
        <f t="shared" si="90"/>
        <v>0</v>
      </c>
      <c r="Q113" s="66">
        <f t="shared" si="67"/>
        <v>0</v>
      </c>
      <c r="R113" s="67">
        <v>0</v>
      </c>
      <c r="S113" s="68" t="str">
        <f t="shared" si="88"/>
        <v/>
      </c>
      <c r="T113" s="68" t="str">
        <f t="shared" si="87"/>
        <v/>
      </c>
      <c r="U113" s="119"/>
    </row>
    <row r="114" spans="1:22" x14ac:dyDescent="0.25">
      <c r="A114" s="118" t="s">
        <v>27</v>
      </c>
      <c r="B114" s="61" t="s">
        <v>28</v>
      </c>
      <c r="C114" s="111" t="s">
        <v>152</v>
      </c>
      <c r="D114" s="63">
        <v>7746.3</v>
      </c>
      <c r="E114" s="64">
        <f t="shared" si="85"/>
        <v>7746.3</v>
      </c>
      <c r="F114" s="64">
        <f t="shared" si="85"/>
        <v>7746.3</v>
      </c>
      <c r="G114" s="64">
        <f t="shared" si="85"/>
        <v>7746.3</v>
      </c>
      <c r="H114" s="65">
        <f>G114-656.1</f>
        <v>7090.2</v>
      </c>
      <c r="I114" s="70">
        <f>H114-616.1</f>
        <v>6474.0999999999995</v>
      </c>
      <c r="J114" s="64">
        <f t="shared" si="86"/>
        <v>6474.0999999999995</v>
      </c>
      <c r="K114" s="64">
        <f t="shared" si="86"/>
        <v>6474.0999999999995</v>
      </c>
      <c r="L114" s="66">
        <f>'[1]Бюдж роспись КБ'!K102/1000</f>
        <v>6474.1847399999997</v>
      </c>
      <c r="M114" s="66">
        <f t="shared" ref="M114:M121" si="92">L114/J114*100</f>
        <v>100.00130890780186</v>
      </c>
      <c r="N114" s="66">
        <v>6474.1847399999997</v>
      </c>
      <c r="O114" s="66">
        <f t="shared" si="89"/>
        <v>0</v>
      </c>
      <c r="P114" s="71">
        <f t="shared" si="90"/>
        <v>-8.4740000000238069E-2</v>
      </c>
      <c r="Q114" s="66">
        <f t="shared" si="67"/>
        <v>-8.4740000000238069E-2</v>
      </c>
      <c r="R114" s="67">
        <v>6474.1847399999997</v>
      </c>
      <c r="S114" s="68">
        <f t="shared" si="88"/>
        <v>8.4740000000238069E-2</v>
      </c>
      <c r="T114" s="68" t="str">
        <f t="shared" si="87"/>
        <v/>
      </c>
      <c r="U114" s="119"/>
      <c r="V114" s="121"/>
    </row>
    <row r="115" spans="1:22" x14ac:dyDescent="0.25">
      <c r="A115" s="118" t="s">
        <v>29</v>
      </c>
      <c r="B115" s="61" t="s">
        <v>30</v>
      </c>
      <c r="C115" s="111" t="s">
        <v>152</v>
      </c>
      <c r="D115" s="63">
        <v>23239</v>
      </c>
      <c r="E115" s="64">
        <f t="shared" si="85"/>
        <v>23239</v>
      </c>
      <c r="F115" s="64">
        <f t="shared" si="85"/>
        <v>23239</v>
      </c>
      <c r="G115" s="64">
        <f t="shared" si="85"/>
        <v>23239</v>
      </c>
      <c r="H115" s="64">
        <f t="shared" si="91"/>
        <v>23239</v>
      </c>
      <c r="I115" s="64">
        <f>H115</f>
        <v>23239</v>
      </c>
      <c r="J115" s="64">
        <f t="shared" si="86"/>
        <v>23239</v>
      </c>
      <c r="K115" s="64">
        <f>J115-3816.44577</f>
        <v>19422.554230000002</v>
      </c>
      <c r="L115" s="66">
        <f>'[1]Бюдж роспись КБ'!K103/1000</f>
        <v>19422.554230000002</v>
      </c>
      <c r="M115" s="66">
        <f>L115/K115*100</f>
        <v>100</v>
      </c>
      <c r="N115" s="66">
        <v>19422.554230000002</v>
      </c>
      <c r="O115" s="66">
        <f t="shared" si="89"/>
        <v>0</v>
      </c>
      <c r="P115" s="71">
        <f>K115-L115</f>
        <v>0</v>
      </c>
      <c r="Q115" s="66">
        <f t="shared" si="67"/>
        <v>0</v>
      </c>
      <c r="R115" s="67">
        <v>19422.554230000002</v>
      </c>
      <c r="S115" s="68" t="str">
        <f t="shared" si="88"/>
        <v/>
      </c>
      <c r="T115" s="68" t="str">
        <f t="shared" si="87"/>
        <v/>
      </c>
      <c r="U115" s="119"/>
      <c r="V115" s="121"/>
    </row>
    <row r="116" spans="1:22" s="56" customFormat="1" ht="31.5" x14ac:dyDescent="0.25">
      <c r="A116" s="52" t="s">
        <v>153</v>
      </c>
      <c r="B116" s="57" t="s">
        <v>28</v>
      </c>
      <c r="C116" s="104">
        <f>SUM(C118:C124)</f>
        <v>0</v>
      </c>
      <c r="D116" s="54">
        <f>D117</f>
        <v>898137.9</v>
      </c>
      <c r="E116" s="54">
        <f t="shared" ref="E116:T116" si="93">E117</f>
        <v>848125.32609999995</v>
      </c>
      <c r="F116" s="54">
        <f t="shared" si="93"/>
        <v>848125.3</v>
      </c>
      <c r="G116" s="54">
        <f t="shared" si="93"/>
        <v>848125.3</v>
      </c>
      <c r="H116" s="54">
        <f t="shared" si="93"/>
        <v>1030217.7</v>
      </c>
      <c r="I116" s="54">
        <f t="shared" si="93"/>
        <v>1080734.5</v>
      </c>
      <c r="J116" s="54">
        <f t="shared" si="93"/>
        <v>1080734.5</v>
      </c>
      <c r="K116" s="54">
        <f t="shared" si="93"/>
        <v>1080734.5</v>
      </c>
      <c r="L116" s="54">
        <f>L117</f>
        <v>1074800.97224</v>
      </c>
      <c r="M116" s="54">
        <f t="shared" si="92"/>
        <v>99.450972670901137</v>
      </c>
      <c r="N116" s="54">
        <f t="shared" si="93"/>
        <v>1074800.97224</v>
      </c>
      <c r="O116" s="54">
        <f t="shared" si="93"/>
        <v>0</v>
      </c>
      <c r="P116" s="96">
        <f t="shared" si="93"/>
        <v>5933.5277599999727</v>
      </c>
      <c r="Q116" s="54">
        <f t="shared" si="93"/>
        <v>5933.5277599999727</v>
      </c>
      <c r="R116" s="54">
        <f t="shared" si="93"/>
        <v>1134380.2181600002</v>
      </c>
      <c r="S116" s="54">
        <f t="shared" si="93"/>
        <v>51519.200000000048</v>
      </c>
      <c r="T116" s="54">
        <f t="shared" si="93"/>
        <v>-2766.0518400000365</v>
      </c>
      <c r="U116" s="105"/>
    </row>
    <row r="117" spans="1:22" s="56" customFormat="1" x14ac:dyDescent="0.25">
      <c r="A117" s="46" t="s">
        <v>27</v>
      </c>
      <c r="B117" s="57" t="s">
        <v>28</v>
      </c>
      <c r="C117" s="106"/>
      <c r="D117" s="39">
        <f t="shared" ref="D117:L117" si="94">SUMIF($B$118:$B$124,"=01",D118:D124)</f>
        <v>898137.9</v>
      </c>
      <c r="E117" s="39">
        <f t="shared" si="94"/>
        <v>848125.32609999995</v>
      </c>
      <c r="F117" s="39">
        <f t="shared" si="94"/>
        <v>848125.3</v>
      </c>
      <c r="G117" s="39">
        <f t="shared" si="94"/>
        <v>848125.3</v>
      </c>
      <c r="H117" s="39">
        <f t="shared" si="94"/>
        <v>1030217.7</v>
      </c>
      <c r="I117" s="39">
        <f t="shared" si="94"/>
        <v>1080734.5</v>
      </c>
      <c r="J117" s="39">
        <f t="shared" si="94"/>
        <v>1080734.5</v>
      </c>
      <c r="K117" s="39">
        <f t="shared" si="94"/>
        <v>1080734.5</v>
      </c>
      <c r="L117" s="39">
        <f t="shared" si="94"/>
        <v>1074800.97224</v>
      </c>
      <c r="M117" s="39">
        <f t="shared" si="92"/>
        <v>99.450972670901137</v>
      </c>
      <c r="N117" s="39">
        <f t="shared" ref="N117:T117" si="95">SUMIF($B$118:$B$124,"=01",N118:N124)</f>
        <v>1074800.97224</v>
      </c>
      <c r="O117" s="39">
        <f t="shared" si="95"/>
        <v>0</v>
      </c>
      <c r="P117" s="40">
        <f t="shared" si="95"/>
        <v>5933.5277599999727</v>
      </c>
      <c r="Q117" s="39">
        <f t="shared" si="95"/>
        <v>5933.5277599999727</v>
      </c>
      <c r="R117" s="39">
        <f t="shared" si="95"/>
        <v>1134380.2181600002</v>
      </c>
      <c r="S117" s="39">
        <f t="shared" si="95"/>
        <v>51519.200000000048</v>
      </c>
      <c r="T117" s="39">
        <f t="shared" si="95"/>
        <v>-2766.0518400000365</v>
      </c>
      <c r="U117" s="105"/>
    </row>
    <row r="118" spans="1:22" ht="86.25" customHeight="1" x14ac:dyDescent="0.25">
      <c r="A118" s="122" t="s">
        <v>154</v>
      </c>
      <c r="B118" s="123" t="s">
        <v>28</v>
      </c>
      <c r="C118" s="124" t="s">
        <v>155</v>
      </c>
      <c r="D118" s="63">
        <v>299771.7</v>
      </c>
      <c r="E118" s="64">
        <f t="shared" ref="E118:H124" si="96">D118</f>
        <v>299771.7</v>
      </c>
      <c r="F118" s="64">
        <f t="shared" si="96"/>
        <v>299771.7</v>
      </c>
      <c r="G118" s="64">
        <f t="shared" si="96"/>
        <v>299771.7</v>
      </c>
      <c r="H118" s="65">
        <f>G118+108544.9</f>
        <v>408316.6</v>
      </c>
      <c r="I118" s="70">
        <f>H118+25489.1</f>
        <v>433805.69999999995</v>
      </c>
      <c r="J118" s="64">
        <f t="shared" ref="J118:K124" si="97">I118</f>
        <v>433805.69999999995</v>
      </c>
      <c r="K118" s="64">
        <f t="shared" si="97"/>
        <v>433805.69999999995</v>
      </c>
      <c r="L118" s="66">
        <f>'[1]Бюдж роспись КБ'!K105/1000</f>
        <v>433805.7</v>
      </c>
      <c r="M118" s="66">
        <f t="shared" si="92"/>
        <v>100.00000000000003</v>
      </c>
      <c r="N118" s="66">
        <v>433805.7</v>
      </c>
      <c r="O118" s="66">
        <f t="shared" ref="O118:O120" si="98">L118-N118</f>
        <v>0</v>
      </c>
      <c r="P118" s="71">
        <f t="shared" ref="P118:P123" si="99">I118-L118</f>
        <v>0</v>
      </c>
      <c r="Q118" s="66">
        <f t="shared" si="67"/>
        <v>0</v>
      </c>
      <c r="R118" s="67">
        <f>408316.6+75576.9</f>
        <v>483893.5</v>
      </c>
      <c r="S118" s="75">
        <f>IF(R118-K118&gt;0,R118-K118,"")</f>
        <v>50087.800000000047</v>
      </c>
      <c r="T118" s="75" t="str">
        <f t="shared" ref="T118:T124" si="100">IF(R118-K118&lt;0,R118-K118,"")</f>
        <v/>
      </c>
      <c r="U118" s="125"/>
    </row>
    <row r="119" spans="1:22" ht="101.25" customHeight="1" x14ac:dyDescent="0.25">
      <c r="A119" s="122" t="s">
        <v>156</v>
      </c>
      <c r="B119" s="123" t="s">
        <v>28</v>
      </c>
      <c r="C119" s="124" t="s">
        <v>157</v>
      </c>
      <c r="D119" s="63">
        <v>14865.4</v>
      </c>
      <c r="E119" s="64">
        <f t="shared" si="96"/>
        <v>14865.4</v>
      </c>
      <c r="F119" s="64">
        <f t="shared" si="96"/>
        <v>14865.4</v>
      </c>
      <c r="G119" s="64">
        <f t="shared" si="96"/>
        <v>14865.4</v>
      </c>
      <c r="H119" s="64">
        <f t="shared" si="96"/>
        <v>14865.4</v>
      </c>
      <c r="I119" s="70">
        <f>H119-5063.9</f>
        <v>9801.5</v>
      </c>
      <c r="J119" s="64">
        <f t="shared" si="97"/>
        <v>9801.5</v>
      </c>
      <c r="K119" s="64">
        <f t="shared" si="97"/>
        <v>9801.5</v>
      </c>
      <c r="L119" s="66">
        <f>N119</f>
        <v>9801.5176100000008</v>
      </c>
      <c r="M119" s="66">
        <f t="shared" si="92"/>
        <v>100.00017966637759</v>
      </c>
      <c r="N119" s="66">
        <v>9801.5176100000008</v>
      </c>
      <c r="O119" s="66">
        <f t="shared" si="98"/>
        <v>0</v>
      </c>
      <c r="P119" s="71">
        <f t="shared" si="99"/>
        <v>-1.7610000000786385E-2</v>
      </c>
      <c r="Q119" s="66">
        <f t="shared" si="67"/>
        <v>-1.7610000000786385E-2</v>
      </c>
      <c r="R119" s="67">
        <f>5951.52+8742.55</f>
        <v>14694.07</v>
      </c>
      <c r="S119" s="75"/>
      <c r="T119" s="75" t="str">
        <f t="shared" si="100"/>
        <v/>
      </c>
      <c r="U119" s="126"/>
    </row>
    <row r="120" spans="1:22" ht="58.5" customHeight="1" x14ac:dyDescent="0.25">
      <c r="A120" s="122" t="s">
        <v>158</v>
      </c>
      <c r="B120" s="127" t="s">
        <v>28</v>
      </c>
      <c r="C120" s="124" t="s">
        <v>159</v>
      </c>
      <c r="D120" s="63">
        <v>40026.5</v>
      </c>
      <c r="E120" s="64">
        <f t="shared" si="96"/>
        <v>40026.5</v>
      </c>
      <c r="F120" s="64">
        <f t="shared" si="96"/>
        <v>40026.5</v>
      </c>
      <c r="G120" s="64">
        <f t="shared" si="96"/>
        <v>40026.5</v>
      </c>
      <c r="H120" s="65">
        <f>G120+2888.6</f>
        <v>42915.1</v>
      </c>
      <c r="I120" s="70">
        <f>H120+9561.5</f>
        <v>52476.6</v>
      </c>
      <c r="J120" s="64">
        <f t="shared" si="97"/>
        <v>52476.6</v>
      </c>
      <c r="K120" s="64">
        <f t="shared" si="97"/>
        <v>52476.6</v>
      </c>
      <c r="L120" s="66">
        <f>'[1]Бюдж роспись КБ'!K107/1000</f>
        <v>50905.17942</v>
      </c>
      <c r="M120" s="66">
        <f t="shared" si="92"/>
        <v>97.005483243960171</v>
      </c>
      <c r="N120" s="66">
        <v>50905.17942</v>
      </c>
      <c r="O120" s="66">
        <f t="shared" si="98"/>
        <v>0</v>
      </c>
      <c r="P120" s="91">
        <f t="shared" si="99"/>
        <v>1571.4205799999982</v>
      </c>
      <c r="Q120" s="66">
        <f t="shared" si="67"/>
        <v>1571.4205799999982</v>
      </c>
      <c r="R120" s="67">
        <v>52306.5</v>
      </c>
      <c r="S120" s="68" t="str">
        <f>IF(R120-K120&gt;0,R120-K120,"")</f>
        <v/>
      </c>
      <c r="T120" s="68">
        <f t="shared" si="100"/>
        <v>-170.09999999999854</v>
      </c>
      <c r="U120" s="97"/>
    </row>
    <row r="121" spans="1:22" ht="63" x14ac:dyDescent="0.25">
      <c r="A121" s="79" t="s">
        <v>160</v>
      </c>
      <c r="B121" s="80" t="s">
        <v>28</v>
      </c>
      <c r="C121" s="111" t="s">
        <v>161</v>
      </c>
      <c r="D121" s="63">
        <v>182194.3</v>
      </c>
      <c r="E121" s="99">
        <f>D121-50012.5739</f>
        <v>132181.72609999997</v>
      </c>
      <c r="F121" s="64">
        <v>132181.70000000001</v>
      </c>
      <c r="G121" s="64">
        <f t="shared" si="96"/>
        <v>132181.70000000001</v>
      </c>
      <c r="H121" s="65">
        <f>G121-14834.5</f>
        <v>117347.20000000001</v>
      </c>
      <c r="I121" s="70">
        <f>H121-2204.2</f>
        <v>115143.00000000001</v>
      </c>
      <c r="J121" s="64">
        <f t="shared" si="97"/>
        <v>115143.00000000001</v>
      </c>
      <c r="K121" s="64">
        <f t="shared" si="97"/>
        <v>115143.00000000001</v>
      </c>
      <c r="L121" s="66">
        <f>'[1]Бюдж роспись КБ'!K108/1000</f>
        <v>115143.02610000002</v>
      </c>
      <c r="M121" s="66">
        <f t="shared" si="92"/>
        <v>100.00002266746569</v>
      </c>
      <c r="N121" s="66">
        <v>115143.0261</v>
      </c>
      <c r="O121" s="66">
        <f>L121-N121</f>
        <v>0</v>
      </c>
      <c r="P121" s="71">
        <f t="shared" si="99"/>
        <v>-2.6100000002770685E-2</v>
      </c>
      <c r="Q121" s="66">
        <f t="shared" si="67"/>
        <v>-2.6100000002770685E-2</v>
      </c>
      <c r="R121" s="78">
        <v>115143</v>
      </c>
      <c r="S121" s="68" t="str">
        <f>IF(R121-K121&gt;0,R121-K121,"")</f>
        <v/>
      </c>
      <c r="T121" s="68">
        <f t="shared" si="100"/>
        <v>-1.4551915228366852E-11</v>
      </c>
      <c r="U121" s="125"/>
      <c r="V121" s="114"/>
    </row>
    <row r="122" spans="1:22" ht="153" customHeight="1" x14ac:dyDescent="0.25">
      <c r="A122" s="128" t="s">
        <v>162</v>
      </c>
      <c r="B122" s="127" t="s">
        <v>28</v>
      </c>
      <c r="C122" s="129" t="s">
        <v>163</v>
      </c>
      <c r="D122" s="63">
        <v>51730</v>
      </c>
      <c r="E122" s="64">
        <f t="shared" ref="E122:J122" si="101">D122</f>
        <v>51730</v>
      </c>
      <c r="F122" s="64">
        <f t="shared" si="101"/>
        <v>51730</v>
      </c>
      <c r="G122" s="64">
        <f t="shared" si="101"/>
        <v>51730</v>
      </c>
      <c r="H122" s="64">
        <f t="shared" si="101"/>
        <v>51730</v>
      </c>
      <c r="I122" s="70">
        <f>H122+3096.1</f>
        <v>54826.1</v>
      </c>
      <c r="J122" s="64">
        <f t="shared" si="101"/>
        <v>54826.1</v>
      </c>
      <c r="K122" s="64">
        <f t="shared" si="97"/>
        <v>54826.1</v>
      </c>
      <c r="L122" s="66">
        <f>'[1]Бюдж роспись КБ'!K109/1000</f>
        <v>54722.248689999993</v>
      </c>
      <c r="M122" s="66">
        <f>L122/J122*100</f>
        <v>99.810580526428097</v>
      </c>
      <c r="N122" s="66">
        <v>54722.24869</v>
      </c>
      <c r="O122" s="66">
        <f>L122-N122</f>
        <v>0</v>
      </c>
      <c r="P122" s="91">
        <f>I122-L122</f>
        <v>103.85131000000547</v>
      </c>
      <c r="Q122" s="66">
        <f t="shared" si="67"/>
        <v>103.85131000000547</v>
      </c>
      <c r="R122" s="67">
        <f>51722.06016+3103.988</f>
        <v>54826.048159999998</v>
      </c>
      <c r="S122" s="68" t="str">
        <f>IF(R122-K122&gt;0,R122-K122,"")</f>
        <v/>
      </c>
      <c r="T122" s="68">
        <f t="shared" si="100"/>
        <v>-5.1840000000083819E-2</v>
      </c>
      <c r="U122" s="97"/>
    </row>
    <row r="123" spans="1:22" ht="73.5" customHeight="1" x14ac:dyDescent="0.25">
      <c r="A123" s="79" t="s">
        <v>164</v>
      </c>
      <c r="B123" s="80" t="s">
        <v>28</v>
      </c>
      <c r="C123" s="111" t="s">
        <v>165</v>
      </c>
      <c r="D123" s="63">
        <v>10000</v>
      </c>
      <c r="E123" s="64">
        <f t="shared" si="96"/>
        <v>10000</v>
      </c>
      <c r="F123" s="64">
        <f t="shared" si="96"/>
        <v>10000</v>
      </c>
      <c r="G123" s="64">
        <f t="shared" si="96"/>
        <v>10000</v>
      </c>
      <c r="H123" s="65">
        <f>G123-3399.4</f>
        <v>6600.6</v>
      </c>
      <c r="I123" s="70">
        <f>H123-1473.5</f>
        <v>5127.1000000000004</v>
      </c>
      <c r="J123" s="64">
        <f t="shared" si="97"/>
        <v>5127.1000000000004</v>
      </c>
      <c r="K123" s="64">
        <f t="shared" si="97"/>
        <v>5127.1000000000004</v>
      </c>
      <c r="L123" s="66">
        <f>'[1]Бюдж роспись КБ'!K110/1000</f>
        <v>868.84271999999999</v>
      </c>
      <c r="M123" s="66">
        <f>L123/J123*100</f>
        <v>16.946084921300539</v>
      </c>
      <c r="N123" s="66">
        <v>868.84271999999999</v>
      </c>
      <c r="O123" s="66">
        <f t="shared" ref="O123" si="102">L123-N123</f>
        <v>0</v>
      </c>
      <c r="P123" s="102">
        <f t="shared" si="99"/>
        <v>4258.2572800000007</v>
      </c>
      <c r="Q123" s="66">
        <f t="shared" si="67"/>
        <v>4258.2572800000007</v>
      </c>
      <c r="R123" s="67">
        <v>6558.5</v>
      </c>
      <c r="S123" s="75">
        <f>IF(R123-K123&gt;0,R123-K123,"")</f>
        <v>1431.3999999999996</v>
      </c>
      <c r="T123" s="68" t="str">
        <f t="shared" si="100"/>
        <v/>
      </c>
      <c r="U123" s="125" t="s">
        <v>166</v>
      </c>
      <c r="V123" s="114"/>
    </row>
    <row r="124" spans="1:22" ht="87" customHeight="1" x14ac:dyDescent="0.25">
      <c r="A124" s="60" t="s">
        <v>167</v>
      </c>
      <c r="B124" s="80" t="s">
        <v>28</v>
      </c>
      <c r="C124" s="129" t="s">
        <v>168</v>
      </c>
      <c r="D124" s="63">
        <v>299550</v>
      </c>
      <c r="E124" s="64">
        <f t="shared" si="96"/>
        <v>299550</v>
      </c>
      <c r="F124" s="64">
        <f t="shared" si="96"/>
        <v>299550</v>
      </c>
      <c r="G124" s="64">
        <f t="shared" si="96"/>
        <v>299550</v>
      </c>
      <c r="H124" s="65">
        <f>G124+88892.8</f>
        <v>388442.8</v>
      </c>
      <c r="I124" s="70">
        <f>H124+21111.7</f>
        <v>409554.5</v>
      </c>
      <c r="J124" s="64">
        <f t="shared" si="97"/>
        <v>409554.5</v>
      </c>
      <c r="K124" s="64">
        <f t="shared" si="97"/>
        <v>409554.5</v>
      </c>
      <c r="L124" s="66">
        <f>('[1]Бюдж роспись КБ'!K111+'[1]Бюдж роспись КБ'!K112)/1000</f>
        <v>409554.45770000003</v>
      </c>
      <c r="M124" s="66">
        <f>L124/J124*100</f>
        <v>99.999989671704256</v>
      </c>
      <c r="N124" s="66">
        <v>409554.45770000003</v>
      </c>
      <c r="O124" s="66">
        <f>L124-N124</f>
        <v>0</v>
      </c>
      <c r="P124" s="71">
        <f>I124-L124</f>
        <v>4.2299999971874058E-2</v>
      </c>
      <c r="Q124" s="66">
        <f t="shared" si="67"/>
        <v>4.2299999971874058E-2</v>
      </c>
      <c r="R124" s="67">
        <f>388442.8+18515.8</f>
        <v>406958.6</v>
      </c>
      <c r="S124" s="68" t="str">
        <f>IF(R124-K124&gt;0,R124-K124,"")</f>
        <v/>
      </c>
      <c r="T124" s="68">
        <f t="shared" si="100"/>
        <v>-2595.9000000000233</v>
      </c>
      <c r="U124" s="97"/>
    </row>
    <row r="125" spans="1:22" s="56" customFormat="1" ht="31.5" x14ac:dyDescent="0.25">
      <c r="A125" s="52" t="s">
        <v>169</v>
      </c>
      <c r="B125" s="61" t="s">
        <v>35</v>
      </c>
      <c r="C125" s="104">
        <f>SUM(C127:C127)</f>
        <v>0</v>
      </c>
      <c r="D125" s="54">
        <f>D126</f>
        <v>12514.2</v>
      </c>
      <c r="E125" s="54">
        <f t="shared" ref="E125:T125" si="103">E126</f>
        <v>12514.2</v>
      </c>
      <c r="F125" s="54">
        <f t="shared" si="103"/>
        <v>12514.2</v>
      </c>
      <c r="G125" s="54">
        <f t="shared" si="103"/>
        <v>12514.2</v>
      </c>
      <c r="H125" s="54">
        <f t="shared" si="103"/>
        <v>12514.2</v>
      </c>
      <c r="I125" s="54">
        <f t="shared" si="103"/>
        <v>14403.1</v>
      </c>
      <c r="J125" s="54">
        <f t="shared" si="103"/>
        <v>14403.1</v>
      </c>
      <c r="K125" s="54">
        <f t="shared" si="103"/>
        <v>14403.1</v>
      </c>
      <c r="L125" s="54">
        <f t="shared" si="103"/>
        <v>13586.162109999999</v>
      </c>
      <c r="M125" s="54">
        <f t="shared" ref="M125:M146" si="104">L125/J125*100</f>
        <v>94.328041255007605</v>
      </c>
      <c r="N125" s="54">
        <f t="shared" si="103"/>
        <v>13586.162109999999</v>
      </c>
      <c r="O125" s="54">
        <f t="shared" si="103"/>
        <v>0</v>
      </c>
      <c r="P125" s="96">
        <f t="shared" si="103"/>
        <v>816.93789000000106</v>
      </c>
      <c r="Q125" s="54">
        <f t="shared" si="103"/>
        <v>816.93789000000106</v>
      </c>
      <c r="R125" s="54">
        <f t="shared" si="103"/>
        <v>16195.846</v>
      </c>
      <c r="S125" s="54">
        <f t="shared" si="103"/>
        <v>1792.7459999999992</v>
      </c>
      <c r="T125" s="54">
        <f t="shared" si="103"/>
        <v>0</v>
      </c>
      <c r="U125" s="105"/>
    </row>
    <row r="126" spans="1:22" s="56" customFormat="1" x14ac:dyDescent="0.25">
      <c r="A126" s="46" t="s">
        <v>27</v>
      </c>
      <c r="B126" s="57" t="s">
        <v>28</v>
      </c>
      <c r="C126" s="106"/>
      <c r="D126" s="39">
        <f t="shared" ref="D126:L126" si="105">SUMIF($B$127:$B$127,"=01",D127:D127)</f>
        <v>12514.2</v>
      </c>
      <c r="E126" s="39">
        <f t="shared" si="105"/>
        <v>12514.2</v>
      </c>
      <c r="F126" s="39">
        <f t="shared" si="105"/>
        <v>12514.2</v>
      </c>
      <c r="G126" s="39">
        <f t="shared" si="105"/>
        <v>12514.2</v>
      </c>
      <c r="H126" s="39">
        <f t="shared" si="105"/>
        <v>12514.2</v>
      </c>
      <c r="I126" s="39">
        <f t="shared" si="105"/>
        <v>14403.1</v>
      </c>
      <c r="J126" s="39">
        <f t="shared" si="105"/>
        <v>14403.1</v>
      </c>
      <c r="K126" s="39">
        <f t="shared" si="105"/>
        <v>14403.1</v>
      </c>
      <c r="L126" s="39">
        <f t="shared" si="105"/>
        <v>13586.162109999999</v>
      </c>
      <c r="M126" s="39">
        <f t="shared" si="104"/>
        <v>94.328041255007605</v>
      </c>
      <c r="N126" s="39">
        <f t="shared" ref="N126:T126" si="106">SUMIF($B$127:$B$127,"=01",N127:N127)</f>
        <v>13586.162109999999</v>
      </c>
      <c r="O126" s="39">
        <f t="shared" si="106"/>
        <v>0</v>
      </c>
      <c r="P126" s="40">
        <f t="shared" si="106"/>
        <v>816.93789000000106</v>
      </c>
      <c r="Q126" s="39">
        <f t="shared" si="106"/>
        <v>816.93789000000106</v>
      </c>
      <c r="R126" s="39">
        <f t="shared" si="106"/>
        <v>16195.846</v>
      </c>
      <c r="S126" s="39">
        <f t="shared" si="106"/>
        <v>1792.7459999999992</v>
      </c>
      <c r="T126" s="39">
        <f t="shared" si="106"/>
        <v>0</v>
      </c>
      <c r="U126" s="105"/>
    </row>
    <row r="127" spans="1:22" ht="39.75" customHeight="1" x14ac:dyDescent="0.25">
      <c r="A127" s="109" t="s">
        <v>170</v>
      </c>
      <c r="B127" s="61" t="s">
        <v>28</v>
      </c>
      <c r="C127" s="107" t="s">
        <v>171</v>
      </c>
      <c r="D127" s="63">
        <v>12514.2</v>
      </c>
      <c r="E127" s="64">
        <f t="shared" ref="E127:H127" si="107">D127</f>
        <v>12514.2</v>
      </c>
      <c r="F127" s="64">
        <f t="shared" si="107"/>
        <v>12514.2</v>
      </c>
      <c r="G127" s="64">
        <f t="shared" si="107"/>
        <v>12514.2</v>
      </c>
      <c r="H127" s="64">
        <f t="shared" si="107"/>
        <v>12514.2</v>
      </c>
      <c r="I127" s="70">
        <f>H127+1888.9</f>
        <v>14403.1</v>
      </c>
      <c r="J127" s="64">
        <f t="shared" ref="J127:K127" si="108">I127</f>
        <v>14403.1</v>
      </c>
      <c r="K127" s="64">
        <f t="shared" si="108"/>
        <v>14403.1</v>
      </c>
      <c r="L127" s="66">
        <f>'[1]Бюдж роспись КБ'!K115/1000</f>
        <v>13586.162109999999</v>
      </c>
      <c r="M127" s="66">
        <f t="shared" si="104"/>
        <v>94.328041255007605</v>
      </c>
      <c r="N127" s="66">
        <v>13586.162109999999</v>
      </c>
      <c r="O127" s="66">
        <f>L127-N127</f>
        <v>0</v>
      </c>
      <c r="P127" s="102">
        <f>I127-L127</f>
        <v>816.93789000000106</v>
      </c>
      <c r="Q127" s="66">
        <f t="shared" si="67"/>
        <v>816.93789000000106</v>
      </c>
      <c r="R127" s="67">
        <v>16195.846</v>
      </c>
      <c r="S127" s="68">
        <f>IF(R127-K127&gt;0,R127-K127,"")</f>
        <v>1792.7459999999992</v>
      </c>
      <c r="T127" s="68" t="str">
        <f>IF(R127-K127&lt;0,R127-K127,"")</f>
        <v/>
      </c>
      <c r="U127" s="97"/>
    </row>
    <row r="128" spans="1:22" s="56" customFormat="1" ht="31.5" x14ac:dyDescent="0.25">
      <c r="A128" s="52" t="s">
        <v>172</v>
      </c>
      <c r="B128" s="57" t="s">
        <v>28</v>
      </c>
      <c r="C128" s="130"/>
      <c r="D128" s="54">
        <f>D129</f>
        <v>264323.09999999998</v>
      </c>
      <c r="E128" s="54">
        <f t="shared" ref="E128:T128" si="109">E129</f>
        <v>264323.09999999998</v>
      </c>
      <c r="F128" s="54">
        <f t="shared" si="109"/>
        <v>264323.09999999998</v>
      </c>
      <c r="G128" s="54">
        <f t="shared" si="109"/>
        <v>264323.09999999998</v>
      </c>
      <c r="H128" s="54">
        <f t="shared" si="109"/>
        <v>270768.09999999998</v>
      </c>
      <c r="I128" s="54">
        <f t="shared" si="109"/>
        <v>271793.2</v>
      </c>
      <c r="J128" s="54">
        <f t="shared" si="109"/>
        <v>271793.2</v>
      </c>
      <c r="K128" s="54">
        <f t="shared" si="109"/>
        <v>271793.2</v>
      </c>
      <c r="L128" s="54">
        <f>L129</f>
        <v>271661.01952999999</v>
      </c>
      <c r="M128" s="54">
        <f t="shared" si="104"/>
        <v>99.951367263787319</v>
      </c>
      <c r="N128" s="54">
        <f t="shared" si="109"/>
        <v>271661.01952999999</v>
      </c>
      <c r="O128" s="54">
        <f t="shared" si="109"/>
        <v>0</v>
      </c>
      <c r="P128" s="96">
        <f t="shared" si="109"/>
        <v>132.1804699999999</v>
      </c>
      <c r="Q128" s="54">
        <f t="shared" si="109"/>
        <v>132.1804699999999</v>
      </c>
      <c r="R128" s="54">
        <f t="shared" si="109"/>
        <v>273499.44035000005</v>
      </c>
      <c r="S128" s="54">
        <f t="shared" si="109"/>
        <v>3074.4</v>
      </c>
      <c r="T128" s="54">
        <f t="shared" si="109"/>
        <v>-1368.1596499999998</v>
      </c>
      <c r="U128" s="105"/>
    </row>
    <row r="129" spans="1:21" s="56" customFormat="1" x14ac:dyDescent="0.25">
      <c r="A129" s="46" t="s">
        <v>27</v>
      </c>
      <c r="B129" s="57" t="s">
        <v>28</v>
      </c>
      <c r="C129" s="106"/>
      <c r="D129" s="39">
        <f t="shared" ref="D129:L129" si="110">SUMIF($B$130:$B$139,"=01",D130:D139)</f>
        <v>264323.09999999998</v>
      </c>
      <c r="E129" s="39">
        <f t="shared" si="110"/>
        <v>264323.09999999998</v>
      </c>
      <c r="F129" s="39">
        <f t="shared" si="110"/>
        <v>264323.09999999998</v>
      </c>
      <c r="G129" s="39">
        <f t="shared" si="110"/>
        <v>264323.09999999998</v>
      </c>
      <c r="H129" s="39">
        <f t="shared" si="110"/>
        <v>270768.09999999998</v>
      </c>
      <c r="I129" s="39">
        <f t="shared" si="110"/>
        <v>271793.2</v>
      </c>
      <c r="J129" s="39">
        <f t="shared" si="110"/>
        <v>271793.2</v>
      </c>
      <c r="K129" s="39">
        <f t="shared" si="110"/>
        <v>271793.2</v>
      </c>
      <c r="L129" s="39">
        <f t="shared" si="110"/>
        <v>271661.01952999999</v>
      </c>
      <c r="M129" s="39">
        <f t="shared" si="104"/>
        <v>99.951367263787319</v>
      </c>
      <c r="N129" s="39">
        <f t="shared" ref="N129:T129" si="111">SUMIF($B$130:$B$139,"=01",N130:N139)</f>
        <v>271661.01952999999</v>
      </c>
      <c r="O129" s="39">
        <f t="shared" si="111"/>
        <v>0</v>
      </c>
      <c r="P129" s="40">
        <f t="shared" si="111"/>
        <v>132.1804699999999</v>
      </c>
      <c r="Q129" s="39">
        <f t="shared" si="111"/>
        <v>132.1804699999999</v>
      </c>
      <c r="R129" s="39">
        <f t="shared" si="111"/>
        <v>273499.44035000005</v>
      </c>
      <c r="S129" s="39">
        <f t="shared" si="111"/>
        <v>3074.4</v>
      </c>
      <c r="T129" s="39">
        <f t="shared" si="111"/>
        <v>-1368.1596499999998</v>
      </c>
      <c r="U129" s="105"/>
    </row>
    <row r="130" spans="1:21" ht="173.25" customHeight="1" x14ac:dyDescent="0.25">
      <c r="A130" s="77" t="s">
        <v>173</v>
      </c>
      <c r="B130" s="61" t="s">
        <v>28</v>
      </c>
      <c r="C130" s="107" t="s">
        <v>174</v>
      </c>
      <c r="D130" s="63">
        <v>1295.5999999999999</v>
      </c>
      <c r="E130" s="64">
        <f t="shared" ref="E130:K139" si="112">D130</f>
        <v>1295.5999999999999</v>
      </c>
      <c r="F130" s="64">
        <f t="shared" si="112"/>
        <v>1295.5999999999999</v>
      </c>
      <c r="G130" s="64">
        <f t="shared" si="112"/>
        <v>1295.5999999999999</v>
      </c>
      <c r="H130" s="64">
        <f t="shared" si="112"/>
        <v>1295.5999999999999</v>
      </c>
      <c r="I130" s="64">
        <f t="shared" si="112"/>
        <v>1295.5999999999999</v>
      </c>
      <c r="J130" s="64">
        <f t="shared" si="112"/>
        <v>1295.5999999999999</v>
      </c>
      <c r="K130" s="64">
        <f t="shared" si="112"/>
        <v>1295.5999999999999</v>
      </c>
      <c r="L130" s="66">
        <v>1186.27</v>
      </c>
      <c r="M130" s="66">
        <f t="shared" si="104"/>
        <v>91.561438715652983</v>
      </c>
      <c r="N130" s="66">
        <v>1186.27</v>
      </c>
      <c r="O130" s="66">
        <f t="shared" ref="O130:O139" si="113">L130-N130</f>
        <v>0</v>
      </c>
      <c r="P130" s="66">
        <f t="shared" ref="P130:P138" si="114">I130-L130</f>
        <v>109.32999999999993</v>
      </c>
      <c r="Q130" s="66">
        <f t="shared" si="67"/>
        <v>109.32999999999993</v>
      </c>
      <c r="R130" s="67">
        <v>1163.24035</v>
      </c>
      <c r="S130" s="68" t="str">
        <f t="shared" ref="S130:S139" si="115">IF(R130-K130&gt;0,R130-K130,"")</f>
        <v/>
      </c>
      <c r="T130" s="68">
        <f t="shared" ref="T130:T139" si="116">IF(R130-K130&lt;0,R130-K130,"")</f>
        <v>-132.35964999999987</v>
      </c>
      <c r="U130" s="84" t="s">
        <v>175</v>
      </c>
    </row>
    <row r="131" spans="1:21" ht="39.75" customHeight="1" x14ac:dyDescent="0.25">
      <c r="A131" s="77" t="s">
        <v>176</v>
      </c>
      <c r="B131" s="61" t="s">
        <v>28</v>
      </c>
      <c r="C131" s="107" t="s">
        <v>177</v>
      </c>
      <c r="D131" s="63">
        <v>127500</v>
      </c>
      <c r="E131" s="64">
        <f t="shared" si="112"/>
        <v>127500</v>
      </c>
      <c r="F131" s="64">
        <f t="shared" si="112"/>
        <v>127500</v>
      </c>
      <c r="G131" s="64">
        <f t="shared" si="112"/>
        <v>127500</v>
      </c>
      <c r="H131" s="64">
        <f t="shared" si="112"/>
        <v>127500</v>
      </c>
      <c r="I131" s="64">
        <f t="shared" si="112"/>
        <v>127500</v>
      </c>
      <c r="J131" s="64">
        <f t="shared" si="112"/>
        <v>127500</v>
      </c>
      <c r="K131" s="64">
        <f t="shared" si="112"/>
        <v>127500</v>
      </c>
      <c r="L131" s="66">
        <f>'[1]Бюдж роспись КБ'!K120/1000</f>
        <v>127500</v>
      </c>
      <c r="M131" s="66">
        <f t="shared" si="104"/>
        <v>100</v>
      </c>
      <c r="N131" s="66">
        <v>127500</v>
      </c>
      <c r="O131" s="66">
        <f t="shared" si="113"/>
        <v>0</v>
      </c>
      <c r="P131" s="71">
        <f t="shared" si="114"/>
        <v>0</v>
      </c>
      <c r="Q131" s="66">
        <f t="shared" si="67"/>
        <v>0</v>
      </c>
      <c r="R131" s="67">
        <f>127500+2500</f>
        <v>130000</v>
      </c>
      <c r="S131" s="68">
        <f t="shared" si="115"/>
        <v>2500</v>
      </c>
      <c r="T131" s="68" t="str">
        <f t="shared" si="116"/>
        <v/>
      </c>
      <c r="U131" s="69"/>
    </row>
    <row r="132" spans="1:21" ht="97.5" customHeight="1" x14ac:dyDescent="0.25">
      <c r="A132" s="73" t="s">
        <v>178</v>
      </c>
      <c r="B132" s="61" t="s">
        <v>28</v>
      </c>
      <c r="C132" s="107" t="s">
        <v>179</v>
      </c>
      <c r="D132" s="63">
        <v>55007.9</v>
      </c>
      <c r="E132" s="64">
        <f t="shared" si="112"/>
        <v>55007.9</v>
      </c>
      <c r="F132" s="64">
        <f t="shared" si="112"/>
        <v>55007.9</v>
      </c>
      <c r="G132" s="64">
        <f t="shared" si="112"/>
        <v>55007.9</v>
      </c>
      <c r="H132" s="65">
        <f>G132+9445</f>
        <v>64452.9</v>
      </c>
      <c r="I132" s="70">
        <f>H132+1200</f>
        <v>65652.899999999994</v>
      </c>
      <c r="J132" s="64">
        <f t="shared" si="112"/>
        <v>65652.899999999994</v>
      </c>
      <c r="K132" s="64">
        <f t="shared" si="112"/>
        <v>65652.899999999994</v>
      </c>
      <c r="L132" s="66">
        <f>'[1]Бюдж роспись КБ'!K121/1000</f>
        <v>65652.899999999994</v>
      </c>
      <c r="M132" s="66">
        <f t="shared" si="104"/>
        <v>100</v>
      </c>
      <c r="N132" s="66">
        <v>65652.899999999994</v>
      </c>
      <c r="O132" s="66">
        <f t="shared" si="113"/>
        <v>0</v>
      </c>
      <c r="P132" s="71">
        <f t="shared" si="114"/>
        <v>0</v>
      </c>
      <c r="Q132" s="66">
        <f t="shared" si="67"/>
        <v>0</v>
      </c>
      <c r="R132" s="78">
        <v>65652.899999999994</v>
      </c>
      <c r="S132" s="68" t="str">
        <f t="shared" si="115"/>
        <v/>
      </c>
      <c r="T132" s="68" t="str">
        <f t="shared" si="116"/>
        <v/>
      </c>
      <c r="U132" s="73"/>
    </row>
    <row r="133" spans="1:21" ht="171" customHeight="1" x14ac:dyDescent="0.25">
      <c r="A133" s="60" t="s">
        <v>180</v>
      </c>
      <c r="B133" s="61" t="s">
        <v>28</v>
      </c>
      <c r="C133" s="107" t="s">
        <v>181</v>
      </c>
      <c r="D133" s="63">
        <v>780</v>
      </c>
      <c r="E133" s="64">
        <f t="shared" si="112"/>
        <v>780</v>
      </c>
      <c r="F133" s="64">
        <f t="shared" si="112"/>
        <v>780</v>
      </c>
      <c r="G133" s="64">
        <f t="shared" si="112"/>
        <v>780</v>
      </c>
      <c r="H133" s="65">
        <f>G133-500</f>
        <v>280</v>
      </c>
      <c r="I133" s="64">
        <f t="shared" si="112"/>
        <v>280</v>
      </c>
      <c r="J133" s="64">
        <f t="shared" si="112"/>
        <v>280</v>
      </c>
      <c r="K133" s="64">
        <f t="shared" si="112"/>
        <v>280</v>
      </c>
      <c r="L133" s="66">
        <f>'[1]Бюдж роспись КБ'!K122/1000</f>
        <v>277.74923999999999</v>
      </c>
      <c r="M133" s="66">
        <f t="shared" si="104"/>
        <v>99.196157142857132</v>
      </c>
      <c r="N133" s="66">
        <v>277.74923999999999</v>
      </c>
      <c r="O133" s="66">
        <f t="shared" si="113"/>
        <v>0</v>
      </c>
      <c r="P133" s="117">
        <f t="shared" si="114"/>
        <v>2.2507600000000139</v>
      </c>
      <c r="Q133" s="66">
        <f t="shared" si="67"/>
        <v>2.2507600000000139</v>
      </c>
      <c r="R133" s="67">
        <v>280</v>
      </c>
      <c r="S133" s="68" t="str">
        <f t="shared" si="115"/>
        <v/>
      </c>
      <c r="T133" s="68" t="str">
        <f t="shared" si="116"/>
        <v/>
      </c>
      <c r="U133" s="97"/>
    </row>
    <row r="134" spans="1:21" ht="92.25" customHeight="1" x14ac:dyDescent="0.25">
      <c r="A134" s="77" t="s">
        <v>182</v>
      </c>
      <c r="B134" s="61" t="s">
        <v>28</v>
      </c>
      <c r="C134" s="107" t="s">
        <v>183</v>
      </c>
      <c r="D134" s="63">
        <v>421.5</v>
      </c>
      <c r="E134" s="64">
        <f t="shared" si="112"/>
        <v>421.5</v>
      </c>
      <c r="F134" s="64">
        <f t="shared" si="112"/>
        <v>421.5</v>
      </c>
      <c r="G134" s="64">
        <f t="shared" si="112"/>
        <v>421.5</v>
      </c>
      <c r="H134" s="64">
        <f t="shared" si="112"/>
        <v>421.5</v>
      </c>
      <c r="I134" s="70">
        <f>H134-45</f>
        <v>376.5</v>
      </c>
      <c r="J134" s="64">
        <f t="shared" si="112"/>
        <v>376.5</v>
      </c>
      <c r="K134" s="64">
        <f t="shared" si="112"/>
        <v>376.5</v>
      </c>
      <c r="L134" s="66">
        <f>'[1]Бюдж роспись КБ'!K123/1000</f>
        <v>355.90029000000004</v>
      </c>
      <c r="M134" s="66">
        <f t="shared" si="104"/>
        <v>94.528629482071722</v>
      </c>
      <c r="N134" s="66">
        <v>355.90028999999998</v>
      </c>
      <c r="O134" s="66">
        <f t="shared" si="113"/>
        <v>0</v>
      </c>
      <c r="P134" s="117">
        <f t="shared" si="114"/>
        <v>20.599709999999959</v>
      </c>
      <c r="Q134" s="66">
        <f t="shared" si="67"/>
        <v>20.599709999999959</v>
      </c>
      <c r="R134" s="67">
        <f>421.5-190</f>
        <v>231.5</v>
      </c>
      <c r="S134" s="68" t="str">
        <f t="shared" si="115"/>
        <v/>
      </c>
      <c r="T134" s="68">
        <f t="shared" si="116"/>
        <v>-145</v>
      </c>
      <c r="U134" s="97"/>
    </row>
    <row r="135" spans="1:21" ht="108" customHeight="1" x14ac:dyDescent="0.25">
      <c r="A135" s="77" t="s">
        <v>184</v>
      </c>
      <c r="B135" s="61" t="s">
        <v>28</v>
      </c>
      <c r="C135" s="107" t="s">
        <v>185</v>
      </c>
      <c r="D135" s="63">
        <v>1083</v>
      </c>
      <c r="E135" s="64">
        <f t="shared" si="112"/>
        <v>1083</v>
      </c>
      <c r="F135" s="64">
        <f t="shared" si="112"/>
        <v>1083</v>
      </c>
      <c r="G135" s="64">
        <f t="shared" si="112"/>
        <v>1083</v>
      </c>
      <c r="H135" s="64">
        <f t="shared" si="112"/>
        <v>1083</v>
      </c>
      <c r="I135" s="64">
        <f t="shared" si="112"/>
        <v>1083</v>
      </c>
      <c r="J135" s="64">
        <f t="shared" si="112"/>
        <v>1083</v>
      </c>
      <c r="K135" s="64">
        <f t="shared" si="112"/>
        <v>1083</v>
      </c>
      <c r="L135" s="66">
        <f>'[1]Бюдж роспись КБ'!K124/1000</f>
        <v>1083</v>
      </c>
      <c r="M135" s="66">
        <f t="shared" si="104"/>
        <v>100</v>
      </c>
      <c r="N135" s="66">
        <v>1083</v>
      </c>
      <c r="O135" s="66">
        <f t="shared" si="113"/>
        <v>0</v>
      </c>
      <c r="P135" s="71">
        <f t="shared" si="114"/>
        <v>0</v>
      </c>
      <c r="Q135" s="66">
        <f t="shared" si="67"/>
        <v>0</v>
      </c>
      <c r="R135" s="67">
        <f>1083-646.3</f>
        <v>436.70000000000005</v>
      </c>
      <c r="S135" s="68" t="str">
        <f t="shared" si="115"/>
        <v/>
      </c>
      <c r="T135" s="68">
        <f t="shared" si="116"/>
        <v>-646.29999999999995</v>
      </c>
      <c r="U135" s="84"/>
    </row>
    <row r="136" spans="1:21" ht="61.5" customHeight="1" x14ac:dyDescent="0.25">
      <c r="A136" s="77" t="s">
        <v>186</v>
      </c>
      <c r="B136" s="61" t="s">
        <v>28</v>
      </c>
      <c r="C136" s="107" t="s">
        <v>187</v>
      </c>
      <c r="D136" s="63">
        <v>12500</v>
      </c>
      <c r="E136" s="64">
        <f t="shared" si="112"/>
        <v>12500</v>
      </c>
      <c r="F136" s="64">
        <f t="shared" si="112"/>
        <v>12500</v>
      </c>
      <c r="G136" s="64">
        <f t="shared" si="112"/>
        <v>12500</v>
      </c>
      <c r="H136" s="65">
        <f>G136-2500</f>
        <v>10000</v>
      </c>
      <c r="I136" s="64">
        <f t="shared" si="112"/>
        <v>10000</v>
      </c>
      <c r="J136" s="64">
        <f t="shared" si="112"/>
        <v>10000</v>
      </c>
      <c r="K136" s="64">
        <f t="shared" si="112"/>
        <v>10000</v>
      </c>
      <c r="L136" s="66">
        <f>'[1]Бюдж роспись КБ'!K125/1000</f>
        <v>10000</v>
      </c>
      <c r="M136" s="66">
        <f t="shared" si="104"/>
        <v>100</v>
      </c>
      <c r="N136" s="66">
        <v>10000</v>
      </c>
      <c r="O136" s="66">
        <f t="shared" si="113"/>
        <v>0</v>
      </c>
      <c r="P136" s="71">
        <f t="shared" si="114"/>
        <v>0</v>
      </c>
      <c r="Q136" s="66">
        <f t="shared" si="67"/>
        <v>0</v>
      </c>
      <c r="R136" s="67">
        <v>10000</v>
      </c>
      <c r="S136" s="68" t="str">
        <f t="shared" si="115"/>
        <v/>
      </c>
      <c r="T136" s="68" t="str">
        <f t="shared" si="116"/>
        <v/>
      </c>
      <c r="U136" s="69"/>
    </row>
    <row r="137" spans="1:21" ht="76.5" customHeight="1" x14ac:dyDescent="0.25">
      <c r="A137" s="77" t="s">
        <v>188</v>
      </c>
      <c r="B137" s="61" t="s">
        <v>28</v>
      </c>
      <c r="C137" s="107" t="s">
        <v>189</v>
      </c>
      <c r="D137" s="63">
        <v>1235.0999999999999</v>
      </c>
      <c r="E137" s="64">
        <f t="shared" si="112"/>
        <v>1235.0999999999999</v>
      </c>
      <c r="F137" s="64">
        <f t="shared" si="112"/>
        <v>1235.0999999999999</v>
      </c>
      <c r="G137" s="64">
        <f t="shared" si="112"/>
        <v>1235.0999999999999</v>
      </c>
      <c r="H137" s="64">
        <f t="shared" si="112"/>
        <v>1235.0999999999999</v>
      </c>
      <c r="I137" s="70">
        <f>H137-129.9</f>
        <v>1105.1999999999998</v>
      </c>
      <c r="J137" s="64">
        <f t="shared" si="112"/>
        <v>1105.1999999999998</v>
      </c>
      <c r="K137" s="64">
        <f t="shared" si="112"/>
        <v>1105.1999999999998</v>
      </c>
      <c r="L137" s="66">
        <f>'[1]Бюдж роспись КБ'!K126/1000</f>
        <v>1105.2</v>
      </c>
      <c r="M137" s="66">
        <f t="shared" si="104"/>
        <v>100.00000000000003</v>
      </c>
      <c r="N137" s="66">
        <v>1105.2</v>
      </c>
      <c r="O137" s="66">
        <f t="shared" si="113"/>
        <v>0</v>
      </c>
      <c r="P137" s="71">
        <f t="shared" si="114"/>
        <v>0</v>
      </c>
      <c r="Q137" s="66">
        <f t="shared" si="67"/>
        <v>0</v>
      </c>
      <c r="R137" s="67">
        <v>1235.0999999999999</v>
      </c>
      <c r="S137" s="68">
        <f t="shared" si="115"/>
        <v>129.90000000000009</v>
      </c>
      <c r="T137" s="68" t="str">
        <f t="shared" si="116"/>
        <v/>
      </c>
      <c r="U137" s="69"/>
    </row>
    <row r="138" spans="1:21" ht="93" customHeight="1" x14ac:dyDescent="0.25">
      <c r="A138" s="131" t="s">
        <v>190</v>
      </c>
      <c r="B138" s="61" t="s">
        <v>28</v>
      </c>
      <c r="C138" s="107" t="s">
        <v>191</v>
      </c>
      <c r="D138" s="63">
        <v>4500</v>
      </c>
      <c r="E138" s="64">
        <f t="shared" si="112"/>
        <v>4500</v>
      </c>
      <c r="F138" s="64">
        <f t="shared" si="112"/>
        <v>4500</v>
      </c>
      <c r="G138" s="64">
        <f t="shared" si="112"/>
        <v>4500</v>
      </c>
      <c r="H138" s="64">
        <f t="shared" si="112"/>
        <v>4500</v>
      </c>
      <c r="I138" s="70">
        <f>H138-444.5</f>
        <v>4055.5</v>
      </c>
      <c r="J138" s="64">
        <f t="shared" si="112"/>
        <v>4055.5</v>
      </c>
      <c r="K138" s="64">
        <f t="shared" si="112"/>
        <v>4055.5</v>
      </c>
      <c r="L138" s="66">
        <f>N138</f>
        <v>4055.5</v>
      </c>
      <c r="M138" s="66">
        <f t="shared" si="104"/>
        <v>100</v>
      </c>
      <c r="N138" s="66">
        <v>4055.5</v>
      </c>
      <c r="O138" s="66">
        <f t="shared" si="113"/>
        <v>0</v>
      </c>
      <c r="P138" s="71">
        <f t="shared" si="114"/>
        <v>0</v>
      </c>
      <c r="Q138" s="66">
        <f t="shared" si="67"/>
        <v>0</v>
      </c>
      <c r="R138" s="67">
        <v>4500</v>
      </c>
      <c r="S138" s="68">
        <f t="shared" si="115"/>
        <v>444.5</v>
      </c>
      <c r="T138" s="68" t="str">
        <f t="shared" si="116"/>
        <v/>
      </c>
      <c r="U138" s="72" t="s">
        <v>192</v>
      </c>
    </row>
    <row r="139" spans="1:21" ht="326.25" customHeight="1" x14ac:dyDescent="0.25">
      <c r="A139" s="77" t="s">
        <v>193</v>
      </c>
      <c r="B139" s="61" t="s">
        <v>28</v>
      </c>
      <c r="C139" s="107" t="s">
        <v>194</v>
      </c>
      <c r="D139" s="63">
        <f>58335+1665</f>
        <v>60000</v>
      </c>
      <c r="E139" s="64">
        <f t="shared" si="112"/>
        <v>60000</v>
      </c>
      <c r="F139" s="64">
        <f t="shared" si="112"/>
        <v>60000</v>
      </c>
      <c r="G139" s="64">
        <f t="shared" si="112"/>
        <v>60000</v>
      </c>
      <c r="H139" s="64">
        <f t="shared" si="112"/>
        <v>60000</v>
      </c>
      <c r="I139" s="70">
        <f>H139+444.5</f>
        <v>60444.5</v>
      </c>
      <c r="J139" s="64">
        <f t="shared" si="112"/>
        <v>60444.5</v>
      </c>
      <c r="K139" s="64">
        <f t="shared" si="112"/>
        <v>60444.5</v>
      </c>
      <c r="L139" s="66">
        <f>N139</f>
        <v>60444.5</v>
      </c>
      <c r="M139" s="66">
        <f t="shared" si="104"/>
        <v>100</v>
      </c>
      <c r="N139" s="66">
        <v>60444.5</v>
      </c>
      <c r="O139" s="66">
        <f t="shared" si="113"/>
        <v>0</v>
      </c>
      <c r="P139" s="71">
        <f>I139-L139</f>
        <v>0</v>
      </c>
      <c r="Q139" s="66">
        <f t="shared" si="67"/>
        <v>0</v>
      </c>
      <c r="R139" s="67">
        <v>60000</v>
      </c>
      <c r="S139" s="68" t="str">
        <f t="shared" si="115"/>
        <v/>
      </c>
      <c r="T139" s="68">
        <f t="shared" si="116"/>
        <v>-444.5</v>
      </c>
      <c r="U139" s="72" t="s">
        <v>192</v>
      </c>
    </row>
    <row r="140" spans="1:21" s="56" customFormat="1" ht="31.5" x14ac:dyDescent="0.25">
      <c r="A140" s="52" t="s">
        <v>195</v>
      </c>
      <c r="B140" s="61" t="s">
        <v>35</v>
      </c>
      <c r="C140" s="104">
        <f>SUM(C143:C149)</f>
        <v>0</v>
      </c>
      <c r="D140" s="54">
        <f>D141+D142</f>
        <v>348259.69999999995</v>
      </c>
      <c r="E140" s="54">
        <f t="shared" ref="E140:T140" si="117">E141+E142</f>
        <v>348259.69999999995</v>
      </c>
      <c r="F140" s="54">
        <f t="shared" si="117"/>
        <v>348259.69999999995</v>
      </c>
      <c r="G140" s="54">
        <f t="shared" si="117"/>
        <v>348259.69999999995</v>
      </c>
      <c r="H140" s="54">
        <f t="shared" si="117"/>
        <v>348050.69999999995</v>
      </c>
      <c r="I140" s="54">
        <f t="shared" si="117"/>
        <v>348050.69999999995</v>
      </c>
      <c r="J140" s="54">
        <f t="shared" si="117"/>
        <v>348050.69999999995</v>
      </c>
      <c r="K140" s="54">
        <f t="shared" si="117"/>
        <v>348050.69999999995</v>
      </c>
      <c r="L140" s="54">
        <f>L141+L142</f>
        <v>348050.69160000002</v>
      </c>
      <c r="M140" s="54">
        <f t="shared" si="104"/>
        <v>99.999997586558536</v>
      </c>
      <c r="N140" s="54">
        <f t="shared" si="117"/>
        <v>348050.69160000002</v>
      </c>
      <c r="O140" s="54">
        <f t="shared" si="117"/>
        <v>0</v>
      </c>
      <c r="P140" s="96">
        <f t="shared" si="117"/>
        <v>8.400000002438901E-3</v>
      </c>
      <c r="Q140" s="54">
        <f t="shared" si="117"/>
        <v>8.400000002438901E-3</v>
      </c>
      <c r="R140" s="54">
        <f t="shared" si="117"/>
        <v>348050.69999999995</v>
      </c>
      <c r="S140" s="54">
        <f t="shared" si="117"/>
        <v>0</v>
      </c>
      <c r="T140" s="54">
        <f t="shared" si="117"/>
        <v>0</v>
      </c>
      <c r="U140" s="105"/>
    </row>
    <row r="141" spans="1:21" s="56" customFormat="1" x14ac:dyDescent="0.25">
      <c r="A141" s="46" t="s">
        <v>27</v>
      </c>
      <c r="B141" s="57" t="s">
        <v>28</v>
      </c>
      <c r="C141" s="106"/>
      <c r="D141" s="39">
        <f t="shared" ref="D141:L141" si="118">SUMIF($B$143:$B$149,"=01",D143:D149)</f>
        <v>328206.59999999998</v>
      </c>
      <c r="E141" s="39">
        <f t="shared" si="118"/>
        <v>328206.59999999998</v>
      </c>
      <c r="F141" s="39">
        <f t="shared" si="118"/>
        <v>328206.59999999998</v>
      </c>
      <c r="G141" s="39">
        <f t="shared" si="118"/>
        <v>328206.59999999998</v>
      </c>
      <c r="H141" s="39">
        <f t="shared" si="118"/>
        <v>327997.59999999998</v>
      </c>
      <c r="I141" s="39">
        <f t="shared" si="118"/>
        <v>327997.59999999998</v>
      </c>
      <c r="J141" s="39">
        <f t="shared" si="118"/>
        <v>327997.59999999998</v>
      </c>
      <c r="K141" s="39">
        <f t="shared" si="118"/>
        <v>327997.59999999998</v>
      </c>
      <c r="L141" s="39">
        <f t="shared" si="118"/>
        <v>327997.59160000004</v>
      </c>
      <c r="M141" s="39">
        <f t="shared" si="104"/>
        <v>99.999997439005668</v>
      </c>
      <c r="N141" s="39">
        <f t="shared" ref="N141:T141" si="119">SUMIF($B$143:$B$149,"=01",N143:N149)</f>
        <v>327997.59160000004</v>
      </c>
      <c r="O141" s="39">
        <f t="shared" si="119"/>
        <v>0</v>
      </c>
      <c r="P141" s="40">
        <f t="shared" si="119"/>
        <v>8.400000002438901E-3</v>
      </c>
      <c r="Q141" s="39">
        <f t="shared" si="119"/>
        <v>8.400000002438901E-3</v>
      </c>
      <c r="R141" s="39">
        <f t="shared" si="119"/>
        <v>327997.59999999998</v>
      </c>
      <c r="S141" s="39">
        <f t="shared" si="119"/>
        <v>0</v>
      </c>
      <c r="T141" s="39">
        <f t="shared" si="119"/>
        <v>0</v>
      </c>
      <c r="U141" s="105"/>
    </row>
    <row r="142" spans="1:21" s="56" customFormat="1" x14ac:dyDescent="0.25">
      <c r="A142" s="46" t="s">
        <v>29</v>
      </c>
      <c r="B142" s="57" t="s">
        <v>30</v>
      </c>
      <c r="C142" s="106"/>
      <c r="D142" s="39">
        <f t="shared" ref="D142:L142" si="120">SUMIF($B$143:$B$149,"=02",D143:D149)</f>
        <v>20053.099999999999</v>
      </c>
      <c r="E142" s="39">
        <f t="shared" si="120"/>
        <v>20053.099999999999</v>
      </c>
      <c r="F142" s="39">
        <f t="shared" si="120"/>
        <v>20053.099999999999</v>
      </c>
      <c r="G142" s="39">
        <f t="shared" si="120"/>
        <v>20053.099999999999</v>
      </c>
      <c r="H142" s="39">
        <f t="shared" si="120"/>
        <v>20053.099999999999</v>
      </c>
      <c r="I142" s="39">
        <f t="shared" si="120"/>
        <v>20053.099999999999</v>
      </c>
      <c r="J142" s="39">
        <f t="shared" si="120"/>
        <v>20053.099999999999</v>
      </c>
      <c r="K142" s="39">
        <f t="shared" si="120"/>
        <v>20053.099999999999</v>
      </c>
      <c r="L142" s="39">
        <f t="shared" si="120"/>
        <v>20053.099999999999</v>
      </c>
      <c r="M142" s="39">
        <f t="shared" si="104"/>
        <v>100</v>
      </c>
      <c r="N142" s="39">
        <f t="shared" ref="N142:T142" si="121">SUMIF($B$143:$B$149,"=02",N143:N149)</f>
        <v>20053.099999999999</v>
      </c>
      <c r="O142" s="39">
        <f t="shared" si="121"/>
        <v>0</v>
      </c>
      <c r="P142" s="40">
        <f t="shared" si="121"/>
        <v>0</v>
      </c>
      <c r="Q142" s="39">
        <f t="shared" si="121"/>
        <v>0</v>
      </c>
      <c r="R142" s="39">
        <f t="shared" si="121"/>
        <v>20053.099999999999</v>
      </c>
      <c r="S142" s="39">
        <f t="shared" si="121"/>
        <v>0</v>
      </c>
      <c r="T142" s="39">
        <f t="shared" si="121"/>
        <v>0</v>
      </c>
      <c r="U142" s="105"/>
    </row>
    <row r="143" spans="1:21" ht="109.5" customHeight="1" x14ac:dyDescent="0.25">
      <c r="A143" s="77" t="s">
        <v>196</v>
      </c>
      <c r="B143" s="61" t="s">
        <v>28</v>
      </c>
      <c r="C143" s="107" t="s">
        <v>197</v>
      </c>
      <c r="D143" s="63">
        <v>233642.6</v>
      </c>
      <c r="E143" s="64">
        <f t="shared" ref="E143:K149" si="122">D143</f>
        <v>233642.6</v>
      </c>
      <c r="F143" s="64">
        <f t="shared" si="122"/>
        <v>233642.6</v>
      </c>
      <c r="G143" s="64">
        <f t="shared" si="122"/>
        <v>233642.6</v>
      </c>
      <c r="H143" s="65">
        <f>G143+1335.5</f>
        <v>234978.1</v>
      </c>
      <c r="I143" s="64">
        <f t="shared" ref="I143:I149" si="123">H143</f>
        <v>234978.1</v>
      </c>
      <c r="J143" s="64">
        <f t="shared" si="122"/>
        <v>234978.1</v>
      </c>
      <c r="K143" s="64">
        <f t="shared" si="122"/>
        <v>234978.1</v>
      </c>
      <c r="L143" s="66">
        <f>N143</f>
        <v>234978.06510000001</v>
      </c>
      <c r="M143" s="66">
        <f>L143/J143*100</f>
        <v>99.999985147552053</v>
      </c>
      <c r="N143" s="66">
        <v>234978.06510000001</v>
      </c>
      <c r="O143" s="66">
        <f>L143-N143</f>
        <v>0</v>
      </c>
      <c r="P143" s="71">
        <f>I143-L143</f>
        <v>3.4899999998742715E-2</v>
      </c>
      <c r="Q143" s="66">
        <f t="shared" si="67"/>
        <v>3.4899999998742715E-2</v>
      </c>
      <c r="R143" s="67">
        <v>234978.1</v>
      </c>
      <c r="S143" s="68" t="str">
        <f t="shared" ref="S143:S149" si="124">IF(R143-K143&gt;0,R143-K143,"")</f>
        <v/>
      </c>
      <c r="T143" s="68" t="str">
        <f t="shared" ref="T143:T149" si="125">IF(R143-K143&lt;0,R143-K143,"")</f>
        <v/>
      </c>
      <c r="U143" s="69"/>
    </row>
    <row r="144" spans="1:21" ht="151.5" customHeight="1" x14ac:dyDescent="0.25">
      <c r="A144" s="77" t="s">
        <v>198</v>
      </c>
      <c r="B144" s="61" t="s">
        <v>28</v>
      </c>
      <c r="C144" s="107" t="s">
        <v>199</v>
      </c>
      <c r="D144" s="63">
        <v>36910.6</v>
      </c>
      <c r="E144" s="64">
        <f t="shared" si="122"/>
        <v>36910.6</v>
      </c>
      <c r="F144" s="64">
        <f t="shared" si="122"/>
        <v>36910.6</v>
      </c>
      <c r="G144" s="64">
        <f t="shared" si="122"/>
        <v>36910.6</v>
      </c>
      <c r="H144" s="65">
        <f>G144-404.1</f>
        <v>36506.5</v>
      </c>
      <c r="I144" s="64">
        <f t="shared" si="123"/>
        <v>36506.5</v>
      </c>
      <c r="J144" s="64">
        <f t="shared" si="122"/>
        <v>36506.5</v>
      </c>
      <c r="K144" s="64">
        <f t="shared" si="122"/>
        <v>36506.5</v>
      </c>
      <c r="L144" s="66">
        <v>36506.456639999997</v>
      </c>
      <c r="M144" s="66">
        <f>L144/J144*100</f>
        <v>99.999881226630862</v>
      </c>
      <c r="N144" s="66">
        <v>36506.456639999997</v>
      </c>
      <c r="O144" s="66">
        <f>L144-N144</f>
        <v>0</v>
      </c>
      <c r="P144" s="71">
        <f>I144-L144</f>
        <v>4.3360000003303867E-2</v>
      </c>
      <c r="Q144" s="66">
        <f t="shared" si="67"/>
        <v>4.3360000003303867E-2</v>
      </c>
      <c r="R144" s="67">
        <v>36506.5</v>
      </c>
      <c r="S144" s="68" t="str">
        <f t="shared" si="124"/>
        <v/>
      </c>
      <c r="T144" s="68" t="str">
        <f t="shared" si="125"/>
        <v/>
      </c>
      <c r="U144" s="69"/>
    </row>
    <row r="145" spans="1:21" ht="105" customHeight="1" x14ac:dyDescent="0.25">
      <c r="A145" s="77" t="s">
        <v>200</v>
      </c>
      <c r="B145" s="61" t="s">
        <v>28</v>
      </c>
      <c r="C145" s="107" t="s">
        <v>201</v>
      </c>
      <c r="D145" s="63">
        <v>14443.3</v>
      </c>
      <c r="E145" s="64">
        <f t="shared" si="122"/>
        <v>14443.3</v>
      </c>
      <c r="F145" s="64">
        <f t="shared" si="122"/>
        <v>14443.3</v>
      </c>
      <c r="G145" s="64">
        <f t="shared" si="122"/>
        <v>14443.3</v>
      </c>
      <c r="H145" s="65">
        <f>G145-1140.4</f>
        <v>13302.9</v>
      </c>
      <c r="I145" s="64">
        <f t="shared" si="123"/>
        <v>13302.9</v>
      </c>
      <c r="J145" s="64">
        <f t="shared" si="122"/>
        <v>13302.9</v>
      </c>
      <c r="K145" s="64">
        <f t="shared" si="122"/>
        <v>13302.9</v>
      </c>
      <c r="L145" s="66">
        <f>N145</f>
        <v>13302.927</v>
      </c>
      <c r="M145" s="66">
        <f>L145/J145*100</f>
        <v>100.00020296326365</v>
      </c>
      <c r="N145" s="66">
        <v>13302.927</v>
      </c>
      <c r="O145" s="66"/>
      <c r="P145" s="71">
        <f>I145-L145</f>
        <v>-2.7000000000043656E-2</v>
      </c>
      <c r="Q145" s="66">
        <f t="shared" si="67"/>
        <v>-2.7000000000043656E-2</v>
      </c>
      <c r="R145" s="67">
        <v>13302.9</v>
      </c>
      <c r="S145" s="68" t="str">
        <f t="shared" si="124"/>
        <v/>
      </c>
      <c r="T145" s="68" t="str">
        <f t="shared" si="125"/>
        <v/>
      </c>
      <c r="U145" s="69"/>
    </row>
    <row r="146" spans="1:21" ht="218.25" customHeight="1" x14ac:dyDescent="0.25">
      <c r="A146" s="60" t="s">
        <v>202</v>
      </c>
      <c r="B146" s="61" t="s">
        <v>28</v>
      </c>
      <c r="C146" s="107" t="s">
        <v>203</v>
      </c>
      <c r="D146" s="63">
        <v>28886.5</v>
      </c>
      <c r="E146" s="64">
        <f t="shared" si="122"/>
        <v>28886.5</v>
      </c>
      <c r="F146" s="64">
        <f t="shared" si="122"/>
        <v>28886.5</v>
      </c>
      <c r="G146" s="64">
        <f t="shared" si="122"/>
        <v>28886.5</v>
      </c>
      <c r="H146" s="64">
        <f t="shared" si="122"/>
        <v>28886.5</v>
      </c>
      <c r="I146" s="64">
        <f t="shared" si="123"/>
        <v>28886.5</v>
      </c>
      <c r="J146" s="64">
        <f t="shared" si="122"/>
        <v>28886.5</v>
      </c>
      <c r="K146" s="64">
        <f t="shared" si="122"/>
        <v>28886.5</v>
      </c>
      <c r="L146" s="66">
        <v>28886.5</v>
      </c>
      <c r="M146" s="66">
        <f t="shared" si="104"/>
        <v>100</v>
      </c>
      <c r="N146" s="66">
        <v>28886.5</v>
      </c>
      <c r="O146" s="66">
        <f>L146-N146</f>
        <v>0</v>
      </c>
      <c r="P146" s="71">
        <f t="shared" ref="P146:P149" si="126">I146-L146</f>
        <v>0</v>
      </c>
      <c r="Q146" s="66">
        <f t="shared" si="67"/>
        <v>0</v>
      </c>
      <c r="R146" s="67">
        <v>28886.5</v>
      </c>
      <c r="S146" s="68" t="str">
        <f t="shared" si="124"/>
        <v/>
      </c>
      <c r="T146" s="68" t="str">
        <f t="shared" si="125"/>
        <v/>
      </c>
      <c r="U146" s="69"/>
    </row>
    <row r="147" spans="1:21" ht="42.75" customHeight="1" x14ac:dyDescent="0.25">
      <c r="A147" s="77" t="s">
        <v>204</v>
      </c>
      <c r="B147" s="61" t="s">
        <v>35</v>
      </c>
      <c r="C147" s="107"/>
      <c r="D147" s="63"/>
      <c r="E147" s="64">
        <f t="shared" si="122"/>
        <v>0</v>
      </c>
      <c r="F147" s="64">
        <f t="shared" si="122"/>
        <v>0</v>
      </c>
      <c r="G147" s="64">
        <f t="shared" si="122"/>
        <v>0</v>
      </c>
      <c r="H147" s="64">
        <f t="shared" si="122"/>
        <v>0</v>
      </c>
      <c r="I147" s="64">
        <f t="shared" si="123"/>
        <v>0</v>
      </c>
      <c r="J147" s="64">
        <f t="shared" si="122"/>
        <v>0</v>
      </c>
      <c r="K147" s="64">
        <f t="shared" si="122"/>
        <v>0</v>
      </c>
      <c r="L147" s="66">
        <f t="shared" ref="L147" si="127">N147</f>
        <v>0</v>
      </c>
      <c r="M147" s="66"/>
      <c r="N147" s="66"/>
      <c r="O147" s="83">
        <f>L147-N147</f>
        <v>0</v>
      </c>
      <c r="P147" s="71">
        <f t="shared" si="126"/>
        <v>0</v>
      </c>
      <c r="Q147" s="66">
        <f t="shared" si="67"/>
        <v>0</v>
      </c>
      <c r="R147" s="67">
        <v>0</v>
      </c>
      <c r="S147" s="68" t="str">
        <f t="shared" si="124"/>
        <v/>
      </c>
      <c r="T147" s="68" t="str">
        <f t="shared" si="125"/>
        <v/>
      </c>
      <c r="U147" s="69"/>
    </row>
    <row r="148" spans="1:21" x14ac:dyDescent="0.25">
      <c r="A148" s="46" t="s">
        <v>27</v>
      </c>
      <c r="B148" s="61" t="s">
        <v>28</v>
      </c>
      <c r="C148" s="107" t="s">
        <v>205</v>
      </c>
      <c r="D148" s="63">
        <v>14323.6</v>
      </c>
      <c r="E148" s="64">
        <f t="shared" si="122"/>
        <v>14323.6</v>
      </c>
      <c r="F148" s="64">
        <f t="shared" si="122"/>
        <v>14323.6</v>
      </c>
      <c r="G148" s="64">
        <f t="shared" si="122"/>
        <v>14323.6</v>
      </c>
      <c r="H148" s="64">
        <f t="shared" si="122"/>
        <v>14323.6</v>
      </c>
      <c r="I148" s="64">
        <f t="shared" si="123"/>
        <v>14323.6</v>
      </c>
      <c r="J148" s="64">
        <f t="shared" si="122"/>
        <v>14323.6</v>
      </c>
      <c r="K148" s="64">
        <f t="shared" si="122"/>
        <v>14323.6</v>
      </c>
      <c r="L148" s="66">
        <f>N148</f>
        <v>14323.64286</v>
      </c>
      <c r="M148" s="66">
        <f t="shared" ref="M148:M172" si="128">L148/J148*100</f>
        <v>100.00029922645143</v>
      </c>
      <c r="N148" s="66">
        <v>14323.64286</v>
      </c>
      <c r="O148" s="66">
        <f t="shared" ref="O148:O149" si="129">L148-N148</f>
        <v>0</v>
      </c>
      <c r="P148" s="71">
        <f t="shared" si="126"/>
        <v>-4.2859999999564025E-2</v>
      </c>
      <c r="Q148" s="66">
        <f t="shared" si="67"/>
        <v>-4.2859999999564025E-2</v>
      </c>
      <c r="R148" s="67">
        <v>14323.6</v>
      </c>
      <c r="S148" s="68" t="str">
        <f t="shared" si="124"/>
        <v/>
      </c>
      <c r="T148" s="68" t="str">
        <f t="shared" si="125"/>
        <v/>
      </c>
      <c r="U148" s="69"/>
    </row>
    <row r="149" spans="1:21" x14ac:dyDescent="0.25">
      <c r="A149" s="46" t="s">
        <v>29</v>
      </c>
      <c r="B149" s="61" t="s">
        <v>30</v>
      </c>
      <c r="C149" s="107" t="s">
        <v>205</v>
      </c>
      <c r="D149" s="63">
        <v>20053.099999999999</v>
      </c>
      <c r="E149" s="64">
        <f t="shared" si="122"/>
        <v>20053.099999999999</v>
      </c>
      <c r="F149" s="64">
        <f t="shared" si="122"/>
        <v>20053.099999999999</v>
      </c>
      <c r="G149" s="64">
        <f t="shared" si="122"/>
        <v>20053.099999999999</v>
      </c>
      <c r="H149" s="64">
        <f t="shared" si="122"/>
        <v>20053.099999999999</v>
      </c>
      <c r="I149" s="64">
        <f t="shared" si="123"/>
        <v>20053.099999999999</v>
      </c>
      <c r="J149" s="64">
        <f t="shared" si="122"/>
        <v>20053.099999999999</v>
      </c>
      <c r="K149" s="64">
        <f t="shared" si="122"/>
        <v>20053.099999999999</v>
      </c>
      <c r="L149" s="66">
        <f>N149</f>
        <v>20053.099999999999</v>
      </c>
      <c r="M149" s="66">
        <f t="shared" si="128"/>
        <v>100</v>
      </c>
      <c r="N149" s="66">
        <v>20053.099999999999</v>
      </c>
      <c r="O149" s="66">
        <f t="shared" si="129"/>
        <v>0</v>
      </c>
      <c r="P149" s="71">
        <f t="shared" si="126"/>
        <v>0</v>
      </c>
      <c r="Q149" s="66">
        <f t="shared" si="67"/>
        <v>0</v>
      </c>
      <c r="R149" s="67">
        <v>20053.099999999999</v>
      </c>
      <c r="S149" s="68" t="str">
        <f t="shared" si="124"/>
        <v/>
      </c>
      <c r="T149" s="68" t="str">
        <f t="shared" si="125"/>
        <v/>
      </c>
      <c r="U149" s="69"/>
    </row>
    <row r="150" spans="1:21" s="56" customFormat="1" ht="31.5" x14ac:dyDescent="0.25">
      <c r="A150" s="52" t="s">
        <v>206</v>
      </c>
      <c r="B150" s="57" t="s">
        <v>28</v>
      </c>
      <c r="C150" s="104">
        <f>SUM(C152:C153)</f>
        <v>0</v>
      </c>
      <c r="D150" s="54">
        <f>D151</f>
        <v>30000</v>
      </c>
      <c r="E150" s="54">
        <f t="shared" ref="E150:T150" si="130">E151</f>
        <v>30000</v>
      </c>
      <c r="F150" s="54">
        <f t="shared" si="130"/>
        <v>42834.3</v>
      </c>
      <c r="G150" s="54">
        <f t="shared" si="130"/>
        <v>42834.3</v>
      </c>
      <c r="H150" s="54">
        <f t="shared" si="130"/>
        <v>42834.3</v>
      </c>
      <c r="I150" s="54">
        <f t="shared" si="130"/>
        <v>47684.3</v>
      </c>
      <c r="J150" s="54">
        <f t="shared" si="130"/>
        <v>47684.3</v>
      </c>
      <c r="K150" s="54">
        <f t="shared" si="130"/>
        <v>47684.3</v>
      </c>
      <c r="L150" s="54">
        <f>L151</f>
        <v>46045.475290000002</v>
      </c>
      <c r="M150" s="54">
        <f t="shared" si="128"/>
        <v>96.563177586752872</v>
      </c>
      <c r="N150" s="54">
        <f t="shared" si="130"/>
        <v>46045.475290000002</v>
      </c>
      <c r="O150" s="54">
        <f t="shared" si="130"/>
        <v>0</v>
      </c>
      <c r="P150" s="96">
        <f t="shared" si="130"/>
        <v>1638.8247099999967</v>
      </c>
      <c r="Q150" s="54">
        <f t="shared" si="130"/>
        <v>1638.8247099999967</v>
      </c>
      <c r="R150" s="54">
        <f t="shared" si="130"/>
        <v>66971.3</v>
      </c>
      <c r="S150" s="54">
        <f t="shared" si="130"/>
        <v>19287</v>
      </c>
      <c r="T150" s="54">
        <f t="shared" si="130"/>
        <v>0</v>
      </c>
      <c r="U150" s="105"/>
    </row>
    <row r="151" spans="1:21" s="56" customFormat="1" x14ac:dyDescent="0.25">
      <c r="A151" s="46" t="s">
        <v>27</v>
      </c>
      <c r="B151" s="57" t="s">
        <v>28</v>
      </c>
      <c r="C151" s="106"/>
      <c r="D151" s="39">
        <f t="shared" ref="D151:L151" si="131">SUMIF($B$152:$B$154,"=01",D152:D154)</f>
        <v>30000</v>
      </c>
      <c r="E151" s="39">
        <f>SUMIF($B$152:$B$154,"=01",E152:E154)</f>
        <v>30000</v>
      </c>
      <c r="F151" s="39">
        <f t="shared" si="131"/>
        <v>42834.3</v>
      </c>
      <c r="G151" s="39">
        <f t="shared" si="131"/>
        <v>42834.3</v>
      </c>
      <c r="H151" s="39">
        <f t="shared" si="131"/>
        <v>42834.3</v>
      </c>
      <c r="I151" s="39">
        <f t="shared" si="131"/>
        <v>47684.3</v>
      </c>
      <c r="J151" s="39">
        <f>SUMIF($B$152:$B$154,"=01",J152:J154)</f>
        <v>47684.3</v>
      </c>
      <c r="K151" s="39">
        <f>SUMIF($B$152:$B$154,"=01",K152:K154)</f>
        <v>47684.3</v>
      </c>
      <c r="L151" s="39">
        <f t="shared" si="131"/>
        <v>46045.475290000002</v>
      </c>
      <c r="M151" s="39">
        <f t="shared" si="128"/>
        <v>96.563177586752872</v>
      </c>
      <c r="N151" s="39">
        <f>SUMIF($B$152:$B$154,"=01",N152:N154)</f>
        <v>46045.475290000002</v>
      </c>
      <c r="O151" s="39">
        <f>SUMIF($B$152:$B$154,"=01",O152:O154)</f>
        <v>0</v>
      </c>
      <c r="P151" s="40">
        <f>SUMIF($B$152:$B$154,"=01",P152:P154)</f>
        <v>1638.8247099999967</v>
      </c>
      <c r="Q151" s="39">
        <f t="shared" ref="Q151:T151" si="132">SUMIF($B$152:$B$154,"=01",Q152:Q154)</f>
        <v>1638.8247099999967</v>
      </c>
      <c r="R151" s="39">
        <f t="shared" si="132"/>
        <v>66971.3</v>
      </c>
      <c r="S151" s="39">
        <f t="shared" si="132"/>
        <v>19287</v>
      </c>
      <c r="T151" s="39">
        <f t="shared" si="132"/>
        <v>0</v>
      </c>
      <c r="U151" s="105"/>
    </row>
    <row r="152" spans="1:21" ht="84.75" customHeight="1" x14ac:dyDescent="0.25">
      <c r="A152" s="126" t="s">
        <v>207</v>
      </c>
      <c r="B152" s="61" t="s">
        <v>28</v>
      </c>
      <c r="C152" s="107" t="s">
        <v>208</v>
      </c>
      <c r="D152" s="63">
        <v>16000</v>
      </c>
      <c r="E152" s="64">
        <f t="shared" ref="E152:F154" si="133">D152</f>
        <v>16000</v>
      </c>
      <c r="F152" s="74">
        <f>E152+10000</f>
        <v>26000</v>
      </c>
      <c r="G152" s="64">
        <f t="shared" ref="G152:G154" si="134">F152</f>
        <v>26000</v>
      </c>
      <c r="H152" s="65">
        <f>G152+2581.1</f>
        <v>28581.1</v>
      </c>
      <c r="I152" s="70">
        <f>H152+5310.5</f>
        <v>33891.599999999999</v>
      </c>
      <c r="J152" s="64">
        <f t="shared" ref="J152:K154" si="135">I152</f>
        <v>33891.599999999999</v>
      </c>
      <c r="K152" s="64">
        <f t="shared" si="135"/>
        <v>33891.599999999999</v>
      </c>
      <c r="L152" s="66">
        <v>33891.646000000001</v>
      </c>
      <c r="M152" s="66">
        <f t="shared" si="128"/>
        <v>100.00013572684678</v>
      </c>
      <c r="N152" s="66">
        <v>33891.646000000001</v>
      </c>
      <c r="O152" s="66">
        <f>L152-N152</f>
        <v>0</v>
      </c>
      <c r="P152" s="71">
        <f>I152-L152</f>
        <v>-4.6000000002095476E-2</v>
      </c>
      <c r="Q152" s="66">
        <f t="shared" ref="Q152:Q172" si="136">K152-L152</f>
        <v>-4.6000000002095476E-2</v>
      </c>
      <c r="R152" s="67">
        <v>53178.6</v>
      </c>
      <c r="S152" s="68">
        <f>IF(R152-K152&gt;0,R152-K152,"")</f>
        <v>19287</v>
      </c>
      <c r="T152" s="68" t="str">
        <f>IF(R152-K152&lt;0,R152-K152,"")</f>
        <v/>
      </c>
      <c r="U152" s="84"/>
    </row>
    <row r="153" spans="1:21" ht="144.75" customHeight="1" x14ac:dyDescent="0.25">
      <c r="A153" s="109" t="s">
        <v>209</v>
      </c>
      <c r="B153" s="61" t="s">
        <v>28</v>
      </c>
      <c r="C153" s="107" t="s">
        <v>210</v>
      </c>
      <c r="D153" s="63">
        <v>4000</v>
      </c>
      <c r="E153" s="64">
        <f t="shared" si="133"/>
        <v>4000</v>
      </c>
      <c r="F153" s="64">
        <f t="shared" si="133"/>
        <v>4000</v>
      </c>
      <c r="G153" s="64">
        <f t="shared" si="134"/>
        <v>4000</v>
      </c>
      <c r="H153" s="65">
        <f>G153-592.3</f>
        <v>3407.7</v>
      </c>
      <c r="I153" s="70">
        <f>H153-197.9</f>
        <v>3209.7999999999997</v>
      </c>
      <c r="J153" s="64">
        <f t="shared" si="135"/>
        <v>3209.7999999999997</v>
      </c>
      <c r="K153" s="64">
        <f t="shared" si="135"/>
        <v>3209.7999999999997</v>
      </c>
      <c r="L153" s="66">
        <v>3209.7539999999999</v>
      </c>
      <c r="M153" s="66">
        <f t="shared" si="128"/>
        <v>99.998566888902744</v>
      </c>
      <c r="N153" s="66">
        <v>3209.7539999999999</v>
      </c>
      <c r="O153" s="66">
        <f>L153-N153</f>
        <v>0</v>
      </c>
      <c r="P153" s="71">
        <f>I153-L153</f>
        <v>4.5999999999821739E-2</v>
      </c>
      <c r="Q153" s="66">
        <f t="shared" si="136"/>
        <v>4.5999999999821739E-2</v>
      </c>
      <c r="R153" s="67">
        <v>3209.8</v>
      </c>
      <c r="S153" s="68">
        <f>IF(R153-K153&gt;0,R153-K153,"")</f>
        <v>4.5474735088646412E-13</v>
      </c>
      <c r="T153" s="68" t="str">
        <f>IF(R153-K153&lt;0,R153-K153,"")</f>
        <v/>
      </c>
      <c r="U153" s="82"/>
    </row>
    <row r="154" spans="1:21" ht="132" customHeight="1" x14ac:dyDescent="0.25">
      <c r="A154" s="109" t="s">
        <v>211</v>
      </c>
      <c r="B154" s="61" t="s">
        <v>28</v>
      </c>
      <c r="C154" s="107" t="s">
        <v>212</v>
      </c>
      <c r="D154" s="63">
        <v>10000</v>
      </c>
      <c r="E154" s="64">
        <f t="shared" si="133"/>
        <v>10000</v>
      </c>
      <c r="F154" s="74">
        <f>E154+2834.3</f>
        <v>12834.3</v>
      </c>
      <c r="G154" s="64">
        <f t="shared" si="134"/>
        <v>12834.3</v>
      </c>
      <c r="H154" s="65">
        <f>G154-1988.8</f>
        <v>10845.5</v>
      </c>
      <c r="I154" s="70">
        <f>H154-262.6</f>
        <v>10582.9</v>
      </c>
      <c r="J154" s="64">
        <f t="shared" si="135"/>
        <v>10582.9</v>
      </c>
      <c r="K154" s="64">
        <f t="shared" si="135"/>
        <v>10582.9</v>
      </c>
      <c r="L154" s="66">
        <v>8944.0752900000007</v>
      </c>
      <c r="M154" s="66">
        <f t="shared" si="128"/>
        <v>84.514408054503036</v>
      </c>
      <c r="N154" s="66">
        <v>8944.0752900000007</v>
      </c>
      <c r="O154" s="66">
        <f>L154-N154</f>
        <v>0</v>
      </c>
      <c r="P154" s="71">
        <f>I154-L154</f>
        <v>1638.824709999999</v>
      </c>
      <c r="Q154" s="66">
        <f t="shared" si="136"/>
        <v>1638.824709999999</v>
      </c>
      <c r="R154" s="67">
        <f>10845.5-262.6</f>
        <v>10582.9</v>
      </c>
      <c r="S154" s="68" t="str">
        <f>IF(R154-K154&gt;0,R154-K154,"")</f>
        <v/>
      </c>
      <c r="T154" s="68" t="str">
        <f>IF(R154-K154&lt;0,R154-K154,"")</f>
        <v/>
      </c>
      <c r="U154" s="84" t="s">
        <v>213</v>
      </c>
    </row>
    <row r="155" spans="1:21" s="56" customFormat="1" ht="31.5" x14ac:dyDescent="0.25">
      <c r="A155" s="52" t="s">
        <v>214</v>
      </c>
      <c r="B155" s="57" t="s">
        <v>28</v>
      </c>
      <c r="C155" s="104">
        <f>SUM(C157,C161,C166:C170)</f>
        <v>0</v>
      </c>
      <c r="D155" s="54">
        <f>D156</f>
        <v>1872620.4</v>
      </c>
      <c r="E155" s="54">
        <f t="shared" ref="E155:T155" si="137">E156</f>
        <v>1872620.4</v>
      </c>
      <c r="F155" s="54">
        <f t="shared" si="137"/>
        <v>1945532.8</v>
      </c>
      <c r="G155" s="54">
        <f t="shared" si="137"/>
        <v>1945532.8</v>
      </c>
      <c r="H155" s="54">
        <f t="shared" si="137"/>
        <v>1934076.5</v>
      </c>
      <c r="I155" s="54">
        <f t="shared" si="137"/>
        <v>1922934.3</v>
      </c>
      <c r="J155" s="54">
        <f t="shared" si="137"/>
        <v>1922934.3</v>
      </c>
      <c r="K155" s="54">
        <f t="shared" si="137"/>
        <v>1922934.3</v>
      </c>
      <c r="L155" s="54">
        <f>L156</f>
        <v>1897731.50177</v>
      </c>
      <c r="M155" s="54">
        <f t="shared" si="128"/>
        <v>98.689357289534016</v>
      </c>
      <c r="N155" s="54">
        <f t="shared" si="137"/>
        <v>1897731.50177</v>
      </c>
      <c r="O155" s="54">
        <f t="shared" si="137"/>
        <v>0</v>
      </c>
      <c r="P155" s="96">
        <f t="shared" si="137"/>
        <v>25202.798230000022</v>
      </c>
      <c r="Q155" s="54">
        <f t="shared" si="137"/>
        <v>25202.798230000022</v>
      </c>
      <c r="R155" s="54">
        <f t="shared" si="137"/>
        <v>1932192.3474000001</v>
      </c>
      <c r="S155" s="54">
        <f t="shared" si="137"/>
        <v>9258.0473999999958</v>
      </c>
      <c r="T155" s="54">
        <f t="shared" si="137"/>
        <v>0</v>
      </c>
      <c r="U155" s="105"/>
    </row>
    <row r="156" spans="1:21" s="56" customFormat="1" x14ac:dyDescent="0.25">
      <c r="A156" s="46" t="s">
        <v>27</v>
      </c>
      <c r="B156" s="57" t="s">
        <v>28</v>
      </c>
      <c r="C156" s="106"/>
      <c r="D156" s="39">
        <f>SUMIF($B$157:$B$172,"=01",D157:D172)</f>
        <v>1872620.4</v>
      </c>
      <c r="E156" s="39">
        <f t="shared" ref="E156:T156" si="138">SUMIF($B$157:$B$172,"=01",E157:E172)</f>
        <v>1872620.4</v>
      </c>
      <c r="F156" s="39">
        <f t="shared" si="138"/>
        <v>1945532.8</v>
      </c>
      <c r="G156" s="39">
        <f t="shared" si="138"/>
        <v>1945532.8</v>
      </c>
      <c r="H156" s="39">
        <f t="shared" si="138"/>
        <v>1934076.5</v>
      </c>
      <c r="I156" s="39">
        <f t="shared" si="138"/>
        <v>1922934.3</v>
      </c>
      <c r="J156" s="39">
        <f t="shared" si="138"/>
        <v>1922934.3</v>
      </c>
      <c r="K156" s="39">
        <f t="shared" si="138"/>
        <v>1922934.3</v>
      </c>
      <c r="L156" s="39">
        <f t="shared" si="138"/>
        <v>1897731.50177</v>
      </c>
      <c r="M156" s="39">
        <f t="shared" si="128"/>
        <v>98.689357289534016</v>
      </c>
      <c r="N156" s="39">
        <f t="shared" si="138"/>
        <v>1897731.50177</v>
      </c>
      <c r="O156" s="39">
        <f t="shared" si="138"/>
        <v>0</v>
      </c>
      <c r="P156" s="40">
        <f t="shared" si="138"/>
        <v>25202.798230000022</v>
      </c>
      <c r="Q156" s="39">
        <f t="shared" si="138"/>
        <v>25202.798230000022</v>
      </c>
      <c r="R156" s="39">
        <f t="shared" si="138"/>
        <v>1932192.3474000001</v>
      </c>
      <c r="S156" s="39">
        <f t="shared" si="138"/>
        <v>9258.0473999999958</v>
      </c>
      <c r="T156" s="39">
        <f t="shared" si="138"/>
        <v>0</v>
      </c>
      <c r="U156" s="105"/>
    </row>
    <row r="157" spans="1:21" s="138" customFormat="1" ht="47.25" x14ac:dyDescent="0.25">
      <c r="A157" s="132" t="s">
        <v>215</v>
      </c>
      <c r="B157" s="133"/>
      <c r="C157" s="134">
        <f>SUM(C158:C160)</f>
        <v>0</v>
      </c>
      <c r="D157" s="135">
        <f>SUM(D158:D160)</f>
        <v>389453.9</v>
      </c>
      <c r="E157" s="135">
        <f>SUM(E158:E160)</f>
        <v>389453.9</v>
      </c>
      <c r="F157" s="135">
        <f t="shared" ref="F157:P157" si="139">SUM(F158:F160)</f>
        <v>428121.80000000005</v>
      </c>
      <c r="G157" s="135">
        <f t="shared" si="139"/>
        <v>428121.80000000005</v>
      </c>
      <c r="H157" s="135">
        <f t="shared" si="139"/>
        <v>428251.30000000005</v>
      </c>
      <c r="I157" s="135">
        <f t="shared" si="139"/>
        <v>426874.30000000005</v>
      </c>
      <c r="J157" s="135">
        <f t="shared" si="139"/>
        <v>426874.30000000005</v>
      </c>
      <c r="K157" s="135">
        <f t="shared" si="139"/>
        <v>426874.30000000005</v>
      </c>
      <c r="L157" s="66">
        <f>SUM(L158:L160)</f>
        <v>424182.98298999999</v>
      </c>
      <c r="M157" s="66">
        <f t="shared" si="128"/>
        <v>99.369529388393715</v>
      </c>
      <c r="N157" s="66">
        <f>SUM(N158:N160)</f>
        <v>424182.98298999999</v>
      </c>
      <c r="O157" s="135">
        <f t="shared" si="139"/>
        <v>0</v>
      </c>
      <c r="P157" s="136">
        <f t="shared" si="139"/>
        <v>2691.3170100000279</v>
      </c>
      <c r="Q157" s="66">
        <f t="shared" si="136"/>
        <v>2691.3170100000571</v>
      </c>
      <c r="R157" s="135">
        <f t="shared" ref="R157" si="140">SUM(R158:R160)</f>
        <v>426874.30000000005</v>
      </c>
      <c r="S157" s="68"/>
      <c r="T157" s="68"/>
      <c r="U157" s="137"/>
    </row>
    <row r="158" spans="1:21" ht="31.5" x14ac:dyDescent="0.25">
      <c r="A158" s="109" t="s">
        <v>216</v>
      </c>
      <c r="B158" s="61" t="s">
        <v>28</v>
      </c>
      <c r="C158" s="107" t="s">
        <v>217</v>
      </c>
      <c r="D158" s="63">
        <v>206978.5</v>
      </c>
      <c r="E158" s="64">
        <f t="shared" ref="E158:E160" si="141">D158</f>
        <v>206978.5</v>
      </c>
      <c r="F158" s="74">
        <f>E158+22079</f>
        <v>229057.5</v>
      </c>
      <c r="G158" s="64">
        <f t="shared" ref="G158:G160" si="142">F158</f>
        <v>229057.5</v>
      </c>
      <c r="H158" s="65">
        <f>G158-1000</f>
        <v>228057.5</v>
      </c>
      <c r="I158" s="70">
        <f>H158-1377</f>
        <v>226680.5</v>
      </c>
      <c r="J158" s="64">
        <f t="shared" ref="H158:K173" si="143">I158</f>
        <v>226680.5</v>
      </c>
      <c r="K158" s="64">
        <f t="shared" si="143"/>
        <v>226680.5</v>
      </c>
      <c r="L158" s="66">
        <v>223732.28299000001</v>
      </c>
      <c r="M158" s="66">
        <f t="shared" si="128"/>
        <v>98.699395400133668</v>
      </c>
      <c r="N158" s="66">
        <v>223732.28299000001</v>
      </c>
      <c r="O158" s="66">
        <f>L158-N158</f>
        <v>0</v>
      </c>
      <c r="P158" s="71">
        <f>I158-L158</f>
        <v>2948.217009999993</v>
      </c>
      <c r="Q158" s="66">
        <f t="shared" si="136"/>
        <v>2948.217009999993</v>
      </c>
      <c r="R158" s="67">
        <f>K158</f>
        <v>226680.5</v>
      </c>
      <c r="S158" s="68"/>
      <c r="T158" s="68"/>
      <c r="U158" s="69"/>
    </row>
    <row r="159" spans="1:21" s="10" customFormat="1" x14ac:dyDescent="0.25">
      <c r="A159" s="109" t="s">
        <v>218</v>
      </c>
      <c r="B159" s="61" t="s">
        <v>28</v>
      </c>
      <c r="C159" s="107" t="s">
        <v>217</v>
      </c>
      <c r="D159" s="63">
        <v>58768.800000000003</v>
      </c>
      <c r="E159" s="64">
        <f t="shared" si="141"/>
        <v>58768.800000000003</v>
      </c>
      <c r="F159" s="74">
        <f>E159+7224.2</f>
        <v>65993</v>
      </c>
      <c r="G159" s="64">
        <f t="shared" si="142"/>
        <v>65993</v>
      </c>
      <c r="H159" s="64">
        <f t="shared" si="143"/>
        <v>65993</v>
      </c>
      <c r="I159" s="64">
        <f t="shared" si="143"/>
        <v>65993</v>
      </c>
      <c r="J159" s="64">
        <f t="shared" si="143"/>
        <v>65993</v>
      </c>
      <c r="K159" s="64">
        <f t="shared" si="143"/>
        <v>65993</v>
      </c>
      <c r="L159" s="66">
        <f>N159</f>
        <v>66175.899999999994</v>
      </c>
      <c r="M159" s="66">
        <f t="shared" si="128"/>
        <v>100.27715060688254</v>
      </c>
      <c r="N159" s="66">
        <v>66175.899999999994</v>
      </c>
      <c r="O159" s="66">
        <f>L159-N159</f>
        <v>0</v>
      </c>
      <c r="P159" s="71">
        <f>I159-L159</f>
        <v>-182.89999999999418</v>
      </c>
      <c r="Q159" s="66">
        <f t="shared" si="136"/>
        <v>-182.89999999999418</v>
      </c>
      <c r="R159" s="67">
        <f>K159</f>
        <v>65993</v>
      </c>
      <c r="S159" s="68"/>
      <c r="T159" s="68"/>
      <c r="U159" s="139"/>
    </row>
    <row r="160" spans="1:21" s="10" customFormat="1" x14ac:dyDescent="0.25">
      <c r="A160" s="109" t="s">
        <v>219</v>
      </c>
      <c r="B160" s="61" t="s">
        <v>28</v>
      </c>
      <c r="C160" s="107" t="s">
        <v>217</v>
      </c>
      <c r="D160" s="63">
        <v>123706.6</v>
      </c>
      <c r="E160" s="64">
        <f t="shared" si="141"/>
        <v>123706.6</v>
      </c>
      <c r="F160" s="74">
        <f>E160+9364.7</f>
        <v>133071.30000000002</v>
      </c>
      <c r="G160" s="64">
        <f t="shared" si="142"/>
        <v>133071.30000000002</v>
      </c>
      <c r="H160" s="65">
        <f>G160+1129.5</f>
        <v>134200.80000000002</v>
      </c>
      <c r="I160" s="64">
        <f t="shared" si="143"/>
        <v>134200.80000000002</v>
      </c>
      <c r="J160" s="64">
        <f t="shared" si="143"/>
        <v>134200.80000000002</v>
      </c>
      <c r="K160" s="64">
        <f t="shared" si="143"/>
        <v>134200.80000000002</v>
      </c>
      <c r="L160" s="66">
        <f>N160</f>
        <v>134274.79999999999</v>
      </c>
      <c r="M160" s="66">
        <f t="shared" si="128"/>
        <v>100.05514125102084</v>
      </c>
      <c r="N160" s="66">
        <v>134274.79999999999</v>
      </c>
      <c r="O160" s="66">
        <f>L160-N160</f>
        <v>0</v>
      </c>
      <c r="P160" s="71">
        <f>I160-L160</f>
        <v>-73.999999999970896</v>
      </c>
      <c r="Q160" s="66">
        <f t="shared" si="136"/>
        <v>-73.999999999970896</v>
      </c>
      <c r="R160" s="67">
        <f>K160</f>
        <v>134200.80000000002</v>
      </c>
      <c r="S160" s="68"/>
      <c r="T160" s="68"/>
      <c r="U160" s="139"/>
    </row>
    <row r="161" spans="1:21" s="143" customFormat="1" ht="31.5" x14ac:dyDescent="0.25">
      <c r="A161" s="132" t="s">
        <v>220</v>
      </c>
      <c r="B161" s="133"/>
      <c r="C161" s="140"/>
      <c r="D161" s="135">
        <f>SUM(D162:D165)</f>
        <v>1280241.9999999998</v>
      </c>
      <c r="E161" s="135">
        <f t="shared" ref="E161:R161" si="144">SUM(E162:E165)</f>
        <v>1280241.9999999998</v>
      </c>
      <c r="F161" s="135">
        <f t="shared" si="144"/>
        <v>1309321.5999999999</v>
      </c>
      <c r="G161" s="135">
        <f t="shared" si="144"/>
        <v>1309321.5999999999</v>
      </c>
      <c r="H161" s="135">
        <f t="shared" si="144"/>
        <v>1309399.0999999999</v>
      </c>
      <c r="I161" s="71">
        <f t="shared" si="143"/>
        <v>1309399.0999999999</v>
      </c>
      <c r="J161" s="135">
        <f t="shared" ref="J161:K161" si="145">SUM(J162:J165)</f>
        <v>1309399.0999999999</v>
      </c>
      <c r="K161" s="135">
        <f t="shared" si="145"/>
        <v>1309399.0999999999</v>
      </c>
      <c r="L161" s="66">
        <f>SUM(L162:L165)</f>
        <v>1286502.8999999999</v>
      </c>
      <c r="M161" s="66">
        <f t="shared" si="128"/>
        <v>98.251396384799719</v>
      </c>
      <c r="N161" s="66">
        <f>SUM(N162:N165)</f>
        <v>1286502.8999999999</v>
      </c>
      <c r="O161" s="135">
        <f t="shared" si="144"/>
        <v>0</v>
      </c>
      <c r="P161" s="141">
        <f t="shared" si="144"/>
        <v>22896.199999999975</v>
      </c>
      <c r="Q161" s="135">
        <f t="shared" si="144"/>
        <v>22896.199999999975</v>
      </c>
      <c r="R161" s="135">
        <f t="shared" si="144"/>
        <v>1309399.0999999999</v>
      </c>
      <c r="S161" s="68"/>
      <c r="T161" s="68"/>
      <c r="U161" s="142"/>
    </row>
    <row r="162" spans="1:21" s="10" customFormat="1" ht="31.5" x14ac:dyDescent="0.25">
      <c r="A162" s="109" t="s">
        <v>221</v>
      </c>
      <c r="B162" s="61" t="s">
        <v>28</v>
      </c>
      <c r="C162" s="107" t="s">
        <v>222</v>
      </c>
      <c r="D162" s="63">
        <v>27701.599999999999</v>
      </c>
      <c r="E162" s="64">
        <f t="shared" ref="E162:F172" si="146">D162</f>
        <v>27701.599999999999</v>
      </c>
      <c r="F162" s="74">
        <f>E162+695.5</f>
        <v>28397.1</v>
      </c>
      <c r="G162" s="64">
        <f t="shared" ref="G162:H172" si="147">F162</f>
        <v>28397.1</v>
      </c>
      <c r="H162" s="64">
        <f t="shared" si="147"/>
        <v>28397.1</v>
      </c>
      <c r="I162" s="64">
        <f t="shared" si="143"/>
        <v>28397.1</v>
      </c>
      <c r="J162" s="64">
        <f t="shared" si="143"/>
        <v>28397.1</v>
      </c>
      <c r="K162" s="64">
        <f t="shared" si="143"/>
        <v>28397.1</v>
      </c>
      <c r="L162" s="66">
        <f>N162</f>
        <v>28741.5</v>
      </c>
      <c r="M162" s="66">
        <f t="shared" si="128"/>
        <v>101.21279989858121</v>
      </c>
      <c r="N162" s="66">
        <v>28741.5</v>
      </c>
      <c r="O162" s="66">
        <f t="shared" ref="O162:O172" si="148">L162-N162</f>
        <v>0</v>
      </c>
      <c r="P162" s="71">
        <f t="shared" ref="P162:P172" si="149">I162-L162</f>
        <v>-344.40000000000146</v>
      </c>
      <c r="Q162" s="66">
        <f t="shared" si="136"/>
        <v>-344.40000000000146</v>
      </c>
      <c r="R162" s="67">
        <f>K162</f>
        <v>28397.1</v>
      </c>
      <c r="S162" s="68"/>
      <c r="T162" s="68"/>
      <c r="U162" s="139"/>
    </row>
    <row r="163" spans="1:21" s="10" customFormat="1" x14ac:dyDescent="0.25">
      <c r="A163" s="144" t="s">
        <v>223</v>
      </c>
      <c r="B163" s="145" t="s">
        <v>28</v>
      </c>
      <c r="C163" s="107" t="s">
        <v>222</v>
      </c>
      <c r="D163" s="63">
        <v>1010232.2</v>
      </c>
      <c r="E163" s="64">
        <f t="shared" si="146"/>
        <v>1010232.2</v>
      </c>
      <c r="F163" s="64">
        <f>E163+1265.8</f>
        <v>1011498</v>
      </c>
      <c r="G163" s="64">
        <f t="shared" si="147"/>
        <v>1011498</v>
      </c>
      <c r="H163" s="64">
        <f t="shared" si="147"/>
        <v>1011498</v>
      </c>
      <c r="I163" s="64">
        <f t="shared" si="143"/>
        <v>1011498</v>
      </c>
      <c r="J163" s="64">
        <f t="shared" si="143"/>
        <v>1011498</v>
      </c>
      <c r="K163" s="66">
        <f t="shared" si="143"/>
        <v>1011498</v>
      </c>
      <c r="L163" s="66">
        <f>N163</f>
        <v>1023526</v>
      </c>
      <c r="M163" s="66">
        <f t="shared" si="128"/>
        <v>101.18912741300528</v>
      </c>
      <c r="N163" s="66">
        <v>1023526</v>
      </c>
      <c r="O163" s="66">
        <f t="shared" si="148"/>
        <v>0</v>
      </c>
      <c r="P163" s="71">
        <f t="shared" si="149"/>
        <v>-12028</v>
      </c>
      <c r="Q163" s="66">
        <f t="shared" si="136"/>
        <v>-12028</v>
      </c>
      <c r="R163" s="67">
        <f>K163</f>
        <v>1011498</v>
      </c>
      <c r="S163" s="68"/>
      <c r="T163" s="68"/>
      <c r="U163" s="139"/>
    </row>
    <row r="164" spans="1:21" s="10" customFormat="1" ht="31.5" x14ac:dyDescent="0.25">
      <c r="A164" s="109" t="s">
        <v>224</v>
      </c>
      <c r="B164" s="61" t="s">
        <v>28</v>
      </c>
      <c r="C164" s="100" t="s">
        <v>225</v>
      </c>
      <c r="D164" s="63">
        <v>241642</v>
      </c>
      <c r="E164" s="64">
        <f t="shared" si="146"/>
        <v>241642</v>
      </c>
      <c r="F164" s="74">
        <f>E164+27118.3</f>
        <v>268760.3</v>
      </c>
      <c r="G164" s="64">
        <f t="shared" si="147"/>
        <v>268760.3</v>
      </c>
      <c r="H164" s="64">
        <f t="shared" si="147"/>
        <v>268760.3</v>
      </c>
      <c r="I164" s="64">
        <f t="shared" si="143"/>
        <v>268760.3</v>
      </c>
      <c r="J164" s="64">
        <f t="shared" si="143"/>
        <v>268760.3</v>
      </c>
      <c r="K164" s="66">
        <f t="shared" si="143"/>
        <v>268760.3</v>
      </c>
      <c r="L164" s="66">
        <f t="shared" ref="L164:L165" si="150">N164</f>
        <v>233702.2</v>
      </c>
      <c r="M164" s="66">
        <f t="shared" si="128"/>
        <v>86.95562551463145</v>
      </c>
      <c r="N164" s="66">
        <v>233702.2</v>
      </c>
      <c r="O164" s="66">
        <f t="shared" si="148"/>
        <v>0</v>
      </c>
      <c r="P164" s="71">
        <f t="shared" si="149"/>
        <v>35058.099999999977</v>
      </c>
      <c r="Q164" s="66">
        <f t="shared" si="136"/>
        <v>35058.099999999977</v>
      </c>
      <c r="R164" s="67">
        <f>K164</f>
        <v>268760.3</v>
      </c>
      <c r="S164" s="68"/>
      <c r="T164" s="68"/>
      <c r="U164" s="139"/>
    </row>
    <row r="165" spans="1:21" s="10" customFormat="1" x14ac:dyDescent="0.25">
      <c r="A165" s="146" t="s">
        <v>226</v>
      </c>
      <c r="B165" s="61" t="s">
        <v>28</v>
      </c>
      <c r="C165" s="100" t="s">
        <v>227</v>
      </c>
      <c r="D165" s="63">
        <v>666.2</v>
      </c>
      <c r="E165" s="64">
        <f t="shared" si="146"/>
        <v>666.2</v>
      </c>
      <c r="F165" s="64">
        <f t="shared" si="146"/>
        <v>666.2</v>
      </c>
      <c r="G165" s="64">
        <f t="shared" si="147"/>
        <v>666.2</v>
      </c>
      <c r="H165" s="65">
        <f>G165+77.5</f>
        <v>743.7</v>
      </c>
      <c r="I165" s="64">
        <f t="shared" si="143"/>
        <v>743.7</v>
      </c>
      <c r="J165" s="64">
        <f t="shared" si="143"/>
        <v>743.7</v>
      </c>
      <c r="K165" s="66">
        <f t="shared" si="143"/>
        <v>743.7</v>
      </c>
      <c r="L165" s="66">
        <f t="shared" si="150"/>
        <v>533.20000000000005</v>
      </c>
      <c r="M165" s="66">
        <f t="shared" si="128"/>
        <v>71.695576173188115</v>
      </c>
      <c r="N165" s="66">
        <v>533.20000000000005</v>
      </c>
      <c r="O165" s="66">
        <f t="shared" si="148"/>
        <v>0</v>
      </c>
      <c r="P165" s="71">
        <f t="shared" si="149"/>
        <v>210.5</v>
      </c>
      <c r="Q165" s="66">
        <f t="shared" si="136"/>
        <v>210.5</v>
      </c>
      <c r="R165" s="67">
        <f>K165</f>
        <v>743.7</v>
      </c>
      <c r="S165" s="68"/>
      <c r="T165" s="68"/>
      <c r="U165" s="139"/>
    </row>
    <row r="166" spans="1:21" ht="165" customHeight="1" x14ac:dyDescent="0.25">
      <c r="A166" s="77" t="s">
        <v>228</v>
      </c>
      <c r="B166" s="61" t="s">
        <v>28</v>
      </c>
      <c r="C166" s="107" t="s">
        <v>229</v>
      </c>
      <c r="D166" s="63">
        <v>2896.8</v>
      </c>
      <c r="E166" s="64">
        <f t="shared" si="146"/>
        <v>2896.8</v>
      </c>
      <c r="F166" s="74">
        <f>E166-1996</f>
        <v>900.80000000000018</v>
      </c>
      <c r="G166" s="64">
        <f t="shared" si="147"/>
        <v>900.80000000000018</v>
      </c>
      <c r="H166" s="65">
        <f>G166+862.1</f>
        <v>1762.9</v>
      </c>
      <c r="I166" s="147">
        <f>H166-85.4</f>
        <v>1677.5</v>
      </c>
      <c r="J166" s="64">
        <f t="shared" si="143"/>
        <v>1677.5</v>
      </c>
      <c r="K166" s="66">
        <f t="shared" si="143"/>
        <v>1677.5</v>
      </c>
      <c r="L166" s="66">
        <v>1677.34</v>
      </c>
      <c r="M166" s="66">
        <f t="shared" si="128"/>
        <v>99.990461997019366</v>
      </c>
      <c r="N166" s="66">
        <v>1677.34</v>
      </c>
      <c r="O166" s="66">
        <f t="shared" si="148"/>
        <v>0</v>
      </c>
      <c r="P166" s="71">
        <f t="shared" si="149"/>
        <v>0.16000000000008185</v>
      </c>
      <c r="Q166" s="66">
        <f t="shared" si="136"/>
        <v>0.16000000000008185</v>
      </c>
      <c r="R166" s="67">
        <f>K166</f>
        <v>1677.5</v>
      </c>
      <c r="S166" s="68" t="str">
        <f t="shared" ref="S166:S171" si="151">IF(R166-K166&gt;0,R166-K166,"")</f>
        <v/>
      </c>
      <c r="T166" s="68" t="str">
        <f t="shared" ref="T166:T171" si="152">IF(R166-K166&lt;0,R166-K166,"")</f>
        <v/>
      </c>
      <c r="U166" s="69"/>
    </row>
    <row r="167" spans="1:21" ht="77.25" customHeight="1" x14ac:dyDescent="0.25">
      <c r="A167" s="73" t="s">
        <v>230</v>
      </c>
      <c r="B167" s="61" t="s">
        <v>28</v>
      </c>
      <c r="C167" s="107" t="s">
        <v>231</v>
      </c>
      <c r="D167" s="63">
        <v>67015.600000000006</v>
      </c>
      <c r="E167" s="64">
        <f t="shared" si="146"/>
        <v>67015.600000000006</v>
      </c>
      <c r="F167" s="74">
        <f>E167+751</f>
        <v>67766.600000000006</v>
      </c>
      <c r="G167" s="64">
        <f t="shared" si="147"/>
        <v>67766.600000000006</v>
      </c>
      <c r="H167" s="65">
        <f>G167-11175</f>
        <v>56591.600000000006</v>
      </c>
      <c r="I167" s="147">
        <f>H167-9089.3</f>
        <v>47502.3</v>
      </c>
      <c r="J167" s="64">
        <f t="shared" si="143"/>
        <v>47502.3</v>
      </c>
      <c r="K167" s="66">
        <f t="shared" si="143"/>
        <v>47502.3</v>
      </c>
      <c r="L167" s="66">
        <v>47293.35699</v>
      </c>
      <c r="M167" s="66">
        <f t="shared" si="128"/>
        <v>99.560141277369723</v>
      </c>
      <c r="N167" s="66">
        <v>47293.35699</v>
      </c>
      <c r="O167" s="66">
        <f t="shared" si="148"/>
        <v>0</v>
      </c>
      <c r="P167" s="71">
        <f t="shared" si="149"/>
        <v>208.94301000000269</v>
      </c>
      <c r="Q167" s="66">
        <f t="shared" si="136"/>
        <v>208.94301000000269</v>
      </c>
      <c r="R167" s="148">
        <v>56510.366999999998</v>
      </c>
      <c r="S167" s="68">
        <f t="shared" si="151"/>
        <v>9008.0669999999955</v>
      </c>
      <c r="T167" s="68" t="str">
        <f t="shared" si="152"/>
        <v/>
      </c>
      <c r="U167" s="125"/>
    </row>
    <row r="168" spans="1:21" ht="110.25" customHeight="1" x14ac:dyDescent="0.25">
      <c r="A168" s="73" t="s">
        <v>232</v>
      </c>
      <c r="B168" s="61" t="s">
        <v>28</v>
      </c>
      <c r="C168" s="107" t="s">
        <v>233</v>
      </c>
      <c r="D168" s="63">
        <v>1501.5</v>
      </c>
      <c r="E168" s="64">
        <f t="shared" si="146"/>
        <v>1501.5</v>
      </c>
      <c r="F168" s="74">
        <f>E168+945</f>
        <v>2446.5</v>
      </c>
      <c r="G168" s="64">
        <f t="shared" si="147"/>
        <v>2446.5</v>
      </c>
      <c r="H168" s="65">
        <f>G168-186.4</f>
        <v>2260.1</v>
      </c>
      <c r="I168" s="147">
        <f>H168-200.3</f>
        <v>2059.7999999999997</v>
      </c>
      <c r="J168" s="64">
        <f t="shared" si="143"/>
        <v>2059.7999999999997</v>
      </c>
      <c r="K168" s="66">
        <f t="shared" si="143"/>
        <v>2059.7999999999997</v>
      </c>
      <c r="L168" s="66">
        <v>2059.7804000000001</v>
      </c>
      <c r="M168" s="66">
        <f t="shared" si="128"/>
        <v>99.999048451305967</v>
      </c>
      <c r="N168" s="66">
        <v>2059.7804000000001</v>
      </c>
      <c r="O168" s="66">
        <f>L168-N168</f>
        <v>0</v>
      </c>
      <c r="P168" s="71">
        <f t="shared" si="149"/>
        <v>1.9599999999627471E-2</v>
      </c>
      <c r="Q168" s="66">
        <f t="shared" si="136"/>
        <v>1.9599999999627471E-2</v>
      </c>
      <c r="R168" s="67">
        <f>2260.1-0.3196</f>
        <v>2259.7804000000001</v>
      </c>
      <c r="S168" s="68">
        <f t="shared" si="151"/>
        <v>199.98040000000037</v>
      </c>
      <c r="T168" s="68" t="str">
        <f t="shared" si="152"/>
        <v/>
      </c>
      <c r="U168" s="125"/>
    </row>
    <row r="169" spans="1:21" ht="30" customHeight="1" x14ac:dyDescent="0.25">
      <c r="A169" s="73" t="s">
        <v>234</v>
      </c>
      <c r="B169" s="61" t="s">
        <v>28</v>
      </c>
      <c r="C169" s="107" t="s">
        <v>235</v>
      </c>
      <c r="D169" s="63">
        <v>9027.5</v>
      </c>
      <c r="E169" s="64">
        <f t="shared" si="146"/>
        <v>9027.5</v>
      </c>
      <c r="F169" s="74">
        <f>E169-7827.5</f>
        <v>1200</v>
      </c>
      <c r="G169" s="64">
        <f t="shared" si="147"/>
        <v>1200</v>
      </c>
      <c r="H169" s="65">
        <f>G169-614</f>
        <v>586</v>
      </c>
      <c r="I169" s="147">
        <f>H169-301.2</f>
        <v>284.8</v>
      </c>
      <c r="J169" s="64">
        <f t="shared" si="143"/>
        <v>284.8</v>
      </c>
      <c r="K169" s="66">
        <f t="shared" si="143"/>
        <v>284.8</v>
      </c>
      <c r="L169" s="66">
        <f>N169</f>
        <v>284.79599999999999</v>
      </c>
      <c r="M169" s="66">
        <f t="shared" si="128"/>
        <v>99.998595505617971</v>
      </c>
      <c r="N169" s="66">
        <v>284.79599999999999</v>
      </c>
      <c r="O169" s="66">
        <f t="shared" si="148"/>
        <v>0</v>
      </c>
      <c r="P169" s="71">
        <f t="shared" si="149"/>
        <v>4.0000000000190994E-3</v>
      </c>
      <c r="Q169" s="66">
        <f t="shared" si="136"/>
        <v>4.0000000000190994E-3</v>
      </c>
      <c r="R169" s="67">
        <f>K169</f>
        <v>284.8</v>
      </c>
      <c r="S169" s="68" t="str">
        <f t="shared" si="151"/>
        <v/>
      </c>
      <c r="T169" s="68" t="str">
        <f t="shared" si="152"/>
        <v/>
      </c>
      <c r="U169" s="69"/>
    </row>
    <row r="170" spans="1:21" ht="70.5" customHeight="1" x14ac:dyDescent="0.25">
      <c r="A170" s="109" t="s">
        <v>236</v>
      </c>
      <c r="B170" s="61" t="s">
        <v>28</v>
      </c>
      <c r="C170" s="107" t="s">
        <v>237</v>
      </c>
      <c r="D170" s="63">
        <v>122204.2</v>
      </c>
      <c r="E170" s="64">
        <f t="shared" si="146"/>
        <v>122204.2</v>
      </c>
      <c r="F170" s="74">
        <f>E170+12763.9</f>
        <v>134968.1</v>
      </c>
      <c r="G170" s="64">
        <f t="shared" si="147"/>
        <v>134968.1</v>
      </c>
      <c r="H170" s="65">
        <f>G170-300</f>
        <v>134668.1</v>
      </c>
      <c r="I170" s="66">
        <f t="shared" si="143"/>
        <v>134668.1</v>
      </c>
      <c r="J170" s="64">
        <f t="shared" si="143"/>
        <v>134668.1</v>
      </c>
      <c r="K170" s="66">
        <f t="shared" si="143"/>
        <v>134668.1</v>
      </c>
      <c r="L170" s="66">
        <f>N170</f>
        <v>135259.64538999999</v>
      </c>
      <c r="M170" s="66">
        <f t="shared" si="128"/>
        <v>100.43926170340265</v>
      </c>
      <c r="N170" s="66">
        <v>135259.64538999999</v>
      </c>
      <c r="O170" s="149">
        <f t="shared" si="148"/>
        <v>0</v>
      </c>
      <c r="P170" s="71">
        <f t="shared" si="149"/>
        <v>-591.54538999998476</v>
      </c>
      <c r="Q170" s="66">
        <f t="shared" si="136"/>
        <v>-591.54538999998476</v>
      </c>
      <c r="R170" s="67">
        <f>K170</f>
        <v>134668.1</v>
      </c>
      <c r="S170" s="68" t="str">
        <f t="shared" si="151"/>
        <v/>
      </c>
      <c r="T170" s="68" t="str">
        <f t="shared" si="152"/>
        <v/>
      </c>
      <c r="U170" s="69"/>
    </row>
    <row r="171" spans="1:21" ht="57.75" customHeight="1" x14ac:dyDescent="0.25">
      <c r="A171" s="109" t="s">
        <v>238</v>
      </c>
      <c r="B171" s="61" t="s">
        <v>28</v>
      </c>
      <c r="C171" s="107" t="s">
        <v>239</v>
      </c>
      <c r="D171" s="63"/>
      <c r="E171" s="66"/>
      <c r="F171" s="150">
        <v>500</v>
      </c>
      <c r="G171" s="66">
        <f t="shared" si="147"/>
        <v>500</v>
      </c>
      <c r="H171" s="151">
        <f>G171-250</f>
        <v>250</v>
      </c>
      <c r="I171" s="147">
        <f>H171-89</f>
        <v>161</v>
      </c>
      <c r="J171" s="66">
        <f t="shared" si="143"/>
        <v>161</v>
      </c>
      <c r="K171" s="66">
        <f t="shared" si="143"/>
        <v>161</v>
      </c>
      <c r="L171" s="66">
        <v>161</v>
      </c>
      <c r="M171" s="66">
        <f t="shared" si="128"/>
        <v>100</v>
      </c>
      <c r="N171" s="66">
        <v>161</v>
      </c>
      <c r="O171" s="149">
        <f t="shared" si="148"/>
        <v>0</v>
      </c>
      <c r="P171" s="71">
        <f t="shared" si="149"/>
        <v>0</v>
      </c>
      <c r="Q171" s="66">
        <f t="shared" si="136"/>
        <v>0</v>
      </c>
      <c r="R171" s="148">
        <v>211</v>
      </c>
      <c r="S171" s="68">
        <f t="shared" si="151"/>
        <v>50</v>
      </c>
      <c r="T171" s="68" t="str">
        <f t="shared" si="152"/>
        <v/>
      </c>
      <c r="U171" s="69"/>
    </row>
    <row r="172" spans="1:21" ht="102" customHeight="1" x14ac:dyDescent="0.25">
      <c r="A172" s="126" t="s">
        <v>240</v>
      </c>
      <c r="B172" s="61" t="s">
        <v>28</v>
      </c>
      <c r="C172" s="107" t="s">
        <v>241</v>
      </c>
      <c r="D172" s="63">
        <v>278.89999999999998</v>
      </c>
      <c r="E172" s="66">
        <f t="shared" si="146"/>
        <v>278.89999999999998</v>
      </c>
      <c r="F172" s="150">
        <f>E172+28.5</f>
        <v>307.39999999999998</v>
      </c>
      <c r="G172" s="66">
        <f t="shared" si="147"/>
        <v>307.39999999999998</v>
      </c>
      <c r="H172" s="66">
        <f t="shared" si="147"/>
        <v>307.39999999999998</v>
      </c>
      <c r="I172" s="66">
        <f t="shared" si="143"/>
        <v>307.39999999999998</v>
      </c>
      <c r="J172" s="66">
        <f t="shared" si="143"/>
        <v>307.39999999999998</v>
      </c>
      <c r="K172" s="66">
        <f t="shared" si="143"/>
        <v>307.39999999999998</v>
      </c>
      <c r="L172" s="66">
        <v>309.7</v>
      </c>
      <c r="M172" s="66">
        <f t="shared" si="128"/>
        <v>100.74821080026024</v>
      </c>
      <c r="N172" s="66">
        <v>309.7</v>
      </c>
      <c r="O172" s="66">
        <f t="shared" si="148"/>
        <v>0</v>
      </c>
      <c r="P172" s="71">
        <f t="shared" si="149"/>
        <v>-2.3000000000000114</v>
      </c>
      <c r="Q172" s="66">
        <f t="shared" si="136"/>
        <v>-2.3000000000000114</v>
      </c>
      <c r="R172" s="67">
        <f>K172</f>
        <v>307.39999999999998</v>
      </c>
      <c r="S172" s="68"/>
      <c r="T172" s="68"/>
      <c r="U172" s="69"/>
    </row>
    <row r="173" spans="1:21" s="154" customFormat="1" x14ac:dyDescent="0.25">
      <c r="A173" s="152"/>
      <c r="B173" s="153"/>
      <c r="C173" s="152"/>
      <c r="D173" s="152"/>
      <c r="E173" s="152"/>
      <c r="J173" s="152"/>
      <c r="K173" s="155">
        <f t="shared" si="143"/>
        <v>0</v>
      </c>
      <c r="L173" s="152"/>
      <c r="M173" s="152"/>
      <c r="N173" s="156"/>
      <c r="O173" s="157"/>
      <c r="P173" s="152"/>
      <c r="Q173" s="152"/>
    </row>
    <row r="174" spans="1:21" x14ac:dyDescent="0.25">
      <c r="A174" s="158"/>
      <c r="B174" s="159"/>
      <c r="C174" s="160"/>
      <c r="D174" s="160"/>
      <c r="E174" s="160"/>
      <c r="F174" s="161"/>
      <c r="G174" s="161"/>
      <c r="H174" s="161"/>
      <c r="I174" s="161"/>
      <c r="J174" s="162"/>
      <c r="K174" s="162"/>
      <c r="L174" s="162"/>
      <c r="M174" s="162"/>
      <c r="N174" s="163"/>
      <c r="P174" s="162"/>
      <c r="Q174" s="162"/>
    </row>
    <row r="175" spans="1:21" x14ac:dyDescent="0.25">
      <c r="A175" s="158"/>
      <c r="B175" s="159"/>
      <c r="C175" s="160"/>
      <c r="D175" s="160"/>
      <c r="E175" s="160"/>
      <c r="F175" s="161"/>
      <c r="G175" s="161"/>
      <c r="H175" s="161"/>
      <c r="I175" s="161"/>
      <c r="J175" s="162"/>
      <c r="K175" s="162"/>
      <c r="L175" s="162"/>
      <c r="M175" s="162"/>
      <c r="N175" s="163"/>
      <c r="P175" s="162"/>
      <c r="Q175" s="162"/>
    </row>
    <row r="176" spans="1:21" x14ac:dyDescent="0.25">
      <c r="A176" s="158"/>
      <c r="B176" s="159"/>
      <c r="C176" s="158"/>
      <c r="D176" s="158"/>
      <c r="E176" s="158"/>
    </row>
    <row r="177" spans="1:5" x14ac:dyDescent="0.25">
      <c r="A177" s="158"/>
      <c r="B177" s="159"/>
      <c r="C177" s="158"/>
      <c r="D177" s="158"/>
      <c r="E177" s="158"/>
    </row>
    <row r="178" spans="1:5" x14ac:dyDescent="0.25">
      <c r="A178" s="158"/>
      <c r="B178" s="159"/>
      <c r="C178" s="158"/>
      <c r="D178" s="158"/>
      <c r="E178" s="158"/>
    </row>
    <row r="179" spans="1:5" x14ac:dyDescent="0.25">
      <c r="A179" s="164"/>
      <c r="B179" s="159"/>
      <c r="C179" s="158"/>
      <c r="D179" s="158"/>
      <c r="E179" s="158"/>
    </row>
    <row r="180" spans="1:5" x14ac:dyDescent="0.25">
      <c r="A180" s="158"/>
      <c r="B180" s="159"/>
      <c r="C180" s="158"/>
      <c r="D180" s="158"/>
      <c r="E180" s="158"/>
    </row>
    <row r="181" spans="1:5" x14ac:dyDescent="0.25">
      <c r="A181" s="158"/>
      <c r="B181" s="159"/>
      <c r="C181" s="158"/>
      <c r="D181" s="158"/>
      <c r="E181" s="158"/>
    </row>
    <row r="182" spans="1:5" x14ac:dyDescent="0.25">
      <c r="A182" s="158"/>
      <c r="B182" s="159"/>
      <c r="C182" s="158"/>
      <c r="D182" s="158"/>
      <c r="E182" s="158"/>
    </row>
    <row r="183" spans="1:5" x14ac:dyDescent="0.25">
      <c r="A183" s="158"/>
      <c r="B183" s="159"/>
      <c r="C183" s="158"/>
      <c r="D183" s="158"/>
      <c r="E183" s="158"/>
    </row>
    <row r="184" spans="1:5" x14ac:dyDescent="0.25">
      <c r="A184" s="158"/>
      <c r="B184" s="159"/>
      <c r="C184" s="158"/>
      <c r="D184" s="158"/>
      <c r="E184" s="158"/>
    </row>
    <row r="185" spans="1:5" x14ac:dyDescent="0.25">
      <c r="A185" s="158"/>
      <c r="B185" s="159"/>
      <c r="C185" s="158"/>
      <c r="D185" s="158"/>
      <c r="E185" s="158"/>
    </row>
    <row r="186" spans="1:5" x14ac:dyDescent="0.25">
      <c r="A186" s="158"/>
      <c r="B186" s="159"/>
      <c r="C186" s="158"/>
      <c r="D186" s="158"/>
      <c r="E186" s="158"/>
    </row>
    <row r="187" spans="1:5" x14ac:dyDescent="0.25">
      <c r="A187" s="158"/>
      <c r="B187" s="159"/>
      <c r="C187" s="158"/>
      <c r="D187" s="158"/>
      <c r="E187" s="158"/>
    </row>
    <row r="188" spans="1:5" x14ac:dyDescent="0.25">
      <c r="A188" s="158"/>
      <c r="B188" s="159"/>
      <c r="C188" s="158"/>
      <c r="D188" s="158"/>
      <c r="E188" s="158"/>
    </row>
    <row r="189" spans="1:5" x14ac:dyDescent="0.25">
      <c r="A189" s="158"/>
      <c r="B189" s="159"/>
      <c r="C189" s="158"/>
      <c r="D189" s="158"/>
      <c r="E189" s="158"/>
    </row>
    <row r="190" spans="1:5" x14ac:dyDescent="0.25">
      <c r="A190" s="158"/>
      <c r="B190" s="159"/>
      <c r="C190" s="158"/>
      <c r="D190" s="158"/>
      <c r="E190" s="158"/>
    </row>
    <row r="191" spans="1:5" x14ac:dyDescent="0.25">
      <c r="A191" s="158"/>
      <c r="B191" s="159"/>
      <c r="C191" s="158"/>
      <c r="D191" s="158"/>
      <c r="E191" s="158"/>
    </row>
  </sheetData>
  <autoFilter ref="A7:U173">
    <filterColumn colId="1">
      <filters blank="1">
        <filter val="01"/>
        <filter val="02"/>
        <filter val="соф"/>
      </filters>
    </filterColumn>
  </autoFilter>
  <mergeCells count="25">
    <mergeCell ref="U57:U58"/>
    <mergeCell ref="U59:U61"/>
    <mergeCell ref="U63:U64"/>
    <mergeCell ref="O5:O6"/>
    <mergeCell ref="P5:P6"/>
    <mergeCell ref="Q5:Q6"/>
    <mergeCell ref="R5:R6"/>
    <mergeCell ref="S5:T5"/>
    <mergeCell ref="U5:U6"/>
    <mergeCell ref="H5:H6"/>
    <mergeCell ref="I5:I6"/>
    <mergeCell ref="J5:J6"/>
    <mergeCell ref="K5:K6"/>
    <mergeCell ref="L5:M5"/>
    <mergeCell ref="N5:N6"/>
    <mergeCell ref="A1:U1"/>
    <mergeCell ref="A2:U2"/>
    <mergeCell ref="A3:U3"/>
    <mergeCell ref="A5:A6"/>
    <mergeCell ref="B5:B6"/>
    <mergeCell ref="C5:C6"/>
    <mergeCell ref="D5:D6"/>
    <mergeCell ref="E5:E6"/>
    <mergeCell ref="F5:F6"/>
    <mergeCell ref="G5:G6"/>
  </mergeCells>
  <printOptions horizontalCentered="1"/>
  <pageMargins left="0.15748031496062992" right="0.19685039370078741" top="0.31496062992125984" bottom="0.35433070866141736" header="0.15748031496062992" footer="0.19685039370078741"/>
  <pageSetup paperSize="9" scale="75"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край</vt:lpstr>
      <vt:lpstr>край!Заголовки_для_печати</vt:lpstr>
      <vt:lpstr>край!Область_печати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 Вильнер</dc:creator>
  <cp:lastModifiedBy>Ольга В. Вильнер</cp:lastModifiedBy>
  <dcterms:created xsi:type="dcterms:W3CDTF">2021-01-18T02:55:20Z</dcterms:created>
  <dcterms:modified xsi:type="dcterms:W3CDTF">2021-01-18T03:03:27Z</dcterms:modified>
</cp:coreProperties>
</file>