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край" sheetId="1" r:id="rId1"/>
  </sheets>
  <externalReferences>
    <externalReference r:id="rId2"/>
  </externalReferences>
  <definedNames>
    <definedName name="_xlnm._FilterDatabase" localSheetId="0" hidden="1">край!$A$7:$U$175</definedName>
    <definedName name="_xlnm.Print_Titles" localSheetId="0">край!$A:$A,край!$5:$6</definedName>
    <definedName name="_xlnm.Print_Area" localSheetId="0">край!$A$1:$P$174</definedName>
  </definedNames>
  <calcPr calcId="145621" refMode="R1C1"/>
</workbook>
</file>

<file path=xl/calcChain.xml><?xml version="1.0" encoding="utf-8"?>
<calcChain xmlns="http://schemas.openxmlformats.org/spreadsheetml/2006/main">
  <c r="K175" i="1" l="1"/>
  <c r="O174" i="1"/>
  <c r="L174" i="1"/>
  <c r="E174" i="1"/>
  <c r="F174" i="1" s="1"/>
  <c r="G174" i="1" s="1"/>
  <c r="H174" i="1" s="1"/>
  <c r="I174" i="1" s="1"/>
  <c r="I173" i="1"/>
  <c r="P173" i="1" s="1"/>
  <c r="H173" i="1"/>
  <c r="E173" i="1"/>
  <c r="F173" i="1" s="1"/>
  <c r="O172" i="1"/>
  <c r="E172" i="1"/>
  <c r="F172" i="1" s="1"/>
  <c r="G172" i="1" s="1"/>
  <c r="H172" i="1" s="1"/>
  <c r="I172" i="1" s="1"/>
  <c r="O171" i="1"/>
  <c r="F171" i="1"/>
  <c r="G171" i="1" s="1"/>
  <c r="H171" i="1" s="1"/>
  <c r="I171" i="1" s="1"/>
  <c r="E171" i="1"/>
  <c r="O170" i="1"/>
  <c r="E170" i="1"/>
  <c r="F170" i="1" s="1"/>
  <c r="G170" i="1" s="1"/>
  <c r="H170" i="1" s="1"/>
  <c r="I170" i="1" s="1"/>
  <c r="L169" i="1"/>
  <c r="O169" i="1" s="1"/>
  <c r="E169" i="1"/>
  <c r="F169" i="1" s="1"/>
  <c r="G169" i="1" s="1"/>
  <c r="H169" i="1" s="1"/>
  <c r="I169" i="1" s="1"/>
  <c r="L168" i="1"/>
  <c r="O168" i="1" s="1"/>
  <c r="O159" i="1" s="1"/>
  <c r="O158" i="1" s="1"/>
  <c r="F168" i="1"/>
  <c r="G168" i="1" s="1"/>
  <c r="H168" i="1" s="1"/>
  <c r="I168" i="1" s="1"/>
  <c r="E168" i="1"/>
  <c r="O167" i="1"/>
  <c r="L167" i="1"/>
  <c r="G167" i="1"/>
  <c r="H167" i="1" s="1"/>
  <c r="I167" i="1" s="1"/>
  <c r="F167" i="1"/>
  <c r="E167" i="1"/>
  <c r="O166" i="1"/>
  <c r="L166" i="1"/>
  <c r="H166" i="1"/>
  <c r="I166" i="1" s="1"/>
  <c r="G166" i="1"/>
  <c r="F166" i="1"/>
  <c r="E166" i="1"/>
  <c r="O165" i="1"/>
  <c r="L165" i="1"/>
  <c r="E165" i="1"/>
  <c r="F165" i="1" s="1"/>
  <c r="N164" i="1"/>
  <c r="L164" i="1"/>
  <c r="E164" i="1"/>
  <c r="D164" i="1"/>
  <c r="O163" i="1"/>
  <c r="L163" i="1"/>
  <c r="E163" i="1"/>
  <c r="F163" i="1" s="1"/>
  <c r="G163" i="1" s="1"/>
  <c r="H163" i="1" s="1"/>
  <c r="I163" i="1" s="1"/>
  <c r="O162" i="1"/>
  <c r="O160" i="1" s="1"/>
  <c r="L162" i="1"/>
  <c r="E162" i="1"/>
  <c r="F162" i="1" s="1"/>
  <c r="G162" i="1" s="1"/>
  <c r="H162" i="1" s="1"/>
  <c r="I162" i="1" s="1"/>
  <c r="O161" i="1"/>
  <c r="E161" i="1"/>
  <c r="F161" i="1" s="1"/>
  <c r="N160" i="1"/>
  <c r="L160" i="1"/>
  <c r="E160" i="1"/>
  <c r="D160" i="1"/>
  <c r="C160" i="1"/>
  <c r="N159" i="1"/>
  <c r="N158" i="1" s="1"/>
  <c r="L159" i="1"/>
  <c r="E159" i="1"/>
  <c r="D159" i="1"/>
  <c r="E158" i="1"/>
  <c r="D158" i="1"/>
  <c r="C158" i="1"/>
  <c r="O157" i="1"/>
  <c r="L157" i="1"/>
  <c r="F157" i="1"/>
  <c r="G157" i="1" s="1"/>
  <c r="H157" i="1" s="1"/>
  <c r="I157" i="1" s="1"/>
  <c r="E157" i="1"/>
  <c r="O156" i="1"/>
  <c r="L156" i="1"/>
  <c r="E156" i="1"/>
  <c r="F156" i="1" s="1"/>
  <c r="G156" i="1" s="1"/>
  <c r="H156" i="1" s="1"/>
  <c r="I156" i="1" s="1"/>
  <c r="O155" i="1"/>
  <c r="O154" i="1" s="1"/>
  <c r="O153" i="1" s="1"/>
  <c r="L155" i="1"/>
  <c r="E155" i="1"/>
  <c r="F155" i="1" s="1"/>
  <c r="N154" i="1"/>
  <c r="L154" i="1"/>
  <c r="D154" i="1"/>
  <c r="N153" i="1"/>
  <c r="D153" i="1"/>
  <c r="C153" i="1"/>
  <c r="O152" i="1"/>
  <c r="E152" i="1"/>
  <c r="F152" i="1" s="1"/>
  <c r="G152" i="1" s="1"/>
  <c r="H152" i="1" s="1"/>
  <c r="I152" i="1" s="1"/>
  <c r="O151" i="1"/>
  <c r="E151" i="1"/>
  <c r="F151" i="1" s="1"/>
  <c r="G151" i="1" s="1"/>
  <c r="H151" i="1" s="1"/>
  <c r="I151" i="1" s="1"/>
  <c r="O150" i="1"/>
  <c r="F150" i="1"/>
  <c r="G150" i="1" s="1"/>
  <c r="H150" i="1" s="1"/>
  <c r="I150" i="1" s="1"/>
  <c r="E150" i="1"/>
  <c r="O149" i="1"/>
  <c r="F149" i="1"/>
  <c r="G149" i="1" s="1"/>
  <c r="H149" i="1" s="1"/>
  <c r="I149" i="1" s="1"/>
  <c r="E149" i="1"/>
  <c r="O148" i="1"/>
  <c r="F148" i="1"/>
  <c r="G148" i="1" s="1"/>
  <c r="H148" i="1" s="1"/>
  <c r="I148" i="1" s="1"/>
  <c r="E148" i="1"/>
  <c r="O147" i="1"/>
  <c r="E147" i="1"/>
  <c r="F147" i="1" s="1"/>
  <c r="G147" i="1" s="1"/>
  <c r="H147" i="1" s="1"/>
  <c r="I147" i="1" s="1"/>
  <c r="O146" i="1"/>
  <c r="E146" i="1"/>
  <c r="F146" i="1" s="1"/>
  <c r="O145" i="1"/>
  <c r="E145" i="1"/>
  <c r="F145" i="1" s="1"/>
  <c r="G145" i="1" s="1"/>
  <c r="H145" i="1" s="1"/>
  <c r="I145" i="1" s="1"/>
  <c r="O144" i="1"/>
  <c r="E144" i="1"/>
  <c r="F144" i="1" s="1"/>
  <c r="G144" i="1" s="1"/>
  <c r="H144" i="1" s="1"/>
  <c r="I144" i="1" s="1"/>
  <c r="O143" i="1"/>
  <c r="E143" i="1"/>
  <c r="F143" i="1" s="1"/>
  <c r="G143" i="1" s="1"/>
  <c r="H143" i="1" s="1"/>
  <c r="I143" i="1" s="1"/>
  <c r="L142" i="1"/>
  <c r="E142" i="1"/>
  <c r="F142" i="1" s="1"/>
  <c r="G142" i="1" s="1"/>
  <c r="H142" i="1" s="1"/>
  <c r="I142" i="1" s="1"/>
  <c r="L141" i="1"/>
  <c r="E141" i="1"/>
  <c r="F141" i="1" s="1"/>
  <c r="G141" i="1" s="1"/>
  <c r="H141" i="1" s="1"/>
  <c r="I141" i="1" s="1"/>
  <c r="H140" i="1"/>
  <c r="I140" i="1" s="1"/>
  <c r="O139" i="1"/>
  <c r="E139" i="1"/>
  <c r="F139" i="1" s="1"/>
  <c r="G139" i="1" s="1"/>
  <c r="O138" i="1"/>
  <c r="N138" i="1"/>
  <c r="L138" i="1"/>
  <c r="E138" i="1"/>
  <c r="D138" i="1"/>
  <c r="O137" i="1"/>
  <c r="N137" i="1"/>
  <c r="N136" i="1" s="1"/>
  <c r="L137" i="1"/>
  <c r="E137" i="1"/>
  <c r="D137" i="1"/>
  <c r="D136" i="1" s="1"/>
  <c r="O136" i="1"/>
  <c r="E136" i="1"/>
  <c r="C136" i="1"/>
  <c r="O135" i="1"/>
  <c r="L135" i="1"/>
  <c r="F135" i="1"/>
  <c r="G135" i="1" s="1"/>
  <c r="H135" i="1" s="1"/>
  <c r="I135" i="1" s="1"/>
  <c r="E135" i="1"/>
  <c r="O134" i="1"/>
  <c r="G134" i="1"/>
  <c r="H134" i="1" s="1"/>
  <c r="I134" i="1" s="1"/>
  <c r="E134" i="1"/>
  <c r="F134" i="1" s="1"/>
  <c r="L133" i="1"/>
  <c r="F133" i="1"/>
  <c r="G133" i="1" s="1"/>
  <c r="H133" i="1" s="1"/>
  <c r="I133" i="1" s="1"/>
  <c r="E133" i="1"/>
  <c r="L132" i="1"/>
  <c r="O132" i="1" s="1"/>
  <c r="F132" i="1"/>
  <c r="G132" i="1" s="1"/>
  <c r="H132" i="1" s="1"/>
  <c r="I132" i="1" s="1"/>
  <c r="E132" i="1"/>
  <c r="L131" i="1"/>
  <c r="F131" i="1"/>
  <c r="G131" i="1" s="1"/>
  <c r="H131" i="1" s="1"/>
  <c r="I131" i="1" s="1"/>
  <c r="E131" i="1"/>
  <c r="L130" i="1"/>
  <c r="O130" i="1" s="1"/>
  <c r="F130" i="1"/>
  <c r="G130" i="1" s="1"/>
  <c r="H130" i="1" s="1"/>
  <c r="I130" i="1" s="1"/>
  <c r="E130" i="1"/>
  <c r="O129" i="1"/>
  <c r="L129" i="1"/>
  <c r="E129" i="1"/>
  <c r="F129" i="1" s="1"/>
  <c r="N128" i="1"/>
  <c r="N127" i="1" s="1"/>
  <c r="E128" i="1"/>
  <c r="E127" i="1" s="1"/>
  <c r="D128" i="1"/>
  <c r="D127" i="1" s="1"/>
  <c r="L126" i="1"/>
  <c r="G126" i="1"/>
  <c r="F126" i="1"/>
  <c r="F125" i="1" s="1"/>
  <c r="F124" i="1" s="1"/>
  <c r="E126" i="1"/>
  <c r="N125" i="1"/>
  <c r="N124" i="1" s="1"/>
  <c r="E125" i="1"/>
  <c r="E124" i="1" s="1"/>
  <c r="D125" i="1"/>
  <c r="D124" i="1" s="1"/>
  <c r="C124" i="1"/>
  <c r="O123" i="1"/>
  <c r="N123" i="1"/>
  <c r="L123" i="1"/>
  <c r="G123" i="1"/>
  <c r="H123" i="1" s="1"/>
  <c r="I123" i="1" s="1"/>
  <c r="J123" i="1" s="1"/>
  <c r="F123" i="1"/>
  <c r="E123" i="1"/>
  <c r="L122" i="1"/>
  <c r="F122" i="1"/>
  <c r="G122" i="1" s="1"/>
  <c r="H122" i="1" s="1"/>
  <c r="I122" i="1" s="1"/>
  <c r="E122" i="1"/>
  <c r="O121" i="1"/>
  <c r="L121" i="1"/>
  <c r="I121" i="1"/>
  <c r="H121" i="1"/>
  <c r="F121" i="1"/>
  <c r="G121" i="1" s="1"/>
  <c r="E121" i="1"/>
  <c r="L120" i="1"/>
  <c r="F120" i="1"/>
  <c r="G120" i="1" s="1"/>
  <c r="H120" i="1" s="1"/>
  <c r="I120" i="1" s="1"/>
  <c r="E120" i="1"/>
  <c r="O119" i="1"/>
  <c r="L119" i="1"/>
  <c r="M119" i="1" s="1"/>
  <c r="I119" i="1"/>
  <c r="J119" i="1" s="1"/>
  <c r="K119" i="1" s="1"/>
  <c r="H119" i="1"/>
  <c r="F119" i="1"/>
  <c r="G119" i="1" s="1"/>
  <c r="E119" i="1"/>
  <c r="R118" i="1"/>
  <c r="T118" i="1" s="1"/>
  <c r="O118" i="1"/>
  <c r="K118" i="1"/>
  <c r="Q118" i="1" s="1"/>
  <c r="J118" i="1"/>
  <c r="M118" i="1" s="1"/>
  <c r="E118" i="1"/>
  <c r="F118" i="1" s="1"/>
  <c r="G118" i="1" s="1"/>
  <c r="H118" i="1" s="1"/>
  <c r="I118" i="1" s="1"/>
  <c r="P118" i="1" s="1"/>
  <c r="O117" i="1"/>
  <c r="L117" i="1"/>
  <c r="E117" i="1"/>
  <c r="F117" i="1" s="1"/>
  <c r="G117" i="1" s="1"/>
  <c r="H117" i="1" s="1"/>
  <c r="I117" i="1" s="1"/>
  <c r="O116" i="1"/>
  <c r="L116" i="1"/>
  <c r="E116" i="1"/>
  <c r="N115" i="1"/>
  <c r="D115" i="1"/>
  <c r="D114" i="1" s="1"/>
  <c r="N114" i="1"/>
  <c r="C114" i="1"/>
  <c r="L113" i="1"/>
  <c r="G113" i="1"/>
  <c r="H113" i="1" s="1"/>
  <c r="I113" i="1" s="1"/>
  <c r="F113" i="1"/>
  <c r="E113" i="1"/>
  <c r="L112" i="1"/>
  <c r="O112" i="1" s="1"/>
  <c r="J112" i="1"/>
  <c r="K112" i="1" s="1"/>
  <c r="I112" i="1"/>
  <c r="P112" i="1" s="1"/>
  <c r="F112" i="1"/>
  <c r="G112" i="1" s="1"/>
  <c r="H112" i="1" s="1"/>
  <c r="E112" i="1"/>
  <c r="O111" i="1"/>
  <c r="K111" i="1"/>
  <c r="J111" i="1"/>
  <c r="E111" i="1"/>
  <c r="F111" i="1" s="1"/>
  <c r="G111" i="1" s="1"/>
  <c r="H111" i="1" s="1"/>
  <c r="I111" i="1" s="1"/>
  <c r="P111" i="1" s="1"/>
  <c r="O110" i="1"/>
  <c r="L110" i="1"/>
  <c r="G110" i="1"/>
  <c r="E110" i="1"/>
  <c r="F110" i="1" s="1"/>
  <c r="O109" i="1"/>
  <c r="L109" i="1"/>
  <c r="E109" i="1"/>
  <c r="F109" i="1" s="1"/>
  <c r="G109" i="1" s="1"/>
  <c r="H109" i="1" s="1"/>
  <c r="I109" i="1" s="1"/>
  <c r="O108" i="1"/>
  <c r="F108" i="1"/>
  <c r="G108" i="1" s="1"/>
  <c r="H108" i="1" s="1"/>
  <c r="I108" i="1" s="1"/>
  <c r="E108" i="1"/>
  <c r="L107" i="1"/>
  <c r="O107" i="1" s="1"/>
  <c r="G107" i="1"/>
  <c r="H107" i="1" s="1"/>
  <c r="I107" i="1" s="1"/>
  <c r="F107" i="1"/>
  <c r="E107" i="1"/>
  <c r="P106" i="1"/>
  <c r="L106" i="1"/>
  <c r="O106" i="1" s="1"/>
  <c r="F106" i="1"/>
  <c r="G106" i="1" s="1"/>
  <c r="H106" i="1" s="1"/>
  <c r="I106" i="1" s="1"/>
  <c r="J106" i="1" s="1"/>
  <c r="K106" i="1" s="1"/>
  <c r="E106" i="1"/>
  <c r="L105" i="1"/>
  <c r="O105" i="1" s="1"/>
  <c r="G105" i="1"/>
  <c r="H105" i="1" s="1"/>
  <c r="I105" i="1" s="1"/>
  <c r="F105" i="1"/>
  <c r="E105" i="1"/>
  <c r="L104" i="1"/>
  <c r="F104" i="1"/>
  <c r="G104" i="1" s="1"/>
  <c r="H104" i="1" s="1"/>
  <c r="I104" i="1" s="1"/>
  <c r="E104" i="1"/>
  <c r="P103" i="1"/>
  <c r="L103" i="1"/>
  <c r="O103" i="1" s="1"/>
  <c r="F103" i="1"/>
  <c r="G103" i="1" s="1"/>
  <c r="H103" i="1" s="1"/>
  <c r="I103" i="1" s="1"/>
  <c r="J103" i="1" s="1"/>
  <c r="K103" i="1" s="1"/>
  <c r="E103" i="1"/>
  <c r="L102" i="1"/>
  <c r="I102" i="1"/>
  <c r="P102" i="1" s="1"/>
  <c r="F102" i="1"/>
  <c r="G102" i="1" s="1"/>
  <c r="H102" i="1" s="1"/>
  <c r="E102" i="1"/>
  <c r="L101" i="1"/>
  <c r="F101" i="1"/>
  <c r="G101" i="1" s="1"/>
  <c r="H101" i="1" s="1"/>
  <c r="I101" i="1" s="1"/>
  <c r="E101" i="1"/>
  <c r="O100" i="1"/>
  <c r="L100" i="1"/>
  <c r="E100" i="1"/>
  <c r="F99" i="1"/>
  <c r="E99" i="1"/>
  <c r="G98" i="1"/>
  <c r="E98" i="1"/>
  <c r="F98" i="1" s="1"/>
  <c r="N97" i="1"/>
  <c r="L97" i="1"/>
  <c r="F97" i="1"/>
  <c r="E97" i="1"/>
  <c r="D97" i="1"/>
  <c r="N96" i="1"/>
  <c r="N95" i="1" s="1"/>
  <c r="D96" i="1"/>
  <c r="D95" i="1" s="1"/>
  <c r="C95" i="1"/>
  <c r="O94" i="1"/>
  <c r="L94" i="1"/>
  <c r="E94" i="1"/>
  <c r="F94" i="1" s="1"/>
  <c r="G94" i="1" s="1"/>
  <c r="H94" i="1" s="1"/>
  <c r="I94" i="1" s="1"/>
  <c r="P94" i="1" s="1"/>
  <c r="L93" i="1"/>
  <c r="G93" i="1"/>
  <c r="F93" i="1"/>
  <c r="E93" i="1"/>
  <c r="N92" i="1"/>
  <c r="E92" i="1"/>
  <c r="E91" i="1" s="1"/>
  <c r="D92" i="1"/>
  <c r="N91" i="1"/>
  <c r="D91" i="1"/>
  <c r="C91" i="1"/>
  <c r="O90" i="1"/>
  <c r="L90" i="1"/>
  <c r="G90" i="1"/>
  <c r="H90" i="1" s="1"/>
  <c r="I90" i="1" s="1"/>
  <c r="F90" i="1"/>
  <c r="E90" i="1"/>
  <c r="O89" i="1"/>
  <c r="L89" i="1"/>
  <c r="E89" i="1"/>
  <c r="F89" i="1" s="1"/>
  <c r="G89" i="1" s="1"/>
  <c r="H89" i="1" s="1"/>
  <c r="I89" i="1" s="1"/>
  <c r="O88" i="1"/>
  <c r="E88" i="1"/>
  <c r="F88" i="1" s="1"/>
  <c r="G88" i="1" s="1"/>
  <c r="H88" i="1" s="1"/>
  <c r="I88" i="1" s="1"/>
  <c r="O87" i="1"/>
  <c r="L87" i="1"/>
  <c r="G87" i="1"/>
  <c r="H87" i="1" s="1"/>
  <c r="I87" i="1" s="1"/>
  <c r="F87" i="1"/>
  <c r="E87" i="1"/>
  <c r="L86" i="1"/>
  <c r="O86" i="1" s="1"/>
  <c r="E86" i="1"/>
  <c r="F86" i="1" s="1"/>
  <c r="G86" i="1" s="1"/>
  <c r="H86" i="1" s="1"/>
  <c r="I86" i="1" s="1"/>
  <c r="P86" i="1" s="1"/>
  <c r="O85" i="1"/>
  <c r="F85" i="1"/>
  <c r="G85" i="1" s="1"/>
  <c r="H85" i="1" s="1"/>
  <c r="I85" i="1" s="1"/>
  <c r="E85" i="1"/>
  <c r="O84" i="1"/>
  <c r="L84" i="1"/>
  <c r="H84" i="1"/>
  <c r="I84" i="1" s="1"/>
  <c r="F84" i="1"/>
  <c r="G84" i="1" s="1"/>
  <c r="E84" i="1"/>
  <c r="L83" i="1"/>
  <c r="E83" i="1"/>
  <c r="F83" i="1" s="1"/>
  <c r="G83" i="1" s="1"/>
  <c r="H83" i="1" s="1"/>
  <c r="I83" i="1" s="1"/>
  <c r="O82" i="1"/>
  <c r="E82" i="1"/>
  <c r="F82" i="1" s="1"/>
  <c r="G82" i="1" s="1"/>
  <c r="H82" i="1" s="1"/>
  <c r="I82" i="1" s="1"/>
  <c r="J82" i="1" s="1"/>
  <c r="K82" i="1" s="1"/>
  <c r="O81" i="1"/>
  <c r="L81" i="1"/>
  <c r="F81" i="1"/>
  <c r="G81" i="1" s="1"/>
  <c r="H81" i="1" s="1"/>
  <c r="I81" i="1" s="1"/>
  <c r="E81" i="1"/>
  <c r="L80" i="1"/>
  <c r="F80" i="1"/>
  <c r="G80" i="1" s="1"/>
  <c r="H80" i="1" s="1"/>
  <c r="I80" i="1" s="1"/>
  <c r="E80" i="1"/>
  <c r="O79" i="1"/>
  <c r="F79" i="1"/>
  <c r="G79" i="1" s="1"/>
  <c r="H79" i="1" s="1"/>
  <c r="I79" i="1" s="1"/>
  <c r="E79" i="1"/>
  <c r="L78" i="1"/>
  <c r="O78" i="1" s="1"/>
  <c r="O66" i="1" s="1"/>
  <c r="F78" i="1"/>
  <c r="G78" i="1" s="1"/>
  <c r="H78" i="1" s="1"/>
  <c r="E78" i="1"/>
  <c r="L77" i="1"/>
  <c r="O77" i="1" s="1"/>
  <c r="G77" i="1"/>
  <c r="H77" i="1" s="1"/>
  <c r="I77" i="1" s="1"/>
  <c r="F77" i="1"/>
  <c r="E77" i="1"/>
  <c r="O76" i="1"/>
  <c r="E76" i="1"/>
  <c r="F76" i="1" s="1"/>
  <c r="G76" i="1" s="1"/>
  <c r="H76" i="1" s="1"/>
  <c r="I76" i="1" s="1"/>
  <c r="L75" i="1"/>
  <c r="O75" i="1" s="1"/>
  <c r="E75" i="1"/>
  <c r="F75" i="1" s="1"/>
  <c r="G75" i="1" s="1"/>
  <c r="H75" i="1" s="1"/>
  <c r="I75" i="1" s="1"/>
  <c r="P75" i="1" s="1"/>
  <c r="N74" i="1"/>
  <c r="O74" i="1" s="1"/>
  <c r="L74" i="1"/>
  <c r="F74" i="1"/>
  <c r="G74" i="1" s="1"/>
  <c r="H74" i="1" s="1"/>
  <c r="I74" i="1" s="1"/>
  <c r="E74" i="1"/>
  <c r="L73" i="1"/>
  <c r="O73" i="1" s="1"/>
  <c r="J73" i="1"/>
  <c r="K73" i="1" s="1"/>
  <c r="E73" i="1"/>
  <c r="F73" i="1" s="1"/>
  <c r="G73" i="1" s="1"/>
  <c r="H73" i="1" s="1"/>
  <c r="I73" i="1" s="1"/>
  <c r="P73" i="1" s="1"/>
  <c r="O72" i="1"/>
  <c r="L72" i="1"/>
  <c r="H72" i="1"/>
  <c r="I72" i="1" s="1"/>
  <c r="E72" i="1"/>
  <c r="F72" i="1" s="1"/>
  <c r="G72" i="1" s="1"/>
  <c r="P71" i="1"/>
  <c r="H71" i="1"/>
  <c r="I71" i="1" s="1"/>
  <c r="J71" i="1" s="1"/>
  <c r="K71" i="1" s="1"/>
  <c r="L70" i="1"/>
  <c r="E70" i="1"/>
  <c r="F70" i="1" s="1"/>
  <c r="G70" i="1" s="1"/>
  <c r="H70" i="1" s="1"/>
  <c r="I70" i="1" s="1"/>
  <c r="P69" i="1"/>
  <c r="O69" i="1"/>
  <c r="L69" i="1"/>
  <c r="J69" i="1"/>
  <c r="K69" i="1" s="1"/>
  <c r="G69" i="1"/>
  <c r="H69" i="1" s="1"/>
  <c r="I69" i="1" s="1"/>
  <c r="E69" i="1"/>
  <c r="F69" i="1" s="1"/>
  <c r="P68" i="1"/>
  <c r="L68" i="1"/>
  <c r="I68" i="1"/>
  <c r="J68" i="1" s="1"/>
  <c r="K68" i="1" s="1"/>
  <c r="T68" i="1" s="1"/>
  <c r="F68" i="1"/>
  <c r="G68" i="1" s="1"/>
  <c r="H68" i="1" s="1"/>
  <c r="E68" i="1"/>
  <c r="L67" i="1"/>
  <c r="F67" i="1"/>
  <c r="G67" i="1" s="1"/>
  <c r="E67" i="1"/>
  <c r="N66" i="1"/>
  <c r="L66" i="1"/>
  <c r="F66" i="1"/>
  <c r="E66" i="1"/>
  <c r="D66" i="1"/>
  <c r="N65" i="1"/>
  <c r="L65" i="1"/>
  <c r="F65" i="1"/>
  <c r="F64" i="1" s="1"/>
  <c r="E65" i="1"/>
  <c r="D65" i="1"/>
  <c r="N64" i="1"/>
  <c r="E64" i="1"/>
  <c r="O63" i="1"/>
  <c r="L63" i="1"/>
  <c r="G63" i="1"/>
  <c r="H63" i="1" s="1"/>
  <c r="I63" i="1" s="1"/>
  <c r="P63" i="1" s="1"/>
  <c r="F63" i="1"/>
  <c r="E63" i="1"/>
  <c r="O62" i="1"/>
  <c r="L62" i="1"/>
  <c r="E62" i="1"/>
  <c r="F62" i="1" s="1"/>
  <c r="G62" i="1" s="1"/>
  <c r="H62" i="1" s="1"/>
  <c r="I62" i="1" s="1"/>
  <c r="P61" i="1"/>
  <c r="O61" i="1"/>
  <c r="G61" i="1"/>
  <c r="H61" i="1" s="1"/>
  <c r="I61" i="1" s="1"/>
  <c r="J61" i="1" s="1"/>
  <c r="K61" i="1" s="1"/>
  <c r="F61" i="1"/>
  <c r="E61" i="1"/>
  <c r="O60" i="1"/>
  <c r="L60" i="1"/>
  <c r="F60" i="1"/>
  <c r="G60" i="1" s="1"/>
  <c r="H60" i="1" s="1"/>
  <c r="I60" i="1" s="1"/>
  <c r="O59" i="1"/>
  <c r="L59" i="1"/>
  <c r="F59" i="1"/>
  <c r="G59" i="1" s="1"/>
  <c r="H59" i="1" s="1"/>
  <c r="I59" i="1" s="1"/>
  <c r="O58" i="1"/>
  <c r="F58" i="1"/>
  <c r="G58" i="1" s="1"/>
  <c r="H58" i="1" s="1"/>
  <c r="I58" i="1" s="1"/>
  <c r="L57" i="1"/>
  <c r="F57" i="1"/>
  <c r="G57" i="1" s="1"/>
  <c r="H57" i="1" s="1"/>
  <c r="I57" i="1" s="1"/>
  <c r="L56" i="1"/>
  <c r="F56" i="1"/>
  <c r="G56" i="1" s="1"/>
  <c r="H56" i="1" s="1"/>
  <c r="I56" i="1" s="1"/>
  <c r="P55" i="1"/>
  <c r="O55" i="1"/>
  <c r="G55" i="1"/>
  <c r="H55" i="1" s="1"/>
  <c r="I55" i="1" s="1"/>
  <c r="J55" i="1" s="1"/>
  <c r="K55" i="1" s="1"/>
  <c r="F55" i="1"/>
  <c r="L54" i="1"/>
  <c r="F54" i="1"/>
  <c r="G54" i="1" s="1"/>
  <c r="H54" i="1" s="1"/>
  <c r="I54" i="1" s="1"/>
  <c r="E54" i="1"/>
  <c r="L53" i="1"/>
  <c r="F53" i="1"/>
  <c r="G53" i="1" s="1"/>
  <c r="H53" i="1" s="1"/>
  <c r="I53" i="1" s="1"/>
  <c r="E53" i="1"/>
  <c r="P52" i="1"/>
  <c r="O52" i="1"/>
  <c r="G52" i="1"/>
  <c r="H52" i="1" s="1"/>
  <c r="I52" i="1" s="1"/>
  <c r="J52" i="1" s="1"/>
  <c r="K52" i="1" s="1"/>
  <c r="E52" i="1"/>
  <c r="F52" i="1" s="1"/>
  <c r="T51" i="1"/>
  <c r="Q51" i="1"/>
  <c r="M51" i="1"/>
  <c r="L51" i="1"/>
  <c r="O51" i="1" s="1"/>
  <c r="J51" i="1"/>
  <c r="K51" i="1" s="1"/>
  <c r="R51" i="1" s="1"/>
  <c r="S51" i="1" s="1"/>
  <c r="G51" i="1"/>
  <c r="H51" i="1" s="1"/>
  <c r="I51" i="1" s="1"/>
  <c r="P51" i="1" s="1"/>
  <c r="F51" i="1"/>
  <c r="E51" i="1"/>
  <c r="L50" i="1"/>
  <c r="O50" i="1" s="1"/>
  <c r="J50" i="1"/>
  <c r="K50" i="1" s="1"/>
  <c r="R50" i="1" s="1"/>
  <c r="S50" i="1" s="1"/>
  <c r="G50" i="1"/>
  <c r="H50" i="1" s="1"/>
  <c r="I50" i="1" s="1"/>
  <c r="P50" i="1" s="1"/>
  <c r="F50" i="1"/>
  <c r="E50" i="1"/>
  <c r="O49" i="1"/>
  <c r="H49" i="1"/>
  <c r="I49" i="1" s="1"/>
  <c r="E49" i="1"/>
  <c r="F49" i="1" s="1"/>
  <c r="G49" i="1" s="1"/>
  <c r="O48" i="1"/>
  <c r="L48" i="1"/>
  <c r="H48" i="1"/>
  <c r="I48" i="1" s="1"/>
  <c r="E48" i="1"/>
  <c r="F48" i="1" s="1"/>
  <c r="G48" i="1" s="1"/>
  <c r="O47" i="1"/>
  <c r="L47" i="1"/>
  <c r="H47" i="1"/>
  <c r="I47" i="1" s="1"/>
  <c r="E47" i="1"/>
  <c r="F47" i="1" s="1"/>
  <c r="G47" i="1" s="1"/>
  <c r="O46" i="1"/>
  <c r="I46" i="1"/>
  <c r="F46" i="1"/>
  <c r="G46" i="1" s="1"/>
  <c r="H46" i="1" s="1"/>
  <c r="E46" i="1"/>
  <c r="L45" i="1"/>
  <c r="I45" i="1"/>
  <c r="J45" i="1" s="1"/>
  <c r="K45" i="1" s="1"/>
  <c r="F45" i="1"/>
  <c r="G45" i="1" s="1"/>
  <c r="H45" i="1" s="1"/>
  <c r="E45" i="1"/>
  <c r="L44" i="1"/>
  <c r="I44" i="1"/>
  <c r="J44" i="1" s="1"/>
  <c r="K44" i="1" s="1"/>
  <c r="F44" i="1"/>
  <c r="G44" i="1" s="1"/>
  <c r="H44" i="1" s="1"/>
  <c r="E44" i="1"/>
  <c r="O43" i="1"/>
  <c r="E43" i="1"/>
  <c r="F43" i="1" s="1"/>
  <c r="G43" i="1" s="1"/>
  <c r="H43" i="1" s="1"/>
  <c r="I43" i="1" s="1"/>
  <c r="L42" i="1"/>
  <c r="O42" i="1" s="1"/>
  <c r="G42" i="1"/>
  <c r="H42" i="1" s="1"/>
  <c r="I42" i="1" s="1"/>
  <c r="P42" i="1" s="1"/>
  <c r="F42" i="1"/>
  <c r="E42" i="1"/>
  <c r="L41" i="1"/>
  <c r="O41" i="1" s="1"/>
  <c r="G41" i="1"/>
  <c r="H41" i="1" s="1"/>
  <c r="I41" i="1" s="1"/>
  <c r="P41" i="1" s="1"/>
  <c r="F41" i="1"/>
  <c r="E41" i="1"/>
  <c r="O40" i="1"/>
  <c r="H40" i="1"/>
  <c r="I40" i="1" s="1"/>
  <c r="P40" i="1" s="1"/>
  <c r="E40" i="1"/>
  <c r="F40" i="1" s="1"/>
  <c r="G40" i="1" s="1"/>
  <c r="L39" i="1"/>
  <c r="O39" i="1" s="1"/>
  <c r="E39" i="1"/>
  <c r="F39" i="1" s="1"/>
  <c r="G39" i="1" s="1"/>
  <c r="H39" i="1" s="1"/>
  <c r="I39" i="1" s="1"/>
  <c r="P38" i="1"/>
  <c r="O38" i="1"/>
  <c r="L38" i="1"/>
  <c r="E38" i="1"/>
  <c r="F38" i="1" s="1"/>
  <c r="G38" i="1" s="1"/>
  <c r="H38" i="1" s="1"/>
  <c r="I38" i="1" s="1"/>
  <c r="J38" i="1" s="1"/>
  <c r="O37" i="1"/>
  <c r="F37" i="1"/>
  <c r="G37" i="1" s="1"/>
  <c r="H37" i="1" s="1"/>
  <c r="I37" i="1" s="1"/>
  <c r="E37" i="1"/>
  <c r="L36" i="1"/>
  <c r="O36" i="1" s="1"/>
  <c r="E36" i="1"/>
  <c r="F36" i="1" s="1"/>
  <c r="F16" i="1" s="1"/>
  <c r="Q35" i="1"/>
  <c r="O35" i="1"/>
  <c r="L35" i="1"/>
  <c r="J35" i="1"/>
  <c r="K35" i="1" s="1"/>
  <c r="R35" i="1" s="1"/>
  <c r="F35" i="1"/>
  <c r="G35" i="1" s="1"/>
  <c r="H35" i="1" s="1"/>
  <c r="I35" i="1" s="1"/>
  <c r="P35" i="1" s="1"/>
  <c r="E35" i="1"/>
  <c r="F34" i="1"/>
  <c r="G34" i="1" s="1"/>
  <c r="H34" i="1" s="1"/>
  <c r="I34" i="1" s="1"/>
  <c r="P34" i="1" s="1"/>
  <c r="E34" i="1"/>
  <c r="O33" i="1"/>
  <c r="H33" i="1"/>
  <c r="I33" i="1" s="1"/>
  <c r="O32" i="1"/>
  <c r="L32" i="1"/>
  <c r="F32" i="1"/>
  <c r="G32" i="1" s="1"/>
  <c r="H32" i="1" s="1"/>
  <c r="I32" i="1" s="1"/>
  <c r="E32" i="1"/>
  <c r="O31" i="1"/>
  <c r="L31" i="1"/>
  <c r="F31" i="1"/>
  <c r="G31" i="1" s="1"/>
  <c r="H31" i="1" s="1"/>
  <c r="I31" i="1" s="1"/>
  <c r="P31" i="1" s="1"/>
  <c r="E31" i="1"/>
  <c r="L30" i="1"/>
  <c r="O30" i="1" s="1"/>
  <c r="E30" i="1"/>
  <c r="F30" i="1" s="1"/>
  <c r="G30" i="1" s="1"/>
  <c r="H30" i="1" s="1"/>
  <c r="I30" i="1" s="1"/>
  <c r="O29" i="1"/>
  <c r="L29" i="1"/>
  <c r="F29" i="1"/>
  <c r="G29" i="1" s="1"/>
  <c r="H29" i="1" s="1"/>
  <c r="I29" i="1" s="1"/>
  <c r="P29" i="1" s="1"/>
  <c r="E29" i="1"/>
  <c r="L28" i="1"/>
  <c r="O28" i="1" s="1"/>
  <c r="E28" i="1"/>
  <c r="F28" i="1" s="1"/>
  <c r="G28" i="1" s="1"/>
  <c r="H28" i="1" s="1"/>
  <c r="I28" i="1" s="1"/>
  <c r="O27" i="1"/>
  <c r="L27" i="1"/>
  <c r="E27" i="1"/>
  <c r="F27" i="1" s="1"/>
  <c r="G27" i="1" s="1"/>
  <c r="H27" i="1" s="1"/>
  <c r="I27" i="1" s="1"/>
  <c r="L26" i="1"/>
  <c r="F26" i="1"/>
  <c r="G26" i="1" s="1"/>
  <c r="H26" i="1" s="1"/>
  <c r="I26" i="1" s="1"/>
  <c r="E26" i="1"/>
  <c r="O25" i="1"/>
  <c r="L25" i="1"/>
  <c r="G25" i="1"/>
  <c r="H25" i="1" s="1"/>
  <c r="I25" i="1" s="1"/>
  <c r="F25" i="1"/>
  <c r="E25" i="1"/>
  <c r="L24" i="1"/>
  <c r="F24" i="1"/>
  <c r="G24" i="1" s="1"/>
  <c r="H24" i="1" s="1"/>
  <c r="I24" i="1" s="1"/>
  <c r="E24" i="1"/>
  <c r="O23" i="1"/>
  <c r="L23" i="1"/>
  <c r="G23" i="1"/>
  <c r="H23" i="1" s="1"/>
  <c r="I23" i="1" s="1"/>
  <c r="F23" i="1"/>
  <c r="E23" i="1"/>
  <c r="L22" i="1"/>
  <c r="F22" i="1"/>
  <c r="G22" i="1" s="1"/>
  <c r="H22" i="1" s="1"/>
  <c r="I22" i="1" s="1"/>
  <c r="E22" i="1"/>
  <c r="O21" i="1"/>
  <c r="L21" i="1"/>
  <c r="G21" i="1"/>
  <c r="H21" i="1" s="1"/>
  <c r="I21" i="1" s="1"/>
  <c r="F21" i="1"/>
  <c r="E21" i="1"/>
  <c r="L20" i="1"/>
  <c r="F20" i="1"/>
  <c r="G20" i="1" s="1"/>
  <c r="H20" i="1" s="1"/>
  <c r="I20" i="1" s="1"/>
  <c r="E20" i="1"/>
  <c r="O19" i="1"/>
  <c r="L19" i="1"/>
  <c r="G19" i="1"/>
  <c r="H19" i="1" s="1"/>
  <c r="I19" i="1" s="1"/>
  <c r="F19" i="1"/>
  <c r="E19" i="1"/>
  <c r="L18" i="1"/>
  <c r="F18" i="1"/>
  <c r="G18" i="1" s="1"/>
  <c r="H18" i="1" s="1"/>
  <c r="I18" i="1" s="1"/>
  <c r="E18" i="1"/>
  <c r="L17" i="1"/>
  <c r="O17" i="1" s="1"/>
  <c r="F17" i="1"/>
  <c r="G17" i="1" s="1"/>
  <c r="E17" i="1"/>
  <c r="N16" i="1"/>
  <c r="E16" i="1"/>
  <c r="D16" i="1"/>
  <c r="N15" i="1"/>
  <c r="L15" i="1"/>
  <c r="F15" i="1"/>
  <c r="D15" i="1"/>
  <c r="N14" i="1"/>
  <c r="D14" i="1"/>
  <c r="C14" i="1"/>
  <c r="N13" i="1"/>
  <c r="E13" i="1"/>
  <c r="D13" i="1"/>
  <c r="N12" i="1"/>
  <c r="N11" i="1" s="1"/>
  <c r="D12" i="1"/>
  <c r="D11" i="1" s="1"/>
  <c r="N10" i="1"/>
  <c r="N8" i="1" s="1"/>
  <c r="E10" i="1"/>
  <c r="D10" i="1"/>
  <c r="N9" i="1"/>
  <c r="D9" i="1"/>
  <c r="D8" i="1"/>
  <c r="C8" i="1"/>
  <c r="J19" i="1" l="1"/>
  <c r="P19" i="1"/>
  <c r="J25" i="1"/>
  <c r="P25" i="1"/>
  <c r="J27" i="1"/>
  <c r="P27" i="1"/>
  <c r="J21" i="1"/>
  <c r="P21" i="1"/>
  <c r="J28" i="1"/>
  <c r="P28" i="1"/>
  <c r="J30" i="1"/>
  <c r="P30" i="1"/>
  <c r="J23" i="1"/>
  <c r="P23" i="1"/>
  <c r="J32" i="1"/>
  <c r="K32" i="1" s="1"/>
  <c r="P32" i="1"/>
  <c r="J26" i="1"/>
  <c r="K26" i="1" s="1"/>
  <c r="P26" i="1"/>
  <c r="J22" i="1"/>
  <c r="K22" i="1" s="1"/>
  <c r="P22" i="1"/>
  <c r="O24" i="1"/>
  <c r="J31" i="1"/>
  <c r="K31" i="1" s="1"/>
  <c r="J43" i="1"/>
  <c r="K43" i="1" s="1"/>
  <c r="P43" i="1"/>
  <c r="J57" i="1"/>
  <c r="K57" i="1" s="1"/>
  <c r="P57" i="1"/>
  <c r="R61" i="1"/>
  <c r="Q61" i="1"/>
  <c r="J76" i="1"/>
  <c r="K76" i="1" s="1"/>
  <c r="P76" i="1"/>
  <c r="J20" i="1"/>
  <c r="K20" i="1" s="1"/>
  <c r="P20" i="1"/>
  <c r="O22" i="1"/>
  <c r="M22" i="1"/>
  <c r="J29" i="1"/>
  <c r="K29" i="1" s="1"/>
  <c r="M32" i="1"/>
  <c r="M35" i="1"/>
  <c r="M38" i="1"/>
  <c r="K38" i="1"/>
  <c r="J53" i="1"/>
  <c r="K53" i="1" s="1"/>
  <c r="P53" i="1"/>
  <c r="R55" i="1"/>
  <c r="Q55" i="1"/>
  <c r="J60" i="1"/>
  <c r="K60" i="1" s="1"/>
  <c r="P60" i="1"/>
  <c r="J18" i="1"/>
  <c r="K18" i="1" s="1"/>
  <c r="P18" i="1"/>
  <c r="O20" i="1"/>
  <c r="M29" i="1"/>
  <c r="J34" i="1"/>
  <c r="K34" i="1" s="1"/>
  <c r="J58" i="1"/>
  <c r="K58" i="1" s="1"/>
  <c r="P58" i="1"/>
  <c r="H17" i="1"/>
  <c r="G15" i="1"/>
  <c r="O18" i="1"/>
  <c r="O15" i="1" s="1"/>
  <c r="M18" i="1"/>
  <c r="P33" i="1"/>
  <c r="J33" i="1"/>
  <c r="K33" i="1" s="1"/>
  <c r="R33" i="1" s="1"/>
  <c r="R52" i="1"/>
  <c r="Q52" i="1"/>
  <c r="J62" i="1"/>
  <c r="P62" i="1"/>
  <c r="P37" i="1"/>
  <c r="J37" i="1"/>
  <c r="K37" i="1" s="1"/>
  <c r="J54" i="1"/>
  <c r="K54" i="1" s="1"/>
  <c r="P54" i="1"/>
  <c r="J56" i="1"/>
  <c r="K56" i="1" s="1"/>
  <c r="P56" i="1"/>
  <c r="J59" i="1"/>
  <c r="K59" i="1" s="1"/>
  <c r="P59" i="1"/>
  <c r="J24" i="1"/>
  <c r="K24" i="1" s="1"/>
  <c r="P24" i="1"/>
  <c r="O26" i="1"/>
  <c r="M26" i="1"/>
  <c r="G36" i="1"/>
  <c r="J39" i="1"/>
  <c r="P39" i="1"/>
  <c r="F14" i="1"/>
  <c r="T35" i="1"/>
  <c r="S35" i="1"/>
  <c r="J46" i="1"/>
  <c r="K46" i="1" s="1"/>
  <c r="P46" i="1"/>
  <c r="L64" i="1"/>
  <c r="Q71" i="1"/>
  <c r="R71" i="1"/>
  <c r="P85" i="1"/>
  <c r="J85" i="1"/>
  <c r="K85" i="1" s="1"/>
  <c r="J40" i="1"/>
  <c r="K40" i="1" s="1"/>
  <c r="O44" i="1"/>
  <c r="M44" i="1"/>
  <c r="O45" i="1"/>
  <c r="O16" i="1" s="1"/>
  <c r="M45" i="1"/>
  <c r="G66" i="1"/>
  <c r="T73" i="1"/>
  <c r="S73" i="1"/>
  <c r="J77" i="1"/>
  <c r="K77" i="1" s="1"/>
  <c r="P77" i="1"/>
  <c r="P88" i="1"/>
  <c r="J88" i="1"/>
  <c r="K88" i="1" s="1"/>
  <c r="J105" i="1"/>
  <c r="K105" i="1" s="1"/>
  <c r="P105" i="1"/>
  <c r="R44" i="1"/>
  <c r="Q44" i="1"/>
  <c r="O57" i="1"/>
  <c r="P44" i="1"/>
  <c r="P45" i="1"/>
  <c r="M50" i="1"/>
  <c r="O56" i="1"/>
  <c r="M56" i="1"/>
  <c r="D64" i="1"/>
  <c r="J70" i="1"/>
  <c r="K70" i="1" s="1"/>
  <c r="P70" i="1"/>
  <c r="J79" i="1"/>
  <c r="K79" i="1" s="1"/>
  <c r="P79" i="1"/>
  <c r="J83" i="1"/>
  <c r="K83" i="1" s="1"/>
  <c r="P83" i="1"/>
  <c r="J84" i="1"/>
  <c r="K84" i="1" s="1"/>
  <c r="P84" i="1"/>
  <c r="R45" i="1"/>
  <c r="Q45" i="1"/>
  <c r="M74" i="1"/>
  <c r="J41" i="1"/>
  <c r="Q50" i="1"/>
  <c r="M59" i="1"/>
  <c r="J63" i="1"/>
  <c r="H67" i="1"/>
  <c r="G65" i="1"/>
  <c r="G64" i="1" s="1"/>
  <c r="P72" i="1"/>
  <c r="J72" i="1"/>
  <c r="Q73" i="1"/>
  <c r="J81" i="1"/>
  <c r="K81" i="1" s="1"/>
  <c r="P81" i="1"/>
  <c r="P87" i="1"/>
  <c r="J87" i="1"/>
  <c r="P89" i="1"/>
  <c r="J89" i="1"/>
  <c r="K89" i="1" s="1"/>
  <c r="J90" i="1"/>
  <c r="K90" i="1" s="1"/>
  <c r="P90" i="1"/>
  <c r="H98" i="1"/>
  <c r="G96" i="1"/>
  <c r="Q82" i="1"/>
  <c r="R82" i="1"/>
  <c r="J47" i="1"/>
  <c r="K47" i="1" s="1"/>
  <c r="P47" i="1"/>
  <c r="J48" i="1"/>
  <c r="K48" i="1" s="1"/>
  <c r="P48" i="1"/>
  <c r="J49" i="1"/>
  <c r="K49" i="1" s="1"/>
  <c r="P49" i="1"/>
  <c r="T50" i="1"/>
  <c r="O53" i="1"/>
  <c r="M53" i="1"/>
  <c r="O54" i="1"/>
  <c r="S68" i="1"/>
  <c r="Q68" i="1"/>
  <c r="Q69" i="1"/>
  <c r="R69" i="1"/>
  <c r="M81" i="1"/>
  <c r="H93" i="1"/>
  <c r="G92" i="1"/>
  <c r="G91" i="1" s="1"/>
  <c r="E115" i="1"/>
  <c r="E114" i="1" s="1"/>
  <c r="F116" i="1"/>
  <c r="P123" i="1"/>
  <c r="M123" i="1"/>
  <c r="K123" i="1"/>
  <c r="E15" i="1"/>
  <c r="L16" i="1"/>
  <c r="J42" i="1"/>
  <c r="O67" i="1"/>
  <c r="O68" i="1"/>
  <c r="M68" i="1"/>
  <c r="P74" i="1"/>
  <c r="J74" i="1"/>
  <c r="K74" i="1" s="1"/>
  <c r="I78" i="1"/>
  <c r="H66" i="1"/>
  <c r="J80" i="1"/>
  <c r="K80" i="1" s="1"/>
  <c r="P80" i="1"/>
  <c r="M101" i="1"/>
  <c r="L96" i="1"/>
  <c r="L9" i="1" s="1"/>
  <c r="O101" i="1"/>
  <c r="M69" i="1"/>
  <c r="O70" i="1"/>
  <c r="M83" i="1"/>
  <c r="O83" i="1"/>
  <c r="O93" i="1"/>
  <c r="O92" i="1" s="1"/>
  <c r="O91" i="1" s="1"/>
  <c r="L92" i="1"/>
  <c r="P104" i="1"/>
  <c r="M77" i="1"/>
  <c r="M80" i="1"/>
  <c r="O80" i="1"/>
  <c r="R103" i="1"/>
  <c r="Q103" i="1"/>
  <c r="J104" i="1"/>
  <c r="K104" i="1" s="1"/>
  <c r="O97" i="1"/>
  <c r="S118" i="1"/>
  <c r="G99" i="1"/>
  <c r="H99" i="1" s="1"/>
  <c r="I99" i="1" s="1"/>
  <c r="F96" i="1"/>
  <c r="F95" i="1" s="1"/>
  <c r="O104" i="1"/>
  <c r="M104" i="1"/>
  <c r="J113" i="1"/>
  <c r="K113" i="1" s="1"/>
  <c r="P113" i="1"/>
  <c r="F100" i="1"/>
  <c r="G100" i="1" s="1"/>
  <c r="H100" i="1" s="1"/>
  <c r="I100" i="1" s="1"/>
  <c r="E96" i="1"/>
  <c r="E95" i="1" s="1"/>
  <c r="O113" i="1"/>
  <c r="M113" i="1"/>
  <c r="J121" i="1"/>
  <c r="K121" i="1" s="1"/>
  <c r="P121" i="1"/>
  <c r="O122" i="1"/>
  <c r="M122" i="1"/>
  <c r="P130" i="1"/>
  <c r="J130" i="1"/>
  <c r="K130" i="1" s="1"/>
  <c r="J132" i="1"/>
  <c r="P132" i="1"/>
  <c r="J134" i="1"/>
  <c r="K134" i="1" s="1"/>
  <c r="P134" i="1"/>
  <c r="J75" i="1"/>
  <c r="K75" i="1" s="1"/>
  <c r="J86" i="1"/>
  <c r="K86" i="1" s="1"/>
  <c r="F92" i="1"/>
  <c r="F91" i="1" s="1"/>
  <c r="J94" i="1"/>
  <c r="J101" i="1"/>
  <c r="K101" i="1" s="1"/>
  <c r="P101" i="1"/>
  <c r="J102" i="1"/>
  <c r="K102" i="1" s="1"/>
  <c r="R106" i="1"/>
  <c r="Q106" i="1"/>
  <c r="P109" i="1"/>
  <c r="J109" i="1"/>
  <c r="R112" i="1"/>
  <c r="Q112" i="1"/>
  <c r="J117" i="1"/>
  <c r="P117" i="1"/>
  <c r="L115" i="1"/>
  <c r="O120" i="1"/>
  <c r="O115" i="1" s="1"/>
  <c r="O114" i="1" s="1"/>
  <c r="M120" i="1"/>
  <c r="M121" i="1"/>
  <c r="M73" i="1"/>
  <c r="M75" i="1"/>
  <c r="J108" i="1"/>
  <c r="K108" i="1" s="1"/>
  <c r="P108" i="1"/>
  <c r="G97" i="1"/>
  <c r="F128" i="1"/>
  <c r="F127" i="1" s="1"/>
  <c r="G129" i="1"/>
  <c r="M105" i="1"/>
  <c r="H110" i="1"/>
  <c r="J120" i="1"/>
  <c r="K120" i="1" s="1"/>
  <c r="P120" i="1"/>
  <c r="G125" i="1"/>
  <c r="G124" i="1" s="1"/>
  <c r="H126" i="1"/>
  <c r="P131" i="1"/>
  <c r="J131" i="1"/>
  <c r="K131" i="1" s="1"/>
  <c r="P133" i="1"/>
  <c r="J133" i="1"/>
  <c r="K133" i="1" s="1"/>
  <c r="P135" i="1"/>
  <c r="J135" i="1"/>
  <c r="K135" i="1" s="1"/>
  <c r="M103" i="1"/>
  <c r="J107" i="1"/>
  <c r="P107" i="1"/>
  <c r="R111" i="1"/>
  <c r="Q111" i="1"/>
  <c r="R119" i="1"/>
  <c r="Q119" i="1"/>
  <c r="J122" i="1"/>
  <c r="K122" i="1" s="1"/>
  <c r="P122" i="1"/>
  <c r="O126" i="1"/>
  <c r="O125" i="1" s="1"/>
  <c r="O124" i="1" s="1"/>
  <c r="L125" i="1"/>
  <c r="O128" i="1"/>
  <c r="O127" i="1" s="1"/>
  <c r="O102" i="1"/>
  <c r="M102" i="1"/>
  <c r="P119" i="1"/>
  <c r="P143" i="1"/>
  <c r="J143" i="1"/>
  <c r="G146" i="1"/>
  <c r="F138" i="1"/>
  <c r="F10" i="1" s="1"/>
  <c r="J157" i="1"/>
  <c r="K157" i="1" s="1"/>
  <c r="P157" i="1"/>
  <c r="P168" i="1"/>
  <c r="J168" i="1"/>
  <c r="K168" i="1" s="1"/>
  <c r="J140" i="1"/>
  <c r="K140" i="1" s="1"/>
  <c r="P140" i="1"/>
  <c r="P151" i="1"/>
  <c r="J151" i="1"/>
  <c r="M157" i="1"/>
  <c r="P171" i="1"/>
  <c r="J171" i="1"/>
  <c r="L128" i="1"/>
  <c r="L136" i="1"/>
  <c r="J141" i="1"/>
  <c r="K141" i="1" s="1"/>
  <c r="P141" i="1"/>
  <c r="P144" i="1"/>
  <c r="J144" i="1"/>
  <c r="K144" i="1" s="1"/>
  <c r="P147" i="1"/>
  <c r="J147" i="1"/>
  <c r="K147" i="1" s="1"/>
  <c r="P149" i="1"/>
  <c r="J149" i="1"/>
  <c r="J156" i="1"/>
  <c r="P156" i="1"/>
  <c r="J163" i="1"/>
  <c r="P163" i="1"/>
  <c r="J167" i="1"/>
  <c r="P167" i="1"/>
  <c r="J169" i="1"/>
  <c r="K169" i="1" s="1"/>
  <c r="P169" i="1"/>
  <c r="J174" i="1"/>
  <c r="K174" i="1" s="1"/>
  <c r="P174" i="1"/>
  <c r="M106" i="1"/>
  <c r="M112" i="1"/>
  <c r="M141" i="1"/>
  <c r="J152" i="1"/>
  <c r="P152" i="1"/>
  <c r="F160" i="1"/>
  <c r="F159" i="1"/>
  <c r="F158" i="1" s="1"/>
  <c r="G161" i="1"/>
  <c r="F164" i="1"/>
  <c r="G165" i="1"/>
  <c r="J166" i="1"/>
  <c r="P166" i="1"/>
  <c r="J172" i="1"/>
  <c r="P172" i="1"/>
  <c r="M174" i="1"/>
  <c r="M130" i="1"/>
  <c r="O131" i="1"/>
  <c r="M133" i="1"/>
  <c r="J142" i="1"/>
  <c r="P142" i="1"/>
  <c r="P145" i="1"/>
  <c r="J145" i="1"/>
  <c r="J170" i="1"/>
  <c r="P170" i="1"/>
  <c r="O133" i="1"/>
  <c r="F137" i="1"/>
  <c r="F136" i="1" s="1"/>
  <c r="G137" i="1"/>
  <c r="H139" i="1"/>
  <c r="P148" i="1"/>
  <c r="J148" i="1"/>
  <c r="P150" i="1"/>
  <c r="J150" i="1"/>
  <c r="K150" i="1" s="1"/>
  <c r="F154" i="1"/>
  <c r="F153" i="1" s="1"/>
  <c r="G155" i="1"/>
  <c r="J162" i="1"/>
  <c r="K162" i="1" s="1"/>
  <c r="P162" i="1"/>
  <c r="O164" i="1"/>
  <c r="E154" i="1"/>
  <c r="E153" i="1" s="1"/>
  <c r="L153" i="1"/>
  <c r="M168" i="1"/>
  <c r="J173" i="1"/>
  <c r="K173" i="1" s="1"/>
  <c r="M169" i="1"/>
  <c r="L158" i="1"/>
  <c r="O13" i="1" l="1"/>
  <c r="O10" i="1"/>
  <c r="O14" i="1"/>
  <c r="R150" i="1"/>
  <c r="Q150" i="1"/>
  <c r="R135" i="1"/>
  <c r="Q135" i="1"/>
  <c r="L10" i="1"/>
  <c r="L13" i="1"/>
  <c r="Q47" i="1"/>
  <c r="R47" i="1"/>
  <c r="H65" i="1"/>
  <c r="H64" i="1" s="1"/>
  <c r="I67" i="1"/>
  <c r="Q84" i="1"/>
  <c r="R84" i="1"/>
  <c r="Q70" i="1"/>
  <c r="R70" i="1"/>
  <c r="R105" i="1"/>
  <c r="Q105" i="1"/>
  <c r="R40" i="1"/>
  <c r="Q40" i="1"/>
  <c r="R54" i="1"/>
  <c r="Q54" i="1"/>
  <c r="M62" i="1"/>
  <c r="K62" i="1"/>
  <c r="Q60" i="1"/>
  <c r="R60" i="1"/>
  <c r="T31" i="1"/>
  <c r="S31" i="1"/>
  <c r="Q31" i="1"/>
  <c r="K142" i="1"/>
  <c r="M142" i="1"/>
  <c r="M172" i="1"/>
  <c r="K172" i="1"/>
  <c r="M131" i="1"/>
  <c r="R169" i="1"/>
  <c r="Q169" i="1"/>
  <c r="R144" i="1"/>
  <c r="Q144" i="1"/>
  <c r="M135" i="1"/>
  <c r="M151" i="1"/>
  <c r="K151" i="1"/>
  <c r="M162" i="1"/>
  <c r="M143" i="1"/>
  <c r="K143" i="1"/>
  <c r="L124" i="1"/>
  <c r="R108" i="1"/>
  <c r="Q108" i="1"/>
  <c r="M109" i="1"/>
  <c r="K109" i="1"/>
  <c r="Q101" i="1"/>
  <c r="R101" i="1"/>
  <c r="T101" i="1" s="1"/>
  <c r="Q134" i="1"/>
  <c r="R134" i="1"/>
  <c r="J100" i="1"/>
  <c r="P100" i="1"/>
  <c r="J99" i="1"/>
  <c r="K99" i="1" s="1"/>
  <c r="P99" i="1"/>
  <c r="T103" i="1"/>
  <c r="S103" i="1"/>
  <c r="E9" i="1"/>
  <c r="E8" i="1" s="1"/>
  <c r="E12" i="1"/>
  <c r="E11" i="1" s="1"/>
  <c r="E14" i="1"/>
  <c r="Q90" i="1"/>
  <c r="R90" i="1"/>
  <c r="Q81" i="1"/>
  <c r="R81" i="1"/>
  <c r="K63" i="1"/>
  <c r="M63" i="1"/>
  <c r="M48" i="1"/>
  <c r="M57" i="1"/>
  <c r="R88" i="1"/>
  <c r="Q88" i="1"/>
  <c r="R85" i="1"/>
  <c r="Q85" i="1"/>
  <c r="R37" i="1"/>
  <c r="Q37" i="1"/>
  <c r="M20" i="1"/>
  <c r="M24" i="1"/>
  <c r="R26" i="1"/>
  <c r="Q26" i="1"/>
  <c r="K30" i="1"/>
  <c r="M30" i="1"/>
  <c r="M27" i="1"/>
  <c r="K27" i="1"/>
  <c r="G160" i="1"/>
  <c r="G159" i="1"/>
  <c r="G158" i="1" s="1"/>
  <c r="H161" i="1"/>
  <c r="M148" i="1"/>
  <c r="K148" i="1"/>
  <c r="M156" i="1"/>
  <c r="K156" i="1"/>
  <c r="L127" i="1"/>
  <c r="T111" i="1"/>
  <c r="S111" i="1"/>
  <c r="R133" i="1"/>
  <c r="Q133" i="1"/>
  <c r="G128" i="1"/>
  <c r="G127" i="1" s="1"/>
  <c r="H129" i="1"/>
  <c r="M86" i="1"/>
  <c r="L114" i="1"/>
  <c r="M94" i="1"/>
  <c r="K94" i="1"/>
  <c r="M70" i="1"/>
  <c r="Q80" i="1"/>
  <c r="R80" i="1"/>
  <c r="R123" i="1"/>
  <c r="Q123" i="1"/>
  <c r="H92" i="1"/>
  <c r="H91" i="1" s="1"/>
  <c r="I93" i="1"/>
  <c r="M54" i="1"/>
  <c r="R49" i="1"/>
  <c r="Q49" i="1"/>
  <c r="T82" i="1"/>
  <c r="S82" i="1"/>
  <c r="Q89" i="1"/>
  <c r="R89" i="1"/>
  <c r="M60" i="1"/>
  <c r="M47" i="1"/>
  <c r="Q83" i="1"/>
  <c r="R83" i="1"/>
  <c r="Q46" i="1"/>
  <c r="R46" i="1"/>
  <c r="R24" i="1"/>
  <c r="Q24" i="1"/>
  <c r="Q59" i="1"/>
  <c r="R59" i="1"/>
  <c r="T52" i="1"/>
  <c r="S52" i="1"/>
  <c r="H15" i="1"/>
  <c r="I17" i="1"/>
  <c r="R20" i="1"/>
  <c r="Q20" i="1"/>
  <c r="R57" i="1"/>
  <c r="Q57" i="1"/>
  <c r="H146" i="1"/>
  <c r="G138" i="1"/>
  <c r="T119" i="1"/>
  <c r="S119" i="1"/>
  <c r="H125" i="1"/>
  <c r="H124" i="1" s="1"/>
  <c r="I126" i="1"/>
  <c r="T112" i="1"/>
  <c r="S112" i="1"/>
  <c r="R173" i="1"/>
  <c r="Q173" i="1"/>
  <c r="R162" i="1"/>
  <c r="Q162" i="1"/>
  <c r="K170" i="1"/>
  <c r="M170" i="1"/>
  <c r="K166" i="1"/>
  <c r="M166" i="1"/>
  <c r="M167" i="1"/>
  <c r="K167" i="1"/>
  <c r="M149" i="1"/>
  <c r="K149" i="1"/>
  <c r="M171" i="1"/>
  <c r="K171" i="1"/>
  <c r="R157" i="1"/>
  <c r="Q157" i="1"/>
  <c r="Q120" i="1"/>
  <c r="R120" i="1"/>
  <c r="M132" i="1"/>
  <c r="K132" i="1"/>
  <c r="R121" i="1"/>
  <c r="Q121" i="1"/>
  <c r="R113" i="1"/>
  <c r="Q113" i="1"/>
  <c r="M84" i="1"/>
  <c r="L91" i="1"/>
  <c r="K72" i="1"/>
  <c r="M72" i="1"/>
  <c r="K39" i="1"/>
  <c r="M39" i="1"/>
  <c r="L14" i="1"/>
  <c r="F13" i="1"/>
  <c r="M31" i="1"/>
  <c r="R32" i="1"/>
  <c r="Q32" i="1"/>
  <c r="K28" i="1"/>
  <c r="M28" i="1"/>
  <c r="M25" i="1"/>
  <c r="K25" i="1"/>
  <c r="G154" i="1"/>
  <c r="G153" i="1" s="1"/>
  <c r="H155" i="1"/>
  <c r="I139" i="1"/>
  <c r="H137" i="1"/>
  <c r="M145" i="1"/>
  <c r="K145" i="1"/>
  <c r="G164" i="1"/>
  <c r="H165" i="1"/>
  <c r="R141" i="1"/>
  <c r="Q141" i="1"/>
  <c r="R140" i="1"/>
  <c r="Q140" i="1"/>
  <c r="Q122" i="1"/>
  <c r="S122" i="1"/>
  <c r="T122" i="1"/>
  <c r="K107" i="1"/>
  <c r="M107" i="1"/>
  <c r="R131" i="1"/>
  <c r="Q131" i="1"/>
  <c r="I110" i="1"/>
  <c r="H97" i="1"/>
  <c r="K117" i="1"/>
  <c r="M117" i="1"/>
  <c r="T106" i="1"/>
  <c r="S106" i="1"/>
  <c r="Q86" i="1"/>
  <c r="R86" i="1"/>
  <c r="R130" i="1"/>
  <c r="Q130" i="1"/>
  <c r="O96" i="1"/>
  <c r="O95" i="1"/>
  <c r="P78" i="1"/>
  <c r="P66" i="1" s="1"/>
  <c r="J78" i="1"/>
  <c r="I66" i="1"/>
  <c r="O65" i="1"/>
  <c r="O64" i="1" s="1"/>
  <c r="T69" i="1"/>
  <c r="S69" i="1"/>
  <c r="Q48" i="1"/>
  <c r="R48" i="1"/>
  <c r="G95" i="1"/>
  <c r="K87" i="1"/>
  <c r="M87" i="1"/>
  <c r="T45" i="1"/>
  <c r="S45" i="1"/>
  <c r="Q79" i="1"/>
  <c r="R79" i="1"/>
  <c r="T44" i="1"/>
  <c r="S44" i="1"/>
  <c r="R77" i="1"/>
  <c r="Q77" i="1"/>
  <c r="H36" i="1"/>
  <c r="G16" i="1"/>
  <c r="G14" i="1" s="1"/>
  <c r="R56" i="1"/>
  <c r="Q56" i="1"/>
  <c r="Q58" i="1"/>
  <c r="R58" i="1"/>
  <c r="R18" i="1"/>
  <c r="Q18" i="1"/>
  <c r="R53" i="1"/>
  <c r="Q53" i="1"/>
  <c r="R29" i="1"/>
  <c r="Q29" i="1"/>
  <c r="R76" i="1"/>
  <c r="Q76" i="1"/>
  <c r="R43" i="1"/>
  <c r="Q43" i="1"/>
  <c r="R22" i="1"/>
  <c r="Q22" i="1"/>
  <c r="G136" i="1"/>
  <c r="M152" i="1"/>
  <c r="K152" i="1"/>
  <c r="R174" i="1"/>
  <c r="Q174" i="1"/>
  <c r="M163" i="1"/>
  <c r="K163" i="1"/>
  <c r="Q147" i="1"/>
  <c r="R147" i="1"/>
  <c r="R168" i="1"/>
  <c r="Q168" i="1"/>
  <c r="R102" i="1"/>
  <c r="Q102" i="1"/>
  <c r="Q75" i="1"/>
  <c r="R75" i="1"/>
  <c r="R104" i="1"/>
  <c r="Q104" i="1"/>
  <c r="L95" i="1"/>
  <c r="R74" i="1"/>
  <c r="Q74" i="1"/>
  <c r="K42" i="1"/>
  <c r="M42" i="1"/>
  <c r="F115" i="1"/>
  <c r="F114" i="1" s="1"/>
  <c r="G116" i="1"/>
  <c r="I98" i="1"/>
  <c r="H96" i="1"/>
  <c r="H95" i="1" s="1"/>
  <c r="K41" i="1"/>
  <c r="M41" i="1"/>
  <c r="L12" i="1"/>
  <c r="R34" i="1"/>
  <c r="Q34" i="1"/>
  <c r="T38" i="1"/>
  <c r="S38" i="1"/>
  <c r="Q38" i="1"/>
  <c r="M23" i="1"/>
  <c r="K23" i="1"/>
  <c r="M21" i="1"/>
  <c r="K21" i="1"/>
  <c r="M19" i="1"/>
  <c r="K19" i="1"/>
  <c r="R42" i="1" l="1"/>
  <c r="Q42" i="1"/>
  <c r="T22" i="1"/>
  <c r="S22" i="1"/>
  <c r="T77" i="1"/>
  <c r="S77" i="1"/>
  <c r="S75" i="1"/>
  <c r="T75" i="1"/>
  <c r="T131" i="1"/>
  <c r="S131" i="1"/>
  <c r="R145" i="1"/>
  <c r="Q145" i="1"/>
  <c r="R25" i="1"/>
  <c r="Q25" i="1"/>
  <c r="R72" i="1"/>
  <c r="Q72" i="1"/>
  <c r="Q167" i="1"/>
  <c r="R167" i="1"/>
  <c r="I125" i="1"/>
  <c r="I124" i="1" s="1"/>
  <c r="J126" i="1"/>
  <c r="P126" i="1"/>
  <c r="P125" i="1" s="1"/>
  <c r="P124" i="1" s="1"/>
  <c r="T46" i="1"/>
  <c r="S46" i="1"/>
  <c r="S89" i="1"/>
  <c r="T89" i="1"/>
  <c r="T99" i="1"/>
  <c r="S99" i="1"/>
  <c r="R172" i="1"/>
  <c r="Q172" i="1"/>
  <c r="T105" i="1"/>
  <c r="S105" i="1"/>
  <c r="R23" i="1"/>
  <c r="Q23" i="1"/>
  <c r="S34" i="1"/>
  <c r="T34" i="1"/>
  <c r="J98" i="1"/>
  <c r="I96" i="1"/>
  <c r="I95" i="1" s="1"/>
  <c r="P98" i="1"/>
  <c r="P96" i="1" s="1"/>
  <c r="S74" i="1"/>
  <c r="T74" i="1"/>
  <c r="R152" i="1"/>
  <c r="Q152" i="1"/>
  <c r="T43" i="1"/>
  <c r="S43" i="1"/>
  <c r="T53" i="1"/>
  <c r="S53" i="1"/>
  <c r="R87" i="1"/>
  <c r="Q87" i="1"/>
  <c r="T121" i="1"/>
  <c r="S121" i="1"/>
  <c r="T157" i="1"/>
  <c r="S157" i="1"/>
  <c r="I92" i="1"/>
  <c r="I91" i="1" s="1"/>
  <c r="J93" i="1"/>
  <c r="P93" i="1"/>
  <c r="P92" i="1" s="1"/>
  <c r="P91" i="1" s="1"/>
  <c r="H128" i="1"/>
  <c r="H127" i="1" s="1"/>
  <c r="I129" i="1"/>
  <c r="I161" i="1"/>
  <c r="H160" i="1"/>
  <c r="H159" i="1"/>
  <c r="H158" i="1" s="1"/>
  <c r="R30" i="1"/>
  <c r="Q30" i="1"/>
  <c r="S85" i="1"/>
  <c r="T85" i="1"/>
  <c r="R63" i="1"/>
  <c r="Q63" i="1"/>
  <c r="R109" i="1"/>
  <c r="Q109" i="1"/>
  <c r="Q143" i="1"/>
  <c r="R143" i="1"/>
  <c r="T54" i="1"/>
  <c r="S54" i="1"/>
  <c r="T70" i="1"/>
  <c r="S70" i="1"/>
  <c r="T47" i="1"/>
  <c r="S47" i="1"/>
  <c r="T135" i="1"/>
  <c r="S135" i="1"/>
  <c r="O12" i="1"/>
  <c r="O11" i="1" s="1"/>
  <c r="R21" i="1"/>
  <c r="Q21" i="1"/>
  <c r="G115" i="1"/>
  <c r="H116" i="1"/>
  <c r="G10" i="1"/>
  <c r="G13" i="1"/>
  <c r="T79" i="1"/>
  <c r="S79" i="1"/>
  <c r="T130" i="1"/>
  <c r="S130" i="1"/>
  <c r="R117" i="1"/>
  <c r="Q117" i="1"/>
  <c r="R107" i="1"/>
  <c r="Q107" i="1"/>
  <c r="Q132" i="1"/>
  <c r="R132" i="1"/>
  <c r="Q171" i="1"/>
  <c r="R171" i="1"/>
  <c r="T83" i="1"/>
  <c r="S83" i="1"/>
  <c r="R94" i="1"/>
  <c r="S94" i="1" s="1"/>
  <c r="S92" i="1" s="1"/>
  <c r="S91" i="1" s="1"/>
  <c r="Q94" i="1"/>
  <c r="T81" i="1"/>
  <c r="S81" i="1"/>
  <c r="K100" i="1"/>
  <c r="M100" i="1"/>
  <c r="F12" i="1"/>
  <c r="F11" i="1" s="1"/>
  <c r="L11" i="1"/>
  <c r="R19" i="1"/>
  <c r="Q19" i="1"/>
  <c r="T102" i="1"/>
  <c r="S102" i="1"/>
  <c r="Q163" i="1"/>
  <c r="R163" i="1"/>
  <c r="T76" i="1"/>
  <c r="S76" i="1"/>
  <c r="T18" i="1"/>
  <c r="S18" i="1"/>
  <c r="I36" i="1"/>
  <c r="H16" i="1"/>
  <c r="T48" i="1"/>
  <c r="S48" i="1"/>
  <c r="K78" i="1"/>
  <c r="J66" i="1"/>
  <c r="M66" i="1" s="1"/>
  <c r="M78" i="1"/>
  <c r="S86" i="1"/>
  <c r="T86" i="1"/>
  <c r="T141" i="1"/>
  <c r="S141" i="1"/>
  <c r="J139" i="1"/>
  <c r="P139" i="1"/>
  <c r="P137" i="1" s="1"/>
  <c r="I137" i="1"/>
  <c r="R28" i="1"/>
  <c r="Q28" i="1"/>
  <c r="R166" i="1"/>
  <c r="Q166" i="1"/>
  <c r="T173" i="1"/>
  <c r="S173" i="1"/>
  <c r="T20" i="1"/>
  <c r="S20" i="1"/>
  <c r="R156" i="1"/>
  <c r="Q156" i="1"/>
  <c r="T26" i="1"/>
  <c r="S26" i="1"/>
  <c r="T88" i="1"/>
  <c r="S88" i="1"/>
  <c r="S134" i="1"/>
  <c r="T134" i="1"/>
  <c r="R142" i="1"/>
  <c r="Q142" i="1"/>
  <c r="T84" i="1"/>
  <c r="S84" i="1"/>
  <c r="T150" i="1"/>
  <c r="S150" i="1"/>
  <c r="R41" i="1"/>
  <c r="Q41" i="1"/>
  <c r="I97" i="1"/>
  <c r="J110" i="1"/>
  <c r="P110" i="1"/>
  <c r="P97" i="1" s="1"/>
  <c r="H164" i="1"/>
  <c r="I164" i="1" s="1"/>
  <c r="I165" i="1"/>
  <c r="H154" i="1"/>
  <c r="H153" i="1" s="1"/>
  <c r="I155" i="1"/>
  <c r="S39" i="1"/>
  <c r="T39" i="1"/>
  <c r="Q39" i="1"/>
  <c r="T120" i="1"/>
  <c r="S120" i="1"/>
  <c r="Q149" i="1"/>
  <c r="R149" i="1"/>
  <c r="I15" i="1"/>
  <c r="J17" i="1"/>
  <c r="P17" i="1"/>
  <c r="P15" i="1" s="1"/>
  <c r="T123" i="1"/>
  <c r="S123" i="1"/>
  <c r="T133" i="1"/>
  <c r="S133" i="1"/>
  <c r="T27" i="1"/>
  <c r="S27" i="1"/>
  <c r="Q27" i="1"/>
  <c r="T37" i="1"/>
  <c r="S37" i="1"/>
  <c r="T90" i="1"/>
  <c r="S90" i="1"/>
  <c r="S108" i="1"/>
  <c r="T108" i="1"/>
  <c r="R151" i="1"/>
  <c r="Q151" i="1"/>
  <c r="T169" i="1"/>
  <c r="S169" i="1"/>
  <c r="Q62" i="1"/>
  <c r="T62" i="1"/>
  <c r="S40" i="1"/>
  <c r="T40" i="1"/>
  <c r="T104" i="1"/>
  <c r="S104" i="1"/>
  <c r="T29" i="1"/>
  <c r="S29" i="1"/>
  <c r="T32" i="1"/>
  <c r="S32" i="1"/>
  <c r="T113" i="1"/>
  <c r="S113" i="1"/>
  <c r="R170" i="1"/>
  <c r="Q170" i="1"/>
  <c r="H138" i="1"/>
  <c r="H136" i="1" s="1"/>
  <c r="I146" i="1"/>
  <c r="H14" i="1"/>
  <c r="T24" i="1"/>
  <c r="S24" i="1"/>
  <c r="S49" i="1"/>
  <c r="T49" i="1"/>
  <c r="T80" i="1"/>
  <c r="S80" i="1"/>
  <c r="Q148" i="1"/>
  <c r="R148" i="1"/>
  <c r="F9" i="1"/>
  <c r="F8" i="1" s="1"/>
  <c r="J67" i="1"/>
  <c r="I65" i="1"/>
  <c r="I64" i="1" s="1"/>
  <c r="P67" i="1"/>
  <c r="P65" i="1" s="1"/>
  <c r="P64" i="1" s="1"/>
  <c r="O9" i="1"/>
  <c r="O8" i="1" s="1"/>
  <c r="L8" i="1"/>
  <c r="P136" i="1" l="1"/>
  <c r="P146" i="1"/>
  <c r="P138" i="1" s="1"/>
  <c r="J146" i="1"/>
  <c r="I138" i="1"/>
  <c r="T156" i="1"/>
  <c r="S156" i="1"/>
  <c r="T151" i="1"/>
  <c r="S151" i="1"/>
  <c r="J97" i="1"/>
  <c r="M97" i="1" s="1"/>
  <c r="K110" i="1"/>
  <c r="M110" i="1"/>
  <c r="I116" i="1"/>
  <c r="H115" i="1"/>
  <c r="K93" i="1"/>
  <c r="J92" i="1"/>
  <c r="M93" i="1"/>
  <c r="M98" i="1"/>
  <c r="K98" i="1"/>
  <c r="J96" i="1"/>
  <c r="S170" i="1"/>
  <c r="T170" i="1"/>
  <c r="T159" i="1" s="1"/>
  <c r="T158" i="1" s="1"/>
  <c r="I154" i="1"/>
  <c r="I153" i="1" s="1"/>
  <c r="J155" i="1"/>
  <c r="P155" i="1"/>
  <c r="P154" i="1" s="1"/>
  <c r="P153" i="1" s="1"/>
  <c r="S28" i="1"/>
  <c r="T28" i="1"/>
  <c r="T19" i="1"/>
  <c r="S19" i="1"/>
  <c r="Q100" i="1"/>
  <c r="R100" i="1"/>
  <c r="G114" i="1"/>
  <c r="G12" i="1"/>
  <c r="G11" i="1" s="1"/>
  <c r="G9" i="1"/>
  <c r="G8" i="1" s="1"/>
  <c r="T143" i="1"/>
  <c r="S143" i="1"/>
  <c r="J161" i="1"/>
  <c r="P161" i="1"/>
  <c r="I160" i="1"/>
  <c r="I159" i="1"/>
  <c r="I158" i="1" s="1"/>
  <c r="S87" i="1"/>
  <c r="T87" i="1"/>
  <c r="T152" i="1"/>
  <c r="T138" i="1" s="1"/>
  <c r="S152" i="1"/>
  <c r="S138" i="1" s="1"/>
  <c r="S41" i="1"/>
  <c r="T41" i="1"/>
  <c r="J65" i="1"/>
  <c r="K67" i="1"/>
  <c r="M67" i="1"/>
  <c r="I136" i="1"/>
  <c r="H13" i="1"/>
  <c r="H10" i="1"/>
  <c r="T171" i="1"/>
  <c r="S171" i="1"/>
  <c r="S159" i="1" s="1"/>
  <c r="S158" i="1" s="1"/>
  <c r="T172" i="1"/>
  <c r="S172" i="1"/>
  <c r="S142" i="1"/>
  <c r="T142" i="1"/>
  <c r="J36" i="1"/>
  <c r="P36" i="1"/>
  <c r="P16" i="1" s="1"/>
  <c r="I16" i="1"/>
  <c r="T21" i="1"/>
  <c r="S21" i="1"/>
  <c r="I128" i="1"/>
  <c r="I127" i="1" s="1"/>
  <c r="J129" i="1"/>
  <c r="P129" i="1"/>
  <c r="P128" i="1" s="1"/>
  <c r="P127" i="1" s="1"/>
  <c r="S72" i="1"/>
  <c r="T72" i="1"/>
  <c r="J165" i="1"/>
  <c r="P165" i="1"/>
  <c r="P164" i="1" s="1"/>
  <c r="J15" i="1"/>
  <c r="K17" i="1"/>
  <c r="M17" i="1"/>
  <c r="M139" i="1"/>
  <c r="K139" i="1"/>
  <c r="J137" i="1"/>
  <c r="S132" i="1"/>
  <c r="T132" i="1"/>
  <c r="T109" i="1"/>
  <c r="S109" i="1"/>
  <c r="S30" i="1"/>
  <c r="T30" i="1"/>
  <c r="P95" i="1"/>
  <c r="T23" i="1"/>
  <c r="S23" i="1"/>
  <c r="K126" i="1"/>
  <c r="J125" i="1"/>
  <c r="M126" i="1"/>
  <c r="I14" i="1"/>
  <c r="R78" i="1"/>
  <c r="Q78" i="1"/>
  <c r="Q66" i="1" s="1"/>
  <c r="K66" i="1"/>
  <c r="S117" i="1"/>
  <c r="T117" i="1"/>
  <c r="T25" i="1"/>
  <c r="S25" i="1"/>
  <c r="S42" i="1"/>
  <c r="T42" i="1"/>
  <c r="P160" i="1" l="1"/>
  <c r="P159" i="1"/>
  <c r="P158" i="1" s="1"/>
  <c r="J95" i="1"/>
  <c r="M95" i="1" s="1"/>
  <c r="M96" i="1"/>
  <c r="H114" i="1"/>
  <c r="H12" i="1"/>
  <c r="H11" i="1" s="1"/>
  <c r="H9" i="1"/>
  <c r="H8" i="1" s="1"/>
  <c r="K15" i="1"/>
  <c r="R17" i="1"/>
  <c r="Q17" i="1"/>
  <c r="Q15" i="1" s="1"/>
  <c r="J64" i="1"/>
  <c r="M64" i="1" s="1"/>
  <c r="M65" i="1"/>
  <c r="K161" i="1"/>
  <c r="J160" i="1"/>
  <c r="M160" i="1" s="1"/>
  <c r="J159" i="1"/>
  <c r="M161" i="1"/>
  <c r="T100" i="1"/>
  <c r="S100" i="1"/>
  <c r="R98" i="1"/>
  <c r="Q98" i="1"/>
  <c r="Q96" i="1" s="1"/>
  <c r="Q95" i="1" s="1"/>
  <c r="K96" i="1"/>
  <c r="K95" i="1" s="1"/>
  <c r="P116" i="1"/>
  <c r="P115" i="1" s="1"/>
  <c r="I115" i="1"/>
  <c r="J116" i="1"/>
  <c r="M15" i="1"/>
  <c r="I13" i="1"/>
  <c r="I10" i="1"/>
  <c r="K155" i="1"/>
  <c r="J154" i="1"/>
  <c r="M155" i="1"/>
  <c r="K65" i="1"/>
  <c r="K64" i="1" s="1"/>
  <c r="R67" i="1"/>
  <c r="Q67" i="1"/>
  <c r="Q65" i="1" s="1"/>
  <c r="Q64" i="1" s="1"/>
  <c r="P13" i="1"/>
  <c r="P10" i="1"/>
  <c r="P14" i="1"/>
  <c r="R110" i="1"/>
  <c r="Q110" i="1"/>
  <c r="Q97" i="1" s="1"/>
  <c r="K97" i="1"/>
  <c r="M137" i="1"/>
  <c r="K129" i="1"/>
  <c r="M129" i="1"/>
  <c r="J128" i="1"/>
  <c r="J124" i="1"/>
  <c r="M124" i="1" s="1"/>
  <c r="M125" i="1"/>
  <c r="K36" i="1"/>
  <c r="J16" i="1"/>
  <c r="M36" i="1"/>
  <c r="J91" i="1"/>
  <c r="M92" i="1"/>
  <c r="M91" i="1" s="1"/>
  <c r="M146" i="1"/>
  <c r="K146" i="1"/>
  <c r="J138" i="1"/>
  <c r="M138" i="1" s="1"/>
  <c r="R139" i="1"/>
  <c r="Q139" i="1"/>
  <c r="Q137" i="1" s="1"/>
  <c r="K137" i="1"/>
  <c r="K165" i="1"/>
  <c r="J164" i="1"/>
  <c r="M164" i="1" s="1"/>
  <c r="M165" i="1"/>
  <c r="T78" i="1"/>
  <c r="T66" i="1" s="1"/>
  <c r="S78" i="1"/>
  <c r="S66" i="1" s="1"/>
  <c r="R66" i="1"/>
  <c r="R126" i="1"/>
  <c r="Q126" i="1"/>
  <c r="Q125" i="1" s="1"/>
  <c r="Q124" i="1" s="1"/>
  <c r="K125" i="1"/>
  <c r="K124" i="1" s="1"/>
  <c r="R93" i="1"/>
  <c r="Q93" i="1"/>
  <c r="Q92" i="1" s="1"/>
  <c r="Q91" i="1" s="1"/>
  <c r="K92" i="1"/>
  <c r="K91" i="1" s="1"/>
  <c r="J115" i="1" l="1"/>
  <c r="K116" i="1"/>
  <c r="M116" i="1"/>
  <c r="J127" i="1"/>
  <c r="M127" i="1" s="1"/>
  <c r="M128" i="1"/>
  <c r="T67" i="1"/>
  <c r="T65" i="1" s="1"/>
  <c r="T64" i="1" s="1"/>
  <c r="R65" i="1"/>
  <c r="R64" i="1" s="1"/>
  <c r="S67" i="1"/>
  <c r="S65" i="1" s="1"/>
  <c r="S64" i="1" s="1"/>
  <c r="I114" i="1"/>
  <c r="I12" i="1"/>
  <c r="I11" i="1" s="1"/>
  <c r="I9" i="1"/>
  <c r="I8" i="1" s="1"/>
  <c r="J13" i="1"/>
  <c r="M13" i="1" s="1"/>
  <c r="J10" i="1"/>
  <c r="M10" i="1" s="1"/>
  <c r="M16" i="1"/>
  <c r="J158" i="1"/>
  <c r="M158" i="1" s="1"/>
  <c r="M159" i="1"/>
  <c r="T17" i="1"/>
  <c r="T15" i="1" s="1"/>
  <c r="S17" i="1"/>
  <c r="S15" i="1" s="1"/>
  <c r="R15" i="1"/>
  <c r="S110" i="1"/>
  <c r="S97" i="1" s="1"/>
  <c r="T110" i="1"/>
  <c r="T97" i="1" s="1"/>
  <c r="R97" i="1"/>
  <c r="R129" i="1"/>
  <c r="Q129" i="1"/>
  <c r="Q128" i="1" s="1"/>
  <c r="Q127" i="1" s="1"/>
  <c r="K128" i="1"/>
  <c r="K127" i="1" s="1"/>
  <c r="R146" i="1"/>
  <c r="R138" i="1" s="1"/>
  <c r="Q146" i="1"/>
  <c r="Q138" i="1" s="1"/>
  <c r="Q136" i="1" s="1"/>
  <c r="K138" i="1"/>
  <c r="K136" i="1" s="1"/>
  <c r="R36" i="1"/>
  <c r="K16" i="1"/>
  <c r="Q36" i="1"/>
  <c r="Q16" i="1" s="1"/>
  <c r="Q14" i="1" s="1"/>
  <c r="J153" i="1"/>
  <c r="M153" i="1" s="1"/>
  <c r="M154" i="1"/>
  <c r="R92" i="1"/>
  <c r="R91" i="1" s="1"/>
  <c r="T93" i="1"/>
  <c r="T92" i="1" s="1"/>
  <c r="T91" i="1" s="1"/>
  <c r="T139" i="1"/>
  <c r="T137" i="1" s="1"/>
  <c r="T136" i="1" s="1"/>
  <c r="S139" i="1"/>
  <c r="S137" i="1" s="1"/>
  <c r="S136" i="1" s="1"/>
  <c r="R137" i="1"/>
  <c r="R136" i="1" s="1"/>
  <c r="P114" i="1"/>
  <c r="P9" i="1"/>
  <c r="P8" i="1" s="1"/>
  <c r="P12" i="1"/>
  <c r="P11" i="1" s="1"/>
  <c r="K14" i="1"/>
  <c r="S126" i="1"/>
  <c r="S125" i="1" s="1"/>
  <c r="S124" i="1" s="1"/>
  <c r="R125" i="1"/>
  <c r="R124" i="1" s="1"/>
  <c r="T126" i="1"/>
  <c r="T125" i="1" s="1"/>
  <c r="T124" i="1" s="1"/>
  <c r="R165" i="1"/>
  <c r="R164" i="1" s="1"/>
  <c r="Q165" i="1"/>
  <c r="Q164" i="1" s="1"/>
  <c r="K164" i="1"/>
  <c r="J136" i="1"/>
  <c r="M136" i="1" s="1"/>
  <c r="R155" i="1"/>
  <c r="Q155" i="1"/>
  <c r="Q154" i="1" s="1"/>
  <c r="Q153" i="1" s="1"/>
  <c r="K154" i="1"/>
  <c r="K153" i="1" s="1"/>
  <c r="J14" i="1"/>
  <c r="M14" i="1" s="1"/>
  <c r="T98" i="1"/>
  <c r="T96" i="1" s="1"/>
  <c r="T95" i="1" s="1"/>
  <c r="S98" i="1"/>
  <c r="S96" i="1" s="1"/>
  <c r="S95" i="1" s="1"/>
  <c r="R96" i="1"/>
  <c r="R95" i="1" s="1"/>
  <c r="R161" i="1"/>
  <c r="Q161" i="1"/>
  <c r="K160" i="1"/>
  <c r="Q160" i="1" s="1"/>
  <c r="K159" i="1"/>
  <c r="K158" i="1" s="1"/>
  <c r="Q159" i="1" l="1"/>
  <c r="Q158" i="1" s="1"/>
  <c r="K10" i="1"/>
  <c r="K13" i="1"/>
  <c r="R160" i="1"/>
  <c r="R159" i="1"/>
  <c r="R158" i="1" s="1"/>
  <c r="R154" i="1"/>
  <c r="R153" i="1" s="1"/>
  <c r="T155" i="1"/>
  <c r="T154" i="1" s="1"/>
  <c r="T153" i="1" s="1"/>
  <c r="S155" i="1"/>
  <c r="S154" i="1" s="1"/>
  <c r="S153" i="1" s="1"/>
  <c r="K115" i="1"/>
  <c r="Q116" i="1"/>
  <c r="Q115" i="1" s="1"/>
  <c r="R116" i="1"/>
  <c r="S36" i="1"/>
  <c r="S16" i="1" s="1"/>
  <c r="R16" i="1"/>
  <c r="T36" i="1"/>
  <c r="T16" i="1" s="1"/>
  <c r="R128" i="1"/>
  <c r="R127" i="1" s="1"/>
  <c r="T129" i="1"/>
  <c r="T128" i="1" s="1"/>
  <c r="T127" i="1" s="1"/>
  <c r="S129" i="1"/>
  <c r="S128" i="1" s="1"/>
  <c r="S127" i="1" s="1"/>
  <c r="J114" i="1"/>
  <c r="M114" i="1" s="1"/>
  <c r="M115" i="1"/>
  <c r="J9" i="1"/>
  <c r="J12" i="1"/>
  <c r="Q10" i="1"/>
  <c r="Q13" i="1"/>
  <c r="R10" i="1" l="1"/>
  <c r="R13" i="1"/>
  <c r="R115" i="1"/>
  <c r="T116" i="1"/>
  <c r="T115" i="1" s="1"/>
  <c r="S116" i="1"/>
  <c r="S115" i="1" s="1"/>
  <c r="J11" i="1"/>
  <c r="M11" i="1" s="1"/>
  <c r="M12" i="1"/>
  <c r="K114" i="1"/>
  <c r="K12" i="1"/>
  <c r="K11" i="1" s="1"/>
  <c r="K9" i="1"/>
  <c r="K8" i="1" s="1"/>
  <c r="J8" i="1"/>
  <c r="M8" i="1" s="1"/>
  <c r="M9" i="1"/>
  <c r="T13" i="1"/>
  <c r="T10" i="1"/>
  <c r="T14" i="1"/>
  <c r="S10" i="1"/>
  <c r="S13" i="1"/>
  <c r="R14" i="1"/>
  <c r="S14" i="1"/>
  <c r="Q114" i="1"/>
  <c r="Q9" i="1"/>
  <c r="Q8" i="1" s="1"/>
  <c r="Q12" i="1"/>
  <c r="Q11" i="1" s="1"/>
  <c r="S114" i="1" l="1"/>
  <c r="S9" i="1"/>
  <c r="S8" i="1" s="1"/>
  <c r="S12" i="1"/>
  <c r="S11" i="1" s="1"/>
  <c r="R114" i="1"/>
  <c r="R9" i="1"/>
  <c r="R8" i="1" s="1"/>
  <c r="R12" i="1"/>
  <c r="R11" i="1" s="1"/>
  <c r="T114" i="1"/>
  <c r="T9" i="1"/>
  <c r="T8" i="1" s="1"/>
  <c r="T12" i="1"/>
  <c r="T11" i="1" s="1"/>
</calcChain>
</file>

<file path=xl/comments1.xml><?xml version="1.0" encoding="utf-8"?>
<comments xmlns="http://schemas.openxmlformats.org/spreadsheetml/2006/main">
  <authors>
    <author>Ольга В. Вильнер</author>
  </authors>
  <commentList>
    <comment ref="V116" authorId="0">
      <text>
        <r>
          <rPr>
            <b/>
            <sz val="9"/>
            <color indexed="81"/>
            <rFont val="Tahoma"/>
            <family val="2"/>
            <charset val="204"/>
          </rPr>
          <t>Ольга В. Вильнер:</t>
        </r>
        <r>
          <rPr>
            <sz val="9"/>
            <color indexed="81"/>
            <rFont val="Tahoma"/>
            <family val="2"/>
            <charset val="204"/>
          </rPr>
          <t xml:space="preserve">
с учетом хопперов 12 млн, МКК Филимоновский 8 договоров по автомобилям </t>
        </r>
      </text>
    </comment>
  </commentList>
</comments>
</file>

<file path=xl/sharedStrings.xml><?xml version="1.0" encoding="utf-8"?>
<sst xmlns="http://schemas.openxmlformats.org/spreadsheetml/2006/main" count="475" uniqueCount="245">
  <si>
    <t>Информация</t>
  </si>
  <si>
    <t>о финансировании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2021 году</t>
  </si>
  <si>
    <t>по состоянию на 30.06.2021</t>
  </si>
  <si>
    <t>тыс. рублей</t>
  </si>
  <si>
    <t>Направление финансирования</t>
  </si>
  <si>
    <t>уровень бюджета</t>
  </si>
  <si>
    <t>КБК в 2021 году</t>
  </si>
  <si>
    <t xml:space="preserve">Закон края от 10.12.2020 № 10-4538 </t>
  </si>
  <si>
    <t>Изменение росписи расходов 15.02.2021</t>
  </si>
  <si>
    <t>Изменение росписи расходов 03.03.2021</t>
  </si>
  <si>
    <t>Закон края от 22.04.2021 №  11-4907</t>
  </si>
  <si>
    <t>проект</t>
  </si>
  <si>
    <t>Перечислено получателям на 30.06.2021</t>
  </si>
  <si>
    <t>Начислено, но не перечислено получателям</t>
  </si>
  <si>
    <t>Остаток  средств бюджета после начисления</t>
  </si>
  <si>
    <t>Остаток  средств после начисления с учетом корректировки</t>
  </si>
  <si>
    <t xml:space="preserve">Потребность в средствах на год на </t>
  </si>
  <si>
    <t>Изменения от проекта Закона о бюджете</t>
  </si>
  <si>
    <t>Комментарии</t>
  </si>
  <si>
    <t>Сумма</t>
  </si>
  <si>
    <t xml:space="preserve">% исполнения </t>
  </si>
  <si>
    <t>доп потребность (+)</t>
  </si>
  <si>
    <t>экономия       (-)</t>
  </si>
  <si>
    <t>Государственная программа края "Развитие сельского хозяйства и регулирование рынков сельскохозяйственной продукции, сырья и продовольствия"</t>
  </si>
  <si>
    <t>краевой бюджет</t>
  </si>
  <si>
    <t>01</t>
  </si>
  <si>
    <t>федеральный бюджет</t>
  </si>
  <si>
    <t>02</t>
  </si>
  <si>
    <t>Прямая поддержка отрасли</t>
  </si>
  <si>
    <t>1 Подпрограмма "Развитие отраслей агропромышленного комплекса"</t>
  </si>
  <si>
    <t>соф</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</si>
  <si>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</si>
  <si>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</si>
  <si>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</si>
  <si>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</si>
  <si>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оказание несвязанной поддержки в области растениеводства государственным и муниципальным предприятиям, сельскохозяйственным товаропроизводителям</t>
  </si>
  <si>
    <t>14 Б 00 21880</t>
  </si>
  <si>
    <t>Субсидии на компенсацию части затрат на приобретение кормов для рыбы</t>
  </si>
  <si>
    <t>14 Б 00 22180</t>
  </si>
  <si>
    <t>Субсидии на компенсацию части затрат на производство и реализацию молока</t>
  </si>
  <si>
    <t>14 Б 00 24050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</si>
  <si>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</si>
  <si>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</si>
  <si>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</si>
  <si>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</si>
  <si>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</si>
  <si>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</si>
  <si>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Субсидии на компенсацию части затрат на содержание коров и нетелей крупного рогатого скота</t>
  </si>
  <si>
    <t>14 Б 00 24330</t>
  </si>
  <si>
    <t>Субсидии на компенсацию части затрат на производство и реализацию продукции птицеводства</t>
  </si>
  <si>
    <t>14 Б 00 24360</t>
  </si>
  <si>
    <t>Субсидии на компенсацию части затрат на производство оригинальных и элитных семян зерновых и (или) зернобобовых культур</t>
  </si>
  <si>
    <t>14 Б 00 24390</t>
  </si>
  <si>
    <t>невостребованная сумма в связи с отказом ООО Агрофирма Учумская</t>
  </si>
  <si>
    <t>Субсидии на оказание поддержки производства продукции животноводства в районах Крайнего Севера</t>
  </si>
  <si>
    <t>14 Б 00 24450</t>
  </si>
  <si>
    <t>Субсидии на возмещение части затрат на проведение некорневой подкормки минеральными азотными удобрениями посевов озимой и яровой пшеницы</t>
  </si>
  <si>
    <t>14 Б 00 24460</t>
  </si>
  <si>
    <t>Гранты в форме субсидий сельскохозяйственным научным организациям на финансовое обеспечение затрат на развитие материально-технической базы, необходимой 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t>
  </si>
  <si>
    <t>14 Б 00 24470</t>
  </si>
  <si>
    <t>Субсидии на возмещение части затрат на производство органической продукции в области растениеводства, поставляемой на экспорт</t>
  </si>
  <si>
    <t>14 Б 00 24480</t>
  </si>
  <si>
    <t>потребность согласно фактически представленным документам</t>
  </si>
  <si>
    <t>Субсидии на компенсацию части затрат на производство и реализацию муки, и (или) крупы, и (или) макаронных изделий</t>
  </si>
  <si>
    <t>14 Б 00 24810</t>
  </si>
  <si>
    <t xml:space="preserve">Субсидии на возмещение части затрат, связанных с оказанием услуг по продвижению пищевых продуктов </t>
  </si>
  <si>
    <t>14 Б 00 24350</t>
  </si>
  <si>
    <t>Субсидии на возмещение части затрат, направленных на обеспечение прироста собственного производства зерновых, зернобобовых и масличных (за исключением рапса и сои) культур</t>
  </si>
  <si>
    <t>14 Б 00 R5021</t>
  </si>
  <si>
    <t>Субсидии на возмещение части затрат, направленных на обеспечение прироста собственного производства молока</t>
  </si>
  <si>
    <t>потребность согласно фактически представленным документам за период с декабря 2020 года по апрель 2021 года; начисление в мае k = 0,8105</t>
  </si>
  <si>
    <t>14 Б 00 R5022</t>
  </si>
  <si>
    <t>Cубсидии на возмещение части затрат на поддержку элитного семеноводства и на проведение агротехнических работ в области семеноводства сельскохозяйственных культур</t>
  </si>
  <si>
    <t>14 Б 00 R5081</t>
  </si>
  <si>
    <t>Cубсидии на возмещение части затрат на поддержку собственного производства молока</t>
  </si>
  <si>
    <t>14 Б 00 R5082</t>
  </si>
  <si>
    <t xml:space="preserve">Субсидии на возмещение части затрат на племенное маточное поголовье с/х животных, племенных быков-производителей  </t>
  </si>
  <si>
    <t>14 Б 00 R5083</t>
  </si>
  <si>
    <t>Субсидии на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</si>
  <si>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14 Б 00 R5084</t>
  </si>
  <si>
    <t>Субсидии на возмещение части затрат на уплату страховых премий, начисленных по договорам сельскохозяйственного страхования в области растениеводства, и (или) животноводства, и (или) товарной аквакультуры (товарного рыбоводства)</t>
  </si>
  <si>
    <t>14 Б 00 R5085</t>
  </si>
  <si>
    <t>Субсидии на возмещение части затрат, связанных с приобретением продовольственной пшеницы для производства муки</t>
  </si>
  <si>
    <t>14 Б 00 R6010</t>
  </si>
  <si>
    <t xml:space="preserve">Субсидии на возмещение  части затрат на реализацию произведенных и реализованных хлеба и хлебобулочных изделий </t>
  </si>
  <si>
    <t>14 Б 00 R6020</t>
  </si>
  <si>
    <t>Субсидии на возмещение части затрат, направленных на производство масличных культур</t>
  </si>
  <si>
    <t>14 Б Т2 52590</t>
  </si>
  <si>
    <t xml:space="preserve">Заключено доп соглашение № 4 от 23.04.21 на уменьшение лимитов. В 2021 году объем ФБ - 35413,5 тр, КБ-1863,86842 тр. </t>
  </si>
  <si>
    <t>2 Подпрограмма "Развитие малых форм хозяйствования и сельскохозяйственной кооперации"</t>
  </si>
  <si>
    <t xml:space="preserve">Cубсидии центру компетенций в сфере сельскохозяйственной кооперации и поддержки фермеров на финасовое обеспечение затрат, связанных с осуществлением его деятельности, с оказанием консультационных услуг </t>
  </si>
  <si>
    <t>14 5 00 22450</t>
  </si>
  <si>
    <t>Субсидии на возмещение части затрат на содержание коров молочного направления продуктивности,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t>
  </si>
  <si>
    <t>14 5 00 22460</t>
  </si>
  <si>
    <t xml:space="preserve">Субсидии на возмещение части затрат на приобретение племенных нетелей и (или) племенных коров, и (или) молодняка крупного рогатого скота для их последующей передачи в собственность граждан, ведущих личное подсобное хозяйство на территории края, являющихся членами сельскохозяйственного потребительского кооператива </t>
  </si>
  <si>
    <t>14 5 00 22470</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</si>
  <si>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</si>
  <si>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14 5 00 22900</t>
  </si>
  <si>
    <t>Субсидии на возмещение части затрат, связанных с закупкой продовольственной продукции</t>
  </si>
  <si>
    <t>14 5 00 22250</t>
  </si>
  <si>
    <t>Гранты в форме субсидий на финансовое обеспечение затрат на развитие несельскохозяйственных видов деятельности</t>
  </si>
  <si>
    <t>14 5 00 22920</t>
  </si>
  <si>
    <t>Субсидии крестьянским (фермерским) хозяйствам, сельскохозяйственным потребительским кооперативам и сельскохозяйственным потребительским кооперативам, образованным двумя и более сельскохозяйственными потребительскими кооперативами, зарегистрированными на территории края, на возмещение части затрат на уплату процентов по кредитам (займам), полученным на срок до 2 лет и до 8 лет</t>
  </si>
  <si>
    <t>14 5 00 22440</t>
  </si>
  <si>
    <t>Потребность расчитана по кредитам, принятым к субсидированию; по СППК Агрофедерация отсутствует информация о планируемом привлечении кредитов в 2021 году</t>
  </si>
  <si>
    <t>Субсидии гражданам, ведущим личное подсобное хозяйство на территории края, на возмещение части затрат на уплату процентов по кредитам, полученным на срок до 5 лет</t>
  </si>
  <si>
    <t>14 5 00 24380</t>
  </si>
  <si>
    <t>Нет потребности в связи с отсутствием докуметов по новым кредитным договорам, заключенным с 01.01.2020</t>
  </si>
  <si>
    <t>Гранты в форме субсидий на финансовое обеспечение затрат на  развитие сельскохозяйственных потребительских кооперативов</t>
  </si>
  <si>
    <t>14 5 00 22480</t>
  </si>
  <si>
    <t>Гранты в форме субсидий главам крестьянских (фермерских) хозяйств или индивидуальным предпринимателям, являющимся сельскохозяйственными товаропроизводителями, на финансовое обеспечение затрат на развитие семейных ферм</t>
  </si>
  <si>
    <t>14 5 00 R5023</t>
  </si>
  <si>
    <t>Гранты в форме субсидий сельскохозяйственным потребительским кооперативам на финансовое обеспечение затрат на развитие материально-технической базы</t>
  </si>
  <si>
    <t>14 5 00 R5024</t>
  </si>
  <si>
    <t>Гранты в форме субсидий «Агростартап» крестьянским (фермерским) хозяйствам или индивидуальным предпринимателям, основным видом деятельности которых является производство или переработка сельскохозяйственной продукции, на финансовое обеспечение затрат, связанных с реализацией проекта создания и (или) развития хозяйства</t>
  </si>
  <si>
    <t>14 5 I7 54801</t>
  </si>
  <si>
    <t>Субсидии сельскохозяйственным потребительским кооперативам на возмещение части затрат, понесенных в текущем финансовом году</t>
  </si>
  <si>
    <t>14 5 I7 54802</t>
  </si>
  <si>
    <t>Субсидии центру компетенций в сфере сельскохозяйственной кооперации и поддержки фермеров на финансовое обеспечение затрат, связанных с осуществлением деятельности</t>
  </si>
  <si>
    <t>14 5 I7 54803</t>
  </si>
  <si>
    <t>3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</si>
  <si>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</si>
  <si>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</si>
  <si>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автотранспортных средств,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приборов и инструментов для проведения искусственного осеменения сельскохозяйственных животных </t>
    </r>
    <r>
      <rPr>
        <b/>
        <sz val="12"/>
        <color rgb="FF996633"/>
        <rFont val="Times New Roman"/>
        <family val="1"/>
        <charset val="204"/>
      </rPr>
      <t>(ветслужба)</t>
    </r>
  </si>
  <si>
    <t>14 В 00 24040</t>
  </si>
  <si>
    <t>4 Подпрограмма "Стимулирование инвестиционной деятельности в агропромышленном комплексе"</t>
  </si>
  <si>
    <t>Субсидии на компенсацию части затрат на выполнение инженерных изысканий и (или) на разработку проектной документации, и (или) проведение экспертизы проектной документации и строительство учебно-опытных животноводческих комплексов молочного направления, животноводческих объектов для содержания  быков-производителей или маралов</t>
  </si>
  <si>
    <t>14 Г 00 22350</t>
  </si>
  <si>
    <t xml:space="preserve">Предоставление субсидии возможно только после внесения изменений в Закон края о гос поддержке </t>
  </si>
  <si>
    <t>Субсидии на возмещение части затрат на уплату основного долга и затрат на уплату процентов по кредитным договорам, заключенным с 1 января 2020 года на срок до 4 лет</t>
  </si>
  <si>
    <t>14 Г 00 22790</t>
  </si>
  <si>
    <t xml:space="preserve">Субсидии на возмещение части затрат на уплату процентов по инвестиционным кредитам, полученным на срок до 10 лет </t>
  </si>
  <si>
    <t>14 Г 00 22820</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</si>
  <si>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</si>
  <si>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</si>
  <si>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 xml:space="preserve">Крайний срок представления документов по 2 объектам ООО "Саянмолоко" 01.10.2021. На сегодняшний день отсутствует информация от предприятия о том, когда планируется представление документов. </t>
  </si>
  <si>
    <t>Субсидии на возмещение части прямых понесенных затрат на создание и (или) модернизацию объектов агропромышленного комплекса, на приобретение племенного материала, специализированного и технологического оборудования, сельскохозяйственной техники, автомобильного транспорта,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t>
  </si>
  <si>
    <t>14 Г 00 22860</t>
  </si>
  <si>
    <t>Дополнительная потребность по молочным объектам и овощехранилищам (ИП Зубарева, АО "Тубинск", ООО "Дары малиновки")</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</si>
  <si>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</si>
  <si>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</si>
  <si>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</si>
  <si>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</si>
  <si>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Субсидии на возмещение части затрат на уплату процентов по инвестиционным кредитам (займам), полученным на срок до 8 лет, до 10 лет и до 15 лет</t>
  </si>
  <si>
    <t>14 Г 00 23110</t>
  </si>
  <si>
    <t>Субсидии на возмещение (финансовое обеспечение) части затрат на строительство заготовительных пунктов, включая затраты на приобретение технологического оборудования для переработки сельскохозяйственной, лесной продукции</t>
  </si>
  <si>
    <t>14 Г 00 23120</t>
  </si>
  <si>
    <t xml:space="preserve">Субсидии на возмещение части затрат на строительство и (или) реконструкцию животноводческих объектов для производства молока </t>
  </si>
  <si>
    <t>14 Г 00 23130</t>
  </si>
  <si>
    <t>На сегодняшний день нет информаци от отраслевого отдела о том, кто и когда планирует предоставить пакеты документов</t>
  </si>
  <si>
    <t>Субсидии на возмещение части затрат на уплату процентов по инвестиционным кредитам (займам) в агропромышленном комплексе</t>
  </si>
  <si>
    <t>14 Г 00 R4330</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</si>
  <si>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</si>
  <si>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R5260</t>
  </si>
  <si>
    <t>5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</si>
  <si>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t>
  </si>
  <si>
    <t>14 4 00 22310</t>
  </si>
  <si>
    <t>Дополнительная потребность по информации, представленной отделами сельского хозяйства в отдел инженерно-технического обеспечения</t>
  </si>
  <si>
    <t>Субсидии на возмещение части затрат, связанных с приобретением оборудования для цифровизации и автоматизации процессов производства продукции растенивеводства и (или) животноводства и (или) программного обеспечения</t>
  </si>
  <si>
    <t>14 4 00 22320</t>
  </si>
  <si>
    <t xml:space="preserve">По информации, представленной отделами сельского хозяйства в отдел инженерно-технического обеспечения субъектами АПК планируется приобретение системы точного земледелия </t>
  </si>
  <si>
    <t>Расходы на приобретение изделий автомобильной промышленности, тракторов, сельскохозяйственных машин, оборудования и (или) линий, предназначенных для производства молочной продукции,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</si>
  <si>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</si>
  <si>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</si>
  <si>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</si>
  <si>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Субсидии на компенсацию части затрат, связанных с оплатой первоначального (авансового) лизингового взноса, очередных лизинговых или арендных платежей</t>
  </si>
  <si>
    <t>14 4 00 22800</t>
  </si>
  <si>
    <t>Палнируемое неосвоение в связи с изменениями графиков очередных платежей</t>
  </si>
  <si>
    <t>Субсидии на компенсацию части затрат, связанных с приобретением машин и оборудования для пищевой, перерабатывающей и элеваторной промышленности, модульных объектов,  сельскохозяйственных машин и оборудования для производства оригинальных и элитных семян сельскохозяйственных культур, оборудования для доения коров</t>
  </si>
  <si>
    <t>14 4 00 24510</t>
  </si>
  <si>
    <t>по информации, представленной отделами сельского хозяйства в отдел животноводства</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</si>
  <si>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t>
  </si>
  <si>
    <t>14 4 00 24520</t>
  </si>
  <si>
    <t>По документам, представленным ООО Саянмолоко направлено уведомление об отказе в предоставлении субсидии. У трех получателей ведется работа по завершению реконструкции и тех присоединению. Информация о планируемом поступлении документов для начисления субсидии в министерстве отсутствует.</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</si>
  <si>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новых зерновых сушилок, и (или) новых посевных комплексов</t>
  </si>
  <si>
    <t>14 4 00 24530</t>
  </si>
  <si>
    <t>по информации, представленной отделами сельского хозяйства в отдел инженерно-технического обеспечения</t>
  </si>
  <si>
    <t>6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</si>
  <si>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</si>
  <si>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14 А 00 24180</t>
  </si>
  <si>
    <t>7 Подпрограмма "Кадровое обеспечение агропромышленного комплекса"</t>
  </si>
  <si>
    <t>Оплата услуг по проведению лекций, семинаров, дополнительному профессиональному образованию работников сельскохозяйственных товаропроизводителей, вновь созданных сельскохозяйственных товаропроизводителей, организаций агропромышленного комплекса, государственных и муниципальных предприятий, преподавателей, мастеров производственного обучения сельскохозяйственных образовательных организаций и муниципальных служащих</t>
  </si>
  <si>
    <t>14 6 00 22520</t>
  </si>
  <si>
    <t xml:space="preserve">Социальные выплаты на обустройство молодым специалистам, молодым рабочим, гражданам </t>
  </si>
  <si>
    <t>14 6 00 22550</t>
  </si>
  <si>
    <t>Субсидии сельскохозяйственным товаропроизводителям, вновь созданным сельскохозяйственным товаропроизводителям на возмещение части затрат, связанных с выплатой заработной платы молодому специалисту, студентам, в случае их трудоустройства по срочному трудовому договору в период прохождения практической подготовки</t>
  </si>
  <si>
    <t>14 6 00 22560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</si>
  <si>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дополнительным профессиональным образованием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</si>
  <si>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</si>
  <si>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 xml:space="preserve">Социальная выплата работникам сельскохозяйственных товаропроизводителей, вновь созданных сельскохозяйственных товаропроизводителей, сельскохозяйственных научных организаций на компенсацию затрат, связанных с получением ими высшего образования по очно-заочной, заочной форме обучения по специальности, направлению подготовки, соответствующим их трудовой функции </t>
  </si>
  <si>
    <t>14 6 00 24680</t>
  </si>
  <si>
    <r>
      <t xml:space="preserve">Гранты в форме субсидий общеобразовательным организациям на финансовое обеспечение затрат, связанных с реализацией образовательных программ в области агротехнического образования  в сетевой форме </t>
    </r>
    <r>
      <rPr>
        <sz val="12"/>
        <color theme="3" tint="0.39997558519241921"/>
        <rFont val="Times New Roman"/>
        <family val="1"/>
        <charset val="204"/>
      </rPr>
      <t>(минобразования края)</t>
    </r>
  </si>
  <si>
    <t>14 6 00 24670</t>
  </si>
  <si>
    <r>
      <t xml:space="preserve">Субсидии на цели, не связанные с финансовым обеспечением выполнения государственного задания на оказание государственных услуг (выполнение работ), профессиональным образовательным организациям, осуществляющим подготовку кадров по укрупненным группам профессий и специальностей «Сельское хозяйство и сельскохозяйственные науки», «Промышленная экология и биотехнологии», для приобретения минеральных удобрений, средств химической защиты растений, элитных семян, племенных телок и (или) нетелей молочного направления продуктивности, оленей, изделий автомобильной промышленности, тракторов, сельскохозяйственных машин и оборудования, оборудования технологического для легкой и пищевой промышленности, учебного и лабораторного оборудования, программного обеспечения, в целях укрепления их материально-технической базы </t>
    </r>
    <r>
      <rPr>
        <sz val="12"/>
        <color rgb="FF008080"/>
        <rFont val="Times New Roman"/>
        <family val="1"/>
        <charset val="204"/>
      </rPr>
      <t>(минобразования края)</t>
    </r>
  </si>
  <si>
    <t>14 6 00 22570</t>
  </si>
  <si>
    <t>7 Подпрограмма "Комплексное развитие сельских территорий"</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</si>
  <si>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</si>
  <si>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14 7 00 22610</t>
  </si>
  <si>
    <t xml:space="preserve">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 </t>
  </si>
  <si>
    <t>Субсидии сельскохозяйственным товаропроизводителям, за исключением граждан, ведущих ЛПХ,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</si>
  <si>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</si>
  <si>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t>
  </si>
  <si>
    <t>14 7 00 22650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</si>
  <si>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</si>
  <si>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</si>
  <si>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Субсидии на возмещение фактически понесенных затрат по заключенным с работниками ученическим договорам и по заключенным договорам о целевом обучении с гражданами Российской Федерации, проходящими профессиональное обучение</t>
  </si>
  <si>
    <t>14 7 00 R5761</t>
  </si>
  <si>
    <t>Субсидии на возмещение фактически понесенных затрат, связанных с оплатой труда и проживанием студентов - граждан Российской Федерации, профессионально обучающихся, привлеченных для прохождения производственной практики</t>
  </si>
  <si>
    <t>14 7 00 R5762</t>
  </si>
  <si>
    <t>Социальные выплаты на строительство (приобретение) жилья гражданам, проживающим на сельских территориях</t>
  </si>
  <si>
    <t>14 7 00 R5764</t>
  </si>
  <si>
    <t>8 Подпрограмма "Поддержка садоводства и огородничества"</t>
  </si>
  <si>
    <t>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t>
  </si>
  <si>
    <t>14 Д 00 24400</t>
  </si>
  <si>
    <t>Гранты в форме субсидий некоммерческим товариществам на финансовое обеспечение затрат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товарищества</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</si>
  <si>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</si>
  <si>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t>
  </si>
  <si>
    <t>14 Д 00 75750</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</si>
  <si>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</si>
  <si>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</si>
  <si>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</si>
  <si>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</si>
  <si>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</si>
  <si>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</si>
  <si>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</si>
  <si>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</si>
  <si>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</si>
  <si>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</si>
  <si>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</si>
  <si>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</si>
  <si>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</si>
  <si>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</si>
  <si>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электронно-вычислительной техники, оргтехники, сетевого и серверного оборудования, компьютерного программного обеспечения и услуг по его разработке, модификации, адаптации, тестированию, сопровождению (в том числе технической поддержки) для центрального узла информационного обеспечения агропромышленного комплекса и услуг по обучению специалистов, использующих программное обеспечение</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</si>
  <si>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</si>
  <si>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</si>
  <si>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</si>
  <si>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</si>
  <si>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</si>
  <si>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</si>
  <si>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</si>
  <si>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Расходы на реализацию региональной программы Красноярского края "Обеспечение защиты прав потребителей"</t>
  </si>
  <si>
    <t>14 8 00 22720</t>
  </si>
  <si>
    <t xml:space="preserve">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N 4-1254) </t>
  </si>
  <si>
    <t>14 8 00 75120</t>
  </si>
  <si>
    <t>Начислено с начала года (по состоянию на 30.06.2021)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</si>
</sst>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00"/>
    <numFmt numFmtId="166" formatCode="#,##0.000"/>
    <numFmt numFmtId="167" formatCode="?"/>
    <numFmt numFmtId="168" formatCode="#,##0.00000"/>
    <numFmt numFmtId="169" formatCode="#,##0.0000"/>
    <numFmt numFmtId="170" formatCode="_-* #,##0.00_р_._-;\-* #,##0.00_р_._-;_-* &quot;-&quot;??_р_._-;_-@_-"/>
  </numFmts>
  <fonts count="28" x14ac:knownFonts="1">
    <font>
      <sz val="10"/>
      <name val="Arial Cyr"/>
      <charset val="204"/>
    </font>
    <font>
      <sz val="11"/>
      <color theme="1"/>
      <name val="Calibri"/>
      <family val="2"/>
      <charset val="204"/>
      <scheme val="minor"/>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sz val="10"/>
      <name val="Arial"/>
      <family val="2"/>
      <charset val="204"/>
    </font>
    <font>
      <sz val="8"/>
      <name val="Arial Cyr"/>
    </font>
    <font>
      <b/>
      <sz val="11"/>
      <color rgb="FF996633"/>
      <name val="Times New Roman"/>
      <family val="1"/>
      <charset val="204"/>
    </font>
    <font>
      <b/>
      <sz val="12"/>
      <color rgb="FF996633"/>
      <name val="Times New Roman"/>
      <family val="1"/>
      <charset val="204"/>
    </font>
    <font>
      <sz val="12"/>
      <color indexed="8"/>
      <name val="Times New Roman"/>
      <family val="1"/>
      <charset val="204"/>
    </font>
    <font>
      <sz val="12"/>
      <color theme="3" tint="0.39997558519241921"/>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
      <b/>
      <sz val="9"/>
      <color indexed="81"/>
      <name val="Tahoma"/>
      <family val="2"/>
      <charset val="204"/>
    </font>
    <font>
      <sz val="9"/>
      <color indexed="81"/>
      <name val="Tahoma"/>
      <family val="2"/>
      <charset val="204"/>
    </font>
  </fonts>
  <fills count="10">
    <fill>
      <patternFill patternType="none"/>
    </fill>
    <fill>
      <patternFill patternType="gray125"/>
    </fill>
    <fill>
      <patternFill patternType="solid">
        <fgColor rgb="FFFFFF66"/>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theme="8" tint="0.39997558519241921"/>
        <bgColor indexed="64"/>
      </patternFill>
    </fill>
    <fill>
      <patternFill patternType="solid">
        <fgColor rgb="FF99FF33"/>
        <bgColor indexed="64"/>
      </patternFill>
    </fill>
    <fill>
      <patternFill patternType="solid">
        <fgColor theme="6"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
    <xf numFmtId="0" fontId="0" fillId="0" borderId="0"/>
    <xf numFmtId="0" fontId="17" fillId="0" borderId="0"/>
    <xf numFmtId="0" fontId="2" fillId="0" borderId="0"/>
    <xf numFmtId="0" fontId="2" fillId="0" borderId="0"/>
    <xf numFmtId="0" fontId="1" fillId="0" borderId="0"/>
    <xf numFmtId="170" fontId="2" fillId="0" borderId="0" applyFont="0" applyFill="0" applyBorder="0" applyAlignment="0" applyProtection="0"/>
  </cellStyleXfs>
  <cellXfs count="154">
    <xf numFmtId="0" fontId="0" fillId="0" borderId="0" xfId="0"/>
    <xf numFmtId="0" fontId="3" fillId="0" borderId="0" xfId="0" applyFont="1" applyFill="1" applyAlignment="1">
      <alignment horizontal="center" vertical="top" wrapText="1"/>
    </xf>
    <xf numFmtId="0" fontId="3" fillId="0" borderId="0" xfId="0" applyFont="1" applyFill="1" applyAlignment="1">
      <alignment vertical="top" wrapText="1"/>
    </xf>
    <xf numFmtId="0" fontId="4" fillId="0" borderId="0" xfId="0" applyFont="1" applyAlignment="1">
      <alignment vertical="top"/>
    </xf>
    <xf numFmtId="14" fontId="3" fillId="0" borderId="0" xfId="0" applyNumberFormat="1" applyFont="1" applyFill="1" applyAlignment="1">
      <alignment horizontal="center" vertical="top" wrapText="1"/>
    </xf>
    <xf numFmtId="14" fontId="3" fillId="0" borderId="0" xfId="0" applyNumberFormat="1" applyFont="1" applyFill="1" applyAlignment="1">
      <alignment vertical="top" wrapText="1"/>
    </xf>
    <xf numFmtId="0" fontId="4" fillId="0" borderId="0" xfId="0"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164" fontId="5" fillId="0" borderId="0" xfId="0" applyNumberFormat="1" applyFont="1" applyFill="1" applyBorder="1" applyAlignment="1">
      <alignment horizontal="center" vertical="top" wrapText="1"/>
    </xf>
    <xf numFmtId="4" fontId="4" fillId="0" borderId="0" xfId="0" applyNumberFormat="1" applyFont="1" applyFill="1" applyAlignment="1">
      <alignment vertical="top"/>
    </xf>
    <xf numFmtId="4" fontId="4" fillId="0" borderId="0" xfId="0" applyNumberFormat="1" applyFont="1" applyFill="1" applyAlignment="1">
      <alignment horizontal="right" vertical="top"/>
    </xf>
    <xf numFmtId="0" fontId="4" fillId="0" borderId="0" xfId="0" applyFont="1" applyFill="1" applyAlignment="1">
      <alignment vertical="top"/>
    </xf>
    <xf numFmtId="0" fontId="6" fillId="0" borderId="0" xfId="0" applyFont="1" applyFill="1" applyAlignment="1">
      <alignment horizontal="right" vertical="top"/>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0" fontId="4" fillId="0" borderId="0" xfId="0" applyFont="1" applyAlignment="1">
      <alignment horizontal="center" vertical="top"/>
    </xf>
    <xf numFmtId="0" fontId="4" fillId="0" borderId="5"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2" borderId="5" xfId="0" applyFont="1" applyFill="1" applyBorder="1" applyAlignment="1">
      <alignment horizontal="center" vertical="top" wrapText="1"/>
    </xf>
    <xf numFmtId="165"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4" fontId="3" fillId="0" borderId="5"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1" xfId="0" applyFont="1" applyBorder="1" applyAlignment="1">
      <alignment vertical="top"/>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4" fontId="8" fillId="3" borderId="1" xfId="0" applyNumberFormat="1" applyFont="1" applyFill="1" applyBorder="1" applyAlignment="1">
      <alignment horizontal="right" vertical="center" wrapText="1"/>
    </xf>
    <xf numFmtId="4" fontId="9" fillId="3" borderId="1" xfId="0" applyNumberFormat="1" applyFont="1" applyFill="1" applyBorder="1" applyAlignment="1">
      <alignment horizontal="right" vertical="center" wrapText="1"/>
    </xf>
    <xf numFmtId="0" fontId="3" fillId="0" borderId="1" xfId="0" applyFont="1" applyFill="1" applyBorder="1" applyAlignment="1">
      <alignment vertical="top"/>
    </xf>
    <xf numFmtId="0" fontId="3" fillId="0" borderId="0" xfId="0" applyFont="1" applyFill="1" applyAlignment="1">
      <alignment vertical="top"/>
    </xf>
    <xf numFmtId="0" fontId="10" fillId="0" borderId="1" xfId="0" applyFont="1" applyFill="1" applyBorder="1" applyAlignment="1">
      <alignment horizontal="left" vertical="top" wrapText="1"/>
    </xf>
    <xf numFmtId="49" fontId="11" fillId="0" borderId="1" xfId="0" applyNumberFormat="1" applyFont="1" applyFill="1" applyBorder="1" applyAlignment="1">
      <alignment horizontal="center" vertical="top"/>
    </xf>
    <xf numFmtId="4" fontId="12" fillId="0" borderId="1" xfId="0" applyNumberFormat="1" applyFont="1" applyFill="1" applyBorder="1" applyAlignment="1">
      <alignment horizontal="right" vertical="top" wrapText="1"/>
    </xf>
    <xf numFmtId="4" fontId="10" fillId="0" borderId="1" xfId="0" applyNumberFormat="1" applyFont="1" applyFill="1" applyBorder="1" applyAlignment="1">
      <alignment horizontal="right" vertical="top" wrapText="1"/>
    </xf>
    <xf numFmtId="0" fontId="13" fillId="0" borderId="0" xfId="0" applyFont="1" applyFill="1" applyAlignment="1">
      <alignment vertical="top"/>
    </xf>
    <xf numFmtId="4" fontId="13" fillId="0" borderId="0" xfId="0" applyNumberFormat="1" applyFont="1" applyFill="1" applyAlignment="1">
      <alignment vertical="top"/>
    </xf>
    <xf numFmtId="0" fontId="7" fillId="4" borderId="1" xfId="0" applyFont="1" applyFill="1" applyBorder="1" applyAlignment="1">
      <alignment horizontal="left" vertical="top" wrapText="1"/>
    </xf>
    <xf numFmtId="49" fontId="11" fillId="4" borderId="1" xfId="0" applyNumberFormat="1" applyFont="1" applyFill="1" applyBorder="1" applyAlignment="1">
      <alignment horizontal="center" vertical="top"/>
    </xf>
    <xf numFmtId="4" fontId="12" fillId="4" borderId="1" xfId="0" applyNumberFormat="1" applyFont="1" applyFill="1" applyBorder="1" applyAlignment="1">
      <alignment horizontal="right" vertical="top" wrapText="1"/>
    </xf>
    <xf numFmtId="4" fontId="9" fillId="4" borderId="1" xfId="0" applyNumberFormat="1" applyFont="1" applyFill="1" applyBorder="1" applyAlignment="1">
      <alignment horizontal="right" vertical="top" wrapText="1"/>
    </xf>
    <xf numFmtId="4" fontId="9" fillId="0" borderId="1" xfId="0" applyNumberFormat="1" applyFont="1" applyFill="1" applyBorder="1" applyAlignment="1">
      <alignment horizontal="right" vertical="top" wrapText="1"/>
    </xf>
    <xf numFmtId="0" fontId="14"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49" fontId="4" fillId="5" borderId="1" xfId="0" applyNumberFormat="1" applyFont="1" applyFill="1" applyBorder="1" applyAlignment="1">
      <alignment horizontal="center" vertical="top"/>
    </xf>
    <xf numFmtId="166" fontId="9" fillId="0" borderId="1" xfId="0" applyNumberFormat="1" applyFont="1" applyFill="1" applyBorder="1" applyAlignment="1">
      <alignment horizontal="right" vertical="top" wrapText="1"/>
    </xf>
    <xf numFmtId="4" fontId="9" fillId="0" borderId="1" xfId="0" applyNumberFormat="1" applyFont="1" applyBorder="1" applyAlignment="1">
      <alignment vertical="top"/>
    </xf>
    <xf numFmtId="0" fontId="9" fillId="0" borderId="0" xfId="0" applyFont="1" applyAlignment="1">
      <alignment vertical="top"/>
    </xf>
    <xf numFmtId="49" fontId="15" fillId="0" borderId="1" xfId="0" applyNumberFormat="1" applyFont="1" applyFill="1" applyBorder="1" applyAlignment="1">
      <alignment horizontal="center" vertical="top"/>
    </xf>
    <xf numFmtId="0" fontId="16" fillId="0" borderId="1" xfId="0" applyFont="1" applyBorder="1" applyAlignment="1">
      <alignment vertical="top"/>
    </xf>
    <xf numFmtId="0" fontId="16" fillId="0" borderId="0" xfId="0" applyFont="1" applyAlignment="1">
      <alignment vertical="top"/>
    </xf>
    <xf numFmtId="167" fontId="4" fillId="0" borderId="1" xfId="0" applyNumberFormat="1" applyFont="1" applyFill="1" applyBorder="1" applyAlignment="1" applyProtection="1">
      <alignment horizontal="left" vertical="top" wrapText="1"/>
    </xf>
    <xf numFmtId="49" fontId="4" fillId="0" borderId="1" xfId="0" applyNumberFormat="1" applyFont="1" applyFill="1" applyBorder="1" applyAlignment="1">
      <alignment horizontal="center" vertical="top"/>
    </xf>
    <xf numFmtId="0" fontId="4" fillId="0" borderId="1" xfId="0" applyNumberFormat="1" applyFont="1" applyFill="1" applyBorder="1" applyAlignment="1">
      <alignment horizontal="center" vertical="top"/>
    </xf>
    <xf numFmtId="4" fontId="4" fillId="0" borderId="1" xfId="0" applyNumberFormat="1" applyFont="1" applyFill="1" applyBorder="1" applyAlignment="1">
      <alignment horizontal="right" vertical="top"/>
    </xf>
    <xf numFmtId="4" fontId="4" fillId="0" borderId="5" xfId="0" applyNumberFormat="1" applyFont="1" applyFill="1" applyBorder="1" applyAlignment="1">
      <alignment horizontal="right" vertical="top" wrapText="1"/>
    </xf>
    <xf numFmtId="168" fontId="4" fillId="0" borderId="1" xfId="0" applyNumberFormat="1" applyFont="1" applyFill="1" applyBorder="1" applyAlignment="1">
      <alignment horizontal="right" vertical="top" wrapText="1"/>
    </xf>
    <xf numFmtId="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right" vertical="top" wrapText="1"/>
    </xf>
    <xf numFmtId="164" fontId="4" fillId="0" borderId="1" xfId="0" applyNumberFormat="1" applyFont="1" applyBorder="1" applyAlignment="1">
      <alignment vertical="top"/>
    </xf>
    <xf numFmtId="4" fontId="4" fillId="0" borderId="1" xfId="0" applyNumberFormat="1" applyFont="1" applyFill="1" applyBorder="1" applyAlignment="1">
      <alignment vertical="top"/>
    </xf>
    <xf numFmtId="0" fontId="4" fillId="0" borderId="1" xfId="0" applyNumberFormat="1" applyFont="1" applyFill="1" applyBorder="1" applyAlignment="1">
      <alignment horizontal="left" vertical="top" wrapText="1"/>
    </xf>
    <xf numFmtId="166" fontId="4"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168" fontId="4" fillId="0" borderId="1" xfId="0" applyNumberFormat="1" applyFont="1" applyFill="1" applyBorder="1" applyAlignment="1">
      <alignment horizontal="right" vertical="top"/>
    </xf>
    <xf numFmtId="165" fontId="4" fillId="0" borderId="1" xfId="0" applyNumberFormat="1" applyFont="1" applyFill="1" applyBorder="1" applyAlignment="1">
      <alignment horizontal="right" vertical="top"/>
    </xf>
    <xf numFmtId="49" fontId="4" fillId="0" borderId="2" xfId="0" applyNumberFormat="1" applyFont="1" applyFill="1" applyBorder="1" applyAlignment="1">
      <alignment horizontal="left" vertical="top" wrapText="1"/>
    </xf>
    <xf numFmtId="49" fontId="4" fillId="0" borderId="2" xfId="0" applyNumberFormat="1" applyFont="1" applyFill="1" applyBorder="1" applyAlignment="1">
      <alignment horizontal="center" vertical="top"/>
    </xf>
    <xf numFmtId="0" fontId="4" fillId="0" borderId="2" xfId="0" applyNumberFormat="1" applyFont="1" applyFill="1" applyBorder="1" applyAlignment="1">
      <alignment horizontal="center" vertical="top"/>
    </xf>
    <xf numFmtId="4" fontId="4" fillId="6" borderId="5" xfId="0" applyNumberFormat="1" applyFont="1" applyFill="1" applyBorder="1" applyAlignment="1">
      <alignment horizontal="right" vertical="top" wrapText="1"/>
    </xf>
    <xf numFmtId="4" fontId="4" fillId="7" borderId="5" xfId="0" applyNumberFormat="1" applyFont="1" applyFill="1" applyBorder="1" applyAlignment="1">
      <alignment horizontal="right" vertical="top" wrapText="1"/>
    </xf>
    <xf numFmtId="0" fontId="4" fillId="0" borderId="1" xfId="0" applyFont="1" applyBorder="1" applyAlignment="1">
      <alignment vertical="top" wrapText="1"/>
    </xf>
    <xf numFmtId="0" fontId="4" fillId="0" borderId="2" xfId="0" applyFont="1" applyBorder="1" applyAlignment="1">
      <alignment horizontal="left" vertical="top" wrapText="1"/>
    </xf>
    <xf numFmtId="168" fontId="4" fillId="0" borderId="1" xfId="0" applyNumberFormat="1" applyFont="1" applyBorder="1" applyAlignment="1">
      <alignment vertical="top"/>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164" fontId="4" fillId="0" borderId="1" xfId="0" applyNumberFormat="1" applyFont="1" applyFill="1" applyBorder="1" applyAlignment="1">
      <alignment horizontal="right" vertical="top" wrapText="1"/>
    </xf>
    <xf numFmtId="4" fontId="18" fillId="0" borderId="0" xfId="1" applyNumberFormat="1" applyFont="1" applyBorder="1" applyAlignment="1" applyProtection="1">
      <alignment horizontal="right" vertical="top" wrapText="1"/>
    </xf>
    <xf numFmtId="0" fontId="4" fillId="0" borderId="2" xfId="0" applyFont="1" applyBorder="1" applyAlignment="1">
      <alignment vertical="top"/>
    </xf>
    <xf numFmtId="49" fontId="4" fillId="0" borderId="1" xfId="0" applyNumberFormat="1" applyFont="1" applyFill="1" applyBorder="1" applyAlignment="1">
      <alignment vertical="top"/>
    </xf>
    <xf numFmtId="0" fontId="4" fillId="0" borderId="2" xfId="0" applyFont="1" applyBorder="1" applyAlignment="1">
      <alignment vertical="top" wrapText="1"/>
    </xf>
    <xf numFmtId="168" fontId="9" fillId="0" borderId="1" xfId="0" applyNumberFormat="1" applyFont="1" applyFill="1" applyBorder="1" applyAlignment="1">
      <alignment horizontal="right" vertical="top" wrapText="1"/>
    </xf>
    <xf numFmtId="4" fontId="9" fillId="5" borderId="1" xfId="0" applyNumberFormat="1" applyFont="1" applyFill="1" applyBorder="1" applyAlignment="1">
      <alignment horizontal="right" vertical="top" wrapText="1"/>
    </xf>
    <xf numFmtId="165" fontId="9" fillId="0" borderId="1" xfId="0" applyNumberFormat="1" applyFont="1" applyFill="1" applyBorder="1" applyAlignment="1">
      <alignment horizontal="right" vertical="top" wrapText="1"/>
    </xf>
    <xf numFmtId="168" fontId="10" fillId="0" borderId="1" xfId="0" applyNumberFormat="1" applyFont="1" applyFill="1" applyBorder="1" applyAlignment="1">
      <alignment horizontal="right" vertical="top" wrapText="1"/>
    </xf>
    <xf numFmtId="165" fontId="10" fillId="0" borderId="1" xfId="0" applyNumberFormat="1" applyFont="1" applyFill="1" applyBorder="1" applyAlignment="1">
      <alignment horizontal="right" vertical="top" wrapText="1"/>
    </xf>
    <xf numFmtId="4" fontId="4" fillId="8" borderId="5" xfId="0" applyNumberFormat="1" applyFont="1" applyFill="1" applyBorder="1" applyAlignment="1">
      <alignment horizontal="right" vertical="top" wrapText="1"/>
    </xf>
    <xf numFmtId="0" fontId="6" fillId="0" borderId="1" xfId="0" applyNumberFormat="1" applyFont="1" applyFill="1" applyBorder="1" applyAlignment="1">
      <alignment horizontal="left" vertical="top" wrapText="1"/>
    </xf>
    <xf numFmtId="0" fontId="4" fillId="0" borderId="1" xfId="0" applyFont="1" applyBorder="1" applyAlignment="1">
      <alignment horizontal="center" vertical="top"/>
    </xf>
    <xf numFmtId="169" fontId="4" fillId="0" borderId="1" xfId="0" applyNumberFormat="1" applyFont="1" applyFill="1" applyBorder="1" applyAlignment="1">
      <alignment horizontal="right" vertical="top" wrapText="1"/>
    </xf>
    <xf numFmtId="0" fontId="9" fillId="0" borderId="1" xfId="0" applyNumberFormat="1" applyFont="1" applyFill="1" applyBorder="1" applyAlignment="1">
      <alignment horizontal="right" vertical="top"/>
    </xf>
    <xf numFmtId="0" fontId="9" fillId="0" borderId="1" xfId="0" applyFont="1" applyBorder="1" applyAlignment="1">
      <alignment vertical="top"/>
    </xf>
    <xf numFmtId="0" fontId="9" fillId="0" borderId="2" xfId="0" applyNumberFormat="1" applyFont="1" applyFill="1" applyBorder="1" applyAlignment="1">
      <alignment horizontal="right" vertical="top"/>
    </xf>
    <xf numFmtId="0" fontId="4" fillId="0" borderId="1" xfId="0" applyNumberFormat="1" applyFont="1" applyFill="1" applyBorder="1" applyAlignment="1">
      <alignment horizontal="right" vertical="top"/>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NumberFormat="1" applyFont="1" applyFill="1" applyBorder="1" applyAlignment="1">
      <alignment horizontal="right" vertical="top"/>
    </xf>
    <xf numFmtId="4" fontId="4" fillId="0" borderId="1" xfId="0" applyNumberFormat="1" applyFont="1" applyFill="1" applyBorder="1" applyAlignment="1">
      <alignment vertical="top" wrapText="1"/>
    </xf>
    <xf numFmtId="49" fontId="4" fillId="0" borderId="3" xfId="0" applyNumberFormat="1" applyFont="1" applyFill="1" applyBorder="1" applyAlignment="1">
      <alignment horizontal="center" vertical="top"/>
    </xf>
    <xf numFmtId="49" fontId="4" fillId="0" borderId="0"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1" xfId="0" applyNumberFormat="1" applyFont="1" applyFill="1" applyBorder="1" applyAlignment="1">
      <alignment vertical="top" wrapText="1"/>
    </xf>
    <xf numFmtId="0" fontId="4" fillId="0" borderId="2" xfId="0" applyFont="1" applyFill="1" applyBorder="1" applyAlignment="1">
      <alignment vertical="top" wrapText="1"/>
    </xf>
    <xf numFmtId="0" fontId="4" fillId="0" borderId="2" xfId="0" applyNumberFormat="1" applyFont="1" applyFill="1" applyBorder="1" applyAlignment="1">
      <alignment vertical="top" wrapText="1"/>
    </xf>
    <xf numFmtId="4" fontId="4" fillId="0" borderId="0" xfId="0" applyNumberFormat="1" applyFont="1" applyAlignment="1">
      <alignment vertical="top"/>
    </xf>
    <xf numFmtId="0" fontId="4" fillId="0" borderId="5" xfId="0" applyNumberFormat="1" applyFont="1" applyFill="1" applyBorder="1" applyAlignment="1">
      <alignment vertical="top" wrapText="1"/>
    </xf>
    <xf numFmtId="0" fontId="21" fillId="0" borderId="1" xfId="0" applyFont="1" applyFill="1" applyBorder="1" applyAlignment="1">
      <alignment horizontal="left" vertical="top" wrapText="1"/>
    </xf>
    <xf numFmtId="49" fontId="21" fillId="0" borderId="1" xfId="0" applyNumberFormat="1" applyFont="1" applyFill="1" applyBorder="1" applyAlignment="1">
      <alignment horizontal="center" vertical="top"/>
    </xf>
    <xf numFmtId="0" fontId="21" fillId="0" borderId="1" xfId="0" applyNumberFormat="1" applyFont="1" applyFill="1" applyBorder="1" applyAlignment="1">
      <alignment horizontal="right" vertical="top"/>
    </xf>
    <xf numFmtId="49" fontId="21" fillId="0" borderId="2" xfId="0" applyNumberFormat="1" applyFont="1" applyFill="1" applyBorder="1" applyAlignment="1">
      <alignment horizontal="center" vertical="top"/>
    </xf>
    <xf numFmtId="0" fontId="4" fillId="0" borderId="2" xfId="0" applyNumberFormat="1" applyFont="1" applyFill="1" applyBorder="1" applyAlignment="1">
      <alignment horizontal="left" vertical="top" wrapText="1"/>
    </xf>
    <xf numFmtId="0" fontId="21" fillId="0" borderId="2" xfId="0" applyNumberFormat="1" applyFont="1" applyFill="1" applyBorder="1" applyAlignment="1">
      <alignment horizontal="right" vertical="top"/>
    </xf>
    <xf numFmtId="4" fontId="9" fillId="0" borderId="1" xfId="0" applyNumberFormat="1" applyFont="1" applyFill="1" applyBorder="1" applyAlignment="1">
      <alignment horizontal="right" vertical="top"/>
    </xf>
    <xf numFmtId="4" fontId="4" fillId="0" borderId="2" xfId="0" applyNumberFormat="1" applyFont="1" applyFill="1" applyBorder="1" applyAlignment="1">
      <alignment horizontal="right" vertical="top" wrapText="1"/>
    </xf>
    <xf numFmtId="0" fontId="4" fillId="0" borderId="1" xfId="0" quotePrefix="1" applyNumberFormat="1" applyFont="1" applyFill="1" applyBorder="1" applyAlignment="1">
      <alignment horizontal="left" vertical="top" wrapText="1"/>
    </xf>
    <xf numFmtId="0" fontId="4" fillId="9" borderId="1" xfId="0" applyNumberFormat="1" applyFont="1" applyFill="1" applyBorder="1" applyAlignment="1">
      <alignment horizontal="right" vertical="top"/>
    </xf>
    <xf numFmtId="0" fontId="4" fillId="0" borderId="1" xfId="0" applyFont="1" applyFill="1" applyBorder="1" applyAlignment="1">
      <alignment vertical="top" wrapText="1"/>
    </xf>
    <xf numFmtId="0" fontId="24" fillId="0" borderId="1" xfId="0" applyFont="1" applyFill="1" applyBorder="1" applyAlignment="1">
      <alignment horizontal="left" vertical="top" wrapText="1"/>
    </xf>
    <xf numFmtId="49" fontId="24" fillId="0" borderId="1" xfId="0" applyNumberFormat="1" applyFont="1" applyFill="1" applyBorder="1" applyAlignment="1">
      <alignment horizontal="center" vertical="top"/>
    </xf>
    <xf numFmtId="0" fontId="25" fillId="0" borderId="1" xfId="0" applyNumberFormat="1" applyFont="1" applyFill="1" applyBorder="1" applyAlignment="1">
      <alignment horizontal="right" vertical="top"/>
    </xf>
    <xf numFmtId="4" fontId="25" fillId="0" borderId="1" xfId="0" applyNumberFormat="1" applyFont="1" applyFill="1" applyBorder="1" applyAlignment="1">
      <alignment horizontal="right" vertical="top" wrapText="1"/>
    </xf>
    <xf numFmtId="4" fontId="24" fillId="0" borderId="1" xfId="0" applyNumberFormat="1" applyFont="1" applyFill="1" applyBorder="1" applyAlignment="1">
      <alignment horizontal="right" vertical="top" wrapText="1"/>
    </xf>
    <xf numFmtId="0" fontId="24" fillId="0" borderId="1" xfId="0" applyFont="1" applyBorder="1" applyAlignment="1">
      <alignment vertical="top"/>
    </xf>
    <xf numFmtId="0" fontId="24" fillId="0" borderId="0" xfId="0" applyFont="1" applyAlignment="1">
      <alignment vertical="top"/>
    </xf>
    <xf numFmtId="0" fontId="4" fillId="0" borderId="1" xfId="0" applyFont="1" applyFill="1" applyBorder="1" applyAlignment="1">
      <alignment vertical="top"/>
    </xf>
    <xf numFmtId="0" fontId="24" fillId="0" borderId="1" xfId="0" applyNumberFormat="1" applyFont="1" applyFill="1" applyBorder="1" applyAlignment="1">
      <alignment horizontal="right" vertical="top"/>
    </xf>
    <xf numFmtId="0" fontId="24" fillId="0" borderId="1" xfId="0" applyFont="1" applyFill="1" applyBorder="1" applyAlignment="1">
      <alignment vertical="top"/>
    </xf>
    <xf numFmtId="0" fontId="24" fillId="0" borderId="0" xfId="0" applyFont="1" applyFill="1" applyAlignment="1">
      <alignment vertical="top"/>
    </xf>
    <xf numFmtId="0" fontId="6" fillId="0" borderId="1" xfId="0" applyFont="1" applyFill="1" applyBorder="1" applyAlignment="1">
      <alignment horizontal="left" vertical="top" wrapText="1"/>
    </xf>
    <xf numFmtId="49" fontId="6" fillId="0" borderId="1" xfId="0" applyNumberFormat="1" applyFont="1" applyFill="1" applyBorder="1" applyAlignment="1">
      <alignment horizontal="center" vertical="top"/>
    </xf>
    <xf numFmtId="0" fontId="4" fillId="0" borderId="1" xfId="0" applyFont="1" applyFill="1" applyBorder="1" applyAlignment="1">
      <alignment horizontal="left" vertical="top"/>
    </xf>
    <xf numFmtId="4" fontId="4" fillId="0" borderId="7" xfId="0" applyNumberFormat="1" applyFont="1" applyFill="1" applyBorder="1" applyAlignment="1">
      <alignment horizontal="right" vertical="top" wrapText="1"/>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4" fillId="0" borderId="0" xfId="0" applyFont="1" applyBorder="1" applyAlignment="1">
      <alignment vertical="top"/>
    </xf>
    <xf numFmtId="4" fontId="4" fillId="0" borderId="0" xfId="0" applyNumberFormat="1" applyFont="1" applyFill="1" applyBorder="1" applyAlignment="1">
      <alignment horizontal="right" vertical="top" wrapText="1"/>
    </xf>
    <xf numFmtId="4" fontId="4" fillId="0" borderId="0" xfId="0" applyNumberFormat="1" applyFont="1" applyFill="1" applyBorder="1" applyAlignment="1">
      <alignment vertical="top"/>
    </xf>
    <xf numFmtId="0" fontId="4" fillId="0" borderId="0" xfId="0" applyFont="1" applyFill="1" applyBorder="1" applyAlignment="1">
      <alignment horizontal="righ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Font="1" applyFill="1" applyAlignment="1">
      <alignment horizontal="right" vertical="top" wrapText="1"/>
    </xf>
    <xf numFmtId="0" fontId="4" fillId="0" borderId="0" xfId="0" applyFont="1" applyAlignment="1">
      <alignment horizontal="right" vertical="top"/>
    </xf>
    <xf numFmtId="0" fontId="4" fillId="0" borderId="0" xfId="0" applyFont="1" applyFill="1" applyAlignment="1">
      <alignment horizontal="right" vertical="top"/>
    </xf>
    <xf numFmtId="0" fontId="4" fillId="0" borderId="0" xfId="0" applyNumberFormat="1" applyFont="1" applyFill="1" applyBorder="1" applyAlignment="1">
      <alignment horizontal="left" vertical="top" wrapText="1"/>
    </xf>
    <xf numFmtId="0" fontId="4" fillId="0" borderId="0" xfId="0" applyFont="1" applyFill="1" applyAlignment="1">
      <alignment horizontal="center" vertical="top"/>
    </xf>
  </cellXfs>
  <cellStyles count="6">
    <cellStyle name="Обычный" xfId="0" builtinId="0"/>
    <cellStyle name="Обычный 2" xfId="2"/>
    <cellStyle name="Обычный 2 2" xfId="3"/>
    <cellStyle name="Обычный 2 4" xfId="4"/>
    <cellStyle name="Обычный_край" xfId="1"/>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tdel_08/&#1041;&#1102;&#1076;&#1078;&#1077;&#1090;/&#1041;&#1102;&#1076;&#1078;&#1077;&#1090;%202021/&#1041;&#1102;&#1076;&#1078;&#1077;&#109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ай"/>
      <sheetName val="Бюдж роспись КБ"/>
      <sheetName val="Роспись фед"/>
      <sheetName val="доведение ФБ"/>
      <sheetName val="КБ+ФБ по соглашению"/>
      <sheetName val="Лист2"/>
      <sheetName val="вес-пол"/>
      <sheetName val="Лист1"/>
    </sheetNames>
    <sheetDataSet>
      <sheetData sheetId="0"/>
      <sheetData sheetId="1">
        <row r="19">
          <cell r="K19">
            <v>391680</v>
          </cell>
        </row>
        <row r="20">
          <cell r="K20">
            <v>26067247.66</v>
          </cell>
        </row>
        <row r="21">
          <cell r="K21">
            <v>4753212.4000000004</v>
          </cell>
        </row>
        <row r="22">
          <cell r="K22">
            <v>0</v>
          </cell>
        </row>
        <row r="23">
          <cell r="K23">
            <v>226056945.48000002</v>
          </cell>
        </row>
        <row r="24">
          <cell r="K24">
            <v>2394961.65</v>
          </cell>
        </row>
        <row r="25">
          <cell r="K25">
            <v>207932435.09</v>
          </cell>
        </row>
        <row r="27">
          <cell r="K27">
            <v>47872577.039999999</v>
          </cell>
        </row>
        <row r="28">
          <cell r="K28">
            <v>0</v>
          </cell>
        </row>
        <row r="29">
          <cell r="K29">
            <v>1791865.8</v>
          </cell>
        </row>
        <row r="30">
          <cell r="K30">
            <v>310370313.15000004</v>
          </cell>
        </row>
        <row r="31">
          <cell r="K31">
            <v>43244933.400000006</v>
          </cell>
        </row>
        <row r="32">
          <cell r="K32">
            <v>12409840</v>
          </cell>
        </row>
        <row r="33">
          <cell r="K33">
            <v>1825998</v>
          </cell>
        </row>
        <row r="34">
          <cell r="K34">
            <v>1881000</v>
          </cell>
        </row>
        <row r="35">
          <cell r="K35">
            <v>1182691.82</v>
          </cell>
        </row>
        <row r="36">
          <cell r="K36">
            <v>67371688.510000005</v>
          </cell>
        </row>
        <row r="37">
          <cell r="K37">
            <v>644964.30000000005</v>
          </cell>
        </row>
        <row r="38">
          <cell r="K38">
            <v>44190000</v>
          </cell>
        </row>
        <row r="39">
          <cell r="K39">
            <v>35931380</v>
          </cell>
        </row>
        <row r="40">
          <cell r="K40">
            <v>42939625.700000003</v>
          </cell>
        </row>
        <row r="44">
          <cell r="K44">
            <v>47016000</v>
          </cell>
        </row>
        <row r="45">
          <cell r="K45">
            <v>0</v>
          </cell>
        </row>
        <row r="46">
          <cell r="K46">
            <v>0</v>
          </cell>
        </row>
        <row r="48">
          <cell r="K48">
            <v>50000000</v>
          </cell>
        </row>
        <row r="49">
          <cell r="K49">
            <v>8143056</v>
          </cell>
        </row>
        <row r="50">
          <cell r="K50">
            <v>2241108.19</v>
          </cell>
        </row>
        <row r="51">
          <cell r="K51">
            <v>1327382.3500000001</v>
          </cell>
        </row>
        <row r="53">
          <cell r="K53">
            <v>13409790.470000001</v>
          </cell>
        </row>
        <row r="54">
          <cell r="K54">
            <v>1535214.5</v>
          </cell>
        </row>
        <row r="55">
          <cell r="K55">
            <v>40229371.420000002</v>
          </cell>
        </row>
        <row r="56">
          <cell r="K56">
            <v>4605643.5</v>
          </cell>
        </row>
        <row r="57">
          <cell r="K57">
            <v>27068751.800000001</v>
          </cell>
        </row>
        <row r="58">
          <cell r="K58">
            <v>4515048.2</v>
          </cell>
        </row>
        <row r="59">
          <cell r="K59">
            <v>81206255.370000005</v>
          </cell>
        </row>
        <row r="60">
          <cell r="K60">
            <v>13545144.629999999</v>
          </cell>
        </row>
        <row r="61">
          <cell r="K61">
            <v>19853882.84</v>
          </cell>
        </row>
        <row r="62">
          <cell r="K62">
            <v>5382501.3899999997</v>
          </cell>
        </row>
        <row r="63">
          <cell r="K63">
            <v>59561648.460000001</v>
          </cell>
        </row>
        <row r="64">
          <cell r="K64">
            <v>16147504.220000001</v>
          </cell>
        </row>
        <row r="65">
          <cell r="K65">
            <v>14486516.630000001</v>
          </cell>
        </row>
        <row r="66">
          <cell r="K66">
            <v>1629305.0899999999</v>
          </cell>
        </row>
        <row r="67">
          <cell r="K67">
            <v>43459549.959999993</v>
          </cell>
        </row>
        <row r="68">
          <cell r="K68">
            <v>4887915.2399999993</v>
          </cell>
        </row>
        <row r="69">
          <cell r="K69">
            <v>41622060.079999998</v>
          </cell>
        </row>
        <row r="70">
          <cell r="K70">
            <v>124866180.26000001</v>
          </cell>
        </row>
        <row r="71">
          <cell r="K71">
            <v>30076812.25</v>
          </cell>
        </row>
        <row r="72">
          <cell r="K72">
            <v>16838580.27</v>
          </cell>
        </row>
        <row r="73">
          <cell r="K73">
            <v>90230436.779999986</v>
          </cell>
        </row>
        <row r="74">
          <cell r="K74">
            <v>50515740.82</v>
          </cell>
        </row>
        <row r="75">
          <cell r="K75">
            <v>84185.98</v>
          </cell>
        </row>
        <row r="76">
          <cell r="K76">
            <v>252557.94</v>
          </cell>
        </row>
        <row r="81">
          <cell r="K81">
            <v>2910157.05</v>
          </cell>
        </row>
        <row r="82">
          <cell r="K82">
            <v>414342.94</v>
          </cell>
        </row>
        <row r="83">
          <cell r="K83">
            <v>55292984.170000002</v>
          </cell>
        </row>
        <row r="84">
          <cell r="K84">
            <v>7872515.6500000004</v>
          </cell>
        </row>
        <row r="85">
          <cell r="K85">
            <v>0</v>
          </cell>
        </row>
        <row r="86">
          <cell r="K86">
            <v>15422.46</v>
          </cell>
        </row>
        <row r="87">
          <cell r="K87">
            <v>117302.61</v>
          </cell>
        </row>
        <row r="88">
          <cell r="K88">
            <v>0</v>
          </cell>
        </row>
        <row r="89">
          <cell r="K89">
            <v>293020.65000000002</v>
          </cell>
        </row>
        <row r="90">
          <cell r="K90">
            <v>2228703.33</v>
          </cell>
        </row>
        <row r="91">
          <cell r="K91">
            <v>0</v>
          </cell>
        </row>
        <row r="92">
          <cell r="K92">
            <v>0</v>
          </cell>
        </row>
        <row r="96">
          <cell r="K96">
            <v>0</v>
          </cell>
        </row>
        <row r="97">
          <cell r="K97">
            <v>67400000</v>
          </cell>
        </row>
        <row r="98">
          <cell r="K98">
            <v>0</v>
          </cell>
        </row>
        <row r="99">
          <cell r="K99">
            <v>25520000</v>
          </cell>
        </row>
        <row r="100">
          <cell r="K100">
            <v>0</v>
          </cell>
        </row>
        <row r="101">
          <cell r="K101">
            <v>56098096.399999999</v>
          </cell>
        </row>
        <row r="102">
          <cell r="K102">
            <v>0</v>
          </cell>
        </row>
        <row r="103">
          <cell r="K103">
            <v>380176.98000000004</v>
          </cell>
        </row>
        <row r="104">
          <cell r="K104">
            <v>0</v>
          </cell>
        </row>
        <row r="106">
          <cell r="K106">
            <v>20210.86</v>
          </cell>
        </row>
        <row r="107">
          <cell r="K107">
            <v>0</v>
          </cell>
        </row>
        <row r="108">
          <cell r="K108">
            <v>0</v>
          </cell>
        </row>
        <row r="109">
          <cell r="K109">
            <v>0</v>
          </cell>
        </row>
        <row r="110">
          <cell r="K110">
            <v>0</v>
          </cell>
        </row>
        <row r="111">
          <cell r="K111">
            <v>0</v>
          </cell>
        </row>
        <row r="112">
          <cell r="K112">
            <v>0</v>
          </cell>
        </row>
        <row r="113">
          <cell r="K113">
            <v>5015790.68</v>
          </cell>
        </row>
        <row r="114">
          <cell r="K114">
            <v>8399100.7899999991</v>
          </cell>
        </row>
        <row r="115">
          <cell r="K115">
            <v>0</v>
          </cell>
        </row>
        <row r="116">
          <cell r="K116">
            <v>0</v>
          </cell>
        </row>
        <row r="122">
          <cell r="K122">
            <v>5238457.05</v>
          </cell>
        </row>
        <row r="123">
          <cell r="K123">
            <v>31172.29</v>
          </cell>
        </row>
        <row r="124">
          <cell r="K124">
            <v>0</v>
          </cell>
        </row>
        <row r="125">
          <cell r="K125">
            <v>79987606.549999997</v>
          </cell>
        </row>
        <row r="126">
          <cell r="K126">
            <v>235133453.38</v>
          </cell>
        </row>
        <row r="127">
          <cell r="K127">
            <v>61355103.900000006</v>
          </cell>
        </row>
        <row r="128">
          <cell r="K128">
            <v>385885.1</v>
          </cell>
        </row>
        <row r="129">
          <cell r="K129">
            <v>6179152.5900000008</v>
          </cell>
        </row>
        <row r="130">
          <cell r="K130">
            <v>3003472.03</v>
          </cell>
        </row>
        <row r="131">
          <cell r="K131">
            <v>1214.3900000000001</v>
          </cell>
        </row>
        <row r="132">
          <cell r="K132">
            <v>0</v>
          </cell>
        </row>
        <row r="133">
          <cell r="K133">
            <v>0</v>
          </cell>
        </row>
        <row r="134">
          <cell r="K134">
            <v>0</v>
          </cell>
        </row>
        <row r="135">
          <cell r="K135">
            <v>19050408.75</v>
          </cell>
        </row>
        <row r="136">
          <cell r="K136">
            <v>2862186.58</v>
          </cell>
        </row>
        <row r="137">
          <cell r="K137">
            <v>2427</v>
          </cell>
        </row>
        <row r="138">
          <cell r="K138">
            <v>12201953.289999999</v>
          </cell>
        </row>
        <row r="139">
          <cell r="K139">
            <v>10346.709999999999</v>
          </cell>
        </row>
        <row r="140">
          <cell r="K140">
            <v>4500671.8100000005</v>
          </cell>
        </row>
        <row r="141">
          <cell r="K141">
            <v>13502015.470000001</v>
          </cell>
        </row>
        <row r="143">
          <cell r="K143">
            <v>2473200</v>
          </cell>
        </row>
        <row r="144">
          <cell r="K144">
            <v>334814131.82999998</v>
          </cell>
        </row>
        <row r="145">
          <cell r="K145">
            <v>88552200.790000007</v>
          </cell>
        </row>
        <row r="146">
          <cell r="K146">
            <v>10482764.280000001</v>
          </cell>
        </row>
        <row r="147">
          <cell r="K147">
            <v>1978853.34</v>
          </cell>
        </row>
        <row r="149">
          <cell r="K149">
            <v>1286543.75</v>
          </cell>
        </row>
        <row r="150">
          <cell r="K150">
            <v>31218974.16</v>
          </cell>
        </row>
        <row r="151">
          <cell r="K151">
            <v>7443431.9199999999</v>
          </cell>
        </row>
        <row r="152">
          <cell r="K152">
            <v>95316.829999999987</v>
          </cell>
        </row>
        <row r="153">
          <cell r="K153">
            <v>43075444.420000002</v>
          </cell>
        </row>
        <row r="154">
          <cell r="K154">
            <v>3146457.15</v>
          </cell>
        </row>
        <row r="155">
          <cell r="K155">
            <v>14676818.08</v>
          </cell>
        </row>
        <row r="156">
          <cell r="K156">
            <v>2567637.25</v>
          </cell>
        </row>
        <row r="157">
          <cell r="K157">
            <v>0</v>
          </cell>
        </row>
        <row r="158">
          <cell r="K158">
            <v>80055178.670000002</v>
          </cell>
        </row>
        <row r="159">
          <cell r="K159">
            <v>54049362.93</v>
          </cell>
        </row>
        <row r="160">
          <cell r="K160">
            <v>94986942.930000007</v>
          </cell>
        </row>
        <row r="161">
          <cell r="K161">
            <v>116729101.34</v>
          </cell>
        </row>
        <row r="164">
          <cell r="K164">
            <v>0</v>
          </cell>
        </row>
        <row r="169">
          <cell r="K169">
            <v>57500000</v>
          </cell>
        </row>
        <row r="170">
          <cell r="K170">
            <v>1583306.03</v>
          </cell>
        </row>
        <row r="171">
          <cell r="K171">
            <v>19917292.059999999</v>
          </cell>
        </row>
        <row r="172">
          <cell r="K172">
            <v>6326234.6000000006</v>
          </cell>
        </row>
        <row r="173">
          <cell r="K173">
            <v>103231.85</v>
          </cell>
        </row>
        <row r="175">
          <cell r="K175">
            <v>664218.5</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V193"/>
  <sheetViews>
    <sheetView showZeros="0" tabSelected="1" view="pageBreakPreview" zoomScale="80" zoomScaleNormal="90" zoomScaleSheetLayoutView="80" workbookViewId="0">
      <selection activeCell="L8" sqref="L8"/>
    </sheetView>
  </sheetViews>
  <sheetFormatPr defaultColWidth="9.140625" defaultRowHeight="15.75" x14ac:dyDescent="0.2"/>
  <cols>
    <col min="1" max="1" width="69.42578125" style="11" customWidth="1"/>
    <col min="2" max="2" width="9.140625" style="153" hidden="1" customWidth="1"/>
    <col min="3" max="3" width="14.5703125" style="11" hidden="1" customWidth="1"/>
    <col min="4" max="4" width="16" style="11" hidden="1" customWidth="1"/>
    <col min="5" max="5" width="15.42578125" style="11" hidden="1" customWidth="1"/>
    <col min="6" max="6" width="15.28515625" style="3" hidden="1" customWidth="1"/>
    <col min="7" max="7" width="14.5703125" style="3" customWidth="1"/>
    <col min="8" max="8" width="15.42578125" style="3" hidden="1" customWidth="1"/>
    <col min="9" max="9" width="16.85546875" style="3" hidden="1" customWidth="1"/>
    <col min="10" max="11" width="15.28515625" style="11" hidden="1" customWidth="1"/>
    <col min="12" max="12" width="17.5703125" style="11" customWidth="1"/>
    <col min="13" max="13" width="9.42578125" style="11" customWidth="1"/>
    <col min="14" max="14" width="17.5703125" style="9" hidden="1" customWidth="1"/>
    <col min="15" max="15" width="15.28515625" style="151" hidden="1" customWidth="1"/>
    <col min="16" max="16" width="15.42578125" style="11" customWidth="1"/>
    <col min="17" max="17" width="17" style="11" hidden="1" customWidth="1"/>
    <col min="18" max="18" width="14.85546875" style="3" hidden="1" customWidth="1"/>
    <col min="19" max="19" width="14.42578125" style="3" hidden="1" customWidth="1"/>
    <col min="20" max="20" width="14.28515625" style="3" hidden="1" customWidth="1"/>
    <col min="21" max="21" width="47.5703125" style="3" hidden="1" customWidth="1"/>
    <col min="22" max="22" width="20.7109375" style="3" customWidth="1"/>
    <col min="23" max="23" width="15.28515625" style="3" customWidth="1"/>
    <col min="24" max="16384" width="9.140625" style="3"/>
  </cols>
  <sheetData>
    <row r="1" spans="1:22" ht="18" customHeight="1" x14ac:dyDescent="0.2">
      <c r="A1" s="1" t="s">
        <v>0</v>
      </c>
      <c r="B1" s="1"/>
      <c r="C1" s="1"/>
      <c r="D1" s="1"/>
      <c r="E1" s="1"/>
      <c r="F1" s="1"/>
      <c r="G1" s="1"/>
      <c r="H1" s="1"/>
      <c r="I1" s="1"/>
      <c r="J1" s="1"/>
      <c r="K1" s="1"/>
      <c r="L1" s="1"/>
      <c r="M1" s="1"/>
      <c r="N1" s="1"/>
      <c r="O1" s="1"/>
      <c r="P1" s="1"/>
      <c r="Q1" s="2"/>
      <c r="R1" s="2"/>
      <c r="S1" s="2"/>
      <c r="T1" s="2"/>
      <c r="U1" s="2"/>
    </row>
    <row r="2" spans="1:22" ht="36.75" customHeight="1" x14ac:dyDescent="0.2">
      <c r="A2" s="1" t="s">
        <v>1</v>
      </c>
      <c r="B2" s="1"/>
      <c r="C2" s="1"/>
      <c r="D2" s="1"/>
      <c r="E2" s="1"/>
      <c r="F2" s="1"/>
      <c r="G2" s="1"/>
      <c r="H2" s="1"/>
      <c r="I2" s="1"/>
      <c r="J2" s="1"/>
      <c r="K2" s="1"/>
      <c r="L2" s="1"/>
      <c r="M2" s="1"/>
      <c r="N2" s="1"/>
      <c r="O2" s="1"/>
      <c r="P2" s="1"/>
      <c r="Q2" s="2"/>
      <c r="R2" s="2"/>
      <c r="S2" s="2"/>
      <c r="T2" s="2"/>
      <c r="U2" s="2"/>
    </row>
    <row r="3" spans="1:22" x14ac:dyDescent="0.2">
      <c r="A3" s="4" t="s">
        <v>2</v>
      </c>
      <c r="B3" s="4"/>
      <c r="C3" s="4"/>
      <c r="D3" s="4"/>
      <c r="E3" s="4"/>
      <c r="F3" s="4"/>
      <c r="G3" s="4"/>
      <c r="H3" s="4"/>
      <c r="I3" s="4"/>
      <c r="J3" s="4"/>
      <c r="K3" s="4"/>
      <c r="L3" s="4"/>
      <c r="M3" s="4"/>
      <c r="N3" s="4"/>
      <c r="O3" s="4"/>
      <c r="P3" s="4"/>
      <c r="Q3" s="5"/>
      <c r="R3" s="5"/>
      <c r="S3" s="5"/>
      <c r="T3" s="5"/>
      <c r="U3" s="5"/>
    </row>
    <row r="4" spans="1:22" x14ac:dyDescent="0.2">
      <c r="A4" s="6"/>
      <c r="B4" s="6"/>
      <c r="C4" s="6"/>
      <c r="D4" s="6"/>
      <c r="E4" s="7"/>
      <c r="F4" s="8"/>
      <c r="G4" s="8"/>
      <c r="H4" s="8"/>
      <c r="I4" s="8"/>
      <c r="J4" s="8"/>
      <c r="K4" s="8"/>
      <c r="L4" s="8"/>
      <c r="M4" s="8"/>
      <c r="O4" s="10"/>
      <c r="Q4" s="12"/>
      <c r="U4" s="12" t="s">
        <v>3</v>
      </c>
    </row>
    <row r="5" spans="1:22" s="21" customFormat="1" ht="51" customHeight="1" x14ac:dyDescent="0.2">
      <c r="A5" s="13" t="s">
        <v>4</v>
      </c>
      <c r="B5" s="13" t="s">
        <v>5</v>
      </c>
      <c r="C5" s="14" t="s">
        <v>6</v>
      </c>
      <c r="D5" s="15" t="s">
        <v>7</v>
      </c>
      <c r="E5" s="15" t="s">
        <v>8</v>
      </c>
      <c r="F5" s="15" t="s">
        <v>9</v>
      </c>
      <c r="G5" s="15" t="s">
        <v>10</v>
      </c>
      <c r="H5" s="15"/>
      <c r="I5" s="16"/>
      <c r="J5" s="16"/>
      <c r="K5" s="17" t="s">
        <v>11</v>
      </c>
      <c r="L5" s="18" t="s">
        <v>244</v>
      </c>
      <c r="M5" s="19"/>
      <c r="N5" s="20" t="s">
        <v>12</v>
      </c>
      <c r="O5" s="15" t="s">
        <v>13</v>
      </c>
      <c r="P5" s="15" t="s">
        <v>14</v>
      </c>
      <c r="Q5" s="15" t="s">
        <v>15</v>
      </c>
      <c r="R5" s="15" t="s">
        <v>16</v>
      </c>
      <c r="S5" s="15" t="s">
        <v>17</v>
      </c>
      <c r="T5" s="15"/>
      <c r="U5" s="15" t="s">
        <v>18</v>
      </c>
    </row>
    <row r="6" spans="1:22" s="21" customFormat="1" ht="48.75" customHeight="1" x14ac:dyDescent="0.2">
      <c r="A6" s="13"/>
      <c r="B6" s="13"/>
      <c r="C6" s="22"/>
      <c r="D6" s="15"/>
      <c r="E6" s="15"/>
      <c r="F6" s="15"/>
      <c r="G6" s="15"/>
      <c r="H6" s="15"/>
      <c r="I6" s="23"/>
      <c r="J6" s="23"/>
      <c r="K6" s="24"/>
      <c r="L6" s="25" t="s">
        <v>19</v>
      </c>
      <c r="M6" s="26" t="s">
        <v>20</v>
      </c>
      <c r="N6" s="27"/>
      <c r="O6" s="15"/>
      <c r="P6" s="15"/>
      <c r="Q6" s="15"/>
      <c r="R6" s="16"/>
      <c r="S6" s="26" t="s">
        <v>21</v>
      </c>
      <c r="T6" s="26" t="s">
        <v>22</v>
      </c>
      <c r="U6" s="15"/>
    </row>
    <row r="7" spans="1:22" x14ac:dyDescent="0.2">
      <c r="A7" s="28">
        <v>1</v>
      </c>
      <c r="B7" s="28"/>
      <c r="C7" s="28"/>
      <c r="D7" s="29">
        <v>2</v>
      </c>
      <c r="E7" s="28"/>
      <c r="F7" s="30"/>
      <c r="G7" s="28">
        <v>2</v>
      </c>
      <c r="H7" s="28"/>
      <c r="I7" s="28"/>
      <c r="J7" s="28"/>
      <c r="K7" s="28"/>
      <c r="L7" s="28">
        <v>3</v>
      </c>
      <c r="M7" s="28">
        <v>4</v>
      </c>
      <c r="N7" s="31"/>
      <c r="O7" s="28"/>
      <c r="P7" s="28">
        <v>5</v>
      </c>
      <c r="Q7" s="28"/>
      <c r="R7" s="32"/>
      <c r="S7" s="32"/>
      <c r="T7" s="32"/>
      <c r="U7" s="32"/>
    </row>
    <row r="8" spans="1:22" s="38" customFormat="1" ht="47.25" x14ac:dyDescent="0.2">
      <c r="A8" s="33" t="s">
        <v>23</v>
      </c>
      <c r="B8" s="34"/>
      <c r="C8" s="35">
        <f>C14+C91+C95+C114+C124+C127+C136+C158+C153</f>
        <v>0</v>
      </c>
      <c r="D8" s="36">
        <f>D9+D10</f>
        <v>8182278.2000000011</v>
      </c>
      <c r="E8" s="36">
        <f t="shared" ref="E8:L8" si="0">E9+E10</f>
        <v>8269483.9000000004</v>
      </c>
      <c r="F8" s="36">
        <f t="shared" si="0"/>
        <v>8269483.9000000004</v>
      </c>
      <c r="G8" s="36">
        <f t="shared" si="0"/>
        <v>8455189.5999999996</v>
      </c>
      <c r="H8" s="36">
        <f t="shared" si="0"/>
        <v>8455189.5999999996</v>
      </c>
      <c r="I8" s="36">
        <f t="shared" si="0"/>
        <v>8455189.5999999996</v>
      </c>
      <c r="J8" s="36">
        <f t="shared" si="0"/>
        <v>8455189.5999999996</v>
      </c>
      <c r="K8" s="36">
        <f t="shared" si="0"/>
        <v>8455189.5999999996</v>
      </c>
      <c r="L8" s="36">
        <f t="shared" si="0"/>
        <v>4642126.0101999994</v>
      </c>
      <c r="M8" s="36">
        <f t="shared" ref="M8:M18" si="1">L8/J8*100</f>
        <v>54.902683793158225</v>
      </c>
      <c r="N8" s="36">
        <f t="shared" ref="N8:T8" si="2">N9+N10</f>
        <v>4624395.3347899988</v>
      </c>
      <c r="O8" s="36">
        <f t="shared" si="2"/>
        <v>17730.675409999996</v>
      </c>
      <c r="P8" s="36">
        <f>P9+P10</f>
        <v>3813063.5897999997</v>
      </c>
      <c r="Q8" s="36">
        <f t="shared" ref="Q8" si="3">Q9+Q10</f>
        <v>3756816.8349199998</v>
      </c>
      <c r="R8" s="36">
        <f t="shared" si="2"/>
        <v>9397578.5276500005</v>
      </c>
      <c r="S8" s="36">
        <f t="shared" si="2"/>
        <v>1007885.84406</v>
      </c>
      <c r="T8" s="36">
        <f t="shared" si="2"/>
        <v>-65496.916410000005</v>
      </c>
      <c r="U8" s="37"/>
    </row>
    <row r="9" spans="1:22" s="43" customFormat="1" x14ac:dyDescent="0.2">
      <c r="A9" s="39" t="s">
        <v>24</v>
      </c>
      <c r="B9" s="40" t="s">
        <v>25</v>
      </c>
      <c r="C9" s="41"/>
      <c r="D9" s="42">
        <f t="shared" ref="D9:L9" si="4">D15+D65+D92+D96+D115+D125+D128+D137+D159+D154</f>
        <v>7212210.1000000006</v>
      </c>
      <c r="E9" s="42">
        <f t="shared" si="4"/>
        <v>7212210.1000000006</v>
      </c>
      <c r="F9" s="42">
        <f t="shared" si="4"/>
        <v>7212210.1000000006</v>
      </c>
      <c r="G9" s="42">
        <f t="shared" si="4"/>
        <v>7397915.7999999998</v>
      </c>
      <c r="H9" s="42">
        <f t="shared" si="4"/>
        <v>7397915.7999999998</v>
      </c>
      <c r="I9" s="42">
        <f t="shared" si="4"/>
        <v>7397915.7999999998</v>
      </c>
      <c r="J9" s="42">
        <f t="shared" si="4"/>
        <v>7397915.7999999998</v>
      </c>
      <c r="K9" s="42">
        <f t="shared" si="4"/>
        <v>7397915.7999999998</v>
      </c>
      <c r="L9" s="42">
        <f t="shared" si="4"/>
        <v>4001223.7757799989</v>
      </c>
      <c r="M9" s="42">
        <f t="shared" si="1"/>
        <v>54.085824764050429</v>
      </c>
      <c r="N9" s="42">
        <f t="shared" ref="N9:T9" si="5">N15+N65+N92+N96+N115+N125+N128+N137+N159+N154</f>
        <v>3983493.1003699992</v>
      </c>
      <c r="O9" s="42">
        <f t="shared" si="5"/>
        <v>17730.675409999996</v>
      </c>
      <c r="P9" s="42">
        <f t="shared" si="5"/>
        <v>3396692.0242199996</v>
      </c>
      <c r="Q9" s="42">
        <f t="shared" si="5"/>
        <v>3340445.2693399996</v>
      </c>
      <c r="R9" s="42">
        <f t="shared" si="5"/>
        <v>8336444.21961</v>
      </c>
      <c r="S9" s="42">
        <f t="shared" si="5"/>
        <v>1004025.33602</v>
      </c>
      <c r="T9" s="42">
        <f t="shared" si="5"/>
        <v>-65496.916410000005</v>
      </c>
      <c r="U9" s="37"/>
    </row>
    <row r="10" spans="1:22" s="43" customFormat="1" x14ac:dyDescent="0.2">
      <c r="A10" s="39" t="s">
        <v>26</v>
      </c>
      <c r="B10" s="40" t="s">
        <v>27</v>
      </c>
      <c r="C10" s="41"/>
      <c r="D10" s="42">
        <f t="shared" ref="D10:L10" si="6">D16+D66+D97+D138</f>
        <v>970068.10000000009</v>
      </c>
      <c r="E10" s="42">
        <f t="shared" si="6"/>
        <v>1057273.8</v>
      </c>
      <c r="F10" s="42">
        <f t="shared" si="6"/>
        <v>1057273.8</v>
      </c>
      <c r="G10" s="42">
        <f t="shared" si="6"/>
        <v>1057273.8</v>
      </c>
      <c r="H10" s="42">
        <f t="shared" si="6"/>
        <v>1057273.8</v>
      </c>
      <c r="I10" s="42">
        <f t="shared" si="6"/>
        <v>1057273.8</v>
      </c>
      <c r="J10" s="42">
        <f t="shared" si="6"/>
        <v>1057273.8</v>
      </c>
      <c r="K10" s="42">
        <f t="shared" si="6"/>
        <v>1057273.8</v>
      </c>
      <c r="L10" s="42">
        <f t="shared" si="6"/>
        <v>640902.23442000011</v>
      </c>
      <c r="M10" s="42">
        <f t="shared" si="1"/>
        <v>60.618378552462005</v>
      </c>
      <c r="N10" s="42">
        <f>N16+N66+N97+N138</f>
        <v>640902.23442000011</v>
      </c>
      <c r="O10" s="42">
        <f>O16+O66+O97+O138</f>
        <v>0</v>
      </c>
      <c r="P10" s="42">
        <f>P16+P66+P97+P138</f>
        <v>416371.56558000005</v>
      </c>
      <c r="Q10" s="42">
        <f>Q16+Q66+Q97+Q138</f>
        <v>416371.56558000005</v>
      </c>
      <c r="R10" s="42">
        <f>R16+R66+R97+R138</f>
        <v>1061134.30804</v>
      </c>
      <c r="S10" s="42">
        <f>S16+S97+S138</f>
        <v>3860.5080400000006</v>
      </c>
      <c r="T10" s="42">
        <f>T16+T97+T138</f>
        <v>0</v>
      </c>
      <c r="U10" s="37"/>
      <c r="V10" s="44"/>
    </row>
    <row r="11" spans="1:22" s="43" customFormat="1" x14ac:dyDescent="0.2">
      <c r="A11" s="45" t="s">
        <v>28</v>
      </c>
      <c r="B11" s="46"/>
      <c r="C11" s="47"/>
      <c r="D11" s="48">
        <f>D12+D13</f>
        <v>6195242.9000000004</v>
      </c>
      <c r="E11" s="48">
        <f t="shared" ref="E11:L11" si="7">E12+E13</f>
        <v>6282448.6000000006</v>
      </c>
      <c r="F11" s="48">
        <f t="shared" si="7"/>
        <v>6282448.6000000006</v>
      </c>
      <c r="G11" s="48">
        <f t="shared" si="7"/>
        <v>6428382.2999999998</v>
      </c>
      <c r="H11" s="48">
        <f t="shared" si="7"/>
        <v>6428382.2999999998</v>
      </c>
      <c r="I11" s="48">
        <f t="shared" si="7"/>
        <v>6428382.2999999998</v>
      </c>
      <c r="J11" s="48">
        <f t="shared" si="7"/>
        <v>6428382.2999999998</v>
      </c>
      <c r="K11" s="48">
        <f t="shared" si="7"/>
        <v>6428382.2999999998</v>
      </c>
      <c r="L11" s="48">
        <f t="shared" si="7"/>
        <v>3922117.1633699993</v>
      </c>
      <c r="M11" s="48">
        <f t="shared" si="1"/>
        <v>61.012506418138813</v>
      </c>
      <c r="N11" s="49">
        <f t="shared" ref="N11:T11" si="8">N12+N13</f>
        <v>3922117.1633699993</v>
      </c>
      <c r="O11" s="48">
        <f t="shared" si="8"/>
        <v>0</v>
      </c>
      <c r="P11" s="48">
        <f t="shared" si="8"/>
        <v>2506265.1366299996</v>
      </c>
      <c r="Q11" s="48">
        <f t="shared" si="8"/>
        <v>2450018.3817499997</v>
      </c>
      <c r="R11" s="48">
        <f t="shared" si="8"/>
        <v>7370771.2276499998</v>
      </c>
      <c r="S11" s="48">
        <f t="shared" si="8"/>
        <v>1007885.84406</v>
      </c>
      <c r="T11" s="48">
        <f t="shared" si="8"/>
        <v>-65496.916410000005</v>
      </c>
      <c r="U11" s="37"/>
    </row>
    <row r="12" spans="1:22" s="43" customFormat="1" x14ac:dyDescent="0.2">
      <c r="A12" s="50" t="s">
        <v>24</v>
      </c>
      <c r="B12" s="40"/>
      <c r="C12" s="41"/>
      <c r="D12" s="42">
        <f t="shared" ref="D12:L12" si="9">D15+D65+D92+D96+D115+D125+D128+D137+D154</f>
        <v>5225174.8000000007</v>
      </c>
      <c r="E12" s="42">
        <f t="shared" si="9"/>
        <v>5225174.8000000007</v>
      </c>
      <c r="F12" s="42">
        <f t="shared" si="9"/>
        <v>5225174.8000000007</v>
      </c>
      <c r="G12" s="42">
        <f t="shared" si="9"/>
        <v>5371108.5</v>
      </c>
      <c r="H12" s="42">
        <f t="shared" si="9"/>
        <v>5371108.5</v>
      </c>
      <c r="I12" s="42">
        <f t="shared" si="9"/>
        <v>5371108.5</v>
      </c>
      <c r="J12" s="42">
        <f t="shared" si="9"/>
        <v>5371108.5</v>
      </c>
      <c r="K12" s="42">
        <f t="shared" si="9"/>
        <v>5371108.5</v>
      </c>
      <c r="L12" s="42">
        <f t="shared" si="9"/>
        <v>3281214.9289499992</v>
      </c>
      <c r="M12" s="42">
        <f t="shared" si="1"/>
        <v>61.090088367233676</v>
      </c>
      <c r="N12" s="42">
        <f t="shared" ref="N12:T12" si="10">N15+N65+N92+N96+N115+N125+N128+N137+N154</f>
        <v>3281214.9289499992</v>
      </c>
      <c r="O12" s="42">
        <f t="shared" si="10"/>
        <v>0</v>
      </c>
      <c r="P12" s="42">
        <f t="shared" si="10"/>
        <v>2089893.5710499994</v>
      </c>
      <c r="Q12" s="42">
        <f t="shared" si="10"/>
        <v>2033646.8161699995</v>
      </c>
      <c r="R12" s="42">
        <f t="shared" si="10"/>
        <v>6309636.9196100002</v>
      </c>
      <c r="S12" s="42">
        <f t="shared" si="10"/>
        <v>1004025.33602</v>
      </c>
      <c r="T12" s="42">
        <f t="shared" si="10"/>
        <v>-65496.916410000005</v>
      </c>
      <c r="U12" s="37"/>
    </row>
    <row r="13" spans="1:22" s="43" customFormat="1" x14ac:dyDescent="0.2">
      <c r="A13" s="50" t="s">
        <v>26</v>
      </c>
      <c r="B13" s="40"/>
      <c r="C13" s="41"/>
      <c r="D13" s="42">
        <f t="shared" ref="D13:L13" si="11">D16+D66+D97+D138</f>
        <v>970068.10000000009</v>
      </c>
      <c r="E13" s="42">
        <f t="shared" si="11"/>
        <v>1057273.8</v>
      </c>
      <c r="F13" s="42">
        <f t="shared" si="11"/>
        <v>1057273.8</v>
      </c>
      <c r="G13" s="42">
        <f t="shared" si="11"/>
        <v>1057273.8</v>
      </c>
      <c r="H13" s="42">
        <f t="shared" si="11"/>
        <v>1057273.8</v>
      </c>
      <c r="I13" s="42">
        <f t="shared" si="11"/>
        <v>1057273.8</v>
      </c>
      <c r="J13" s="42">
        <f t="shared" si="11"/>
        <v>1057273.8</v>
      </c>
      <c r="K13" s="42">
        <f t="shared" si="11"/>
        <v>1057273.8</v>
      </c>
      <c r="L13" s="42">
        <f t="shared" si="11"/>
        <v>640902.23442000011</v>
      </c>
      <c r="M13" s="42">
        <f t="shared" si="1"/>
        <v>60.618378552462005</v>
      </c>
      <c r="N13" s="42">
        <f>N16+N66+N97+N138</f>
        <v>640902.23442000011</v>
      </c>
      <c r="O13" s="42">
        <f>O16+O66+O97+O138</f>
        <v>0</v>
      </c>
      <c r="P13" s="42">
        <f>P16+P66+P97+P138</f>
        <v>416371.56558000005</v>
      </c>
      <c r="Q13" s="42">
        <f>Q16+Q66+Q97+Q138</f>
        <v>416371.56558000005</v>
      </c>
      <c r="R13" s="42">
        <f>R16+R66+R97+R138</f>
        <v>1061134.30804</v>
      </c>
      <c r="S13" s="42">
        <f>S16+S97+S138</f>
        <v>3860.5080400000006</v>
      </c>
      <c r="T13" s="42">
        <f>T16+T97+T138</f>
        <v>0</v>
      </c>
      <c r="U13" s="37"/>
    </row>
    <row r="14" spans="1:22" s="55" customFormat="1" ht="31.5" x14ac:dyDescent="0.2">
      <c r="A14" s="51" t="s">
        <v>29</v>
      </c>
      <c r="B14" s="52" t="s">
        <v>30</v>
      </c>
      <c r="C14" s="49">
        <f>SUM(C17:C63)</f>
        <v>0</v>
      </c>
      <c r="D14" s="49">
        <f>D15+D16</f>
        <v>3001490.0000000005</v>
      </c>
      <c r="E14" s="49">
        <f t="shared" ref="E14:T14" si="12">E15+E16</f>
        <v>3088695.7</v>
      </c>
      <c r="F14" s="49">
        <f t="shared" si="12"/>
        <v>3088695.7</v>
      </c>
      <c r="G14" s="49">
        <f t="shared" si="12"/>
        <v>3124695.7</v>
      </c>
      <c r="H14" s="49">
        <f t="shared" si="12"/>
        <v>3124695.7</v>
      </c>
      <c r="I14" s="49">
        <f t="shared" si="12"/>
        <v>3124695.7</v>
      </c>
      <c r="J14" s="49">
        <f t="shared" si="12"/>
        <v>3124695.7</v>
      </c>
      <c r="K14" s="49">
        <f t="shared" si="12"/>
        <v>3124695.7</v>
      </c>
      <c r="L14" s="49">
        <f t="shared" si="12"/>
        <v>1966657.3986199999</v>
      </c>
      <c r="M14" s="49">
        <f t="shared" si="1"/>
        <v>62.939165520021668</v>
      </c>
      <c r="N14" s="53">
        <f t="shared" ref="N14" si="13">N15+N16</f>
        <v>1966657.3986199999</v>
      </c>
      <c r="O14" s="49">
        <f t="shared" si="12"/>
        <v>0</v>
      </c>
      <c r="P14" s="49">
        <f>P15+P16</f>
        <v>1158038.3013799998</v>
      </c>
      <c r="Q14" s="49">
        <f t="shared" ref="Q14" si="14">Q15+Q16</f>
        <v>1125559.7464999999</v>
      </c>
      <c r="R14" s="49">
        <f t="shared" si="12"/>
        <v>3118970.3684800002</v>
      </c>
      <c r="S14" s="49">
        <f t="shared" si="12"/>
        <v>5147.3440599999994</v>
      </c>
      <c r="T14" s="49">
        <f t="shared" si="12"/>
        <v>-10872.675579999999</v>
      </c>
      <c r="U14" s="54"/>
    </row>
    <row r="15" spans="1:22" s="58" customFormat="1" x14ac:dyDescent="0.2">
      <c r="A15" s="50" t="s">
        <v>24</v>
      </c>
      <c r="B15" s="56" t="s">
        <v>25</v>
      </c>
      <c r="C15" s="42"/>
      <c r="D15" s="42">
        <f t="shared" ref="D15:L15" si="15">SUMIF($B$17:$B$63,"=01",D17:D63)</f>
        <v>2234372.6000000006</v>
      </c>
      <c r="E15" s="42">
        <f t="shared" si="15"/>
        <v>2234372.6</v>
      </c>
      <c r="F15" s="42">
        <f t="shared" si="15"/>
        <v>2234372.6</v>
      </c>
      <c r="G15" s="42">
        <f t="shared" si="15"/>
        <v>2270372.6</v>
      </c>
      <c r="H15" s="42">
        <f t="shared" si="15"/>
        <v>2270372.6</v>
      </c>
      <c r="I15" s="42">
        <f t="shared" si="15"/>
        <v>2270372.6</v>
      </c>
      <c r="J15" s="42">
        <f t="shared" si="15"/>
        <v>2270372.6</v>
      </c>
      <c r="K15" s="42">
        <f t="shared" si="15"/>
        <v>2270372.6</v>
      </c>
      <c r="L15" s="42">
        <f t="shared" si="15"/>
        <v>1371462.2262199998</v>
      </c>
      <c r="M15" s="42">
        <f t="shared" si="1"/>
        <v>60.406922908600983</v>
      </c>
      <c r="N15" s="42">
        <f t="shared" ref="N15:T15" si="16">SUMIF($B$17:$B$63,"=01",N17:N63)</f>
        <v>1371462.2262199998</v>
      </c>
      <c r="O15" s="42">
        <f t="shared" si="16"/>
        <v>0</v>
      </c>
      <c r="P15" s="42">
        <f t="shared" si="16"/>
        <v>898910.37377999979</v>
      </c>
      <c r="Q15" s="42">
        <f t="shared" si="16"/>
        <v>866431.81889999984</v>
      </c>
      <c r="R15" s="42">
        <f t="shared" si="16"/>
        <v>2260786.7604400003</v>
      </c>
      <c r="S15" s="42">
        <f t="shared" si="16"/>
        <v>1286.8360199999988</v>
      </c>
      <c r="T15" s="42">
        <f t="shared" si="16"/>
        <v>-10872.675579999999</v>
      </c>
      <c r="U15" s="57"/>
    </row>
    <row r="16" spans="1:22" s="58" customFormat="1" x14ac:dyDescent="0.2">
      <c r="A16" s="50" t="s">
        <v>26</v>
      </c>
      <c r="B16" s="56" t="s">
        <v>27</v>
      </c>
      <c r="C16" s="42"/>
      <c r="D16" s="42">
        <f t="shared" ref="D16:L16" si="17">SUMIF($B$17:$B$63,"=02",D17:D63)</f>
        <v>767117.4</v>
      </c>
      <c r="E16" s="42">
        <f t="shared" si="17"/>
        <v>854323.1</v>
      </c>
      <c r="F16" s="42">
        <f t="shared" si="17"/>
        <v>854323.1</v>
      </c>
      <c r="G16" s="42">
        <f t="shared" si="17"/>
        <v>854323.1</v>
      </c>
      <c r="H16" s="42">
        <f t="shared" si="17"/>
        <v>854323.1</v>
      </c>
      <c r="I16" s="42">
        <f t="shared" si="17"/>
        <v>854323.1</v>
      </c>
      <c r="J16" s="42">
        <f t="shared" si="17"/>
        <v>854323.1</v>
      </c>
      <c r="K16" s="42">
        <f t="shared" si="17"/>
        <v>854323.1</v>
      </c>
      <c r="L16" s="42">
        <f t="shared" si="17"/>
        <v>595195.17240000004</v>
      </c>
      <c r="M16" s="42">
        <f t="shared" si="1"/>
        <v>69.668626822802764</v>
      </c>
      <c r="N16" s="42">
        <f t="shared" ref="N16:T16" si="18">SUMIF($B$17:$B$63,"=02",N17:N63)</f>
        <v>595195.17240000004</v>
      </c>
      <c r="O16" s="42">
        <f t="shared" si="18"/>
        <v>0</v>
      </c>
      <c r="P16" s="42">
        <f t="shared" si="18"/>
        <v>259127.9276</v>
      </c>
      <c r="Q16" s="42">
        <f t="shared" si="18"/>
        <v>259127.9276</v>
      </c>
      <c r="R16" s="42">
        <f t="shared" si="18"/>
        <v>858183.60803999996</v>
      </c>
      <c r="S16" s="42">
        <f t="shared" si="18"/>
        <v>3860.5080400000006</v>
      </c>
      <c r="T16" s="42">
        <f t="shared" si="18"/>
        <v>0</v>
      </c>
      <c r="U16" s="57"/>
    </row>
    <row r="17" spans="1:21" ht="47.25" x14ac:dyDescent="0.2">
      <c r="A17" s="59" t="s">
        <v>31</v>
      </c>
      <c r="B17" s="60" t="s">
        <v>25</v>
      </c>
      <c r="C17" s="61" t="s">
        <v>32</v>
      </c>
      <c r="D17" s="62">
        <v>38948.699999999997</v>
      </c>
      <c r="E17" s="63">
        <f>D17</f>
        <v>38948.699999999997</v>
      </c>
      <c r="F17" s="63">
        <f t="shared" ref="F17:K17" si="19">E17</f>
        <v>38948.699999999997</v>
      </c>
      <c r="G17" s="63">
        <f t="shared" si="19"/>
        <v>38948.699999999997</v>
      </c>
      <c r="H17" s="63">
        <f t="shared" si="19"/>
        <v>38948.699999999997</v>
      </c>
      <c r="I17" s="63">
        <f t="shared" si="19"/>
        <v>38948.699999999997</v>
      </c>
      <c r="J17" s="63">
        <f t="shared" si="19"/>
        <v>38948.699999999997</v>
      </c>
      <c r="K17" s="63">
        <f t="shared" si="19"/>
        <v>38948.699999999997</v>
      </c>
      <c r="L17" s="64">
        <f>('[1]Бюдж роспись КБ'!K19+'[1]Бюдж роспись КБ'!K20+'[1]Бюдж роспись КБ'!K21+'[1]Бюдж роспись КБ'!K22)/1000</f>
        <v>31212.140060000002</v>
      </c>
      <c r="M17" s="65">
        <f t="shared" si="1"/>
        <v>80.136538729148867</v>
      </c>
      <c r="N17" s="66">
        <v>31212.140060000002</v>
      </c>
      <c r="O17" s="65">
        <f t="shared" ref="O17:O49" si="20">L17-N17</f>
        <v>0</v>
      </c>
      <c r="P17" s="65">
        <f t="shared" ref="P17:P63" si="21">I17-L17</f>
        <v>7736.5599399999955</v>
      </c>
      <c r="Q17" s="65">
        <f t="shared" ref="Q17:Q63" si="22">K17-L17</f>
        <v>7736.5599399999955</v>
      </c>
      <c r="R17" s="67">
        <f>K17</f>
        <v>38948.699999999997</v>
      </c>
      <c r="S17" s="68" t="str">
        <f t="shared" ref="S17:S32" si="23">IF(R17-K17&gt;0,R17-K17,"")</f>
        <v/>
      </c>
      <c r="T17" s="68" t="str">
        <f t="shared" ref="T17:T32" si="24">IF(R17-K17&lt;0,R17-K17,"")</f>
        <v/>
      </c>
      <c r="U17" s="32"/>
    </row>
    <row r="18" spans="1:21" ht="47.25" x14ac:dyDescent="0.2">
      <c r="A18" s="59" t="s">
        <v>33</v>
      </c>
      <c r="B18" s="60" t="s">
        <v>25</v>
      </c>
      <c r="C18" s="61" t="s">
        <v>34</v>
      </c>
      <c r="D18" s="62">
        <v>338860</v>
      </c>
      <c r="E18" s="63">
        <f t="shared" ref="E18:K33" si="25">D18</f>
        <v>338860</v>
      </c>
      <c r="F18" s="63">
        <f t="shared" si="25"/>
        <v>338860</v>
      </c>
      <c r="G18" s="63">
        <f t="shared" si="25"/>
        <v>338860</v>
      </c>
      <c r="H18" s="63">
        <f t="shared" si="25"/>
        <v>338860</v>
      </c>
      <c r="I18" s="63">
        <f t="shared" si="25"/>
        <v>338860</v>
      </c>
      <c r="J18" s="63">
        <f t="shared" si="25"/>
        <v>338860</v>
      </c>
      <c r="K18" s="63">
        <f t="shared" si="25"/>
        <v>338860</v>
      </c>
      <c r="L18" s="64">
        <f>'[1]Бюдж роспись КБ'!K23/1000</f>
        <v>226056.94548000002</v>
      </c>
      <c r="M18" s="65">
        <f t="shared" si="1"/>
        <v>66.711015015050464</v>
      </c>
      <c r="N18" s="66">
        <v>226056.94547999999</v>
      </c>
      <c r="O18" s="65">
        <f t="shared" si="20"/>
        <v>0</v>
      </c>
      <c r="P18" s="65">
        <f t="shared" si="21"/>
        <v>112803.05451999998</v>
      </c>
      <c r="Q18" s="65">
        <f t="shared" si="22"/>
        <v>112803.05451999998</v>
      </c>
      <c r="R18" s="67">
        <f t="shared" ref="R18:R63" si="26">K18</f>
        <v>338860</v>
      </c>
      <c r="S18" s="68" t="str">
        <f t="shared" si="23"/>
        <v/>
      </c>
      <c r="T18" s="68" t="str">
        <f t="shared" si="24"/>
        <v/>
      </c>
      <c r="U18" s="69"/>
    </row>
    <row r="19" spans="1:21" ht="47.25" x14ac:dyDescent="0.2">
      <c r="A19" s="59" t="s">
        <v>35</v>
      </c>
      <c r="B19" s="60" t="s">
        <v>25</v>
      </c>
      <c r="C19" s="61" t="s">
        <v>36</v>
      </c>
      <c r="D19" s="62">
        <v>236390</v>
      </c>
      <c r="E19" s="63">
        <f t="shared" si="25"/>
        <v>236390</v>
      </c>
      <c r="F19" s="63">
        <f t="shared" si="25"/>
        <v>236390</v>
      </c>
      <c r="G19" s="63">
        <f t="shared" si="25"/>
        <v>236390</v>
      </c>
      <c r="H19" s="63">
        <f t="shared" si="25"/>
        <v>236390</v>
      </c>
      <c r="I19" s="63">
        <f t="shared" si="25"/>
        <v>236390</v>
      </c>
      <c r="J19" s="63">
        <f t="shared" si="25"/>
        <v>236390</v>
      </c>
      <c r="K19" s="63">
        <f t="shared" si="25"/>
        <v>236390</v>
      </c>
      <c r="L19" s="64">
        <f>('[1]Бюдж роспись КБ'!K24+'[1]Бюдж роспись КБ'!K25)/1000</f>
        <v>210327.39674</v>
      </c>
      <c r="M19" s="65">
        <f>L19/J19*100</f>
        <v>88.974743745505307</v>
      </c>
      <c r="N19" s="66">
        <v>210327.39674</v>
      </c>
      <c r="O19" s="70">
        <f>L19-N19</f>
        <v>0</v>
      </c>
      <c r="P19" s="65">
        <f t="shared" si="21"/>
        <v>26062.603260000004</v>
      </c>
      <c r="Q19" s="65">
        <f t="shared" si="22"/>
        <v>26062.603260000004</v>
      </c>
      <c r="R19" s="67">
        <f t="shared" si="26"/>
        <v>236390</v>
      </c>
      <c r="S19" s="68" t="str">
        <f t="shared" si="23"/>
        <v/>
      </c>
      <c r="T19" s="68" t="str">
        <f t="shared" si="24"/>
        <v/>
      </c>
      <c r="U19" s="32"/>
    </row>
    <row r="20" spans="1:21" ht="35.25" customHeight="1" x14ac:dyDescent="0.2">
      <c r="A20" s="69" t="s">
        <v>37</v>
      </c>
      <c r="B20" s="60" t="s">
        <v>25</v>
      </c>
      <c r="C20" s="61" t="s">
        <v>38</v>
      </c>
      <c r="D20" s="62">
        <v>64017</v>
      </c>
      <c r="E20" s="63">
        <f t="shared" si="25"/>
        <v>64017</v>
      </c>
      <c r="F20" s="63">
        <f t="shared" si="25"/>
        <v>64017</v>
      </c>
      <c r="G20" s="63">
        <f t="shared" si="25"/>
        <v>64017</v>
      </c>
      <c r="H20" s="63">
        <f t="shared" si="25"/>
        <v>64017</v>
      </c>
      <c r="I20" s="63">
        <f t="shared" si="25"/>
        <v>64017</v>
      </c>
      <c r="J20" s="63">
        <f t="shared" si="25"/>
        <v>64017</v>
      </c>
      <c r="K20" s="63">
        <f t="shared" si="25"/>
        <v>64017</v>
      </c>
      <c r="L20" s="64">
        <f>('[1]Бюдж роспись КБ'!K27+'[1]Бюдж роспись КБ'!K28)/1000</f>
        <v>47872.577039999996</v>
      </c>
      <c r="M20" s="65">
        <f t="shared" ref="M20:M32" si="27">L20/J20*100</f>
        <v>74.781037911804674</v>
      </c>
      <c r="N20" s="66">
        <v>47872.577039999996</v>
      </c>
      <c r="O20" s="65">
        <f t="shared" si="20"/>
        <v>0</v>
      </c>
      <c r="P20" s="65">
        <f t="shared" si="21"/>
        <v>16144.422960000004</v>
      </c>
      <c r="Q20" s="65">
        <f t="shared" si="22"/>
        <v>16144.422960000004</v>
      </c>
      <c r="R20" s="67">
        <f t="shared" si="26"/>
        <v>64017</v>
      </c>
      <c r="S20" s="68" t="str">
        <f t="shared" si="23"/>
        <v/>
      </c>
      <c r="T20" s="68" t="str">
        <f t="shared" si="24"/>
        <v/>
      </c>
      <c r="U20" s="69"/>
    </row>
    <row r="21" spans="1:21" ht="33" customHeight="1" x14ac:dyDescent="0.2">
      <c r="A21" s="71" t="s">
        <v>39</v>
      </c>
      <c r="B21" s="60" t="s">
        <v>25</v>
      </c>
      <c r="C21" s="61" t="s">
        <v>40</v>
      </c>
      <c r="D21" s="62">
        <v>681969.1</v>
      </c>
      <c r="E21" s="63">
        <f t="shared" si="25"/>
        <v>681969.1</v>
      </c>
      <c r="F21" s="63">
        <f t="shared" si="25"/>
        <v>681969.1</v>
      </c>
      <c r="G21" s="63">
        <f t="shared" si="25"/>
        <v>681969.1</v>
      </c>
      <c r="H21" s="63">
        <f t="shared" si="25"/>
        <v>681969.1</v>
      </c>
      <c r="I21" s="63">
        <f t="shared" si="25"/>
        <v>681969.1</v>
      </c>
      <c r="J21" s="63">
        <f t="shared" si="25"/>
        <v>681969.1</v>
      </c>
      <c r="K21" s="63">
        <f t="shared" si="25"/>
        <v>681969.1</v>
      </c>
      <c r="L21" s="64">
        <f>('[1]Бюдж роспись КБ'!K29+'[1]Бюдж роспись КБ'!K30+'[1]Бюдж роспись КБ'!K31)/1000</f>
        <v>355407.11235000001</v>
      </c>
      <c r="M21" s="65">
        <f t="shared" si="27"/>
        <v>52.114841031653782</v>
      </c>
      <c r="N21" s="66">
        <v>355407.11235000001</v>
      </c>
      <c r="O21" s="65">
        <f t="shared" si="20"/>
        <v>0</v>
      </c>
      <c r="P21" s="65">
        <f t="shared" si="21"/>
        <v>326561.98764999997</v>
      </c>
      <c r="Q21" s="65">
        <f t="shared" si="22"/>
        <v>326561.98764999997</v>
      </c>
      <c r="R21" s="67">
        <f t="shared" si="26"/>
        <v>681969.1</v>
      </c>
      <c r="S21" s="68" t="str">
        <f t="shared" si="23"/>
        <v/>
      </c>
      <c r="T21" s="68" t="str">
        <f t="shared" si="24"/>
        <v/>
      </c>
      <c r="U21" s="69"/>
    </row>
    <row r="22" spans="1:21" ht="48" customHeight="1" x14ac:dyDescent="0.2">
      <c r="A22" s="71" t="s">
        <v>41</v>
      </c>
      <c r="B22" s="60" t="s">
        <v>25</v>
      </c>
      <c r="C22" s="61" t="s">
        <v>42</v>
      </c>
      <c r="D22" s="62">
        <v>69404.5</v>
      </c>
      <c r="E22" s="63">
        <f t="shared" si="25"/>
        <v>69404.5</v>
      </c>
      <c r="F22" s="63">
        <f t="shared" si="25"/>
        <v>69404.5</v>
      </c>
      <c r="G22" s="63">
        <f t="shared" si="25"/>
        <v>69404.5</v>
      </c>
      <c r="H22" s="63">
        <f t="shared" si="25"/>
        <v>69404.5</v>
      </c>
      <c r="I22" s="63">
        <f t="shared" si="25"/>
        <v>69404.5</v>
      </c>
      <c r="J22" s="63">
        <f t="shared" si="25"/>
        <v>69404.5</v>
      </c>
      <c r="K22" s="63">
        <f t="shared" si="25"/>
        <v>69404.5</v>
      </c>
      <c r="L22" s="64">
        <f>('[1]Бюдж роспись КБ'!K32+'[1]Бюдж роспись КБ'!K33)/1000</f>
        <v>14235.838</v>
      </c>
      <c r="M22" s="65">
        <f t="shared" si="27"/>
        <v>20.511404880087024</v>
      </c>
      <c r="N22" s="66">
        <v>14235.838</v>
      </c>
      <c r="O22" s="65">
        <f t="shared" si="20"/>
        <v>0</v>
      </c>
      <c r="P22" s="65">
        <f t="shared" si="21"/>
        <v>55168.661999999997</v>
      </c>
      <c r="Q22" s="65">
        <f t="shared" si="22"/>
        <v>55168.661999999997</v>
      </c>
      <c r="R22" s="67">
        <f t="shared" si="26"/>
        <v>69404.5</v>
      </c>
      <c r="S22" s="68" t="str">
        <f t="shared" si="23"/>
        <v/>
      </c>
      <c r="T22" s="68" t="str">
        <f t="shared" si="24"/>
        <v/>
      </c>
      <c r="U22" s="72"/>
    </row>
    <row r="23" spans="1:21" ht="47.25" x14ac:dyDescent="0.2">
      <c r="A23" s="69" t="s">
        <v>43</v>
      </c>
      <c r="B23" s="60" t="s">
        <v>25</v>
      </c>
      <c r="C23" s="61" t="s">
        <v>44</v>
      </c>
      <c r="D23" s="62">
        <v>4923</v>
      </c>
      <c r="E23" s="63">
        <f t="shared" si="25"/>
        <v>4923</v>
      </c>
      <c r="F23" s="63">
        <f t="shared" si="25"/>
        <v>4923</v>
      </c>
      <c r="G23" s="63">
        <f t="shared" si="25"/>
        <v>4923</v>
      </c>
      <c r="H23" s="63">
        <f t="shared" si="25"/>
        <v>4923</v>
      </c>
      <c r="I23" s="63">
        <f t="shared" si="25"/>
        <v>4923</v>
      </c>
      <c r="J23" s="63">
        <f t="shared" si="25"/>
        <v>4923</v>
      </c>
      <c r="K23" s="63">
        <f t="shared" si="25"/>
        <v>4923</v>
      </c>
      <c r="L23" s="73">
        <f>'[1]Бюдж роспись КБ'!K34/1000</f>
        <v>1881</v>
      </c>
      <c r="M23" s="65">
        <f t="shared" si="27"/>
        <v>38.208409506398539</v>
      </c>
      <c r="N23" s="74">
        <v>1881</v>
      </c>
      <c r="O23" s="65">
        <f t="shared" si="20"/>
        <v>0</v>
      </c>
      <c r="P23" s="65">
        <f t="shared" si="21"/>
        <v>3042</v>
      </c>
      <c r="Q23" s="65">
        <f t="shared" si="22"/>
        <v>3042</v>
      </c>
      <c r="R23" s="67">
        <f t="shared" si="26"/>
        <v>4923</v>
      </c>
      <c r="S23" s="68" t="str">
        <f t="shared" si="23"/>
        <v/>
      </c>
      <c r="T23" s="68" t="str">
        <f t="shared" si="24"/>
        <v/>
      </c>
      <c r="U23" s="69"/>
    </row>
    <row r="24" spans="1:21" ht="47.25" x14ac:dyDescent="0.2">
      <c r="A24" s="75" t="s">
        <v>45</v>
      </c>
      <c r="B24" s="76" t="s">
        <v>25</v>
      </c>
      <c r="C24" s="77" t="s">
        <v>46</v>
      </c>
      <c r="D24" s="62">
        <v>151231.79999999999</v>
      </c>
      <c r="E24" s="63">
        <f t="shared" si="25"/>
        <v>151231.79999999999</v>
      </c>
      <c r="F24" s="63">
        <f t="shared" si="25"/>
        <v>151231.79999999999</v>
      </c>
      <c r="G24" s="63">
        <f t="shared" si="25"/>
        <v>151231.79999999999</v>
      </c>
      <c r="H24" s="63">
        <f t="shared" si="25"/>
        <v>151231.79999999999</v>
      </c>
      <c r="I24" s="63">
        <f t="shared" si="25"/>
        <v>151231.79999999999</v>
      </c>
      <c r="J24" s="63">
        <f t="shared" si="25"/>
        <v>151231.79999999999</v>
      </c>
      <c r="K24" s="63">
        <f t="shared" si="25"/>
        <v>151231.79999999999</v>
      </c>
      <c r="L24" s="64">
        <f>('[1]Бюдж роспись КБ'!K35+'[1]Бюдж роспись КБ'!K36+'[1]Бюдж роспись КБ'!K37)/1000</f>
        <v>69199.344629999992</v>
      </c>
      <c r="M24" s="65">
        <f t="shared" si="27"/>
        <v>45.75713879620556</v>
      </c>
      <c r="N24" s="66">
        <v>69199.344630000007</v>
      </c>
      <c r="O24" s="65">
        <f t="shared" si="20"/>
        <v>0</v>
      </c>
      <c r="P24" s="65">
        <f t="shared" si="21"/>
        <v>82032.455369999996</v>
      </c>
      <c r="Q24" s="65">
        <f t="shared" si="22"/>
        <v>82032.455369999996</v>
      </c>
      <c r="R24" s="67">
        <f t="shared" si="26"/>
        <v>151231.79999999999</v>
      </c>
      <c r="S24" s="68" t="str">
        <f t="shared" si="23"/>
        <v/>
      </c>
      <c r="T24" s="68" t="str">
        <f t="shared" si="24"/>
        <v/>
      </c>
      <c r="U24" s="69"/>
    </row>
    <row r="25" spans="1:21" ht="31.5" x14ac:dyDescent="0.2">
      <c r="A25" s="71" t="s">
        <v>47</v>
      </c>
      <c r="B25" s="60" t="s">
        <v>25</v>
      </c>
      <c r="C25" s="61" t="s">
        <v>48</v>
      </c>
      <c r="D25" s="62">
        <v>80327.600000000006</v>
      </c>
      <c r="E25" s="63">
        <f t="shared" si="25"/>
        <v>80327.600000000006</v>
      </c>
      <c r="F25" s="63">
        <f t="shared" si="25"/>
        <v>80327.600000000006</v>
      </c>
      <c r="G25" s="63">
        <f t="shared" si="25"/>
        <v>80327.600000000006</v>
      </c>
      <c r="H25" s="63">
        <f t="shared" si="25"/>
        <v>80327.600000000006</v>
      </c>
      <c r="I25" s="63">
        <f t="shared" si="25"/>
        <v>80327.600000000006</v>
      </c>
      <c r="J25" s="63">
        <f t="shared" si="25"/>
        <v>80327.600000000006</v>
      </c>
      <c r="K25" s="63">
        <f t="shared" si="25"/>
        <v>80327.600000000006</v>
      </c>
      <c r="L25" s="64">
        <f>('[1]Бюдж роспись КБ'!K38+'[1]Бюдж роспись КБ'!K39)/1000</f>
        <v>80121.38</v>
      </c>
      <c r="M25" s="65">
        <f t="shared" si="27"/>
        <v>99.74327628361857</v>
      </c>
      <c r="N25" s="66">
        <v>80121.38</v>
      </c>
      <c r="O25" s="65">
        <f t="shared" si="20"/>
        <v>0</v>
      </c>
      <c r="P25" s="65">
        <f t="shared" si="21"/>
        <v>206.22000000000116</v>
      </c>
      <c r="Q25" s="65">
        <f t="shared" si="22"/>
        <v>206.22000000000116</v>
      </c>
      <c r="R25" s="67">
        <f t="shared" si="26"/>
        <v>80327.600000000006</v>
      </c>
      <c r="S25" s="68" t="str">
        <f t="shared" si="23"/>
        <v/>
      </c>
      <c r="T25" s="68" t="str">
        <f t="shared" si="24"/>
        <v/>
      </c>
      <c r="U25" s="69"/>
    </row>
    <row r="26" spans="1:21" ht="33" customHeight="1" x14ac:dyDescent="0.2">
      <c r="A26" s="71" t="s">
        <v>49</v>
      </c>
      <c r="B26" s="60" t="s">
        <v>25</v>
      </c>
      <c r="C26" s="61" t="s">
        <v>50</v>
      </c>
      <c r="D26" s="62">
        <v>169000</v>
      </c>
      <c r="E26" s="63">
        <f t="shared" si="25"/>
        <v>169000</v>
      </c>
      <c r="F26" s="63">
        <f t="shared" si="25"/>
        <v>169000</v>
      </c>
      <c r="G26" s="63">
        <f t="shared" si="25"/>
        <v>169000</v>
      </c>
      <c r="H26" s="63">
        <f t="shared" si="25"/>
        <v>169000</v>
      </c>
      <c r="I26" s="63">
        <f t="shared" si="25"/>
        <v>169000</v>
      </c>
      <c r="J26" s="63">
        <f t="shared" si="25"/>
        <v>169000</v>
      </c>
      <c r="K26" s="63">
        <f t="shared" si="25"/>
        <v>169000</v>
      </c>
      <c r="L26" s="64">
        <f>'[1]Бюдж роспись КБ'!K40/1000</f>
        <v>42939.625700000004</v>
      </c>
      <c r="M26" s="65">
        <f t="shared" si="27"/>
        <v>25.408062544378701</v>
      </c>
      <c r="N26" s="66">
        <v>42939.625699999997</v>
      </c>
      <c r="O26" s="65">
        <f t="shared" si="20"/>
        <v>0</v>
      </c>
      <c r="P26" s="65">
        <f t="shared" si="21"/>
        <v>126060.3743</v>
      </c>
      <c r="Q26" s="65">
        <f t="shared" si="22"/>
        <v>126060.3743</v>
      </c>
      <c r="R26" s="67">
        <f t="shared" si="26"/>
        <v>169000</v>
      </c>
      <c r="S26" s="68" t="str">
        <f t="shared" si="23"/>
        <v/>
      </c>
      <c r="T26" s="68" t="str">
        <f t="shared" si="24"/>
        <v/>
      </c>
      <c r="U26" s="69"/>
    </row>
    <row r="27" spans="1:21" ht="47.25" x14ac:dyDescent="0.2">
      <c r="A27" s="71" t="s">
        <v>51</v>
      </c>
      <c r="B27" s="60" t="s">
        <v>25</v>
      </c>
      <c r="C27" s="61" t="s">
        <v>52</v>
      </c>
      <c r="D27" s="62">
        <v>52869</v>
      </c>
      <c r="E27" s="63">
        <f t="shared" si="25"/>
        <v>52869</v>
      </c>
      <c r="F27" s="63">
        <f t="shared" si="25"/>
        <v>52869</v>
      </c>
      <c r="G27" s="63">
        <f t="shared" si="25"/>
        <v>52869</v>
      </c>
      <c r="H27" s="63">
        <f t="shared" si="25"/>
        <v>52869</v>
      </c>
      <c r="I27" s="63">
        <f t="shared" si="25"/>
        <v>52869</v>
      </c>
      <c r="J27" s="63">
        <f t="shared" si="25"/>
        <v>52869</v>
      </c>
      <c r="K27" s="63">
        <f t="shared" si="25"/>
        <v>52869</v>
      </c>
      <c r="L27" s="64">
        <f>'[1]Бюдж роспись КБ'!K44/1000</f>
        <v>47016</v>
      </c>
      <c r="M27" s="65">
        <f t="shared" si="27"/>
        <v>88.929240197469213</v>
      </c>
      <c r="N27" s="66">
        <v>47016</v>
      </c>
      <c r="O27" s="65">
        <f t="shared" si="20"/>
        <v>0</v>
      </c>
      <c r="P27" s="65">
        <f t="shared" si="21"/>
        <v>5853</v>
      </c>
      <c r="Q27" s="65">
        <f t="shared" si="22"/>
        <v>5853</v>
      </c>
      <c r="R27" s="67">
        <v>47016</v>
      </c>
      <c r="S27" s="68" t="str">
        <f t="shared" si="23"/>
        <v/>
      </c>
      <c r="T27" s="68">
        <f t="shared" si="24"/>
        <v>-5853</v>
      </c>
      <c r="U27" s="69" t="s">
        <v>53</v>
      </c>
    </row>
    <row r="28" spans="1:21" ht="31.5" x14ac:dyDescent="0.2">
      <c r="A28" s="71" t="s">
        <v>54</v>
      </c>
      <c r="B28" s="60" t="s">
        <v>25</v>
      </c>
      <c r="C28" s="61" t="s">
        <v>55</v>
      </c>
      <c r="D28" s="62">
        <v>7689.4</v>
      </c>
      <c r="E28" s="63">
        <f t="shared" si="25"/>
        <v>7689.4</v>
      </c>
      <c r="F28" s="63">
        <f t="shared" si="25"/>
        <v>7689.4</v>
      </c>
      <c r="G28" s="63">
        <f t="shared" si="25"/>
        <v>7689.4</v>
      </c>
      <c r="H28" s="63">
        <f t="shared" si="25"/>
        <v>7689.4</v>
      </c>
      <c r="I28" s="63">
        <f t="shared" si="25"/>
        <v>7689.4</v>
      </c>
      <c r="J28" s="63">
        <f t="shared" si="25"/>
        <v>7689.4</v>
      </c>
      <c r="K28" s="63">
        <f t="shared" si="25"/>
        <v>7689.4</v>
      </c>
      <c r="L28" s="64">
        <f>'[1]Бюдж роспись КБ'!K45/1000</f>
        <v>0</v>
      </c>
      <c r="M28" s="65">
        <f t="shared" si="27"/>
        <v>0</v>
      </c>
      <c r="N28" s="66"/>
      <c r="O28" s="65">
        <f t="shared" si="20"/>
        <v>0</v>
      </c>
      <c r="P28" s="65">
        <f t="shared" si="21"/>
        <v>7689.4</v>
      </c>
      <c r="Q28" s="65">
        <f t="shared" si="22"/>
        <v>7689.4</v>
      </c>
      <c r="R28" s="67">
        <f t="shared" si="26"/>
        <v>7689.4</v>
      </c>
      <c r="S28" s="68" t="str">
        <f t="shared" si="23"/>
        <v/>
      </c>
      <c r="T28" s="68" t="str">
        <f t="shared" si="24"/>
        <v/>
      </c>
      <c r="U28" s="69"/>
    </row>
    <row r="29" spans="1:21" ht="47.25" x14ac:dyDescent="0.2">
      <c r="A29" s="71" t="s">
        <v>56</v>
      </c>
      <c r="B29" s="60" t="s">
        <v>25</v>
      </c>
      <c r="C29" s="61" t="s">
        <v>57</v>
      </c>
      <c r="D29" s="62">
        <v>29313.4</v>
      </c>
      <c r="E29" s="63">
        <f t="shared" si="25"/>
        <v>29313.4</v>
      </c>
      <c r="F29" s="63">
        <f t="shared" si="25"/>
        <v>29313.4</v>
      </c>
      <c r="G29" s="78">
        <f>F29-1771.8</f>
        <v>27541.600000000002</v>
      </c>
      <c r="H29" s="63">
        <f t="shared" si="25"/>
        <v>27541.600000000002</v>
      </c>
      <c r="I29" s="63">
        <f t="shared" si="25"/>
        <v>27541.600000000002</v>
      </c>
      <c r="J29" s="63">
        <f t="shared" si="25"/>
        <v>27541.600000000002</v>
      </c>
      <c r="K29" s="63">
        <f t="shared" si="25"/>
        <v>27541.600000000002</v>
      </c>
      <c r="L29" s="64">
        <f>'[1]Бюдж роспись КБ'!K46/1000</f>
        <v>0</v>
      </c>
      <c r="M29" s="65">
        <f t="shared" si="27"/>
        <v>0</v>
      </c>
      <c r="N29" s="66"/>
      <c r="O29" s="65">
        <f t="shared" si="20"/>
        <v>0</v>
      </c>
      <c r="P29" s="65">
        <f t="shared" si="21"/>
        <v>27541.600000000002</v>
      </c>
      <c r="Q29" s="65">
        <f t="shared" si="22"/>
        <v>27541.600000000002</v>
      </c>
      <c r="R29" s="67">
        <f t="shared" si="26"/>
        <v>27541.600000000002</v>
      </c>
      <c r="S29" s="68" t="str">
        <f t="shared" si="23"/>
        <v/>
      </c>
      <c r="T29" s="68" t="str">
        <f t="shared" si="24"/>
        <v/>
      </c>
      <c r="U29" s="32"/>
    </row>
    <row r="30" spans="1:21" ht="94.5" x14ac:dyDescent="0.2">
      <c r="A30" s="69" t="s">
        <v>58</v>
      </c>
      <c r="B30" s="60" t="s">
        <v>25</v>
      </c>
      <c r="C30" s="61" t="s">
        <v>59</v>
      </c>
      <c r="D30" s="62">
        <v>50000</v>
      </c>
      <c r="E30" s="63">
        <f t="shared" si="25"/>
        <v>50000</v>
      </c>
      <c r="F30" s="63">
        <f t="shared" si="25"/>
        <v>50000</v>
      </c>
      <c r="G30" s="63">
        <f t="shared" si="25"/>
        <v>50000</v>
      </c>
      <c r="H30" s="63">
        <f t="shared" si="25"/>
        <v>50000</v>
      </c>
      <c r="I30" s="63">
        <f t="shared" si="25"/>
        <v>50000</v>
      </c>
      <c r="J30" s="63">
        <f t="shared" si="25"/>
        <v>50000</v>
      </c>
      <c r="K30" s="63">
        <f t="shared" si="25"/>
        <v>50000</v>
      </c>
      <c r="L30" s="64">
        <f>'[1]Бюдж роспись КБ'!K48/1000</f>
        <v>50000</v>
      </c>
      <c r="M30" s="65">
        <f t="shared" si="27"/>
        <v>100</v>
      </c>
      <c r="N30" s="66">
        <v>50000</v>
      </c>
      <c r="O30" s="65">
        <f t="shared" si="20"/>
        <v>0</v>
      </c>
      <c r="P30" s="65">
        <f t="shared" si="21"/>
        <v>0</v>
      </c>
      <c r="Q30" s="65">
        <f t="shared" si="22"/>
        <v>0</v>
      </c>
      <c r="R30" s="67">
        <f t="shared" si="26"/>
        <v>50000</v>
      </c>
      <c r="S30" s="68" t="str">
        <f t="shared" si="23"/>
        <v/>
      </c>
      <c r="T30" s="68" t="str">
        <f t="shared" si="24"/>
        <v/>
      </c>
      <c r="U30" s="32"/>
    </row>
    <row r="31" spans="1:21" ht="47.25" x14ac:dyDescent="0.2">
      <c r="A31" s="71" t="s">
        <v>60</v>
      </c>
      <c r="B31" s="60" t="s">
        <v>25</v>
      </c>
      <c r="C31" s="61" t="s">
        <v>61</v>
      </c>
      <c r="D31" s="62">
        <v>8667.6</v>
      </c>
      <c r="E31" s="63">
        <f t="shared" si="25"/>
        <v>8667.6</v>
      </c>
      <c r="F31" s="63">
        <f t="shared" si="25"/>
        <v>8667.6</v>
      </c>
      <c r="G31" s="78">
        <f>F31+1771.8</f>
        <v>10439.4</v>
      </c>
      <c r="H31" s="63">
        <f t="shared" si="25"/>
        <v>10439.4</v>
      </c>
      <c r="I31" s="63">
        <f t="shared" si="25"/>
        <v>10439.4</v>
      </c>
      <c r="J31" s="63">
        <f t="shared" si="25"/>
        <v>10439.4</v>
      </c>
      <c r="K31" s="63">
        <f t="shared" si="25"/>
        <v>10439.4</v>
      </c>
      <c r="L31" s="64">
        <f>'[1]Бюдж роспись КБ'!K49/1000</f>
        <v>8143.0559999999996</v>
      </c>
      <c r="M31" s="65">
        <f>L31/J31*100</f>
        <v>78.003103626645213</v>
      </c>
      <c r="N31" s="66">
        <v>8143.0559999999996</v>
      </c>
      <c r="O31" s="65">
        <f>L31-N31</f>
        <v>0</v>
      </c>
      <c r="P31" s="65">
        <f>I31-L31</f>
        <v>2296.3440000000001</v>
      </c>
      <c r="Q31" s="65">
        <f>K31-L31</f>
        <v>2296.3440000000001</v>
      </c>
      <c r="R31" s="67">
        <v>8143.0559999999996</v>
      </c>
      <c r="S31" s="68" t="str">
        <f t="shared" si="23"/>
        <v/>
      </c>
      <c r="T31" s="68">
        <f t="shared" si="24"/>
        <v>-2296.3440000000001</v>
      </c>
      <c r="U31" s="69" t="s">
        <v>62</v>
      </c>
    </row>
    <row r="32" spans="1:21" ht="31.5" x14ac:dyDescent="0.2">
      <c r="A32" s="71" t="s">
        <v>63</v>
      </c>
      <c r="B32" s="60" t="s">
        <v>25</v>
      </c>
      <c r="C32" s="61" t="s">
        <v>64</v>
      </c>
      <c r="D32" s="62">
        <v>19520.8</v>
      </c>
      <c r="E32" s="79">
        <f>D32-4589.8</f>
        <v>14931</v>
      </c>
      <c r="F32" s="63">
        <f t="shared" si="25"/>
        <v>14931</v>
      </c>
      <c r="G32" s="63">
        <f t="shared" si="25"/>
        <v>14931</v>
      </c>
      <c r="H32" s="63">
        <f t="shared" si="25"/>
        <v>14931</v>
      </c>
      <c r="I32" s="63">
        <f t="shared" si="25"/>
        <v>14931</v>
      </c>
      <c r="J32" s="63">
        <f t="shared" si="25"/>
        <v>14931</v>
      </c>
      <c r="K32" s="63">
        <f t="shared" si="25"/>
        <v>14931</v>
      </c>
      <c r="L32" s="64">
        <f>('[1]Бюдж роспись КБ'!K50+'[1]Бюдж роспись КБ'!K51)/1000</f>
        <v>3568.4905400000002</v>
      </c>
      <c r="M32" s="65">
        <f t="shared" si="27"/>
        <v>23.899876364610542</v>
      </c>
      <c r="N32" s="66">
        <v>3568.4905399999998</v>
      </c>
      <c r="O32" s="66">
        <f t="shared" si="20"/>
        <v>0</v>
      </c>
      <c r="P32" s="65">
        <f t="shared" si="21"/>
        <v>11362.509459999999</v>
      </c>
      <c r="Q32" s="65">
        <f t="shared" si="22"/>
        <v>11362.509459999999</v>
      </c>
      <c r="R32" s="67">
        <f t="shared" si="26"/>
        <v>14931</v>
      </c>
      <c r="S32" s="68" t="str">
        <f t="shared" si="23"/>
        <v/>
      </c>
      <c r="T32" s="68" t="str">
        <f t="shared" si="24"/>
        <v/>
      </c>
      <c r="U32" s="32"/>
    </row>
    <row r="33" spans="1:22" ht="31.5" x14ac:dyDescent="0.2">
      <c r="A33" s="71" t="s">
        <v>65</v>
      </c>
      <c r="B33" s="60" t="s">
        <v>25</v>
      </c>
      <c r="C33" s="61" t="s">
        <v>66</v>
      </c>
      <c r="D33" s="62"/>
      <c r="E33" s="63"/>
      <c r="F33" s="63"/>
      <c r="G33" s="78">
        <v>36000</v>
      </c>
      <c r="H33" s="63">
        <f t="shared" si="25"/>
        <v>36000</v>
      </c>
      <c r="I33" s="63">
        <f t="shared" si="25"/>
        <v>36000</v>
      </c>
      <c r="J33" s="63">
        <f t="shared" si="25"/>
        <v>36000</v>
      </c>
      <c r="K33" s="63">
        <f t="shared" si="25"/>
        <v>36000</v>
      </c>
      <c r="L33" s="64">
        <v>3521.4451199999999</v>
      </c>
      <c r="M33" s="65"/>
      <c r="N33" s="66">
        <v>3521.4451199999999</v>
      </c>
      <c r="O33" s="65">
        <f t="shared" si="20"/>
        <v>0</v>
      </c>
      <c r="P33" s="65">
        <f t="shared" si="21"/>
        <v>32478.55488</v>
      </c>
      <c r="Q33" s="65"/>
      <c r="R33" s="67">
        <f t="shared" si="26"/>
        <v>36000</v>
      </c>
      <c r="S33" s="68"/>
      <c r="T33" s="68"/>
      <c r="U33" s="32"/>
    </row>
    <row r="34" spans="1:22" ht="47.25" x14ac:dyDescent="0.2">
      <c r="A34" s="71" t="s">
        <v>67</v>
      </c>
      <c r="B34" s="60" t="s">
        <v>30</v>
      </c>
      <c r="C34" s="61"/>
      <c r="D34" s="62"/>
      <c r="E34" s="63">
        <f t="shared" ref="E34:K49" si="28">D34</f>
        <v>0</v>
      </c>
      <c r="F34" s="63">
        <f t="shared" si="28"/>
        <v>0</v>
      </c>
      <c r="G34" s="63">
        <f t="shared" si="28"/>
        <v>0</v>
      </c>
      <c r="H34" s="63">
        <f t="shared" si="28"/>
        <v>0</v>
      </c>
      <c r="I34" s="63">
        <f t="shared" si="28"/>
        <v>0</v>
      </c>
      <c r="J34" s="63">
        <f t="shared" si="28"/>
        <v>0</v>
      </c>
      <c r="K34" s="63">
        <f t="shared" si="28"/>
        <v>0</v>
      </c>
      <c r="L34" s="64"/>
      <c r="M34" s="65"/>
      <c r="N34" s="66"/>
      <c r="O34" s="65"/>
      <c r="P34" s="65">
        <f t="shared" si="21"/>
        <v>0</v>
      </c>
      <c r="Q34" s="65">
        <f t="shared" si="22"/>
        <v>0</v>
      </c>
      <c r="R34" s="67">
        <f t="shared" si="26"/>
        <v>0</v>
      </c>
      <c r="S34" s="68" t="str">
        <f t="shared" ref="S34:S54" si="29">IF(R34-K34&gt;0,R34-K34,"")</f>
        <v/>
      </c>
      <c r="T34" s="68" t="str">
        <f t="shared" ref="T34:T50" si="30">IF(R34-K34&lt;0,R34-K34,"")</f>
        <v/>
      </c>
      <c r="U34" s="80"/>
    </row>
    <row r="35" spans="1:22" x14ac:dyDescent="0.2">
      <c r="A35" s="50" t="s">
        <v>24</v>
      </c>
      <c r="B35" s="60" t="s">
        <v>25</v>
      </c>
      <c r="C35" s="61" t="s">
        <v>68</v>
      </c>
      <c r="D35" s="62">
        <v>35219</v>
      </c>
      <c r="E35" s="63">
        <f t="shared" si="28"/>
        <v>35219</v>
      </c>
      <c r="F35" s="63">
        <f t="shared" si="28"/>
        <v>35219</v>
      </c>
      <c r="G35" s="63">
        <f t="shared" si="28"/>
        <v>35219</v>
      </c>
      <c r="H35" s="63">
        <f t="shared" si="28"/>
        <v>35219</v>
      </c>
      <c r="I35" s="63">
        <f t="shared" si="28"/>
        <v>35219</v>
      </c>
      <c r="J35" s="63">
        <f t="shared" si="28"/>
        <v>35219</v>
      </c>
      <c r="K35" s="63">
        <f t="shared" si="28"/>
        <v>35219</v>
      </c>
      <c r="L35" s="64">
        <f>('[1]Бюдж роспись КБ'!K53+'[1]Бюдж роспись КБ'!K54)/1000</f>
        <v>14945.00497</v>
      </c>
      <c r="M35" s="65">
        <f>L35/J35*100</f>
        <v>42.434495499588294</v>
      </c>
      <c r="N35" s="66">
        <v>14945.00497</v>
      </c>
      <c r="O35" s="65">
        <f t="shared" ref="O35:O36" si="31">L35-N35</f>
        <v>0</v>
      </c>
      <c r="P35" s="65">
        <f t="shared" si="21"/>
        <v>20273.995029999998</v>
      </c>
      <c r="Q35" s="65">
        <f t="shared" si="22"/>
        <v>20273.995029999998</v>
      </c>
      <c r="R35" s="67">
        <f t="shared" si="26"/>
        <v>35219</v>
      </c>
      <c r="S35" s="68" t="str">
        <f t="shared" si="29"/>
        <v/>
      </c>
      <c r="T35" s="68" t="str">
        <f t="shared" si="30"/>
        <v/>
      </c>
      <c r="U35" s="80"/>
    </row>
    <row r="36" spans="1:22" x14ac:dyDescent="0.2">
      <c r="A36" s="50" t="s">
        <v>26</v>
      </c>
      <c r="B36" s="60" t="s">
        <v>27</v>
      </c>
      <c r="C36" s="61" t="s">
        <v>68</v>
      </c>
      <c r="D36" s="62">
        <v>105657</v>
      </c>
      <c r="E36" s="63">
        <f t="shared" si="28"/>
        <v>105657</v>
      </c>
      <c r="F36" s="63">
        <f t="shared" si="28"/>
        <v>105657</v>
      </c>
      <c r="G36" s="63">
        <f t="shared" si="28"/>
        <v>105657</v>
      </c>
      <c r="H36" s="63">
        <f t="shared" si="28"/>
        <v>105657</v>
      </c>
      <c r="I36" s="63">
        <f t="shared" si="28"/>
        <v>105657</v>
      </c>
      <c r="J36" s="63">
        <f t="shared" si="28"/>
        <v>105657</v>
      </c>
      <c r="K36" s="63">
        <f t="shared" si="28"/>
        <v>105657</v>
      </c>
      <c r="L36" s="64">
        <f>('[1]Бюдж роспись КБ'!K55+'[1]Бюдж роспись КБ'!K56)/1000</f>
        <v>44835.014920000001</v>
      </c>
      <c r="M36" s="65">
        <f>L36/J36*100</f>
        <v>42.43449550905288</v>
      </c>
      <c r="N36" s="66">
        <v>44835.014920000001</v>
      </c>
      <c r="O36" s="65">
        <f t="shared" si="31"/>
        <v>0</v>
      </c>
      <c r="P36" s="65">
        <f t="shared" si="21"/>
        <v>60821.985079999999</v>
      </c>
      <c r="Q36" s="65">
        <f t="shared" si="22"/>
        <v>60821.985079999999</v>
      </c>
      <c r="R36" s="67">
        <f t="shared" si="26"/>
        <v>105657</v>
      </c>
      <c r="S36" s="68" t="str">
        <f t="shared" si="29"/>
        <v/>
      </c>
      <c r="T36" s="68" t="str">
        <f t="shared" si="30"/>
        <v/>
      </c>
      <c r="U36" s="80"/>
    </row>
    <row r="37" spans="1:22" ht="31.5" x14ac:dyDescent="0.2">
      <c r="A37" s="71" t="s">
        <v>69</v>
      </c>
      <c r="B37" s="60" t="s">
        <v>30</v>
      </c>
      <c r="C37" s="61"/>
      <c r="D37" s="62"/>
      <c r="E37" s="63">
        <f t="shared" si="28"/>
        <v>0</v>
      </c>
      <c r="F37" s="63">
        <f t="shared" si="28"/>
        <v>0</v>
      </c>
      <c r="G37" s="63">
        <f t="shared" si="28"/>
        <v>0</v>
      </c>
      <c r="H37" s="63">
        <f t="shared" si="28"/>
        <v>0</v>
      </c>
      <c r="I37" s="63">
        <f t="shared" si="28"/>
        <v>0</v>
      </c>
      <c r="J37" s="63">
        <f t="shared" si="28"/>
        <v>0</v>
      </c>
      <c r="K37" s="63">
        <f t="shared" si="28"/>
        <v>0</v>
      </c>
      <c r="L37" s="64"/>
      <c r="M37" s="65"/>
      <c r="N37" s="66"/>
      <c r="O37" s="65">
        <f>L37-N37</f>
        <v>0</v>
      </c>
      <c r="P37" s="65">
        <f t="shared" si="21"/>
        <v>0</v>
      </c>
      <c r="Q37" s="65">
        <f t="shared" si="22"/>
        <v>0</v>
      </c>
      <c r="R37" s="67">
        <f t="shared" si="26"/>
        <v>0</v>
      </c>
      <c r="S37" s="68" t="str">
        <f t="shared" si="29"/>
        <v/>
      </c>
      <c r="T37" s="68" t="str">
        <f t="shared" si="30"/>
        <v/>
      </c>
      <c r="U37" s="81" t="s">
        <v>70</v>
      </c>
    </row>
    <row r="38" spans="1:22" ht="19.5" customHeight="1" x14ac:dyDescent="0.2">
      <c r="A38" s="50" t="s">
        <v>24</v>
      </c>
      <c r="B38" s="60" t="s">
        <v>25</v>
      </c>
      <c r="C38" s="61" t="s">
        <v>71</v>
      </c>
      <c r="D38" s="62">
        <v>31583.8</v>
      </c>
      <c r="E38" s="63">
        <f t="shared" si="28"/>
        <v>31583.8</v>
      </c>
      <c r="F38" s="63">
        <f t="shared" si="28"/>
        <v>31583.8</v>
      </c>
      <c r="G38" s="63">
        <f t="shared" si="28"/>
        <v>31583.8</v>
      </c>
      <c r="H38" s="63">
        <f t="shared" si="28"/>
        <v>31583.8</v>
      </c>
      <c r="I38" s="63">
        <f t="shared" si="28"/>
        <v>31583.8</v>
      </c>
      <c r="J38" s="63">
        <f t="shared" si="28"/>
        <v>31583.8</v>
      </c>
      <c r="K38" s="63">
        <f t="shared" si="28"/>
        <v>31583.8</v>
      </c>
      <c r="L38" s="64">
        <f>('[1]Бюдж роспись КБ'!K57+'[1]Бюдж роспись КБ'!K58)/1000</f>
        <v>31583.8</v>
      </c>
      <c r="M38" s="65">
        <f>L38/J38*100</f>
        <v>100</v>
      </c>
      <c r="N38" s="66">
        <v>31583.8</v>
      </c>
      <c r="O38" s="65">
        <f t="shared" ref="O38:O48" si="32">L38-N38</f>
        <v>0</v>
      </c>
      <c r="P38" s="65">
        <f t="shared" si="21"/>
        <v>0</v>
      </c>
      <c r="Q38" s="65">
        <f t="shared" si="22"/>
        <v>0</v>
      </c>
      <c r="R38" s="82">
        <v>32870.636019999998</v>
      </c>
      <c r="S38" s="68">
        <f t="shared" si="29"/>
        <v>1286.8360199999988</v>
      </c>
      <c r="T38" s="68" t="str">
        <f t="shared" si="30"/>
        <v/>
      </c>
      <c r="U38" s="83"/>
    </row>
    <row r="39" spans="1:22" ht="19.5" customHeight="1" x14ac:dyDescent="0.2">
      <c r="A39" s="50" t="s">
        <v>26</v>
      </c>
      <c r="B39" s="60" t="s">
        <v>27</v>
      </c>
      <c r="C39" s="61" t="s">
        <v>71</v>
      </c>
      <c r="D39" s="62">
        <v>94751.4</v>
      </c>
      <c r="E39" s="63">
        <f t="shared" si="28"/>
        <v>94751.4</v>
      </c>
      <c r="F39" s="63">
        <f t="shared" si="28"/>
        <v>94751.4</v>
      </c>
      <c r="G39" s="63">
        <f t="shared" si="28"/>
        <v>94751.4</v>
      </c>
      <c r="H39" s="63">
        <f t="shared" si="28"/>
        <v>94751.4</v>
      </c>
      <c r="I39" s="63">
        <f t="shared" si="28"/>
        <v>94751.4</v>
      </c>
      <c r="J39" s="63">
        <f t="shared" si="28"/>
        <v>94751.4</v>
      </c>
      <c r="K39" s="63">
        <f t="shared" si="28"/>
        <v>94751.4</v>
      </c>
      <c r="L39" s="64">
        <f>('[1]Бюдж роспись КБ'!K59+'[1]Бюдж роспись КБ'!K60)/1000</f>
        <v>94751.4</v>
      </c>
      <c r="M39" s="65">
        <f>L39/J39*100</f>
        <v>100</v>
      </c>
      <c r="N39" s="66">
        <v>94751.4</v>
      </c>
      <c r="O39" s="65">
        <f t="shared" si="32"/>
        <v>0</v>
      </c>
      <c r="P39" s="65">
        <f t="shared" si="21"/>
        <v>0</v>
      </c>
      <c r="Q39" s="65">
        <f t="shared" si="22"/>
        <v>0</v>
      </c>
      <c r="R39" s="82">
        <v>98611.908039999995</v>
      </c>
      <c r="S39" s="68">
        <f t="shared" si="29"/>
        <v>3860.5080400000006</v>
      </c>
      <c r="T39" s="68" t="str">
        <f t="shared" si="30"/>
        <v/>
      </c>
      <c r="U39" s="84"/>
    </row>
    <row r="40" spans="1:22" ht="47.25" x14ac:dyDescent="0.2">
      <c r="A40" s="71" t="s">
        <v>72</v>
      </c>
      <c r="B40" s="60" t="s">
        <v>30</v>
      </c>
      <c r="C40" s="61"/>
      <c r="D40" s="62"/>
      <c r="E40" s="63">
        <f t="shared" si="28"/>
        <v>0</v>
      </c>
      <c r="F40" s="63">
        <f t="shared" si="28"/>
        <v>0</v>
      </c>
      <c r="G40" s="63">
        <f t="shared" si="28"/>
        <v>0</v>
      </c>
      <c r="H40" s="63">
        <f t="shared" si="28"/>
        <v>0</v>
      </c>
      <c r="I40" s="63">
        <f t="shared" si="28"/>
        <v>0</v>
      </c>
      <c r="J40" s="63">
        <f t="shared" si="28"/>
        <v>0</v>
      </c>
      <c r="K40" s="63">
        <f t="shared" si="28"/>
        <v>0</v>
      </c>
      <c r="L40" s="64"/>
      <c r="M40" s="65"/>
      <c r="N40" s="66"/>
      <c r="O40" s="65">
        <f t="shared" si="32"/>
        <v>0</v>
      </c>
      <c r="P40" s="65">
        <f t="shared" si="21"/>
        <v>0</v>
      </c>
      <c r="Q40" s="65">
        <f t="shared" si="22"/>
        <v>0</v>
      </c>
      <c r="R40" s="67">
        <f t="shared" si="26"/>
        <v>0</v>
      </c>
      <c r="S40" s="68" t="str">
        <f t="shared" si="29"/>
        <v/>
      </c>
      <c r="T40" s="68" t="str">
        <f t="shared" si="30"/>
        <v/>
      </c>
      <c r="U40" s="32"/>
    </row>
    <row r="41" spans="1:22" x14ac:dyDescent="0.2">
      <c r="A41" s="50" t="s">
        <v>24</v>
      </c>
      <c r="B41" s="60" t="s">
        <v>25</v>
      </c>
      <c r="C41" s="61" t="s">
        <v>73</v>
      </c>
      <c r="D41" s="62">
        <v>38900.400000000001</v>
      </c>
      <c r="E41" s="63">
        <f t="shared" si="28"/>
        <v>38900.400000000001</v>
      </c>
      <c r="F41" s="63">
        <f t="shared" si="28"/>
        <v>38900.400000000001</v>
      </c>
      <c r="G41" s="63">
        <f t="shared" si="28"/>
        <v>38900.400000000001</v>
      </c>
      <c r="H41" s="63">
        <f t="shared" si="28"/>
        <v>38900.400000000001</v>
      </c>
      <c r="I41" s="63">
        <f t="shared" si="28"/>
        <v>38900.400000000001</v>
      </c>
      <c r="J41" s="63">
        <f t="shared" si="28"/>
        <v>38900.400000000001</v>
      </c>
      <c r="K41" s="63">
        <f t="shared" si="28"/>
        <v>38900.400000000001</v>
      </c>
      <c r="L41" s="64">
        <f>('[1]Бюдж роспись КБ'!K61+'[1]Бюдж роспись КБ'!K62)/1000</f>
        <v>25236.38423</v>
      </c>
      <c r="M41" s="65">
        <f>L41/J41*100</f>
        <v>64.87435663900628</v>
      </c>
      <c r="N41" s="66">
        <v>25236.38423</v>
      </c>
      <c r="O41" s="85">
        <f t="shared" si="32"/>
        <v>0</v>
      </c>
      <c r="P41" s="65">
        <f t="shared" si="21"/>
        <v>13664.015770000002</v>
      </c>
      <c r="Q41" s="65">
        <f t="shared" si="22"/>
        <v>13664.015770000002</v>
      </c>
      <c r="R41" s="67">
        <f t="shared" si="26"/>
        <v>38900.400000000001</v>
      </c>
      <c r="S41" s="68" t="str">
        <f t="shared" si="29"/>
        <v/>
      </c>
      <c r="T41" s="68" t="str">
        <f t="shared" si="30"/>
        <v/>
      </c>
      <c r="U41" s="80"/>
    </row>
    <row r="42" spans="1:22" x14ac:dyDescent="0.2">
      <c r="A42" s="50" t="s">
        <v>26</v>
      </c>
      <c r="B42" s="60" t="s">
        <v>27</v>
      </c>
      <c r="C42" s="61" t="s">
        <v>73</v>
      </c>
      <c r="D42" s="62">
        <v>116701.3</v>
      </c>
      <c r="E42" s="63">
        <f t="shared" si="28"/>
        <v>116701.3</v>
      </c>
      <c r="F42" s="63">
        <f t="shared" si="28"/>
        <v>116701.3</v>
      </c>
      <c r="G42" s="63">
        <f t="shared" si="28"/>
        <v>116701.3</v>
      </c>
      <c r="H42" s="63">
        <f t="shared" si="28"/>
        <v>116701.3</v>
      </c>
      <c r="I42" s="63">
        <f t="shared" si="28"/>
        <v>116701.3</v>
      </c>
      <c r="J42" s="63">
        <f t="shared" si="28"/>
        <v>116701.3</v>
      </c>
      <c r="K42" s="63">
        <f t="shared" si="28"/>
        <v>116701.3</v>
      </c>
      <c r="L42" s="64">
        <f>('[1]Бюдж роспись КБ'!K63+'[1]Бюдж роспись КБ'!K64)/1000</f>
        <v>75709.152680000014</v>
      </c>
      <c r="M42" s="65">
        <f>L42/J42*100</f>
        <v>64.874301040348314</v>
      </c>
      <c r="N42" s="66">
        <v>75709.152679999999</v>
      </c>
      <c r="O42" s="85">
        <f t="shared" si="32"/>
        <v>0</v>
      </c>
      <c r="P42" s="65">
        <f t="shared" si="21"/>
        <v>40992.147319999989</v>
      </c>
      <c r="Q42" s="65">
        <f t="shared" si="22"/>
        <v>40992.147319999989</v>
      </c>
      <c r="R42" s="67">
        <f t="shared" si="26"/>
        <v>116701.3</v>
      </c>
      <c r="S42" s="68" t="str">
        <f t="shared" si="29"/>
        <v/>
      </c>
      <c r="T42" s="68" t="str">
        <f t="shared" si="30"/>
        <v/>
      </c>
      <c r="U42" s="80"/>
    </row>
    <row r="43" spans="1:22" ht="31.5" x14ac:dyDescent="0.2">
      <c r="A43" s="71" t="s">
        <v>74</v>
      </c>
      <c r="B43" s="60" t="s">
        <v>30</v>
      </c>
      <c r="C43" s="61"/>
      <c r="D43" s="62"/>
      <c r="E43" s="63">
        <f t="shared" si="28"/>
        <v>0</v>
      </c>
      <c r="F43" s="63">
        <f t="shared" si="28"/>
        <v>0</v>
      </c>
      <c r="G43" s="63">
        <f t="shared" si="28"/>
        <v>0</v>
      </c>
      <c r="H43" s="63">
        <f t="shared" si="28"/>
        <v>0</v>
      </c>
      <c r="I43" s="63">
        <f t="shared" si="28"/>
        <v>0</v>
      </c>
      <c r="J43" s="63">
        <f t="shared" si="28"/>
        <v>0</v>
      </c>
      <c r="K43" s="63">
        <f t="shared" si="28"/>
        <v>0</v>
      </c>
      <c r="L43" s="64"/>
      <c r="M43" s="65"/>
      <c r="N43" s="66"/>
      <c r="O43" s="65">
        <f t="shared" si="32"/>
        <v>0</v>
      </c>
      <c r="P43" s="65">
        <f t="shared" si="21"/>
        <v>0</v>
      </c>
      <c r="Q43" s="65">
        <f t="shared" si="22"/>
        <v>0</v>
      </c>
      <c r="R43" s="67">
        <f t="shared" si="26"/>
        <v>0</v>
      </c>
      <c r="S43" s="68" t="str">
        <f t="shared" si="29"/>
        <v/>
      </c>
      <c r="T43" s="68" t="str">
        <f t="shared" si="30"/>
        <v/>
      </c>
      <c r="U43" s="32"/>
      <c r="V43" s="86"/>
    </row>
    <row r="44" spans="1:22" x14ac:dyDescent="0.2">
      <c r="A44" s="50" t="s">
        <v>24</v>
      </c>
      <c r="B44" s="60" t="s">
        <v>25</v>
      </c>
      <c r="C44" s="61" t="s">
        <v>75</v>
      </c>
      <c r="D44" s="62">
        <v>16194.8</v>
      </c>
      <c r="E44" s="63">
        <f t="shared" si="28"/>
        <v>16194.8</v>
      </c>
      <c r="F44" s="63">
        <f t="shared" si="28"/>
        <v>16194.8</v>
      </c>
      <c r="G44" s="63">
        <f t="shared" si="28"/>
        <v>16194.8</v>
      </c>
      <c r="H44" s="63">
        <f t="shared" si="28"/>
        <v>16194.8</v>
      </c>
      <c r="I44" s="63">
        <f t="shared" si="28"/>
        <v>16194.8</v>
      </c>
      <c r="J44" s="63">
        <f t="shared" si="28"/>
        <v>16194.8</v>
      </c>
      <c r="K44" s="63">
        <f t="shared" si="28"/>
        <v>16194.8</v>
      </c>
      <c r="L44" s="64">
        <f>('[1]Бюдж роспись КБ'!K65+'[1]Бюдж роспись КБ'!K66)/1000</f>
        <v>16115.82172</v>
      </c>
      <c r="M44" s="65">
        <f>L44/J44*100</f>
        <v>99.512323214859094</v>
      </c>
      <c r="N44" s="66">
        <v>16115.82172</v>
      </c>
      <c r="O44" s="65">
        <f t="shared" si="32"/>
        <v>0</v>
      </c>
      <c r="P44" s="66">
        <f t="shared" si="21"/>
        <v>78.978279999999359</v>
      </c>
      <c r="Q44" s="65">
        <f t="shared" si="22"/>
        <v>78.978279999999359</v>
      </c>
      <c r="R44" s="67">
        <f t="shared" si="26"/>
        <v>16194.8</v>
      </c>
      <c r="S44" s="68" t="str">
        <f t="shared" si="29"/>
        <v/>
      </c>
      <c r="T44" s="68" t="str">
        <f t="shared" si="30"/>
        <v/>
      </c>
      <c r="U44" s="32"/>
      <c r="V44" s="86"/>
    </row>
    <row r="45" spans="1:22" x14ac:dyDescent="0.2">
      <c r="A45" s="50" t="s">
        <v>26</v>
      </c>
      <c r="B45" s="60" t="s">
        <v>27</v>
      </c>
      <c r="C45" s="61" t="s">
        <v>75</v>
      </c>
      <c r="D45" s="62">
        <v>48584.5</v>
      </c>
      <c r="E45" s="63">
        <f t="shared" si="28"/>
        <v>48584.5</v>
      </c>
      <c r="F45" s="63">
        <f t="shared" si="28"/>
        <v>48584.5</v>
      </c>
      <c r="G45" s="63">
        <f t="shared" si="28"/>
        <v>48584.5</v>
      </c>
      <c r="H45" s="63">
        <f t="shared" si="28"/>
        <v>48584.5</v>
      </c>
      <c r="I45" s="63">
        <f t="shared" si="28"/>
        <v>48584.5</v>
      </c>
      <c r="J45" s="63">
        <f t="shared" si="28"/>
        <v>48584.5</v>
      </c>
      <c r="K45" s="63">
        <f t="shared" si="28"/>
        <v>48584.5</v>
      </c>
      <c r="L45" s="64">
        <f>('[1]Бюдж роспись КБ'!K67+'[1]Бюдж роспись КБ'!K68)/1000</f>
        <v>48347.465199999999</v>
      </c>
      <c r="M45" s="65">
        <f>L45/J45*100</f>
        <v>99.51211847399891</v>
      </c>
      <c r="N45" s="66">
        <v>48347.465199999999</v>
      </c>
      <c r="O45" s="65">
        <f t="shared" si="32"/>
        <v>0</v>
      </c>
      <c r="P45" s="66">
        <f t="shared" si="21"/>
        <v>237.03480000000127</v>
      </c>
      <c r="Q45" s="65">
        <f t="shared" si="22"/>
        <v>237.03480000000127</v>
      </c>
      <c r="R45" s="67">
        <f t="shared" si="26"/>
        <v>48584.5</v>
      </c>
      <c r="S45" s="68" t="str">
        <f t="shared" si="29"/>
        <v/>
      </c>
      <c r="T45" s="68" t="str">
        <f t="shared" si="30"/>
        <v/>
      </c>
      <c r="U45" s="32"/>
    </row>
    <row r="46" spans="1:22" ht="31.5" x14ac:dyDescent="0.2">
      <c r="A46" s="71" t="s">
        <v>76</v>
      </c>
      <c r="B46" s="60" t="s">
        <v>30</v>
      </c>
      <c r="C46" s="61"/>
      <c r="D46" s="62"/>
      <c r="E46" s="63">
        <f t="shared" si="28"/>
        <v>0</v>
      </c>
      <c r="F46" s="63">
        <f t="shared" si="28"/>
        <v>0</v>
      </c>
      <c r="G46" s="63">
        <f t="shared" si="28"/>
        <v>0</v>
      </c>
      <c r="H46" s="63">
        <f t="shared" si="28"/>
        <v>0</v>
      </c>
      <c r="I46" s="63">
        <f t="shared" si="28"/>
        <v>0</v>
      </c>
      <c r="J46" s="63">
        <f t="shared" si="28"/>
        <v>0</v>
      </c>
      <c r="K46" s="63">
        <f t="shared" si="28"/>
        <v>0</v>
      </c>
      <c r="L46" s="64"/>
      <c r="M46" s="65"/>
      <c r="N46" s="66"/>
      <c r="O46" s="65">
        <f t="shared" si="32"/>
        <v>0</v>
      </c>
      <c r="P46" s="65">
        <f t="shared" si="21"/>
        <v>0</v>
      </c>
      <c r="Q46" s="65">
        <f t="shared" si="22"/>
        <v>0</v>
      </c>
      <c r="R46" s="67">
        <f t="shared" si="26"/>
        <v>0</v>
      </c>
      <c r="S46" s="68" t="str">
        <f t="shared" si="29"/>
        <v/>
      </c>
      <c r="T46" s="68" t="str">
        <f t="shared" si="30"/>
        <v/>
      </c>
      <c r="U46" s="80"/>
    </row>
    <row r="47" spans="1:22" ht="15.75" customHeight="1" x14ac:dyDescent="0.2">
      <c r="A47" s="50" t="s">
        <v>24</v>
      </c>
      <c r="B47" s="60" t="s">
        <v>25</v>
      </c>
      <c r="C47" s="61" t="s">
        <v>77</v>
      </c>
      <c r="D47" s="62">
        <v>46229.2</v>
      </c>
      <c r="E47" s="63">
        <f t="shared" si="28"/>
        <v>46229.2</v>
      </c>
      <c r="F47" s="63">
        <f t="shared" si="28"/>
        <v>46229.2</v>
      </c>
      <c r="G47" s="63">
        <f t="shared" si="28"/>
        <v>46229.2</v>
      </c>
      <c r="H47" s="63">
        <f t="shared" si="28"/>
        <v>46229.2</v>
      </c>
      <c r="I47" s="63">
        <f t="shared" si="28"/>
        <v>46229.2</v>
      </c>
      <c r="J47" s="63">
        <f t="shared" si="28"/>
        <v>46229.2</v>
      </c>
      <c r="K47" s="63">
        <f t="shared" si="28"/>
        <v>46229.2</v>
      </c>
      <c r="L47" s="64">
        <f>'[1]Бюдж роспись КБ'!K69/1000</f>
        <v>41622.060079999996</v>
      </c>
      <c r="M47" s="65">
        <f>L47/J47*100</f>
        <v>90.034134443165797</v>
      </c>
      <c r="N47" s="66">
        <v>41622.060080000003</v>
      </c>
      <c r="O47" s="65">
        <f t="shared" si="32"/>
        <v>0</v>
      </c>
      <c r="P47" s="65">
        <f t="shared" si="21"/>
        <v>4607.1399200000014</v>
      </c>
      <c r="Q47" s="65">
        <f t="shared" si="22"/>
        <v>4607.1399200000014</v>
      </c>
      <c r="R47" s="67">
        <f t="shared" si="26"/>
        <v>46229.2</v>
      </c>
      <c r="S47" s="68" t="str">
        <f t="shared" si="29"/>
        <v/>
      </c>
      <c r="T47" s="68" t="str">
        <f t="shared" si="30"/>
        <v/>
      </c>
      <c r="U47" s="80"/>
    </row>
    <row r="48" spans="1:22" x14ac:dyDescent="0.2">
      <c r="A48" s="50" t="s">
        <v>26</v>
      </c>
      <c r="B48" s="60" t="s">
        <v>27</v>
      </c>
      <c r="C48" s="61" t="s">
        <v>77</v>
      </c>
      <c r="D48" s="62">
        <v>138687.6</v>
      </c>
      <c r="E48" s="63">
        <f t="shared" si="28"/>
        <v>138687.6</v>
      </c>
      <c r="F48" s="63">
        <f t="shared" si="28"/>
        <v>138687.6</v>
      </c>
      <c r="G48" s="63">
        <f t="shared" si="28"/>
        <v>138687.6</v>
      </c>
      <c r="H48" s="63">
        <f t="shared" si="28"/>
        <v>138687.6</v>
      </c>
      <c r="I48" s="63">
        <f t="shared" si="28"/>
        <v>138687.6</v>
      </c>
      <c r="J48" s="63">
        <f t="shared" si="28"/>
        <v>138687.6</v>
      </c>
      <c r="K48" s="63">
        <f t="shared" si="28"/>
        <v>138687.6</v>
      </c>
      <c r="L48" s="64">
        <f>'[1]Бюдж роспись КБ'!K70/1000</f>
        <v>124866.18026000001</v>
      </c>
      <c r="M48" s="65">
        <f>L48/J48*100</f>
        <v>90.034134457586688</v>
      </c>
      <c r="N48" s="66">
        <v>124866.18025999999</v>
      </c>
      <c r="O48" s="65">
        <f t="shared" si="32"/>
        <v>0</v>
      </c>
      <c r="P48" s="65">
        <f t="shared" si="21"/>
        <v>13821.419739999998</v>
      </c>
      <c r="Q48" s="65">
        <f t="shared" si="22"/>
        <v>13821.419739999998</v>
      </c>
      <c r="R48" s="67">
        <f t="shared" si="26"/>
        <v>138687.6</v>
      </c>
      <c r="S48" s="68" t="str">
        <f t="shared" si="29"/>
        <v/>
      </c>
      <c r="T48" s="68" t="str">
        <f t="shared" si="30"/>
        <v/>
      </c>
      <c r="U48" s="80"/>
    </row>
    <row r="49" spans="1:22" ht="63.75" customHeight="1" x14ac:dyDescent="0.2">
      <c r="A49" s="69" t="s">
        <v>78</v>
      </c>
      <c r="B49" s="60" t="s">
        <v>30</v>
      </c>
      <c r="C49" s="61"/>
      <c r="D49" s="62"/>
      <c r="E49" s="63">
        <f t="shared" si="28"/>
        <v>0</v>
      </c>
      <c r="F49" s="63">
        <f t="shared" si="28"/>
        <v>0</v>
      </c>
      <c r="G49" s="63">
        <f t="shared" si="28"/>
        <v>0</v>
      </c>
      <c r="H49" s="63">
        <f t="shared" si="28"/>
        <v>0</v>
      </c>
      <c r="I49" s="63">
        <f t="shared" si="28"/>
        <v>0</v>
      </c>
      <c r="J49" s="63">
        <f t="shared" si="28"/>
        <v>0</v>
      </c>
      <c r="K49" s="63">
        <f t="shared" si="28"/>
        <v>0</v>
      </c>
      <c r="L49" s="64"/>
      <c r="M49" s="65"/>
      <c r="N49" s="66"/>
      <c r="O49" s="66">
        <f t="shared" si="20"/>
        <v>0</v>
      </c>
      <c r="P49" s="65">
        <f t="shared" si="21"/>
        <v>0</v>
      </c>
      <c r="Q49" s="65">
        <f t="shared" si="22"/>
        <v>0</v>
      </c>
      <c r="R49" s="67">
        <f t="shared" si="26"/>
        <v>0</v>
      </c>
      <c r="S49" s="68" t="str">
        <f t="shared" si="29"/>
        <v/>
      </c>
      <c r="T49" s="68" t="str">
        <f t="shared" si="30"/>
        <v/>
      </c>
      <c r="U49" s="32"/>
    </row>
    <row r="50" spans="1:22" x14ac:dyDescent="0.2">
      <c r="A50" s="50" t="s">
        <v>24</v>
      </c>
      <c r="B50" s="60" t="s">
        <v>25</v>
      </c>
      <c r="C50" s="61" t="s">
        <v>79</v>
      </c>
      <c r="D50" s="62">
        <v>51177.7</v>
      </c>
      <c r="E50" s="63">
        <f t="shared" ref="E50:K60" si="33">D50</f>
        <v>51177.7</v>
      </c>
      <c r="F50" s="63">
        <f t="shared" si="33"/>
        <v>51177.7</v>
      </c>
      <c r="G50" s="63">
        <f t="shared" si="33"/>
        <v>51177.7</v>
      </c>
      <c r="H50" s="63">
        <f t="shared" si="33"/>
        <v>51177.7</v>
      </c>
      <c r="I50" s="63">
        <f t="shared" si="33"/>
        <v>51177.7</v>
      </c>
      <c r="J50" s="63">
        <f t="shared" si="33"/>
        <v>51177.7</v>
      </c>
      <c r="K50" s="63">
        <f t="shared" si="33"/>
        <v>51177.7</v>
      </c>
      <c r="L50" s="64">
        <f>('[1]Бюдж роспись КБ'!K71+'[1]Бюдж роспись КБ'!K72)/1000</f>
        <v>46915.392519999994</v>
      </c>
      <c r="M50" s="65">
        <f>L50/J50*100</f>
        <v>91.671553274179956</v>
      </c>
      <c r="N50" s="66">
        <v>46915.392520000001</v>
      </c>
      <c r="O50" s="65">
        <f>L50-N50</f>
        <v>0</v>
      </c>
      <c r="P50" s="65">
        <f t="shared" si="21"/>
        <v>4262.3074800000031</v>
      </c>
      <c r="Q50" s="65">
        <f t="shared" si="22"/>
        <v>4262.3074800000031</v>
      </c>
      <c r="R50" s="67">
        <f t="shared" si="26"/>
        <v>51177.7</v>
      </c>
      <c r="S50" s="68" t="str">
        <f t="shared" si="29"/>
        <v/>
      </c>
      <c r="T50" s="68" t="str">
        <f t="shared" si="30"/>
        <v/>
      </c>
      <c r="U50" s="80"/>
      <c r="V50" s="86"/>
    </row>
    <row r="51" spans="1:22" x14ac:dyDescent="0.2">
      <c r="A51" s="50" t="s">
        <v>26</v>
      </c>
      <c r="B51" s="60" t="s">
        <v>27</v>
      </c>
      <c r="C51" s="61" t="s">
        <v>79</v>
      </c>
      <c r="D51" s="62">
        <v>153533.1</v>
      </c>
      <c r="E51" s="63">
        <f t="shared" si="33"/>
        <v>153533.1</v>
      </c>
      <c r="F51" s="63">
        <f t="shared" si="33"/>
        <v>153533.1</v>
      </c>
      <c r="G51" s="63">
        <f t="shared" si="33"/>
        <v>153533.1</v>
      </c>
      <c r="H51" s="63">
        <f t="shared" si="33"/>
        <v>153533.1</v>
      </c>
      <c r="I51" s="63">
        <f t="shared" si="33"/>
        <v>153533.1</v>
      </c>
      <c r="J51" s="63">
        <f t="shared" si="33"/>
        <v>153533.1</v>
      </c>
      <c r="K51" s="63">
        <f t="shared" si="33"/>
        <v>153533.1</v>
      </c>
      <c r="L51" s="64">
        <f>('[1]Бюдж роспись КБ'!K73+'[1]Бюдж роспись КБ'!K74)/1000</f>
        <v>140746.1776</v>
      </c>
      <c r="M51" s="65">
        <f>L51/J51*100</f>
        <v>91.671553300232972</v>
      </c>
      <c r="N51" s="66">
        <v>140746.1776</v>
      </c>
      <c r="O51" s="65">
        <f>L51-N51</f>
        <v>0</v>
      </c>
      <c r="P51" s="65">
        <f t="shared" si="21"/>
        <v>12786.92240000001</v>
      </c>
      <c r="Q51" s="65">
        <f t="shared" si="22"/>
        <v>12786.92240000001</v>
      </c>
      <c r="R51" s="67">
        <f t="shared" si="26"/>
        <v>153533.1</v>
      </c>
      <c r="S51" s="68" t="str">
        <f t="shared" si="29"/>
        <v/>
      </c>
      <c r="T51" s="68" t="str">
        <f>IF((R51-K51)&lt;0,R51-K51,"")</f>
        <v/>
      </c>
      <c r="U51" s="80"/>
      <c r="V51" s="86"/>
    </row>
    <row r="52" spans="1:22" ht="63" x14ac:dyDescent="0.2">
      <c r="A52" s="71" t="s">
        <v>80</v>
      </c>
      <c r="B52" s="60" t="s">
        <v>30</v>
      </c>
      <c r="C52" s="61"/>
      <c r="D52" s="62"/>
      <c r="E52" s="63">
        <f t="shared" si="33"/>
        <v>0</v>
      </c>
      <c r="F52" s="63">
        <f t="shared" si="33"/>
        <v>0</v>
      </c>
      <c r="G52" s="63">
        <f t="shared" si="33"/>
        <v>0</v>
      </c>
      <c r="H52" s="63">
        <f t="shared" si="33"/>
        <v>0</v>
      </c>
      <c r="I52" s="63">
        <f t="shared" si="33"/>
        <v>0</v>
      </c>
      <c r="J52" s="63">
        <f t="shared" si="33"/>
        <v>0</v>
      </c>
      <c r="K52" s="63">
        <f t="shared" si="33"/>
        <v>0</v>
      </c>
      <c r="L52" s="64"/>
      <c r="M52" s="65"/>
      <c r="N52" s="66"/>
      <c r="O52" s="65">
        <f t="shared" ref="O52:O63" si="34">L52-N52</f>
        <v>0</v>
      </c>
      <c r="P52" s="65">
        <f t="shared" si="21"/>
        <v>0</v>
      </c>
      <c r="Q52" s="65">
        <f t="shared" si="22"/>
        <v>0</v>
      </c>
      <c r="R52" s="67">
        <f t="shared" si="26"/>
        <v>0</v>
      </c>
      <c r="S52" s="68" t="str">
        <f t="shared" si="29"/>
        <v/>
      </c>
      <c r="T52" s="68" t="str">
        <f>IF(R52-K52&lt;0,R52-K52,"")</f>
        <v/>
      </c>
      <c r="U52" s="32"/>
    </row>
    <row r="53" spans="1:22" x14ac:dyDescent="0.2">
      <c r="A53" s="50" t="s">
        <v>24</v>
      </c>
      <c r="B53" s="60" t="s">
        <v>25</v>
      </c>
      <c r="C53" s="61" t="s">
        <v>81</v>
      </c>
      <c r="D53" s="62">
        <v>7348.6</v>
      </c>
      <c r="E53" s="63">
        <f t="shared" si="33"/>
        <v>7348.6</v>
      </c>
      <c r="F53" s="63">
        <f t="shared" si="33"/>
        <v>7348.6</v>
      </c>
      <c r="G53" s="63">
        <f t="shared" si="33"/>
        <v>7348.6</v>
      </c>
      <c r="H53" s="63">
        <f t="shared" si="33"/>
        <v>7348.6</v>
      </c>
      <c r="I53" s="63">
        <f t="shared" si="33"/>
        <v>7348.6</v>
      </c>
      <c r="J53" s="63">
        <f t="shared" si="33"/>
        <v>7348.6</v>
      </c>
      <c r="K53" s="63">
        <f t="shared" si="33"/>
        <v>7348.6</v>
      </c>
      <c r="L53" s="64">
        <f>'[1]Бюдж роспись КБ'!K75/1000</f>
        <v>84.185980000000001</v>
      </c>
      <c r="M53" s="65">
        <f t="shared" ref="M53:M73" si="35">L53/J53*100</f>
        <v>1.1456056936015024</v>
      </c>
      <c r="N53" s="66">
        <v>84.185980000000001</v>
      </c>
      <c r="O53" s="65">
        <f t="shared" si="34"/>
        <v>0</v>
      </c>
      <c r="P53" s="85">
        <f t="shared" si="21"/>
        <v>7264.4140200000002</v>
      </c>
      <c r="Q53" s="65">
        <f t="shared" si="22"/>
        <v>7264.4140200000002</v>
      </c>
      <c r="R53" s="67">
        <f t="shared" si="26"/>
        <v>7348.6</v>
      </c>
      <c r="S53" s="68" t="str">
        <f t="shared" si="29"/>
        <v/>
      </c>
      <c r="T53" s="68" t="str">
        <f>IF(R53-K53&lt;0,R53-K53,"")</f>
        <v/>
      </c>
      <c r="U53" s="32"/>
    </row>
    <row r="54" spans="1:22" x14ac:dyDescent="0.2">
      <c r="A54" s="50" t="s">
        <v>26</v>
      </c>
      <c r="B54" s="60" t="s">
        <v>27</v>
      </c>
      <c r="C54" s="61" t="s">
        <v>81</v>
      </c>
      <c r="D54" s="62">
        <v>22045.7</v>
      </c>
      <c r="E54" s="63">
        <f t="shared" si="33"/>
        <v>22045.7</v>
      </c>
      <c r="F54" s="63">
        <f t="shared" si="33"/>
        <v>22045.7</v>
      </c>
      <c r="G54" s="63">
        <f t="shared" si="33"/>
        <v>22045.7</v>
      </c>
      <c r="H54" s="63">
        <f t="shared" si="33"/>
        <v>22045.7</v>
      </c>
      <c r="I54" s="63">
        <f t="shared" si="33"/>
        <v>22045.7</v>
      </c>
      <c r="J54" s="63">
        <f t="shared" si="33"/>
        <v>22045.7</v>
      </c>
      <c r="K54" s="63">
        <f t="shared" si="33"/>
        <v>22045.7</v>
      </c>
      <c r="L54" s="64">
        <f>'[1]Бюдж роспись КБ'!K76/1000</f>
        <v>252.55794</v>
      </c>
      <c r="M54" s="65">
        <f t="shared" si="35"/>
        <v>1.1456108901055533</v>
      </c>
      <c r="N54" s="66">
        <v>252.55794</v>
      </c>
      <c r="O54" s="65">
        <f t="shared" si="34"/>
        <v>0</v>
      </c>
      <c r="P54" s="85">
        <f t="shared" si="21"/>
        <v>21793.142060000002</v>
      </c>
      <c r="Q54" s="65">
        <f t="shared" si="22"/>
        <v>21793.142060000002</v>
      </c>
      <c r="R54" s="67">
        <f t="shared" si="26"/>
        <v>22045.7</v>
      </c>
      <c r="S54" s="68" t="str">
        <f t="shared" si="29"/>
        <v/>
      </c>
      <c r="T54" s="68" t="str">
        <f>IF(R54-K54&lt;0,R54-K54,"")</f>
        <v/>
      </c>
      <c r="U54" s="32"/>
    </row>
    <row r="55" spans="1:22" ht="31.5" x14ac:dyDescent="0.2">
      <c r="A55" s="71" t="s">
        <v>82</v>
      </c>
      <c r="B55" s="60" t="s">
        <v>30</v>
      </c>
      <c r="C55" s="61"/>
      <c r="D55" s="62"/>
      <c r="E55" s="63"/>
      <c r="F55" s="63">
        <f t="shared" si="33"/>
        <v>0</v>
      </c>
      <c r="G55" s="63">
        <f t="shared" si="33"/>
        <v>0</v>
      </c>
      <c r="H55" s="63">
        <f t="shared" si="33"/>
        <v>0</v>
      </c>
      <c r="I55" s="63">
        <f t="shared" si="33"/>
        <v>0</v>
      </c>
      <c r="J55" s="63">
        <f t="shared" si="33"/>
        <v>0</v>
      </c>
      <c r="K55" s="63">
        <f t="shared" si="33"/>
        <v>0</v>
      </c>
      <c r="L55" s="64"/>
      <c r="M55" s="65"/>
      <c r="N55" s="66"/>
      <c r="O55" s="65">
        <f t="shared" si="34"/>
        <v>0</v>
      </c>
      <c r="P55" s="85">
        <f t="shared" si="21"/>
        <v>0</v>
      </c>
      <c r="Q55" s="65">
        <f t="shared" si="22"/>
        <v>0</v>
      </c>
      <c r="R55" s="67">
        <f t="shared" si="26"/>
        <v>0</v>
      </c>
      <c r="S55" s="68"/>
      <c r="T55" s="68"/>
      <c r="U55" s="87"/>
    </row>
    <row r="56" spans="1:22" x14ac:dyDescent="0.2">
      <c r="A56" s="50" t="s">
        <v>24</v>
      </c>
      <c r="B56" s="60" t="s">
        <v>25</v>
      </c>
      <c r="C56" s="88" t="s">
        <v>83</v>
      </c>
      <c r="D56" s="62"/>
      <c r="E56" s="79">
        <v>3324.5</v>
      </c>
      <c r="F56" s="63">
        <f t="shared" si="33"/>
        <v>3324.5</v>
      </c>
      <c r="G56" s="63">
        <f t="shared" si="33"/>
        <v>3324.5</v>
      </c>
      <c r="H56" s="63">
        <f t="shared" si="33"/>
        <v>3324.5</v>
      </c>
      <c r="I56" s="63">
        <f t="shared" si="33"/>
        <v>3324.5</v>
      </c>
      <c r="J56" s="63">
        <f t="shared" si="33"/>
        <v>3324.5</v>
      </c>
      <c r="K56" s="63">
        <f t="shared" si="33"/>
        <v>3324.5</v>
      </c>
      <c r="L56" s="64">
        <f>('[1]Бюдж роспись КБ'!K81+'[1]Бюдж роспись КБ'!K82)/1000</f>
        <v>3324.4999899999998</v>
      </c>
      <c r="M56" s="65">
        <f t="shared" si="35"/>
        <v>99.999999699202874</v>
      </c>
      <c r="N56" s="66">
        <v>3324.4999899999998</v>
      </c>
      <c r="O56" s="65">
        <f t="shared" si="34"/>
        <v>0</v>
      </c>
      <c r="P56" s="85">
        <f t="shared" si="21"/>
        <v>1.0000000202126103E-5</v>
      </c>
      <c r="Q56" s="65">
        <f t="shared" si="22"/>
        <v>1.0000000202126103E-5</v>
      </c>
      <c r="R56" s="67">
        <f t="shared" si="26"/>
        <v>3324.5</v>
      </c>
      <c r="S56" s="68"/>
      <c r="T56" s="68"/>
      <c r="U56" s="87"/>
    </row>
    <row r="57" spans="1:22" x14ac:dyDescent="0.2">
      <c r="A57" s="50" t="s">
        <v>26</v>
      </c>
      <c r="B57" s="60" t="s">
        <v>27</v>
      </c>
      <c r="C57" s="88" t="s">
        <v>83</v>
      </c>
      <c r="D57" s="62"/>
      <c r="E57" s="79">
        <v>63165.5</v>
      </c>
      <c r="F57" s="63">
        <f t="shared" si="33"/>
        <v>63165.5</v>
      </c>
      <c r="G57" s="63">
        <f t="shared" si="33"/>
        <v>63165.5</v>
      </c>
      <c r="H57" s="63">
        <f t="shared" si="33"/>
        <v>63165.5</v>
      </c>
      <c r="I57" s="63">
        <f t="shared" si="33"/>
        <v>63165.5</v>
      </c>
      <c r="J57" s="63">
        <f t="shared" si="33"/>
        <v>63165.5</v>
      </c>
      <c r="K57" s="63">
        <f t="shared" si="33"/>
        <v>63165.5</v>
      </c>
      <c r="L57" s="64">
        <f>('[1]Бюдж роспись КБ'!K83+'[1]Бюдж роспись КБ'!K84)/1000</f>
        <v>63165.499819999997</v>
      </c>
      <c r="M57" s="65">
        <f t="shared" si="35"/>
        <v>99.999999715034321</v>
      </c>
      <c r="N57" s="66">
        <v>63165.499819999997</v>
      </c>
      <c r="O57" s="65">
        <f t="shared" si="34"/>
        <v>0</v>
      </c>
      <c r="P57" s="85">
        <f t="shared" si="21"/>
        <v>1.8000000272877514E-4</v>
      </c>
      <c r="Q57" s="65">
        <f t="shared" si="22"/>
        <v>1.8000000272877514E-4</v>
      </c>
      <c r="R57" s="67">
        <f t="shared" si="26"/>
        <v>63165.5</v>
      </c>
      <c r="S57" s="68"/>
      <c r="T57" s="68"/>
      <c r="U57" s="87"/>
    </row>
    <row r="58" spans="1:22" ht="31.5" x14ac:dyDescent="0.2">
      <c r="A58" s="71" t="s">
        <v>84</v>
      </c>
      <c r="B58" s="60" t="s">
        <v>30</v>
      </c>
      <c r="C58" s="61"/>
      <c r="D58" s="62"/>
      <c r="E58" s="63"/>
      <c r="F58" s="63">
        <f t="shared" si="33"/>
        <v>0</v>
      </c>
      <c r="G58" s="63">
        <f t="shared" si="33"/>
        <v>0</v>
      </c>
      <c r="H58" s="63">
        <f t="shared" si="33"/>
        <v>0</v>
      </c>
      <c r="I58" s="63">
        <f t="shared" si="33"/>
        <v>0</v>
      </c>
      <c r="J58" s="63">
        <f t="shared" si="33"/>
        <v>0</v>
      </c>
      <c r="K58" s="63">
        <f t="shared" si="33"/>
        <v>0</v>
      </c>
      <c r="L58" s="64"/>
      <c r="M58" s="65"/>
      <c r="N58" s="66"/>
      <c r="O58" s="65">
        <f t="shared" si="34"/>
        <v>0</v>
      </c>
      <c r="P58" s="85">
        <f t="shared" si="21"/>
        <v>0</v>
      </c>
      <c r="Q58" s="65">
        <f t="shared" si="22"/>
        <v>0</v>
      </c>
      <c r="R58" s="67">
        <f t="shared" si="26"/>
        <v>0</v>
      </c>
      <c r="S58" s="68"/>
      <c r="T58" s="68"/>
      <c r="U58" s="87"/>
    </row>
    <row r="59" spans="1:22" x14ac:dyDescent="0.2">
      <c r="A59" s="50" t="s">
        <v>24</v>
      </c>
      <c r="B59" s="60" t="s">
        <v>25</v>
      </c>
      <c r="C59" s="88" t="s">
        <v>85</v>
      </c>
      <c r="D59" s="62"/>
      <c r="E59" s="79">
        <v>1265.3</v>
      </c>
      <c r="F59" s="63">
        <f t="shared" si="33"/>
        <v>1265.3</v>
      </c>
      <c r="G59" s="63">
        <f t="shared" si="33"/>
        <v>1265.3</v>
      </c>
      <c r="H59" s="63">
        <f t="shared" si="33"/>
        <v>1265.3</v>
      </c>
      <c r="I59" s="63">
        <f t="shared" si="33"/>
        <v>1265.3</v>
      </c>
      <c r="J59" s="63">
        <f t="shared" si="33"/>
        <v>1265.3</v>
      </c>
      <c r="K59" s="63">
        <f t="shared" si="33"/>
        <v>1265.3</v>
      </c>
      <c r="L59" s="64">
        <f>('[1]Бюдж роспись КБ'!K85+'[1]Бюдж роспись КБ'!K86+'[1]Бюдж роспись КБ'!K87)/1000</f>
        <v>132.72507000000002</v>
      </c>
      <c r="M59" s="65">
        <f t="shared" si="35"/>
        <v>10.489612740061647</v>
      </c>
      <c r="N59" s="66">
        <v>132.72506999999999</v>
      </c>
      <c r="O59" s="65">
        <f t="shared" si="34"/>
        <v>0</v>
      </c>
      <c r="P59" s="85">
        <f t="shared" si="21"/>
        <v>1132.57493</v>
      </c>
      <c r="Q59" s="65">
        <f t="shared" si="22"/>
        <v>1132.57493</v>
      </c>
      <c r="R59" s="67">
        <f t="shared" si="26"/>
        <v>1265.3</v>
      </c>
      <c r="S59" s="68"/>
      <c r="T59" s="68"/>
      <c r="U59" s="87"/>
    </row>
    <row r="60" spans="1:22" x14ac:dyDescent="0.2">
      <c r="A60" s="50" t="s">
        <v>26</v>
      </c>
      <c r="B60" s="60" t="s">
        <v>27</v>
      </c>
      <c r="C60" s="88" t="s">
        <v>85</v>
      </c>
      <c r="D60" s="62"/>
      <c r="E60" s="79">
        <v>24040.2</v>
      </c>
      <c r="F60" s="63">
        <f t="shared" si="33"/>
        <v>24040.2</v>
      </c>
      <c r="G60" s="63">
        <f t="shared" si="33"/>
        <v>24040.2</v>
      </c>
      <c r="H60" s="63">
        <f t="shared" si="33"/>
        <v>24040.2</v>
      </c>
      <c r="I60" s="63">
        <f t="shared" si="33"/>
        <v>24040.2</v>
      </c>
      <c r="J60" s="63">
        <f t="shared" si="33"/>
        <v>24040.2</v>
      </c>
      <c r="K60" s="63">
        <f t="shared" si="33"/>
        <v>24040.2</v>
      </c>
      <c r="L60" s="64">
        <f>('[1]Бюдж роспись КБ'!K88+'[1]Бюдж роспись КБ'!K89+'[1]Бюдж роспись КБ'!K90)/1000</f>
        <v>2521.7239799999998</v>
      </c>
      <c r="M60" s="65">
        <f t="shared" si="35"/>
        <v>10.489613147977137</v>
      </c>
      <c r="N60" s="66">
        <v>2521.7239800000002</v>
      </c>
      <c r="O60" s="65">
        <f t="shared" si="34"/>
        <v>0</v>
      </c>
      <c r="P60" s="85">
        <f t="shared" si="21"/>
        <v>21518.476020000002</v>
      </c>
      <c r="Q60" s="65">
        <f t="shared" si="22"/>
        <v>21518.476020000002</v>
      </c>
      <c r="R60" s="67">
        <f t="shared" si="26"/>
        <v>24040.2</v>
      </c>
      <c r="S60" s="68"/>
      <c r="T60" s="68"/>
      <c r="U60" s="32"/>
    </row>
    <row r="61" spans="1:22" ht="31.5" customHeight="1" x14ac:dyDescent="0.2">
      <c r="A61" s="71" t="s">
        <v>86</v>
      </c>
      <c r="B61" s="60" t="s">
        <v>30</v>
      </c>
      <c r="C61" s="61"/>
      <c r="D61" s="62"/>
      <c r="E61" s="63">
        <f t="shared" ref="E61:K63" si="36">D61</f>
        <v>0</v>
      </c>
      <c r="F61" s="63">
        <f t="shared" si="36"/>
        <v>0</v>
      </c>
      <c r="G61" s="63">
        <f t="shared" si="36"/>
        <v>0</v>
      </c>
      <c r="H61" s="63">
        <f t="shared" si="36"/>
        <v>0</v>
      </c>
      <c r="I61" s="63">
        <f t="shared" si="36"/>
        <v>0</v>
      </c>
      <c r="J61" s="63">
        <f t="shared" si="36"/>
        <v>0</v>
      </c>
      <c r="K61" s="63">
        <f t="shared" si="36"/>
        <v>0</v>
      </c>
      <c r="L61" s="64"/>
      <c r="M61" s="65"/>
      <c r="N61" s="66"/>
      <c r="O61" s="65">
        <f t="shared" si="34"/>
        <v>0</v>
      </c>
      <c r="P61" s="85">
        <f t="shared" si="21"/>
        <v>0</v>
      </c>
      <c r="Q61" s="65">
        <f t="shared" si="22"/>
        <v>0</v>
      </c>
      <c r="R61" s="67">
        <f t="shared" si="26"/>
        <v>0</v>
      </c>
      <c r="S61" s="68"/>
      <c r="T61" s="68"/>
      <c r="U61" s="89"/>
      <c r="V61" s="86"/>
    </row>
    <row r="62" spans="1:22" ht="36.75" customHeight="1" x14ac:dyDescent="0.2">
      <c r="A62" s="50" t="s">
        <v>24</v>
      </c>
      <c r="B62" s="60" t="s">
        <v>25</v>
      </c>
      <c r="C62" s="61" t="s">
        <v>87</v>
      </c>
      <c r="D62" s="62">
        <v>4587.2</v>
      </c>
      <c r="E62" s="63">
        <f t="shared" si="36"/>
        <v>4587.2</v>
      </c>
      <c r="F62" s="63">
        <f t="shared" si="36"/>
        <v>4587.2</v>
      </c>
      <c r="G62" s="63">
        <f t="shared" si="36"/>
        <v>4587.2</v>
      </c>
      <c r="H62" s="63">
        <f t="shared" si="36"/>
        <v>4587.2</v>
      </c>
      <c r="I62" s="63">
        <f t="shared" si="36"/>
        <v>4587.2</v>
      </c>
      <c r="J62" s="63">
        <f t="shared" si="36"/>
        <v>4587.2</v>
      </c>
      <c r="K62" s="63">
        <f t="shared" si="36"/>
        <v>4587.2</v>
      </c>
      <c r="L62" s="64">
        <f>'[1]Бюдж роспись КБ'!K91/1000</f>
        <v>0</v>
      </c>
      <c r="M62" s="65">
        <f t="shared" si="35"/>
        <v>0</v>
      </c>
      <c r="N62" s="66"/>
      <c r="O62" s="65">
        <f t="shared" si="34"/>
        <v>0</v>
      </c>
      <c r="P62" s="85">
        <f t="shared" si="21"/>
        <v>4587.2</v>
      </c>
      <c r="Q62" s="65">
        <f t="shared" si="22"/>
        <v>4587.2</v>
      </c>
      <c r="R62" s="67">
        <v>1863.86842</v>
      </c>
      <c r="S62" s="68"/>
      <c r="T62" s="68">
        <f t="shared" ref="T62" si="37">IF(R62-K62&lt;0,R62-K62,"")</f>
        <v>-2723.33158</v>
      </c>
      <c r="U62" s="81" t="s">
        <v>88</v>
      </c>
      <c r="V62" s="86"/>
    </row>
    <row r="63" spans="1:22" x14ac:dyDescent="0.2">
      <c r="A63" s="50" t="s">
        <v>26</v>
      </c>
      <c r="B63" s="60" t="s">
        <v>27</v>
      </c>
      <c r="C63" s="61" t="s">
        <v>87</v>
      </c>
      <c r="D63" s="62">
        <v>87156.800000000003</v>
      </c>
      <c r="E63" s="63">
        <f t="shared" si="36"/>
        <v>87156.800000000003</v>
      </c>
      <c r="F63" s="63">
        <f t="shared" si="36"/>
        <v>87156.800000000003</v>
      </c>
      <c r="G63" s="63">
        <f t="shared" si="36"/>
        <v>87156.800000000003</v>
      </c>
      <c r="H63" s="63">
        <f t="shared" si="36"/>
        <v>87156.800000000003</v>
      </c>
      <c r="I63" s="63">
        <f t="shared" si="36"/>
        <v>87156.800000000003</v>
      </c>
      <c r="J63" s="63">
        <f t="shared" si="36"/>
        <v>87156.800000000003</v>
      </c>
      <c r="K63" s="63">
        <f t="shared" si="36"/>
        <v>87156.800000000003</v>
      </c>
      <c r="L63" s="64">
        <f>'[1]Бюдж роспись КБ'!K92/1000</f>
        <v>0</v>
      </c>
      <c r="M63" s="65">
        <f t="shared" si="35"/>
        <v>0</v>
      </c>
      <c r="N63" s="66"/>
      <c r="O63" s="65">
        <f t="shared" si="34"/>
        <v>0</v>
      </c>
      <c r="P63" s="85">
        <f t="shared" si="21"/>
        <v>87156.800000000003</v>
      </c>
      <c r="Q63" s="65">
        <f t="shared" si="22"/>
        <v>87156.800000000003</v>
      </c>
      <c r="R63" s="67">
        <f t="shared" si="26"/>
        <v>87156.800000000003</v>
      </c>
      <c r="S63" s="68"/>
      <c r="T63" s="68"/>
      <c r="U63" s="84"/>
      <c r="V63" s="86"/>
    </row>
    <row r="64" spans="1:22" ht="31.5" x14ac:dyDescent="0.2">
      <c r="A64" s="51" t="s">
        <v>89</v>
      </c>
      <c r="B64" s="60" t="s">
        <v>30</v>
      </c>
      <c r="C64" s="61"/>
      <c r="D64" s="49">
        <f>D65+D66</f>
        <v>532194.9</v>
      </c>
      <c r="E64" s="49">
        <f t="shared" ref="E64:N64" si="38">E65+E66</f>
        <v>532194.9</v>
      </c>
      <c r="F64" s="49">
        <f t="shared" si="38"/>
        <v>532194.9</v>
      </c>
      <c r="G64" s="49">
        <f t="shared" si="38"/>
        <v>634524.60000000009</v>
      </c>
      <c r="H64" s="49">
        <f t="shared" si="38"/>
        <v>634524.60000000009</v>
      </c>
      <c r="I64" s="49">
        <f t="shared" si="38"/>
        <v>634524.60000000009</v>
      </c>
      <c r="J64" s="49">
        <f t="shared" si="38"/>
        <v>634524.60000000009</v>
      </c>
      <c r="K64" s="49">
        <f t="shared" si="38"/>
        <v>634524.60000000009</v>
      </c>
      <c r="L64" s="90">
        <f t="shared" si="38"/>
        <v>162833.37570999996</v>
      </c>
      <c r="M64" s="91">
        <f t="shared" si="35"/>
        <v>25.662263639581496</v>
      </c>
      <c r="N64" s="92">
        <f t="shared" si="38"/>
        <v>162833.37570999999</v>
      </c>
      <c r="O64" s="49">
        <f>O65+O66</f>
        <v>0</v>
      </c>
      <c r="P64" s="49">
        <f>P65+P66</f>
        <v>471691.22428999998</v>
      </c>
      <c r="Q64" s="49">
        <f t="shared" ref="Q64:T64" si="39">Q65+Q66</f>
        <v>471691.22428999998</v>
      </c>
      <c r="R64" s="49">
        <f t="shared" si="39"/>
        <v>620668.55917000002</v>
      </c>
      <c r="S64" s="49">
        <f t="shared" si="39"/>
        <v>0</v>
      </c>
      <c r="T64" s="49">
        <f t="shared" si="39"/>
        <v>-13856.04083</v>
      </c>
      <c r="U64" s="32"/>
    </row>
    <row r="65" spans="1:21" x14ac:dyDescent="0.2">
      <c r="A65" s="50" t="s">
        <v>24</v>
      </c>
      <c r="B65" s="56" t="s">
        <v>25</v>
      </c>
      <c r="C65" s="61"/>
      <c r="D65" s="42">
        <f t="shared" ref="D65:L65" si="40">SUMIF($B$67:$B$90,"=01",D67:D90)</f>
        <v>378254.7</v>
      </c>
      <c r="E65" s="42">
        <f t="shared" si="40"/>
        <v>378254.7</v>
      </c>
      <c r="F65" s="42">
        <f t="shared" si="40"/>
        <v>378254.7</v>
      </c>
      <c r="G65" s="42">
        <f t="shared" si="40"/>
        <v>480584.4</v>
      </c>
      <c r="H65" s="42">
        <f t="shared" si="40"/>
        <v>480584.4</v>
      </c>
      <c r="I65" s="42">
        <f t="shared" si="40"/>
        <v>480584.4</v>
      </c>
      <c r="J65" s="42">
        <f t="shared" si="40"/>
        <v>480584.4</v>
      </c>
      <c r="K65" s="42">
        <f t="shared" si="40"/>
        <v>480584.4</v>
      </c>
      <c r="L65" s="93">
        <f t="shared" si="40"/>
        <v>154434.27491999997</v>
      </c>
      <c r="M65" s="42">
        <f t="shared" si="35"/>
        <v>32.134683298084568</v>
      </c>
      <c r="N65" s="94">
        <f t="shared" ref="N65:T65" si="41">SUMIF($B$67:$B$90,"=01",N67:N90)</f>
        <v>154434.27492</v>
      </c>
      <c r="O65" s="42">
        <f t="shared" si="41"/>
        <v>0</v>
      </c>
      <c r="P65" s="42">
        <f t="shared" si="41"/>
        <v>326150.12507999997</v>
      </c>
      <c r="Q65" s="42">
        <f t="shared" si="41"/>
        <v>326150.12507999997</v>
      </c>
      <c r="R65" s="42">
        <f t="shared" si="41"/>
        <v>466728.35917000001</v>
      </c>
      <c r="S65" s="42">
        <f t="shared" si="41"/>
        <v>0</v>
      </c>
      <c r="T65" s="42">
        <f t="shared" si="41"/>
        <v>-13856.04083</v>
      </c>
      <c r="U65" s="32"/>
    </row>
    <row r="66" spans="1:21" x14ac:dyDescent="0.2">
      <c r="A66" s="50" t="s">
        <v>26</v>
      </c>
      <c r="B66" s="56" t="s">
        <v>27</v>
      </c>
      <c r="C66" s="61"/>
      <c r="D66" s="42">
        <f t="shared" ref="D66:L66" si="42">SUMIF($B$67:$B$90,"=02",D67:D90)</f>
        <v>153940.20000000001</v>
      </c>
      <c r="E66" s="42">
        <f t="shared" si="42"/>
        <v>153940.20000000001</v>
      </c>
      <c r="F66" s="42">
        <f t="shared" si="42"/>
        <v>153940.20000000001</v>
      </c>
      <c r="G66" s="42">
        <f t="shared" si="42"/>
        <v>153940.20000000001</v>
      </c>
      <c r="H66" s="42">
        <f t="shared" si="42"/>
        <v>153940.20000000001</v>
      </c>
      <c r="I66" s="42">
        <f t="shared" si="42"/>
        <v>153940.20000000001</v>
      </c>
      <c r="J66" s="42">
        <f t="shared" si="42"/>
        <v>153940.20000000001</v>
      </c>
      <c r="K66" s="42">
        <f t="shared" si="42"/>
        <v>153940.20000000001</v>
      </c>
      <c r="L66" s="93">
        <f t="shared" si="42"/>
        <v>8399.1007899999986</v>
      </c>
      <c r="M66" s="42">
        <f t="shared" si="35"/>
        <v>5.4560802116666069</v>
      </c>
      <c r="N66" s="94">
        <f t="shared" ref="N66:T66" si="43">SUMIF($B$67:$B$90,"=02",N67:N90)</f>
        <v>8399.1007900000004</v>
      </c>
      <c r="O66" s="42">
        <f t="shared" si="43"/>
        <v>0</v>
      </c>
      <c r="P66" s="42">
        <f t="shared" si="43"/>
        <v>145541.09921000001</v>
      </c>
      <c r="Q66" s="42">
        <f t="shared" si="43"/>
        <v>145541.09921000001</v>
      </c>
      <c r="R66" s="42">
        <f t="shared" si="43"/>
        <v>153940.20000000001</v>
      </c>
      <c r="S66" s="42">
        <f t="shared" si="43"/>
        <v>0</v>
      </c>
      <c r="T66" s="42">
        <f t="shared" si="43"/>
        <v>0</v>
      </c>
      <c r="U66" s="32"/>
    </row>
    <row r="67" spans="1:21" ht="63" x14ac:dyDescent="0.2">
      <c r="A67" s="69" t="s">
        <v>90</v>
      </c>
      <c r="B67" s="60" t="s">
        <v>25</v>
      </c>
      <c r="C67" s="61" t="s">
        <v>91</v>
      </c>
      <c r="D67" s="62">
        <v>5264</v>
      </c>
      <c r="E67" s="63">
        <f t="shared" ref="E67:K72" si="44">D67</f>
        <v>5264</v>
      </c>
      <c r="F67" s="95">
        <f>E67+13400</f>
        <v>18664</v>
      </c>
      <c r="G67" s="63">
        <f t="shared" si="44"/>
        <v>18664</v>
      </c>
      <c r="H67" s="63">
        <f t="shared" si="44"/>
        <v>18664</v>
      </c>
      <c r="I67" s="63">
        <f t="shared" si="44"/>
        <v>18664</v>
      </c>
      <c r="J67" s="63">
        <f t="shared" si="44"/>
        <v>18664</v>
      </c>
      <c r="K67" s="63">
        <f t="shared" si="44"/>
        <v>18664</v>
      </c>
      <c r="L67" s="64">
        <f>'[1]Бюдж роспись КБ'!K96/1000</f>
        <v>0</v>
      </c>
      <c r="M67" s="65">
        <f t="shared" si="35"/>
        <v>0</v>
      </c>
      <c r="N67" s="66"/>
      <c r="O67" s="65">
        <f>L67-N67</f>
        <v>0</v>
      </c>
      <c r="P67" s="65">
        <f t="shared" ref="P67:P81" si="45">I67-L67</f>
        <v>18664</v>
      </c>
      <c r="Q67" s="65">
        <f t="shared" ref="Q67:Q90" si="46">K67-L67</f>
        <v>18664</v>
      </c>
      <c r="R67" s="67">
        <f t="shared" ref="R67:R90" si="47">K67</f>
        <v>18664</v>
      </c>
      <c r="S67" s="68" t="str">
        <f t="shared" ref="S67:S90" si="48">IF(R67-K67&gt;0,R67-K67,"")</f>
        <v/>
      </c>
      <c r="T67" s="68" t="str">
        <f t="shared" ref="T67:T90" si="49">IF(R67-K67&lt;0,R67-K67,"")</f>
        <v/>
      </c>
      <c r="U67" s="32"/>
    </row>
    <row r="68" spans="1:21" ht="78.75" x14ac:dyDescent="0.2">
      <c r="A68" s="69" t="s">
        <v>92</v>
      </c>
      <c r="B68" s="60" t="s">
        <v>25</v>
      </c>
      <c r="C68" s="61" t="s">
        <v>93</v>
      </c>
      <c r="D68" s="62">
        <v>76320</v>
      </c>
      <c r="E68" s="63">
        <f t="shared" si="44"/>
        <v>76320</v>
      </c>
      <c r="F68" s="63">
        <f t="shared" si="44"/>
        <v>76320</v>
      </c>
      <c r="G68" s="78">
        <f>F68+1144</f>
        <v>77464</v>
      </c>
      <c r="H68" s="63">
        <f t="shared" si="44"/>
        <v>77464</v>
      </c>
      <c r="I68" s="63">
        <f t="shared" si="44"/>
        <v>77464</v>
      </c>
      <c r="J68" s="63">
        <f t="shared" si="44"/>
        <v>77464</v>
      </c>
      <c r="K68" s="63">
        <f t="shared" si="44"/>
        <v>77464</v>
      </c>
      <c r="L68" s="64">
        <f>'[1]Бюдж роспись КБ'!K97/1000</f>
        <v>67400</v>
      </c>
      <c r="M68" s="65">
        <f t="shared" si="35"/>
        <v>87.008158628524214</v>
      </c>
      <c r="N68" s="66">
        <v>67400</v>
      </c>
      <c r="O68" s="65">
        <f>L68-N68</f>
        <v>0</v>
      </c>
      <c r="P68" s="65">
        <f t="shared" si="45"/>
        <v>10064</v>
      </c>
      <c r="Q68" s="65">
        <f t="shared" si="46"/>
        <v>10064</v>
      </c>
      <c r="R68" s="67">
        <v>67008</v>
      </c>
      <c r="S68" s="68" t="str">
        <f t="shared" si="48"/>
        <v/>
      </c>
      <c r="T68" s="68">
        <f t="shared" si="49"/>
        <v>-10456</v>
      </c>
      <c r="U68" s="96"/>
    </row>
    <row r="69" spans="1:21" ht="94.5" x14ac:dyDescent="0.2">
      <c r="A69" s="69" t="s">
        <v>94</v>
      </c>
      <c r="B69" s="60" t="s">
        <v>25</v>
      </c>
      <c r="C69" s="61" t="s">
        <v>95</v>
      </c>
      <c r="D69" s="62">
        <v>48615.3</v>
      </c>
      <c r="E69" s="63">
        <f t="shared" si="44"/>
        <v>48615.3</v>
      </c>
      <c r="F69" s="63">
        <f t="shared" si="44"/>
        <v>48615.3</v>
      </c>
      <c r="G69" s="78">
        <f>F69+17559.1</f>
        <v>66174.399999999994</v>
      </c>
      <c r="H69" s="63">
        <f t="shared" si="44"/>
        <v>66174.399999999994</v>
      </c>
      <c r="I69" s="63">
        <f t="shared" si="44"/>
        <v>66174.399999999994</v>
      </c>
      <c r="J69" s="63">
        <f t="shared" si="44"/>
        <v>66174.399999999994</v>
      </c>
      <c r="K69" s="63">
        <f t="shared" si="44"/>
        <v>66174.399999999994</v>
      </c>
      <c r="L69" s="64">
        <f>('[1]Бюдж роспись КБ'!K99+'[1]Бюдж роспись КБ'!K98)/1000</f>
        <v>25520</v>
      </c>
      <c r="M69" s="65">
        <f t="shared" si="35"/>
        <v>38.564762204115191</v>
      </c>
      <c r="N69" s="66">
        <v>25520</v>
      </c>
      <c r="O69" s="65">
        <f>L69-N69</f>
        <v>0</v>
      </c>
      <c r="P69" s="65">
        <f t="shared" si="45"/>
        <v>40654.399999999994</v>
      </c>
      <c r="Q69" s="65">
        <f t="shared" si="46"/>
        <v>40654.399999999994</v>
      </c>
      <c r="R69" s="67">
        <f t="shared" si="47"/>
        <v>66174.399999999994</v>
      </c>
      <c r="S69" s="68" t="str">
        <f t="shared" si="48"/>
        <v/>
      </c>
      <c r="T69" s="68" t="str">
        <f t="shared" si="49"/>
        <v/>
      </c>
      <c r="U69" s="32"/>
    </row>
    <row r="70" spans="1:21" ht="47.25" x14ac:dyDescent="0.2">
      <c r="A70" s="69" t="s">
        <v>96</v>
      </c>
      <c r="B70" s="60" t="s">
        <v>25</v>
      </c>
      <c r="C70" s="61" t="s">
        <v>97</v>
      </c>
      <c r="D70" s="62">
        <v>125351.2</v>
      </c>
      <c r="E70" s="63">
        <f t="shared" si="44"/>
        <v>125351.2</v>
      </c>
      <c r="F70" s="63">
        <f t="shared" si="44"/>
        <v>125351.2</v>
      </c>
      <c r="G70" s="78">
        <f>F70+35613.3</f>
        <v>160964.5</v>
      </c>
      <c r="H70" s="63">
        <f t="shared" si="44"/>
        <v>160964.5</v>
      </c>
      <c r="I70" s="63">
        <f t="shared" si="44"/>
        <v>160964.5</v>
      </c>
      <c r="J70" s="63">
        <f t="shared" si="44"/>
        <v>160964.5</v>
      </c>
      <c r="K70" s="63">
        <f t="shared" si="44"/>
        <v>160964.5</v>
      </c>
      <c r="L70" s="64">
        <f>'[1]Бюдж роспись КБ'!K101/1000</f>
        <v>56098.096399999995</v>
      </c>
      <c r="M70" s="65">
        <f t="shared" si="35"/>
        <v>34.851222723022772</v>
      </c>
      <c r="N70" s="66">
        <v>56098.096400000002</v>
      </c>
      <c r="O70" s="65">
        <f>L70-N70</f>
        <v>0</v>
      </c>
      <c r="P70" s="65">
        <f t="shared" si="45"/>
        <v>104866.40360000001</v>
      </c>
      <c r="Q70" s="65">
        <f t="shared" si="46"/>
        <v>104866.40360000001</v>
      </c>
      <c r="R70" s="67">
        <f t="shared" si="47"/>
        <v>160964.5</v>
      </c>
      <c r="S70" s="68" t="str">
        <f t="shared" si="48"/>
        <v/>
      </c>
      <c r="T70" s="68" t="str">
        <f t="shared" si="49"/>
        <v/>
      </c>
      <c r="U70" s="32"/>
    </row>
    <row r="71" spans="1:21" ht="31.5" x14ac:dyDescent="0.2">
      <c r="A71" s="69" t="s">
        <v>98</v>
      </c>
      <c r="B71" s="60" t="s">
        <v>25</v>
      </c>
      <c r="C71" s="61" t="s">
        <v>99</v>
      </c>
      <c r="D71" s="62"/>
      <c r="E71" s="63"/>
      <c r="F71" s="63"/>
      <c r="G71" s="78">
        <v>48013.3</v>
      </c>
      <c r="H71" s="63">
        <f t="shared" si="44"/>
        <v>48013.3</v>
      </c>
      <c r="I71" s="63">
        <f t="shared" si="44"/>
        <v>48013.3</v>
      </c>
      <c r="J71" s="63">
        <f t="shared" si="44"/>
        <v>48013.3</v>
      </c>
      <c r="K71" s="63">
        <f t="shared" si="44"/>
        <v>48013.3</v>
      </c>
      <c r="L71" s="64"/>
      <c r="M71" s="65"/>
      <c r="N71" s="66"/>
      <c r="O71" s="65"/>
      <c r="P71" s="65">
        <f t="shared" si="45"/>
        <v>48013.3</v>
      </c>
      <c r="Q71" s="65">
        <f t="shared" si="46"/>
        <v>48013.3</v>
      </c>
      <c r="R71" s="67">
        <f t="shared" si="47"/>
        <v>48013.3</v>
      </c>
      <c r="S71" s="68"/>
      <c r="T71" s="68"/>
      <c r="U71" s="32"/>
    </row>
    <row r="72" spans="1:21" ht="31.5" x14ac:dyDescent="0.2">
      <c r="A72" s="69" t="s">
        <v>100</v>
      </c>
      <c r="B72" s="60" t="s">
        <v>25</v>
      </c>
      <c r="C72" s="61" t="s">
        <v>101</v>
      </c>
      <c r="D72" s="62">
        <v>6000</v>
      </c>
      <c r="E72" s="63">
        <f t="shared" ref="E72:K87" si="50">D72</f>
        <v>6000</v>
      </c>
      <c r="F72" s="63">
        <f t="shared" si="50"/>
        <v>6000</v>
      </c>
      <c r="G72" s="63">
        <f t="shared" si="50"/>
        <v>6000</v>
      </c>
      <c r="H72" s="63">
        <f t="shared" si="50"/>
        <v>6000</v>
      </c>
      <c r="I72" s="63">
        <f t="shared" si="50"/>
        <v>6000</v>
      </c>
      <c r="J72" s="63">
        <f t="shared" si="50"/>
        <v>6000</v>
      </c>
      <c r="K72" s="63">
        <f t="shared" si="44"/>
        <v>6000</v>
      </c>
      <c r="L72" s="64">
        <f>'[1]Бюдж роспись КБ'!K102/1000</f>
        <v>0</v>
      </c>
      <c r="M72" s="65">
        <f t="shared" si="35"/>
        <v>0</v>
      </c>
      <c r="N72" s="66"/>
      <c r="O72" s="65">
        <f t="shared" ref="O72:O90" si="51">L72-N72</f>
        <v>0</v>
      </c>
      <c r="P72" s="65">
        <f t="shared" si="45"/>
        <v>6000</v>
      </c>
      <c r="Q72" s="65">
        <f t="shared" si="46"/>
        <v>6000</v>
      </c>
      <c r="R72" s="67">
        <f t="shared" si="47"/>
        <v>6000</v>
      </c>
      <c r="S72" s="68" t="str">
        <f t="shared" si="48"/>
        <v/>
      </c>
      <c r="T72" s="68" t="str">
        <f t="shared" si="49"/>
        <v/>
      </c>
      <c r="U72" s="32"/>
    </row>
    <row r="73" spans="1:21" ht="110.25" x14ac:dyDescent="0.2">
      <c r="A73" s="69" t="s">
        <v>102</v>
      </c>
      <c r="B73" s="60" t="s">
        <v>25</v>
      </c>
      <c r="C73" s="61" t="s">
        <v>103</v>
      </c>
      <c r="D73" s="62">
        <v>3525.4</v>
      </c>
      <c r="E73" s="63">
        <f t="shared" si="50"/>
        <v>3525.4</v>
      </c>
      <c r="F73" s="63">
        <f t="shared" si="50"/>
        <v>3525.4</v>
      </c>
      <c r="G73" s="63">
        <f t="shared" si="50"/>
        <v>3525.4</v>
      </c>
      <c r="H73" s="63">
        <f t="shared" si="50"/>
        <v>3525.4</v>
      </c>
      <c r="I73" s="63">
        <f t="shared" si="50"/>
        <v>3525.4</v>
      </c>
      <c r="J73" s="63">
        <f t="shared" si="50"/>
        <v>3525.4</v>
      </c>
      <c r="K73" s="63">
        <f t="shared" si="50"/>
        <v>3525.4</v>
      </c>
      <c r="L73" s="64">
        <f>('[1]Бюдж роспись КБ'!K103+'[1]Бюдж роспись КБ'!K104)/1000</f>
        <v>380.17698000000001</v>
      </c>
      <c r="M73" s="65">
        <f t="shared" si="35"/>
        <v>10.78393884381914</v>
      </c>
      <c r="N73" s="66">
        <v>380.17698000000001</v>
      </c>
      <c r="O73" s="65">
        <f t="shared" si="51"/>
        <v>0</v>
      </c>
      <c r="P73" s="65">
        <f t="shared" si="45"/>
        <v>3145.2230199999999</v>
      </c>
      <c r="Q73" s="65">
        <f t="shared" si="46"/>
        <v>3145.2230199999999</v>
      </c>
      <c r="R73" s="67">
        <v>652.65917000000002</v>
      </c>
      <c r="S73" s="68" t="str">
        <f t="shared" si="48"/>
        <v/>
      </c>
      <c r="T73" s="68">
        <f t="shared" si="49"/>
        <v>-2872.7408300000002</v>
      </c>
      <c r="U73" s="69" t="s">
        <v>104</v>
      </c>
    </row>
    <row r="74" spans="1:21" ht="47.25" x14ac:dyDescent="0.2">
      <c r="A74" s="69" t="s">
        <v>105</v>
      </c>
      <c r="B74" s="60" t="s">
        <v>25</v>
      </c>
      <c r="C74" s="61" t="s">
        <v>106</v>
      </c>
      <c r="D74" s="62">
        <v>552.6</v>
      </c>
      <c r="E74" s="63">
        <f t="shared" si="50"/>
        <v>552.6</v>
      </c>
      <c r="F74" s="63">
        <f t="shared" si="50"/>
        <v>552.6</v>
      </c>
      <c r="G74" s="63">
        <f t="shared" si="50"/>
        <v>552.6</v>
      </c>
      <c r="H74" s="63">
        <f t="shared" si="50"/>
        <v>552.6</v>
      </c>
      <c r="I74" s="63">
        <f t="shared" si="50"/>
        <v>552.6</v>
      </c>
      <c r="J74" s="63">
        <f t="shared" si="50"/>
        <v>552.6</v>
      </c>
      <c r="K74" s="63">
        <f t="shared" si="50"/>
        <v>552.6</v>
      </c>
      <c r="L74" s="64">
        <f>'[1]Бюдж роспись КБ'!K106/1000</f>
        <v>20.21086</v>
      </c>
      <c r="M74" s="65">
        <f>L74/J74*100</f>
        <v>3.6574122330799854</v>
      </c>
      <c r="N74" s="66">
        <f>20.26693-0.05607</f>
        <v>20.21086</v>
      </c>
      <c r="O74" s="65">
        <f t="shared" si="51"/>
        <v>0</v>
      </c>
      <c r="P74" s="65">
        <f t="shared" si="45"/>
        <v>532.38914</v>
      </c>
      <c r="Q74" s="65">
        <f t="shared" si="46"/>
        <v>532.38914</v>
      </c>
      <c r="R74" s="67">
        <f>K74-527.3</f>
        <v>25.300000000000068</v>
      </c>
      <c r="S74" s="68" t="str">
        <f t="shared" si="48"/>
        <v/>
      </c>
      <c r="T74" s="68">
        <f t="shared" si="49"/>
        <v>-527.29999999999995</v>
      </c>
      <c r="U74" s="69" t="s">
        <v>107</v>
      </c>
    </row>
    <row r="75" spans="1:21" ht="31.5" x14ac:dyDescent="0.2">
      <c r="A75" s="69" t="s">
        <v>108</v>
      </c>
      <c r="B75" s="60" t="s">
        <v>25</v>
      </c>
      <c r="C75" s="61" t="s">
        <v>109</v>
      </c>
      <c r="D75" s="62">
        <v>35000</v>
      </c>
      <c r="E75" s="63">
        <f t="shared" si="50"/>
        <v>35000</v>
      </c>
      <c r="F75" s="63">
        <f t="shared" si="50"/>
        <v>35000</v>
      </c>
      <c r="G75" s="63">
        <f t="shared" si="50"/>
        <v>35000</v>
      </c>
      <c r="H75" s="63">
        <f t="shared" si="50"/>
        <v>35000</v>
      </c>
      <c r="I75" s="63">
        <f t="shared" si="50"/>
        <v>35000</v>
      </c>
      <c r="J75" s="63">
        <f t="shared" si="50"/>
        <v>35000</v>
      </c>
      <c r="K75" s="63">
        <f t="shared" si="50"/>
        <v>35000</v>
      </c>
      <c r="L75" s="64">
        <f>'[1]Бюдж роспись КБ'!K100/1000</f>
        <v>0</v>
      </c>
      <c r="M75" s="65">
        <f>L75/J75*100</f>
        <v>0</v>
      </c>
      <c r="N75" s="66"/>
      <c r="O75" s="65">
        <f t="shared" si="51"/>
        <v>0</v>
      </c>
      <c r="P75" s="65">
        <f t="shared" si="45"/>
        <v>35000</v>
      </c>
      <c r="Q75" s="65">
        <f t="shared" si="46"/>
        <v>35000</v>
      </c>
      <c r="R75" s="67">
        <f t="shared" si="47"/>
        <v>35000</v>
      </c>
      <c r="S75" s="68" t="str">
        <f t="shared" si="48"/>
        <v/>
      </c>
      <c r="T75" s="68" t="str">
        <f t="shared" si="49"/>
        <v/>
      </c>
      <c r="U75" s="80"/>
    </row>
    <row r="76" spans="1:21" ht="63" x14ac:dyDescent="0.2">
      <c r="A76" s="71" t="s">
        <v>110</v>
      </c>
      <c r="B76" s="60"/>
      <c r="C76" s="61"/>
      <c r="D76" s="62"/>
      <c r="E76" s="63">
        <f t="shared" si="50"/>
        <v>0</v>
      </c>
      <c r="F76" s="63">
        <f t="shared" si="50"/>
        <v>0</v>
      </c>
      <c r="G76" s="63">
        <f t="shared" si="50"/>
        <v>0</v>
      </c>
      <c r="H76" s="63">
        <f t="shared" si="50"/>
        <v>0</v>
      </c>
      <c r="I76" s="63">
        <f t="shared" si="50"/>
        <v>0</v>
      </c>
      <c r="J76" s="63">
        <f t="shared" si="50"/>
        <v>0</v>
      </c>
      <c r="K76" s="63">
        <f t="shared" si="50"/>
        <v>0</v>
      </c>
      <c r="L76" s="64"/>
      <c r="M76" s="65"/>
      <c r="N76" s="66"/>
      <c r="O76" s="65">
        <f t="shared" si="51"/>
        <v>0</v>
      </c>
      <c r="P76" s="65">
        <f t="shared" si="45"/>
        <v>0</v>
      </c>
      <c r="Q76" s="65">
        <f t="shared" si="46"/>
        <v>0</v>
      </c>
      <c r="R76" s="67">
        <f t="shared" si="47"/>
        <v>0</v>
      </c>
      <c r="S76" s="68" t="str">
        <f t="shared" si="48"/>
        <v/>
      </c>
      <c r="T76" s="68" t="str">
        <f t="shared" si="49"/>
        <v/>
      </c>
      <c r="U76" s="32"/>
    </row>
    <row r="77" spans="1:21" x14ac:dyDescent="0.2">
      <c r="A77" s="50" t="s">
        <v>24</v>
      </c>
      <c r="B77" s="60" t="s">
        <v>25</v>
      </c>
      <c r="C77" s="60" t="s">
        <v>111</v>
      </c>
      <c r="D77" s="62">
        <v>22500</v>
      </c>
      <c r="E77" s="63">
        <f t="shared" si="50"/>
        <v>22500</v>
      </c>
      <c r="F77" s="63">
        <f t="shared" si="50"/>
        <v>22500</v>
      </c>
      <c r="G77" s="63">
        <f t="shared" si="50"/>
        <v>22500</v>
      </c>
      <c r="H77" s="63">
        <f t="shared" si="50"/>
        <v>22500</v>
      </c>
      <c r="I77" s="63">
        <f t="shared" si="50"/>
        <v>22500</v>
      </c>
      <c r="J77" s="63">
        <f t="shared" si="50"/>
        <v>22500</v>
      </c>
      <c r="K77" s="63">
        <f t="shared" si="50"/>
        <v>22500</v>
      </c>
      <c r="L77" s="64">
        <f>'[1]Бюдж роспись КБ'!K107/1000</f>
        <v>0</v>
      </c>
      <c r="M77" s="65">
        <f>L77/J77*100</f>
        <v>0</v>
      </c>
      <c r="N77" s="66"/>
      <c r="O77" s="65">
        <f t="shared" si="51"/>
        <v>0</v>
      </c>
      <c r="P77" s="65">
        <f t="shared" si="45"/>
        <v>22500</v>
      </c>
      <c r="Q77" s="65">
        <f t="shared" si="46"/>
        <v>22500</v>
      </c>
      <c r="R77" s="67">
        <f t="shared" si="47"/>
        <v>22500</v>
      </c>
      <c r="S77" s="68" t="str">
        <f t="shared" si="48"/>
        <v/>
      </c>
      <c r="T77" s="68" t="str">
        <f t="shared" si="49"/>
        <v/>
      </c>
      <c r="U77" s="97"/>
    </row>
    <row r="78" spans="1:21" x14ac:dyDescent="0.2">
      <c r="A78" s="50" t="s">
        <v>26</v>
      </c>
      <c r="B78" s="60" t="s">
        <v>27</v>
      </c>
      <c r="C78" s="60" t="s">
        <v>111</v>
      </c>
      <c r="D78" s="62">
        <v>67500</v>
      </c>
      <c r="E78" s="63">
        <f t="shared" si="50"/>
        <v>67500</v>
      </c>
      <c r="F78" s="63">
        <f t="shared" si="50"/>
        <v>67500</v>
      </c>
      <c r="G78" s="63">
        <f t="shared" si="50"/>
        <v>67500</v>
      </c>
      <c r="H78" s="63">
        <f t="shared" si="50"/>
        <v>67500</v>
      </c>
      <c r="I78" s="63">
        <f t="shared" si="50"/>
        <v>67500</v>
      </c>
      <c r="J78" s="63">
        <f t="shared" si="50"/>
        <v>67500</v>
      </c>
      <c r="K78" s="63">
        <f t="shared" si="50"/>
        <v>67500</v>
      </c>
      <c r="L78" s="64">
        <f>'[1]Бюдж роспись КБ'!K108/1000</f>
        <v>0</v>
      </c>
      <c r="M78" s="65">
        <f>L78/J78*100</f>
        <v>0</v>
      </c>
      <c r="N78" s="66"/>
      <c r="O78" s="65">
        <f t="shared" si="51"/>
        <v>0</v>
      </c>
      <c r="P78" s="65">
        <f t="shared" si="45"/>
        <v>67500</v>
      </c>
      <c r="Q78" s="65">
        <f t="shared" si="46"/>
        <v>67500</v>
      </c>
      <c r="R78" s="67">
        <f t="shared" si="47"/>
        <v>67500</v>
      </c>
      <c r="S78" s="68" t="str">
        <f t="shared" si="48"/>
        <v/>
      </c>
      <c r="T78" s="68" t="str">
        <f t="shared" si="49"/>
        <v/>
      </c>
      <c r="U78" s="97"/>
    </row>
    <row r="79" spans="1:21" ht="47.25" customHeight="1" x14ac:dyDescent="0.2">
      <c r="A79" s="71" t="s">
        <v>112</v>
      </c>
      <c r="B79" s="60"/>
      <c r="C79" s="61"/>
      <c r="D79" s="62"/>
      <c r="E79" s="63">
        <f t="shared" si="50"/>
        <v>0</v>
      </c>
      <c r="F79" s="63">
        <f t="shared" si="50"/>
        <v>0</v>
      </c>
      <c r="G79" s="63">
        <f t="shared" si="50"/>
        <v>0</v>
      </c>
      <c r="H79" s="63">
        <f t="shared" si="50"/>
        <v>0</v>
      </c>
      <c r="I79" s="63">
        <f t="shared" si="50"/>
        <v>0</v>
      </c>
      <c r="J79" s="63">
        <f t="shared" si="50"/>
        <v>0</v>
      </c>
      <c r="K79" s="63">
        <f t="shared" si="50"/>
        <v>0</v>
      </c>
      <c r="L79" s="64"/>
      <c r="M79" s="65"/>
      <c r="N79" s="66"/>
      <c r="O79" s="65">
        <f t="shared" si="51"/>
        <v>0</v>
      </c>
      <c r="P79" s="65">
        <f t="shared" si="45"/>
        <v>0</v>
      </c>
      <c r="Q79" s="65">
        <f t="shared" si="46"/>
        <v>0</v>
      </c>
      <c r="R79" s="67">
        <f t="shared" si="47"/>
        <v>0</v>
      </c>
      <c r="S79" s="68" t="str">
        <f t="shared" si="48"/>
        <v/>
      </c>
      <c r="T79" s="68" t="str">
        <f t="shared" si="49"/>
        <v/>
      </c>
      <c r="U79" s="97"/>
    </row>
    <row r="80" spans="1:21" ht="15.75" customHeight="1" x14ac:dyDescent="0.2">
      <c r="A80" s="50" t="s">
        <v>24</v>
      </c>
      <c r="B80" s="60" t="s">
        <v>25</v>
      </c>
      <c r="C80" s="60" t="s">
        <v>113</v>
      </c>
      <c r="D80" s="62">
        <v>12500</v>
      </c>
      <c r="E80" s="63">
        <f t="shared" si="50"/>
        <v>12500</v>
      </c>
      <c r="F80" s="63">
        <f t="shared" si="50"/>
        <v>12500</v>
      </c>
      <c r="G80" s="63">
        <f t="shared" si="50"/>
        <v>12500</v>
      </c>
      <c r="H80" s="63">
        <f t="shared" si="50"/>
        <v>12500</v>
      </c>
      <c r="I80" s="63">
        <f t="shared" si="50"/>
        <v>12500</v>
      </c>
      <c r="J80" s="63">
        <f t="shared" si="50"/>
        <v>12500</v>
      </c>
      <c r="K80" s="63">
        <f t="shared" si="50"/>
        <v>12500</v>
      </c>
      <c r="L80" s="64">
        <f>'[1]Бюдж роспись КБ'!K109/1000</f>
        <v>0</v>
      </c>
      <c r="M80" s="65">
        <f>L80/J80*100</f>
        <v>0</v>
      </c>
      <c r="N80" s="66"/>
      <c r="O80" s="65">
        <f t="shared" si="51"/>
        <v>0</v>
      </c>
      <c r="P80" s="65">
        <f t="shared" si="45"/>
        <v>12500</v>
      </c>
      <c r="Q80" s="65">
        <f t="shared" si="46"/>
        <v>12500</v>
      </c>
      <c r="R80" s="67">
        <f t="shared" si="47"/>
        <v>12500</v>
      </c>
      <c r="S80" s="68" t="str">
        <f t="shared" si="48"/>
        <v/>
      </c>
      <c r="T80" s="68" t="str">
        <f t="shared" si="49"/>
        <v/>
      </c>
      <c r="U80" s="97"/>
    </row>
    <row r="81" spans="1:21" ht="15.75" customHeight="1" x14ac:dyDescent="0.2">
      <c r="A81" s="50" t="s">
        <v>26</v>
      </c>
      <c r="B81" s="60" t="s">
        <v>27</v>
      </c>
      <c r="C81" s="60" t="s">
        <v>113</v>
      </c>
      <c r="D81" s="62">
        <v>37500</v>
      </c>
      <c r="E81" s="63">
        <f t="shared" si="50"/>
        <v>37500</v>
      </c>
      <c r="F81" s="63">
        <f t="shared" si="50"/>
        <v>37500</v>
      </c>
      <c r="G81" s="63">
        <f t="shared" si="50"/>
        <v>37500</v>
      </c>
      <c r="H81" s="63">
        <f t="shared" si="50"/>
        <v>37500</v>
      </c>
      <c r="I81" s="63">
        <f t="shared" si="50"/>
        <v>37500</v>
      </c>
      <c r="J81" s="63">
        <f t="shared" si="50"/>
        <v>37500</v>
      </c>
      <c r="K81" s="63">
        <f t="shared" si="50"/>
        <v>37500</v>
      </c>
      <c r="L81" s="64">
        <f>'[1]Бюдж роспись КБ'!K110/1000</f>
        <v>0</v>
      </c>
      <c r="M81" s="65">
        <f>L81/J81*100</f>
        <v>0</v>
      </c>
      <c r="N81" s="66"/>
      <c r="O81" s="65">
        <f t="shared" si="51"/>
        <v>0</v>
      </c>
      <c r="P81" s="65">
        <f t="shared" si="45"/>
        <v>37500</v>
      </c>
      <c r="Q81" s="65">
        <f t="shared" si="46"/>
        <v>37500</v>
      </c>
      <c r="R81" s="67">
        <f t="shared" si="47"/>
        <v>37500</v>
      </c>
      <c r="S81" s="68" t="str">
        <f t="shared" si="48"/>
        <v/>
      </c>
      <c r="T81" s="68" t="str">
        <f t="shared" si="49"/>
        <v/>
      </c>
      <c r="U81" s="97"/>
    </row>
    <row r="82" spans="1:21" ht="94.5" x14ac:dyDescent="0.2">
      <c r="A82" s="69" t="s">
        <v>114</v>
      </c>
      <c r="B82" s="60"/>
      <c r="C82" s="61"/>
      <c r="D82" s="62"/>
      <c r="E82" s="63">
        <f t="shared" si="50"/>
        <v>0</v>
      </c>
      <c r="F82" s="63">
        <f t="shared" si="50"/>
        <v>0</v>
      </c>
      <c r="G82" s="63">
        <f t="shared" si="50"/>
        <v>0</v>
      </c>
      <c r="H82" s="63">
        <f t="shared" si="50"/>
        <v>0</v>
      </c>
      <c r="I82" s="63">
        <f t="shared" si="50"/>
        <v>0</v>
      </c>
      <c r="J82" s="63">
        <f t="shared" si="50"/>
        <v>0</v>
      </c>
      <c r="K82" s="63">
        <f t="shared" si="50"/>
        <v>0</v>
      </c>
      <c r="L82" s="64"/>
      <c r="M82" s="65"/>
      <c r="N82" s="66"/>
      <c r="O82" s="65">
        <f t="shared" si="51"/>
        <v>0</v>
      </c>
      <c r="P82" s="65"/>
      <c r="Q82" s="65">
        <f t="shared" si="46"/>
        <v>0</v>
      </c>
      <c r="R82" s="67">
        <f t="shared" si="47"/>
        <v>0</v>
      </c>
      <c r="S82" s="68" t="str">
        <f t="shared" si="48"/>
        <v/>
      </c>
      <c r="T82" s="68" t="str">
        <f t="shared" si="49"/>
        <v/>
      </c>
      <c r="U82" s="97"/>
    </row>
    <row r="83" spans="1:21" ht="15.75" customHeight="1" x14ac:dyDescent="0.2">
      <c r="A83" s="50" t="s">
        <v>24</v>
      </c>
      <c r="B83" s="60" t="s">
        <v>25</v>
      </c>
      <c r="C83" s="60" t="s">
        <v>115</v>
      </c>
      <c r="D83" s="62">
        <v>27931.3</v>
      </c>
      <c r="E83" s="63">
        <f t="shared" si="50"/>
        <v>27931.3</v>
      </c>
      <c r="F83" s="95">
        <f>E83-5497.5</f>
        <v>22433.8</v>
      </c>
      <c r="G83" s="63">
        <f t="shared" si="50"/>
        <v>22433.8</v>
      </c>
      <c r="H83" s="63">
        <f t="shared" si="50"/>
        <v>22433.8</v>
      </c>
      <c r="I83" s="63">
        <f t="shared" si="50"/>
        <v>22433.8</v>
      </c>
      <c r="J83" s="63">
        <f t="shared" si="50"/>
        <v>22433.8</v>
      </c>
      <c r="K83" s="63">
        <f t="shared" si="50"/>
        <v>22433.8</v>
      </c>
      <c r="L83" s="64">
        <f>'[1]Бюдж роспись КБ'!K111/1000</f>
        <v>0</v>
      </c>
      <c r="M83" s="65">
        <f>L83/J83*100</f>
        <v>0</v>
      </c>
      <c r="N83" s="66"/>
      <c r="O83" s="65">
        <f t="shared" si="51"/>
        <v>0</v>
      </c>
      <c r="P83" s="65">
        <f t="shared" ref="P83:P90" si="52">I83-L83</f>
        <v>22433.8</v>
      </c>
      <c r="Q83" s="65">
        <f t="shared" si="46"/>
        <v>22433.8</v>
      </c>
      <c r="R83" s="67">
        <f t="shared" si="47"/>
        <v>22433.8</v>
      </c>
      <c r="S83" s="68" t="str">
        <f t="shared" si="48"/>
        <v/>
      </c>
      <c r="T83" s="68" t="str">
        <f t="shared" si="49"/>
        <v/>
      </c>
      <c r="U83" s="97"/>
    </row>
    <row r="84" spans="1:21" x14ac:dyDescent="0.2">
      <c r="A84" s="50" t="s">
        <v>26</v>
      </c>
      <c r="B84" s="60" t="s">
        <v>27</v>
      </c>
      <c r="C84" s="60" t="s">
        <v>115</v>
      </c>
      <c r="D84" s="62">
        <v>32068.7</v>
      </c>
      <c r="E84" s="63">
        <f t="shared" si="50"/>
        <v>32068.7</v>
      </c>
      <c r="F84" s="95">
        <f>E84+5497.5</f>
        <v>37566.199999999997</v>
      </c>
      <c r="G84" s="63">
        <f t="shared" si="50"/>
        <v>37566.199999999997</v>
      </c>
      <c r="H84" s="63">
        <f t="shared" si="50"/>
        <v>37566.199999999997</v>
      </c>
      <c r="I84" s="63">
        <f t="shared" si="50"/>
        <v>37566.199999999997</v>
      </c>
      <c r="J84" s="63">
        <f t="shared" si="50"/>
        <v>37566.199999999997</v>
      </c>
      <c r="K84" s="63">
        <f t="shared" si="50"/>
        <v>37566.199999999997</v>
      </c>
      <c r="L84" s="64">
        <f>'[1]Бюдж роспись КБ'!K112/1000</f>
        <v>0</v>
      </c>
      <c r="M84" s="65">
        <f>L84/J84*100</f>
        <v>0</v>
      </c>
      <c r="N84" s="66"/>
      <c r="O84" s="65">
        <f t="shared" si="51"/>
        <v>0</v>
      </c>
      <c r="P84" s="98">
        <f t="shared" si="52"/>
        <v>37566.199999999997</v>
      </c>
      <c r="Q84" s="65">
        <f t="shared" si="46"/>
        <v>37566.199999999997</v>
      </c>
      <c r="R84" s="67">
        <f t="shared" si="47"/>
        <v>37566.199999999997</v>
      </c>
      <c r="S84" s="68" t="str">
        <f t="shared" si="48"/>
        <v/>
      </c>
      <c r="T84" s="68" t="str">
        <f t="shared" si="49"/>
        <v/>
      </c>
      <c r="U84" s="97"/>
    </row>
    <row r="85" spans="1:21" ht="47.25" x14ac:dyDescent="0.2">
      <c r="A85" s="71" t="s">
        <v>116</v>
      </c>
      <c r="B85" s="60"/>
      <c r="D85" s="62"/>
      <c r="E85" s="63">
        <f t="shared" si="50"/>
        <v>0</v>
      </c>
      <c r="F85" s="63">
        <f t="shared" si="50"/>
        <v>0</v>
      </c>
      <c r="G85" s="63">
        <f t="shared" si="50"/>
        <v>0</v>
      </c>
      <c r="H85" s="63">
        <f t="shared" si="50"/>
        <v>0</v>
      </c>
      <c r="I85" s="63">
        <f t="shared" si="50"/>
        <v>0</v>
      </c>
      <c r="J85" s="63">
        <f t="shared" si="50"/>
        <v>0</v>
      </c>
      <c r="K85" s="63">
        <f t="shared" si="50"/>
        <v>0</v>
      </c>
      <c r="L85" s="64"/>
      <c r="M85" s="65"/>
      <c r="N85" s="66"/>
      <c r="O85" s="65">
        <f t="shared" si="51"/>
        <v>0</v>
      </c>
      <c r="P85" s="65">
        <f t="shared" si="52"/>
        <v>0</v>
      </c>
      <c r="Q85" s="65">
        <f t="shared" si="46"/>
        <v>0</v>
      </c>
      <c r="R85" s="67">
        <f t="shared" si="47"/>
        <v>0</v>
      </c>
      <c r="S85" s="68" t="str">
        <f t="shared" si="48"/>
        <v/>
      </c>
      <c r="T85" s="68" t="str">
        <f t="shared" si="49"/>
        <v/>
      </c>
      <c r="U85" s="97"/>
    </row>
    <row r="86" spans="1:21" x14ac:dyDescent="0.2">
      <c r="A86" s="50" t="s">
        <v>24</v>
      </c>
      <c r="B86" s="60" t="s">
        <v>25</v>
      </c>
      <c r="C86" s="61" t="s">
        <v>117</v>
      </c>
      <c r="D86" s="62">
        <v>8456.9</v>
      </c>
      <c r="E86" s="63">
        <f t="shared" si="50"/>
        <v>8456.9</v>
      </c>
      <c r="F86" s="95">
        <f>E86-1664.5</f>
        <v>6792.4</v>
      </c>
      <c r="G86" s="63">
        <f t="shared" si="50"/>
        <v>6792.4</v>
      </c>
      <c r="H86" s="63">
        <f t="shared" si="50"/>
        <v>6792.4</v>
      </c>
      <c r="I86" s="63">
        <f t="shared" si="50"/>
        <v>6792.4</v>
      </c>
      <c r="J86" s="63">
        <f t="shared" si="50"/>
        <v>6792.4</v>
      </c>
      <c r="K86" s="63">
        <f t="shared" si="50"/>
        <v>6792.4</v>
      </c>
      <c r="L86" s="64">
        <f>'[1]Бюдж роспись КБ'!K113/1000</f>
        <v>5015.7906800000001</v>
      </c>
      <c r="M86" s="65">
        <f>L86/J86*100</f>
        <v>73.844159354572753</v>
      </c>
      <c r="N86" s="66">
        <v>5015.7906800000001</v>
      </c>
      <c r="O86" s="65">
        <f t="shared" si="51"/>
        <v>0</v>
      </c>
      <c r="P86" s="65">
        <f t="shared" si="52"/>
        <v>1776.6093199999996</v>
      </c>
      <c r="Q86" s="65">
        <f t="shared" si="46"/>
        <v>1776.6093199999996</v>
      </c>
      <c r="R86" s="67">
        <f t="shared" si="47"/>
        <v>6792.4</v>
      </c>
      <c r="S86" s="68" t="str">
        <f t="shared" si="48"/>
        <v/>
      </c>
      <c r="T86" s="68" t="str">
        <f t="shared" si="49"/>
        <v/>
      </c>
      <c r="U86" s="97"/>
    </row>
    <row r="87" spans="1:21" x14ac:dyDescent="0.2">
      <c r="A87" s="50" t="s">
        <v>26</v>
      </c>
      <c r="B87" s="60" t="s">
        <v>27</v>
      </c>
      <c r="C87" s="61" t="s">
        <v>117</v>
      </c>
      <c r="D87" s="62">
        <v>9709.5</v>
      </c>
      <c r="E87" s="63">
        <f t="shared" si="50"/>
        <v>9709.5</v>
      </c>
      <c r="F87" s="95">
        <f>E87+1664.5</f>
        <v>11374</v>
      </c>
      <c r="G87" s="63">
        <f t="shared" si="50"/>
        <v>11374</v>
      </c>
      <c r="H87" s="63">
        <f t="shared" si="50"/>
        <v>11374</v>
      </c>
      <c r="I87" s="63">
        <f t="shared" si="50"/>
        <v>11374</v>
      </c>
      <c r="J87" s="63">
        <f t="shared" si="50"/>
        <v>11374</v>
      </c>
      <c r="K87" s="63">
        <f t="shared" si="50"/>
        <v>11374</v>
      </c>
      <c r="L87" s="64">
        <f>'[1]Бюдж роспись КБ'!K114/1000</f>
        <v>8399.1007899999986</v>
      </c>
      <c r="M87" s="65">
        <f>L87/J87*100</f>
        <v>73.844740548619654</v>
      </c>
      <c r="N87" s="66">
        <v>8399.1007900000004</v>
      </c>
      <c r="O87" s="65">
        <f t="shared" si="51"/>
        <v>0</v>
      </c>
      <c r="P87" s="65">
        <f t="shared" si="52"/>
        <v>2974.8992100000014</v>
      </c>
      <c r="Q87" s="65">
        <f t="shared" si="46"/>
        <v>2974.8992100000014</v>
      </c>
      <c r="R87" s="67">
        <f t="shared" si="47"/>
        <v>11374</v>
      </c>
      <c r="S87" s="68" t="str">
        <f t="shared" si="48"/>
        <v/>
      </c>
      <c r="T87" s="68" t="str">
        <f t="shared" si="49"/>
        <v/>
      </c>
      <c r="U87" s="97"/>
    </row>
    <row r="88" spans="1:21" ht="47.25" x14ac:dyDescent="0.2">
      <c r="A88" s="71" t="s">
        <v>118</v>
      </c>
      <c r="B88" s="60"/>
      <c r="C88" s="61"/>
      <c r="D88" s="62"/>
      <c r="E88" s="63">
        <f t="shared" ref="E88:K90" si="53">D88</f>
        <v>0</v>
      </c>
      <c r="F88" s="63">
        <f t="shared" si="53"/>
        <v>0</v>
      </c>
      <c r="G88" s="63">
        <f t="shared" si="53"/>
        <v>0</v>
      </c>
      <c r="H88" s="63">
        <f t="shared" si="53"/>
        <v>0</v>
      </c>
      <c r="I88" s="63">
        <f t="shared" si="53"/>
        <v>0</v>
      </c>
      <c r="J88" s="63">
        <f t="shared" si="53"/>
        <v>0</v>
      </c>
      <c r="K88" s="63">
        <f t="shared" si="53"/>
        <v>0</v>
      </c>
      <c r="L88" s="64"/>
      <c r="M88" s="65"/>
      <c r="N88" s="66"/>
      <c r="O88" s="65">
        <f t="shared" si="51"/>
        <v>0</v>
      </c>
      <c r="P88" s="65">
        <f t="shared" si="52"/>
        <v>0</v>
      </c>
      <c r="Q88" s="65">
        <f t="shared" si="46"/>
        <v>0</v>
      </c>
      <c r="R88" s="67">
        <f t="shared" si="47"/>
        <v>0</v>
      </c>
      <c r="S88" s="68" t="str">
        <f t="shared" si="48"/>
        <v/>
      </c>
      <c r="T88" s="68" t="str">
        <f t="shared" si="49"/>
        <v/>
      </c>
      <c r="U88" s="32"/>
    </row>
    <row r="89" spans="1:21" x14ac:dyDescent="0.2">
      <c r="A89" s="50" t="s">
        <v>24</v>
      </c>
      <c r="B89" s="60" t="s">
        <v>25</v>
      </c>
      <c r="C89" s="61" t="s">
        <v>119</v>
      </c>
      <c r="D89" s="62">
        <v>6238</v>
      </c>
      <c r="E89" s="63">
        <f t="shared" si="53"/>
        <v>6238</v>
      </c>
      <c r="F89" s="95">
        <f>E89-6238</f>
        <v>0</v>
      </c>
      <c r="G89" s="63">
        <f t="shared" si="53"/>
        <v>0</v>
      </c>
      <c r="H89" s="63">
        <f t="shared" si="53"/>
        <v>0</v>
      </c>
      <c r="I89" s="63">
        <f t="shared" si="53"/>
        <v>0</v>
      </c>
      <c r="J89" s="63">
        <f t="shared" si="53"/>
        <v>0</v>
      </c>
      <c r="K89" s="63">
        <f t="shared" si="53"/>
        <v>0</v>
      </c>
      <c r="L89" s="64">
        <f>'[1]Бюдж роспись КБ'!K115/1000</f>
        <v>0</v>
      </c>
      <c r="M89" s="65"/>
      <c r="N89" s="66"/>
      <c r="O89" s="65">
        <f t="shared" si="51"/>
        <v>0</v>
      </c>
      <c r="P89" s="65">
        <f t="shared" si="52"/>
        <v>0</v>
      </c>
      <c r="Q89" s="65">
        <f t="shared" si="46"/>
        <v>0</v>
      </c>
      <c r="R89" s="67">
        <f t="shared" si="47"/>
        <v>0</v>
      </c>
      <c r="S89" s="68" t="str">
        <f t="shared" si="48"/>
        <v/>
      </c>
      <c r="T89" s="68" t="str">
        <f t="shared" si="49"/>
        <v/>
      </c>
      <c r="U89" s="32"/>
    </row>
    <row r="90" spans="1:21" x14ac:dyDescent="0.2">
      <c r="A90" s="50" t="s">
        <v>26</v>
      </c>
      <c r="B90" s="60" t="s">
        <v>27</v>
      </c>
      <c r="C90" s="61" t="s">
        <v>119</v>
      </c>
      <c r="D90" s="62">
        <v>7162</v>
      </c>
      <c r="E90" s="63">
        <f t="shared" si="53"/>
        <v>7162</v>
      </c>
      <c r="F90" s="95">
        <f>E90-7162</f>
        <v>0</v>
      </c>
      <c r="G90" s="63">
        <f t="shared" si="53"/>
        <v>0</v>
      </c>
      <c r="H90" s="63">
        <f t="shared" si="53"/>
        <v>0</v>
      </c>
      <c r="I90" s="63">
        <f t="shared" si="53"/>
        <v>0</v>
      </c>
      <c r="J90" s="63">
        <f t="shared" si="53"/>
        <v>0</v>
      </c>
      <c r="K90" s="63">
        <f t="shared" si="53"/>
        <v>0</v>
      </c>
      <c r="L90" s="64">
        <f>'[1]Бюдж роспись КБ'!K116/1000</f>
        <v>0</v>
      </c>
      <c r="M90" s="65"/>
      <c r="N90" s="66"/>
      <c r="O90" s="65">
        <f t="shared" si="51"/>
        <v>0</v>
      </c>
      <c r="P90" s="98">
        <f t="shared" si="52"/>
        <v>0</v>
      </c>
      <c r="Q90" s="65">
        <f t="shared" si="46"/>
        <v>0</v>
      </c>
      <c r="R90" s="67">
        <f t="shared" si="47"/>
        <v>0</v>
      </c>
      <c r="S90" s="68" t="str">
        <f t="shared" si="48"/>
        <v/>
      </c>
      <c r="T90" s="68" t="str">
        <f t="shared" si="49"/>
        <v/>
      </c>
      <c r="U90" s="32"/>
    </row>
    <row r="91" spans="1:21" s="55" customFormat="1" ht="31.5" x14ac:dyDescent="0.2">
      <c r="A91" s="51" t="s">
        <v>120</v>
      </c>
      <c r="B91" s="56" t="s">
        <v>25</v>
      </c>
      <c r="C91" s="99">
        <f>SUM(C93:C94)</f>
        <v>0</v>
      </c>
      <c r="D91" s="49">
        <f>D92</f>
        <v>89126.9</v>
      </c>
      <c r="E91" s="49">
        <f t="shared" ref="E91:O91" si="54">E92</f>
        <v>89126.9</v>
      </c>
      <c r="F91" s="49">
        <f t="shared" si="54"/>
        <v>89126.9</v>
      </c>
      <c r="G91" s="49">
        <f t="shared" si="54"/>
        <v>89126.9</v>
      </c>
      <c r="H91" s="49">
        <f t="shared" si="54"/>
        <v>89126.9</v>
      </c>
      <c r="I91" s="49">
        <f t="shared" si="54"/>
        <v>89126.9</v>
      </c>
      <c r="J91" s="49">
        <f t="shared" si="54"/>
        <v>89126.9</v>
      </c>
      <c r="K91" s="49">
        <f t="shared" si="54"/>
        <v>89126.9</v>
      </c>
      <c r="L91" s="90">
        <f t="shared" si="54"/>
        <v>16753.900000000001</v>
      </c>
      <c r="M91" s="49">
        <f t="shared" si="54"/>
        <v>18.797804029984217</v>
      </c>
      <c r="N91" s="92">
        <f t="shared" si="54"/>
        <v>16753.900000000001</v>
      </c>
      <c r="O91" s="49">
        <f t="shared" si="54"/>
        <v>0</v>
      </c>
      <c r="P91" s="49">
        <f>P92</f>
        <v>72373</v>
      </c>
      <c r="Q91" s="49">
        <f t="shared" ref="Q91:T91" si="55">Q92</f>
        <v>72373</v>
      </c>
      <c r="R91" s="49">
        <f t="shared" si="55"/>
        <v>89126.9</v>
      </c>
      <c r="S91" s="49">
        <f t="shared" si="55"/>
        <v>0</v>
      </c>
      <c r="T91" s="49">
        <f t="shared" si="55"/>
        <v>0</v>
      </c>
      <c r="U91" s="100"/>
    </row>
    <row r="92" spans="1:21" s="55" customFormat="1" x14ac:dyDescent="0.2">
      <c r="A92" s="50" t="s">
        <v>24</v>
      </c>
      <c r="B92" s="56" t="s">
        <v>25</v>
      </c>
      <c r="C92" s="101"/>
      <c r="D92" s="42">
        <f t="shared" ref="D92:L92" si="56">SUMIF($B$93:$B$94,"=01",D93:D94)</f>
        <v>89126.9</v>
      </c>
      <c r="E92" s="42">
        <f t="shared" si="56"/>
        <v>89126.9</v>
      </c>
      <c r="F92" s="42">
        <f t="shared" si="56"/>
        <v>89126.9</v>
      </c>
      <c r="G92" s="42">
        <f t="shared" si="56"/>
        <v>89126.9</v>
      </c>
      <c r="H92" s="42">
        <f t="shared" si="56"/>
        <v>89126.9</v>
      </c>
      <c r="I92" s="42">
        <f t="shared" si="56"/>
        <v>89126.9</v>
      </c>
      <c r="J92" s="42">
        <f t="shared" si="56"/>
        <v>89126.9</v>
      </c>
      <c r="K92" s="42">
        <f t="shared" si="56"/>
        <v>89126.9</v>
      </c>
      <c r="L92" s="93">
        <f t="shared" si="56"/>
        <v>16753.900000000001</v>
      </c>
      <c r="M92" s="42">
        <f t="shared" ref="M92:M102" si="57">L92/J92*100</f>
        <v>18.797804029984217</v>
      </c>
      <c r="N92" s="94">
        <f>SUMIF($B$93:$B$94,"=01",N93:N94)</f>
        <v>16753.900000000001</v>
      </c>
      <c r="O92" s="42">
        <f>SUMIF($B$93:$B$94,"=01",O93:O94)</f>
        <v>0</v>
      </c>
      <c r="P92" s="42">
        <f t="shared" ref="P92:T92" si="58">SUMIF($B$93:$B$94,"=01",P93:P94)</f>
        <v>72373</v>
      </c>
      <c r="Q92" s="42">
        <f t="shared" si="58"/>
        <v>72373</v>
      </c>
      <c r="R92" s="42">
        <f t="shared" si="58"/>
        <v>89126.9</v>
      </c>
      <c r="S92" s="42">
        <f t="shared" si="58"/>
        <v>0</v>
      </c>
      <c r="T92" s="42">
        <f t="shared" si="58"/>
        <v>0</v>
      </c>
      <c r="U92" s="100"/>
    </row>
    <row r="93" spans="1:21" ht="77.25" x14ac:dyDescent="0.2">
      <c r="A93" s="71" t="s">
        <v>121</v>
      </c>
      <c r="B93" s="60" t="s">
        <v>25</v>
      </c>
      <c r="C93" s="102" t="s">
        <v>122</v>
      </c>
      <c r="D93" s="62">
        <v>66000</v>
      </c>
      <c r="E93" s="63">
        <f t="shared" ref="E93:K94" si="59">D93</f>
        <v>66000</v>
      </c>
      <c r="F93" s="63">
        <f t="shared" si="59"/>
        <v>66000</v>
      </c>
      <c r="G93" s="63">
        <f t="shared" si="59"/>
        <v>66000</v>
      </c>
      <c r="H93" s="63">
        <f t="shared" si="59"/>
        <v>66000</v>
      </c>
      <c r="I93" s="63">
        <f t="shared" si="59"/>
        <v>66000</v>
      </c>
      <c r="J93" s="63">
        <f t="shared" si="59"/>
        <v>66000</v>
      </c>
      <c r="K93" s="63">
        <f t="shared" si="59"/>
        <v>66000</v>
      </c>
      <c r="L93" s="64">
        <f>N93</f>
        <v>15168.7</v>
      </c>
      <c r="M93" s="65">
        <f t="shared" si="57"/>
        <v>22.982878787878789</v>
      </c>
      <c r="N93" s="66">
        <v>15168.7</v>
      </c>
      <c r="O93" s="65">
        <f>L93-N93</f>
        <v>0</v>
      </c>
      <c r="P93" s="65">
        <f>I93-L93</f>
        <v>50831.3</v>
      </c>
      <c r="Q93" s="65">
        <f>K93-L93</f>
        <v>50831.3</v>
      </c>
      <c r="R93" s="67">
        <f t="shared" ref="R93:R94" si="60">K93</f>
        <v>66000</v>
      </c>
      <c r="S93" s="68"/>
      <c r="T93" s="68" t="str">
        <f>IF(R93-K93&lt;0,R93-K93,"")</f>
        <v/>
      </c>
      <c r="U93" s="32"/>
    </row>
    <row r="94" spans="1:21" ht="94.5" x14ac:dyDescent="0.2">
      <c r="A94" s="103" t="s">
        <v>123</v>
      </c>
      <c r="B94" s="60" t="s">
        <v>25</v>
      </c>
      <c r="C94" s="102" t="s">
        <v>124</v>
      </c>
      <c r="D94" s="62">
        <v>23126.9</v>
      </c>
      <c r="E94" s="63">
        <f t="shared" si="59"/>
        <v>23126.9</v>
      </c>
      <c r="F94" s="63">
        <f t="shared" si="59"/>
        <v>23126.9</v>
      </c>
      <c r="G94" s="63">
        <f t="shared" si="59"/>
        <v>23126.9</v>
      </c>
      <c r="H94" s="63">
        <f t="shared" si="59"/>
        <v>23126.9</v>
      </c>
      <c r="I94" s="63">
        <f t="shared" si="59"/>
        <v>23126.9</v>
      </c>
      <c r="J94" s="63">
        <f t="shared" si="59"/>
        <v>23126.9</v>
      </c>
      <c r="K94" s="63">
        <f t="shared" si="59"/>
        <v>23126.9</v>
      </c>
      <c r="L94" s="64">
        <f>N94</f>
        <v>1585.2</v>
      </c>
      <c r="M94" s="65">
        <f t="shared" si="57"/>
        <v>6.8543557502302512</v>
      </c>
      <c r="N94" s="66">
        <v>1585.2</v>
      </c>
      <c r="O94" s="65">
        <f>L94-N94</f>
        <v>0</v>
      </c>
      <c r="P94" s="65">
        <f>I94-L94</f>
        <v>21541.7</v>
      </c>
      <c r="Q94" s="65">
        <f>K94-L94</f>
        <v>21541.7</v>
      </c>
      <c r="R94" s="67">
        <f t="shared" si="60"/>
        <v>23126.9</v>
      </c>
      <c r="S94" s="68" t="str">
        <f>IF(R94-K94&gt;0,R94-K94,"")</f>
        <v/>
      </c>
      <c r="T94" s="68"/>
      <c r="U94" s="32"/>
    </row>
    <row r="95" spans="1:21" s="55" customFormat="1" ht="31.5" x14ac:dyDescent="0.2">
      <c r="A95" s="51" t="s">
        <v>125</v>
      </c>
      <c r="B95" s="60" t="s">
        <v>30</v>
      </c>
      <c r="C95" s="99">
        <f>SUM(C98:C113)</f>
        <v>0</v>
      </c>
      <c r="D95" s="49">
        <f>D96+D97</f>
        <v>879113.4</v>
      </c>
      <c r="E95" s="49">
        <f t="shared" ref="E95:T95" si="61">E96+E97</f>
        <v>879113.4</v>
      </c>
      <c r="F95" s="49">
        <f t="shared" si="61"/>
        <v>879113.4</v>
      </c>
      <c r="G95" s="49">
        <f t="shared" si="61"/>
        <v>797033.8</v>
      </c>
      <c r="H95" s="49">
        <f t="shared" si="61"/>
        <v>797033.8</v>
      </c>
      <c r="I95" s="49">
        <f t="shared" si="61"/>
        <v>797033.8</v>
      </c>
      <c r="J95" s="49">
        <f t="shared" si="61"/>
        <v>797033.8</v>
      </c>
      <c r="K95" s="49">
        <f t="shared" si="61"/>
        <v>797033.8</v>
      </c>
      <c r="L95" s="90">
        <f t="shared" si="61"/>
        <v>443445.52688999998</v>
      </c>
      <c r="M95" s="49">
        <f t="shared" si="57"/>
        <v>55.636978869653952</v>
      </c>
      <c r="N95" s="92">
        <f t="shared" si="61"/>
        <v>443445.52688999998</v>
      </c>
      <c r="O95" s="49">
        <f>SUM(O98:O113)</f>
        <v>0</v>
      </c>
      <c r="P95" s="49">
        <f>P96+P97</f>
        <v>353588.27310999989</v>
      </c>
      <c r="Q95" s="49">
        <f t="shared" ref="Q95" si="62">Q96+Q97</f>
        <v>329820.07310999994</v>
      </c>
      <c r="R95" s="49">
        <f t="shared" si="61"/>
        <v>986565.6</v>
      </c>
      <c r="S95" s="49">
        <f t="shared" si="61"/>
        <v>213300</v>
      </c>
      <c r="T95" s="49">
        <f t="shared" si="61"/>
        <v>-23768.2</v>
      </c>
      <c r="U95" s="100"/>
    </row>
    <row r="96" spans="1:21" s="55" customFormat="1" x14ac:dyDescent="0.2">
      <c r="A96" s="50" t="s">
        <v>24</v>
      </c>
      <c r="B96" s="56" t="s">
        <v>25</v>
      </c>
      <c r="C96" s="99"/>
      <c r="D96" s="42">
        <f t="shared" ref="D96:L96" si="63">SUMIF($B$98:$B$113,"=01",D98:D113)</f>
        <v>845611.6</v>
      </c>
      <c r="E96" s="42">
        <f t="shared" si="63"/>
        <v>845611.6</v>
      </c>
      <c r="F96" s="42">
        <f t="shared" si="63"/>
        <v>845611.6</v>
      </c>
      <c r="G96" s="42">
        <f t="shared" si="63"/>
        <v>763532</v>
      </c>
      <c r="H96" s="42">
        <f t="shared" si="63"/>
        <v>763532</v>
      </c>
      <c r="I96" s="42">
        <f t="shared" si="63"/>
        <v>763532</v>
      </c>
      <c r="J96" s="42">
        <f t="shared" si="63"/>
        <v>763532</v>
      </c>
      <c r="K96" s="42">
        <f t="shared" si="63"/>
        <v>763532</v>
      </c>
      <c r="L96" s="93">
        <f t="shared" si="63"/>
        <v>417731.21142000001</v>
      </c>
      <c r="M96" s="42">
        <f t="shared" si="57"/>
        <v>54.710373817993215</v>
      </c>
      <c r="N96" s="94">
        <f t="shared" ref="N96:T96" si="64">SUMIF($B$98:$B$113,"=01",N98:N113)</f>
        <v>417731.21141999995</v>
      </c>
      <c r="O96" s="42">
        <f t="shared" si="64"/>
        <v>0</v>
      </c>
      <c r="P96" s="42">
        <f t="shared" si="64"/>
        <v>345800.78857999988</v>
      </c>
      <c r="Q96" s="42">
        <f t="shared" si="64"/>
        <v>322032.58857999992</v>
      </c>
      <c r="R96" s="42">
        <f t="shared" si="64"/>
        <v>953063.79999999993</v>
      </c>
      <c r="S96" s="42">
        <f t="shared" si="64"/>
        <v>213300</v>
      </c>
      <c r="T96" s="42">
        <f t="shared" si="64"/>
        <v>-23768.2</v>
      </c>
      <c r="U96" s="100"/>
    </row>
    <row r="97" spans="1:22" s="55" customFormat="1" x14ac:dyDescent="0.2">
      <c r="A97" s="50" t="s">
        <v>26</v>
      </c>
      <c r="B97" s="56" t="s">
        <v>27</v>
      </c>
      <c r="C97" s="99"/>
      <c r="D97" s="42">
        <f t="shared" ref="D97:L97" si="65">SUMIF($B$98:$B$113,"=02",D98:D113)</f>
        <v>33501.800000000003</v>
      </c>
      <c r="E97" s="42">
        <f t="shared" si="65"/>
        <v>33501.800000000003</v>
      </c>
      <c r="F97" s="42">
        <f t="shared" si="65"/>
        <v>33501.800000000003</v>
      </c>
      <c r="G97" s="42">
        <f t="shared" si="65"/>
        <v>33501.800000000003</v>
      </c>
      <c r="H97" s="42">
        <f t="shared" si="65"/>
        <v>33501.800000000003</v>
      </c>
      <c r="I97" s="42">
        <f t="shared" si="65"/>
        <v>33501.800000000003</v>
      </c>
      <c r="J97" s="42">
        <f t="shared" si="65"/>
        <v>33501.800000000003</v>
      </c>
      <c r="K97" s="42">
        <f t="shared" si="65"/>
        <v>33501.800000000003</v>
      </c>
      <c r="L97" s="93">
        <f t="shared" si="65"/>
        <v>25714.315470000001</v>
      </c>
      <c r="M97" s="42">
        <f t="shared" si="57"/>
        <v>76.755026506038476</v>
      </c>
      <c r="N97" s="94">
        <f t="shared" ref="N97:T97" si="66">SUMIF($B$98:$B$113,"=02",N98:N113)</f>
        <v>25714.315470000001</v>
      </c>
      <c r="O97" s="42">
        <f t="shared" si="66"/>
        <v>0</v>
      </c>
      <c r="P97" s="42">
        <f t="shared" si="66"/>
        <v>7787.4845299999997</v>
      </c>
      <c r="Q97" s="42">
        <f t="shared" si="66"/>
        <v>7787.4845299999997</v>
      </c>
      <c r="R97" s="42">
        <f t="shared" si="66"/>
        <v>33501.800000000003</v>
      </c>
      <c r="S97" s="42">
        <f t="shared" si="66"/>
        <v>0</v>
      </c>
      <c r="T97" s="42">
        <f t="shared" si="66"/>
        <v>0</v>
      </c>
      <c r="U97" s="100"/>
    </row>
    <row r="98" spans="1:22" ht="110.25" x14ac:dyDescent="0.2">
      <c r="A98" s="104" t="s">
        <v>126</v>
      </c>
      <c r="B98" s="76" t="s">
        <v>25</v>
      </c>
      <c r="C98" s="105" t="s">
        <v>127</v>
      </c>
      <c r="D98" s="62">
        <v>4845</v>
      </c>
      <c r="E98" s="63">
        <f t="shared" ref="E98:K113" si="67">D98</f>
        <v>4845</v>
      </c>
      <c r="F98" s="63">
        <f t="shared" si="67"/>
        <v>4845</v>
      </c>
      <c r="G98" s="63">
        <f t="shared" si="67"/>
        <v>4845</v>
      </c>
      <c r="H98" s="63">
        <f t="shared" si="67"/>
        <v>4845</v>
      </c>
      <c r="I98" s="63">
        <f t="shared" si="67"/>
        <v>4845</v>
      </c>
      <c r="J98" s="63">
        <f t="shared" si="67"/>
        <v>4845</v>
      </c>
      <c r="K98" s="63">
        <f t="shared" si="67"/>
        <v>4845</v>
      </c>
      <c r="L98" s="64"/>
      <c r="M98" s="65">
        <f t="shared" si="57"/>
        <v>0</v>
      </c>
      <c r="N98" s="66"/>
      <c r="O98" s="65"/>
      <c r="P98" s="65">
        <f>I98-L98</f>
        <v>4845</v>
      </c>
      <c r="Q98" s="65">
        <f>K98-L98</f>
        <v>4845</v>
      </c>
      <c r="R98" s="67">
        <f t="shared" ref="R98:R113" si="68">K98</f>
        <v>4845</v>
      </c>
      <c r="S98" s="68" t="str">
        <f>IF(R98-K98&gt;0,R98-K98,"")</f>
        <v/>
      </c>
      <c r="T98" s="68" t="str">
        <f>IF(R98-K98&lt;0,R98-K98,"")</f>
        <v/>
      </c>
      <c r="U98" s="106" t="s">
        <v>128</v>
      </c>
    </row>
    <row r="99" spans="1:22" ht="47.25" x14ac:dyDescent="0.2">
      <c r="A99" s="104" t="s">
        <v>129</v>
      </c>
      <c r="B99" s="107" t="s">
        <v>25</v>
      </c>
      <c r="C99" s="105" t="s">
        <v>130</v>
      </c>
      <c r="D99" s="62">
        <v>23768.2</v>
      </c>
      <c r="E99" s="63">
        <f t="shared" si="67"/>
        <v>23768.2</v>
      </c>
      <c r="F99" s="63">
        <f t="shared" si="67"/>
        <v>23768.2</v>
      </c>
      <c r="G99" s="63">
        <f t="shared" si="67"/>
        <v>23768.2</v>
      </c>
      <c r="H99" s="63">
        <f t="shared" si="67"/>
        <v>23768.2</v>
      </c>
      <c r="I99" s="63">
        <f t="shared" si="67"/>
        <v>23768.2</v>
      </c>
      <c r="J99" s="63">
        <f t="shared" si="67"/>
        <v>23768.2</v>
      </c>
      <c r="K99" s="63">
        <f t="shared" si="67"/>
        <v>23768.2</v>
      </c>
      <c r="L99" s="64"/>
      <c r="M99" s="65"/>
      <c r="N99" s="66"/>
      <c r="O99" s="65"/>
      <c r="P99" s="65">
        <f>I99-L99</f>
        <v>23768.2</v>
      </c>
      <c r="Q99" s="65"/>
      <c r="R99" s="67">
        <v>0</v>
      </c>
      <c r="S99" s="68" t="str">
        <f t="shared" ref="S99:S100" si="69">IF(R99-K99&gt;0,R99-K99,"")</f>
        <v/>
      </c>
      <c r="T99" s="68">
        <f t="shared" ref="T99:T100" si="70">IF(R99-K99&lt;0,R99-K99,"")</f>
        <v>-23768.2</v>
      </c>
      <c r="U99" s="106"/>
      <c r="V99" s="108"/>
    </row>
    <row r="100" spans="1:22" ht="31.5" x14ac:dyDescent="0.2">
      <c r="A100" s="104" t="s">
        <v>131</v>
      </c>
      <c r="B100" s="76" t="s">
        <v>25</v>
      </c>
      <c r="C100" s="105" t="s">
        <v>132</v>
      </c>
      <c r="D100" s="62">
        <v>9163.2999999999993</v>
      </c>
      <c r="E100" s="63">
        <f t="shared" si="67"/>
        <v>9163.2999999999993</v>
      </c>
      <c r="F100" s="63">
        <f t="shared" si="67"/>
        <v>9163.2999999999993</v>
      </c>
      <c r="G100" s="63">
        <f t="shared" si="67"/>
        <v>9163.2999999999993</v>
      </c>
      <c r="H100" s="63">
        <f t="shared" si="67"/>
        <v>9163.2999999999993</v>
      </c>
      <c r="I100" s="63">
        <f t="shared" si="67"/>
        <v>9163.2999999999993</v>
      </c>
      <c r="J100" s="63">
        <f t="shared" si="67"/>
        <v>9163.2999999999993</v>
      </c>
      <c r="K100" s="63">
        <f t="shared" si="67"/>
        <v>9163.2999999999993</v>
      </c>
      <c r="L100" s="64">
        <f>('[1]Бюдж роспись КБ'!K122+'[1]Бюдж роспись КБ'!K123)/1000</f>
        <v>5269.6293399999995</v>
      </c>
      <c r="M100" s="65">
        <f>L100/J100*100</f>
        <v>57.507986642366838</v>
      </c>
      <c r="N100" s="66">
        <v>5269.6293400000004</v>
      </c>
      <c r="O100" s="65">
        <f>L100-N100</f>
        <v>0</v>
      </c>
      <c r="P100" s="65">
        <f>I100-L100</f>
        <v>3893.6706599999998</v>
      </c>
      <c r="Q100" s="65">
        <f>K100-L100</f>
        <v>3893.6706599999998</v>
      </c>
      <c r="R100" s="67">
        <f t="shared" si="68"/>
        <v>9163.2999999999993</v>
      </c>
      <c r="S100" s="68" t="str">
        <f t="shared" si="69"/>
        <v/>
      </c>
      <c r="T100" s="68" t="str">
        <f t="shared" si="70"/>
        <v/>
      </c>
      <c r="U100" s="106"/>
    </row>
    <row r="101" spans="1:22" ht="141.75" x14ac:dyDescent="0.2">
      <c r="A101" s="69" t="s">
        <v>133</v>
      </c>
      <c r="B101" s="60" t="s">
        <v>25</v>
      </c>
      <c r="C101" s="102" t="s">
        <v>134</v>
      </c>
      <c r="D101" s="62">
        <v>77032.899999999994</v>
      </c>
      <c r="E101" s="63">
        <f t="shared" si="67"/>
        <v>77032.899999999994</v>
      </c>
      <c r="F101" s="63">
        <f t="shared" si="67"/>
        <v>77032.899999999994</v>
      </c>
      <c r="G101" s="63">
        <f t="shared" si="67"/>
        <v>77032.899999999994</v>
      </c>
      <c r="H101" s="63">
        <f t="shared" si="67"/>
        <v>77032.899999999994</v>
      </c>
      <c r="I101" s="63">
        <f t="shared" si="67"/>
        <v>77032.899999999994</v>
      </c>
      <c r="J101" s="63">
        <f t="shared" si="67"/>
        <v>77032.899999999994</v>
      </c>
      <c r="K101" s="63">
        <f t="shared" si="67"/>
        <v>77032.899999999994</v>
      </c>
      <c r="L101" s="64">
        <f>'[1]Бюдж роспись КБ'!K124/1000</f>
        <v>0</v>
      </c>
      <c r="M101" s="65">
        <f t="shared" si="57"/>
        <v>0</v>
      </c>
      <c r="N101" s="66"/>
      <c r="O101" s="65">
        <f>L101-N101</f>
        <v>0</v>
      </c>
      <c r="P101" s="65">
        <f>I101-L101</f>
        <v>77032.899999999994</v>
      </c>
      <c r="Q101" s="65">
        <f>K101-L101</f>
        <v>77032.899999999994</v>
      </c>
      <c r="R101" s="67">
        <f t="shared" si="68"/>
        <v>77032.899999999994</v>
      </c>
      <c r="S101" s="68"/>
      <c r="T101" s="68" t="str">
        <f>IF(R101-K101&lt;0,R101-K101,"")</f>
        <v/>
      </c>
      <c r="U101" s="106" t="s">
        <v>135</v>
      </c>
      <c r="V101" s="108"/>
    </row>
    <row r="102" spans="1:22" ht="141.75" x14ac:dyDescent="0.2">
      <c r="A102" s="109" t="s">
        <v>136</v>
      </c>
      <c r="B102" s="107" t="s">
        <v>25</v>
      </c>
      <c r="C102" s="102" t="s">
        <v>137</v>
      </c>
      <c r="D102" s="62">
        <v>440465.1</v>
      </c>
      <c r="E102" s="63">
        <f t="shared" si="67"/>
        <v>440465.1</v>
      </c>
      <c r="F102" s="63">
        <f t="shared" si="67"/>
        <v>440465.1</v>
      </c>
      <c r="G102" s="63">
        <f t="shared" si="67"/>
        <v>440465.1</v>
      </c>
      <c r="H102" s="63">
        <f t="shared" si="67"/>
        <v>440465.1</v>
      </c>
      <c r="I102" s="63">
        <f t="shared" si="67"/>
        <v>440465.1</v>
      </c>
      <c r="J102" s="63">
        <f t="shared" si="67"/>
        <v>440465.1</v>
      </c>
      <c r="K102" s="63">
        <f t="shared" si="67"/>
        <v>440465.1</v>
      </c>
      <c r="L102" s="64">
        <f>('[1]Бюдж роспись КБ'!K125+'[1]Бюдж роспись КБ'!K126)/1000</f>
        <v>315121.05992999999</v>
      </c>
      <c r="M102" s="65">
        <f t="shared" si="57"/>
        <v>71.542798721169959</v>
      </c>
      <c r="N102" s="66">
        <v>315121.05992999999</v>
      </c>
      <c r="O102" s="65">
        <f>L102-N102</f>
        <v>0</v>
      </c>
      <c r="P102" s="65">
        <f>I102-L102</f>
        <v>125344.04006999999</v>
      </c>
      <c r="Q102" s="65">
        <f>K102-L102</f>
        <v>125344.04006999999</v>
      </c>
      <c r="R102" s="67">
        <f>K102+213300</f>
        <v>653765.1</v>
      </c>
      <c r="S102" s="68">
        <f t="shared" ref="S102:S113" si="71">IF(R102-K102&gt;0,R102-K102,"")</f>
        <v>213300</v>
      </c>
      <c r="T102" s="68" t="str">
        <f>IF(R102-K102&lt;0,R102-K102,"")</f>
        <v/>
      </c>
      <c r="U102" s="106" t="s">
        <v>138</v>
      </c>
      <c r="V102" s="108"/>
    </row>
    <row r="103" spans="1:22" ht="51" customHeight="1" x14ac:dyDescent="0.2">
      <c r="A103" s="104" t="s">
        <v>139</v>
      </c>
      <c r="B103" s="60" t="s">
        <v>25</v>
      </c>
      <c r="C103" s="105" t="s">
        <v>140</v>
      </c>
      <c r="D103" s="62">
        <v>92935.8</v>
      </c>
      <c r="E103" s="63">
        <f t="shared" si="67"/>
        <v>92935.8</v>
      </c>
      <c r="F103" s="63">
        <f t="shared" si="67"/>
        <v>92935.8</v>
      </c>
      <c r="G103" s="63">
        <f t="shared" si="67"/>
        <v>92935.8</v>
      </c>
      <c r="H103" s="63">
        <f t="shared" si="67"/>
        <v>92935.8</v>
      </c>
      <c r="I103" s="63">
        <f t="shared" si="67"/>
        <v>92935.8</v>
      </c>
      <c r="J103" s="63">
        <f t="shared" si="67"/>
        <v>92935.8</v>
      </c>
      <c r="K103" s="63">
        <f t="shared" si="67"/>
        <v>92935.8</v>
      </c>
      <c r="L103" s="64">
        <f>('[1]Бюдж роспись КБ'!K127+'[1]Бюдж роспись КБ'!K128)/1000</f>
        <v>61740.989000000009</v>
      </c>
      <c r="M103" s="65">
        <f>L103/J103*100</f>
        <v>66.434021119955929</v>
      </c>
      <c r="N103" s="66">
        <v>61740.989000000001</v>
      </c>
      <c r="O103" s="65">
        <f t="shared" ref="O103:O113" si="72">L103-N103</f>
        <v>0</v>
      </c>
      <c r="P103" s="65">
        <f t="shared" ref="P103:P113" si="73">I103-L103</f>
        <v>31194.810999999994</v>
      </c>
      <c r="Q103" s="65">
        <f t="shared" ref="Q103:Q113" si="74">K103-L103</f>
        <v>31194.810999999994</v>
      </c>
      <c r="R103" s="67">
        <f t="shared" si="68"/>
        <v>92935.8</v>
      </c>
      <c r="S103" s="68" t="str">
        <f t="shared" si="71"/>
        <v/>
      </c>
      <c r="T103" s="68" t="str">
        <f t="shared" ref="T103:T113" si="75">IF(R103-K103&lt;0,R103-K103,"")</f>
        <v/>
      </c>
      <c r="U103" s="69"/>
    </row>
    <row r="104" spans="1:22" ht="115.5" customHeight="1" x14ac:dyDescent="0.2">
      <c r="A104" s="104" t="s">
        <v>141</v>
      </c>
      <c r="B104" s="76" t="s">
        <v>25</v>
      </c>
      <c r="C104" s="105" t="s">
        <v>142</v>
      </c>
      <c r="D104" s="62">
        <v>11894.8</v>
      </c>
      <c r="E104" s="63">
        <f t="shared" si="67"/>
        <v>11894.8</v>
      </c>
      <c r="F104" s="63">
        <f t="shared" si="67"/>
        <v>11894.8</v>
      </c>
      <c r="G104" s="78">
        <f>F104-2633.2</f>
        <v>9261.5999999999985</v>
      </c>
      <c r="H104" s="63">
        <f t="shared" si="67"/>
        <v>9261.5999999999985</v>
      </c>
      <c r="I104" s="63">
        <f t="shared" si="67"/>
        <v>9261.5999999999985</v>
      </c>
      <c r="J104" s="63">
        <f t="shared" si="67"/>
        <v>9261.5999999999985</v>
      </c>
      <c r="K104" s="63">
        <f t="shared" si="67"/>
        <v>9261.5999999999985</v>
      </c>
      <c r="L104" s="64">
        <f>'[1]Бюдж роспись КБ'!K129/1000</f>
        <v>6179.1525900000006</v>
      </c>
      <c r="M104" s="65">
        <f>L104/J104*100</f>
        <v>66.717981666234792</v>
      </c>
      <c r="N104" s="66">
        <v>6179.1525899999997</v>
      </c>
      <c r="O104" s="65">
        <f>L104-N104</f>
        <v>0</v>
      </c>
      <c r="P104" s="65">
        <f t="shared" si="73"/>
        <v>3082.4474099999979</v>
      </c>
      <c r="Q104" s="65">
        <f t="shared" si="74"/>
        <v>3082.4474099999979</v>
      </c>
      <c r="R104" s="67">
        <f t="shared" si="68"/>
        <v>9261.5999999999985</v>
      </c>
      <c r="S104" s="68" t="str">
        <f t="shared" si="71"/>
        <v/>
      </c>
      <c r="T104" s="68" t="str">
        <f t="shared" si="75"/>
        <v/>
      </c>
      <c r="U104" s="69"/>
    </row>
    <row r="105" spans="1:22" ht="47.25" x14ac:dyDescent="0.2">
      <c r="A105" s="104" t="s">
        <v>143</v>
      </c>
      <c r="B105" s="60" t="s">
        <v>25</v>
      </c>
      <c r="C105" s="105" t="s">
        <v>144</v>
      </c>
      <c r="D105" s="62">
        <v>3004.7</v>
      </c>
      <c r="E105" s="63">
        <f t="shared" si="67"/>
        <v>3004.7</v>
      </c>
      <c r="F105" s="63">
        <f t="shared" si="67"/>
        <v>3004.7</v>
      </c>
      <c r="G105" s="78">
        <f>F105+2133.2</f>
        <v>5137.8999999999996</v>
      </c>
      <c r="H105" s="63">
        <f t="shared" si="67"/>
        <v>5137.8999999999996</v>
      </c>
      <c r="I105" s="63">
        <f t="shared" si="67"/>
        <v>5137.8999999999996</v>
      </c>
      <c r="J105" s="63">
        <f t="shared" si="67"/>
        <v>5137.8999999999996</v>
      </c>
      <c r="K105" s="63">
        <f t="shared" si="67"/>
        <v>5137.8999999999996</v>
      </c>
      <c r="L105" s="64">
        <f>('[1]Бюдж роспись КБ'!K130+'[1]Бюдж роспись КБ'!K131)/1000</f>
        <v>3004.68642</v>
      </c>
      <c r="M105" s="65">
        <f>L105/J105*100</f>
        <v>58.480827186204486</v>
      </c>
      <c r="N105" s="66">
        <v>3004.68642</v>
      </c>
      <c r="O105" s="65">
        <f t="shared" si="72"/>
        <v>0</v>
      </c>
      <c r="P105" s="65">
        <f t="shared" si="73"/>
        <v>2133.2135799999996</v>
      </c>
      <c r="Q105" s="65">
        <f t="shared" si="74"/>
        <v>2133.2135799999996</v>
      </c>
      <c r="R105" s="67">
        <f t="shared" si="68"/>
        <v>5137.8999999999996</v>
      </c>
      <c r="S105" s="68" t="str">
        <f t="shared" si="71"/>
        <v/>
      </c>
      <c r="T105" s="68" t="str">
        <f t="shared" si="75"/>
        <v/>
      </c>
      <c r="U105" s="69"/>
    </row>
    <row r="106" spans="1:22" ht="63" x14ac:dyDescent="0.2">
      <c r="A106" s="59" t="s">
        <v>145</v>
      </c>
      <c r="B106" s="60" t="s">
        <v>25</v>
      </c>
      <c r="C106" s="105" t="s">
        <v>146</v>
      </c>
      <c r="D106" s="62">
        <v>89889.600000000006</v>
      </c>
      <c r="E106" s="63">
        <f t="shared" si="67"/>
        <v>89889.600000000006</v>
      </c>
      <c r="F106" s="63">
        <f t="shared" si="67"/>
        <v>89889.600000000006</v>
      </c>
      <c r="G106" s="78">
        <f>F106-81579.6</f>
        <v>8310</v>
      </c>
      <c r="H106" s="63">
        <f t="shared" si="67"/>
        <v>8310</v>
      </c>
      <c r="I106" s="63">
        <f t="shared" si="67"/>
        <v>8310</v>
      </c>
      <c r="J106" s="63">
        <f t="shared" si="67"/>
        <v>8310</v>
      </c>
      <c r="K106" s="63">
        <f t="shared" si="67"/>
        <v>8310</v>
      </c>
      <c r="L106" s="64">
        <f>('[1]Бюдж роспись КБ'!K133+'[1]Бюдж роспись КБ'!K132)/1000</f>
        <v>0</v>
      </c>
      <c r="M106" s="65">
        <f>L106/J106*100</f>
        <v>0</v>
      </c>
      <c r="N106" s="66"/>
      <c r="O106" s="65">
        <f t="shared" si="72"/>
        <v>0</v>
      </c>
      <c r="P106" s="65">
        <f t="shared" si="73"/>
        <v>8310</v>
      </c>
      <c r="Q106" s="65">
        <f t="shared" si="74"/>
        <v>8310</v>
      </c>
      <c r="R106" s="67">
        <f t="shared" si="68"/>
        <v>8310</v>
      </c>
      <c r="S106" s="68" t="str">
        <f t="shared" si="71"/>
        <v/>
      </c>
      <c r="T106" s="68" t="str">
        <f t="shared" si="75"/>
        <v/>
      </c>
      <c r="U106" s="69"/>
    </row>
    <row r="107" spans="1:22" ht="47.25" x14ac:dyDescent="0.2">
      <c r="A107" s="109" t="s">
        <v>147</v>
      </c>
      <c r="B107" s="107" t="s">
        <v>25</v>
      </c>
      <c r="C107" s="105" t="s">
        <v>148</v>
      </c>
      <c r="D107" s="62">
        <v>82651.100000000006</v>
      </c>
      <c r="E107" s="63">
        <f t="shared" si="67"/>
        <v>82651.100000000006</v>
      </c>
      <c r="F107" s="63">
        <f t="shared" si="67"/>
        <v>82651.100000000006</v>
      </c>
      <c r="G107" s="63">
        <f t="shared" si="67"/>
        <v>82651.100000000006</v>
      </c>
      <c r="H107" s="63">
        <f t="shared" si="67"/>
        <v>82651.100000000006</v>
      </c>
      <c r="I107" s="63">
        <f t="shared" si="67"/>
        <v>82651.100000000006</v>
      </c>
      <c r="J107" s="63">
        <f t="shared" si="67"/>
        <v>82651.100000000006</v>
      </c>
      <c r="K107" s="63">
        <f t="shared" si="67"/>
        <v>82651.100000000006</v>
      </c>
      <c r="L107" s="64">
        <f>('[1]Бюдж роспись КБ'!K134+'[1]Бюдж роспись КБ'!K135)/1000</f>
        <v>19050.408749999999</v>
      </c>
      <c r="M107" s="65">
        <f>L107/J107*100</f>
        <v>23.049189605461994</v>
      </c>
      <c r="N107" s="66">
        <v>19050.408749999999</v>
      </c>
      <c r="O107" s="65">
        <f>L107-N107</f>
        <v>0</v>
      </c>
      <c r="P107" s="65">
        <f>I107-L107</f>
        <v>63600.691250000003</v>
      </c>
      <c r="Q107" s="65">
        <f>K107-L107</f>
        <v>63600.691250000003</v>
      </c>
      <c r="R107" s="67">
        <f t="shared" si="68"/>
        <v>82651.100000000006</v>
      </c>
      <c r="S107" s="68"/>
      <c r="T107" s="68"/>
      <c r="U107" s="106" t="s">
        <v>149</v>
      </c>
      <c r="V107" s="108"/>
    </row>
    <row r="108" spans="1:22" ht="47.25" x14ac:dyDescent="0.2">
      <c r="A108" s="104" t="s">
        <v>150</v>
      </c>
      <c r="B108" s="60" t="s">
        <v>30</v>
      </c>
      <c r="C108" s="105"/>
      <c r="D108" s="62"/>
      <c r="E108" s="63">
        <f t="shared" si="67"/>
        <v>0</v>
      </c>
      <c r="F108" s="63">
        <f t="shared" si="67"/>
        <v>0</v>
      </c>
      <c r="G108" s="63">
        <f t="shared" si="67"/>
        <v>0</v>
      </c>
      <c r="H108" s="63">
        <f t="shared" si="67"/>
        <v>0</v>
      </c>
      <c r="I108" s="63">
        <f t="shared" si="67"/>
        <v>0</v>
      </c>
      <c r="J108" s="63">
        <f t="shared" si="67"/>
        <v>0</v>
      </c>
      <c r="K108" s="63">
        <f t="shared" si="67"/>
        <v>0</v>
      </c>
      <c r="L108" s="64"/>
      <c r="M108" s="65"/>
      <c r="N108" s="66"/>
      <c r="O108" s="65">
        <f t="shared" si="72"/>
        <v>0</v>
      </c>
      <c r="P108" s="65">
        <f t="shared" si="73"/>
        <v>0</v>
      </c>
      <c r="Q108" s="65">
        <f t="shared" si="74"/>
        <v>0</v>
      </c>
      <c r="R108" s="67">
        <f t="shared" si="68"/>
        <v>0</v>
      </c>
      <c r="S108" s="68" t="str">
        <f t="shared" si="71"/>
        <v/>
      </c>
      <c r="T108" s="68" t="str">
        <f t="shared" si="75"/>
        <v/>
      </c>
      <c r="U108" s="69"/>
    </row>
    <row r="109" spans="1:22" x14ac:dyDescent="0.2">
      <c r="A109" s="50" t="s">
        <v>24</v>
      </c>
      <c r="B109" s="60" t="s">
        <v>25</v>
      </c>
      <c r="C109" s="105" t="s">
        <v>151</v>
      </c>
      <c r="D109" s="62">
        <v>2864.6</v>
      </c>
      <c r="E109" s="63">
        <f t="shared" si="67"/>
        <v>2864.6</v>
      </c>
      <c r="F109" s="63">
        <f t="shared" si="67"/>
        <v>2864.6</v>
      </c>
      <c r="G109" s="63">
        <f t="shared" si="67"/>
        <v>2864.6</v>
      </c>
      <c r="H109" s="63">
        <f t="shared" si="67"/>
        <v>2864.6</v>
      </c>
      <c r="I109" s="63">
        <f t="shared" si="67"/>
        <v>2864.6</v>
      </c>
      <c r="J109" s="63">
        <f t="shared" si="67"/>
        <v>2864.6</v>
      </c>
      <c r="K109" s="63">
        <f t="shared" si="67"/>
        <v>2864.6</v>
      </c>
      <c r="L109" s="64">
        <f>('[1]Бюдж роспись КБ'!K136+'[1]Бюдж роспись КБ'!K137)/1000</f>
        <v>2864.6135800000002</v>
      </c>
      <c r="M109" s="65">
        <f>L109/J109*100</f>
        <v>100.00047406269637</v>
      </c>
      <c r="N109" s="66">
        <v>2864.6135800000002</v>
      </c>
      <c r="O109" s="65">
        <f t="shared" si="72"/>
        <v>0</v>
      </c>
      <c r="P109" s="65">
        <f t="shared" si="73"/>
        <v>-1.3580000000274595E-2</v>
      </c>
      <c r="Q109" s="65">
        <f t="shared" si="74"/>
        <v>-1.3580000000274595E-2</v>
      </c>
      <c r="R109" s="67">
        <f t="shared" si="68"/>
        <v>2864.6</v>
      </c>
      <c r="S109" s="68" t="str">
        <f t="shared" si="71"/>
        <v/>
      </c>
      <c r="T109" s="68" t="str">
        <f t="shared" si="75"/>
        <v/>
      </c>
      <c r="U109" s="110"/>
    </row>
    <row r="110" spans="1:22" x14ac:dyDescent="0.2">
      <c r="A110" s="50" t="s">
        <v>26</v>
      </c>
      <c r="B110" s="60" t="s">
        <v>27</v>
      </c>
      <c r="C110" s="105" t="s">
        <v>151</v>
      </c>
      <c r="D110" s="62">
        <v>12212.3</v>
      </c>
      <c r="E110" s="63">
        <f t="shared" si="67"/>
        <v>12212.3</v>
      </c>
      <c r="F110" s="63">
        <f t="shared" si="67"/>
        <v>12212.3</v>
      </c>
      <c r="G110" s="63">
        <f t="shared" si="67"/>
        <v>12212.3</v>
      </c>
      <c r="H110" s="63">
        <f t="shared" si="67"/>
        <v>12212.3</v>
      </c>
      <c r="I110" s="63">
        <f t="shared" si="67"/>
        <v>12212.3</v>
      </c>
      <c r="J110" s="63">
        <f t="shared" si="67"/>
        <v>12212.3</v>
      </c>
      <c r="K110" s="63">
        <f t="shared" si="67"/>
        <v>12212.3</v>
      </c>
      <c r="L110" s="64">
        <f>('[1]Бюдж роспись КБ'!K138+'[1]Бюдж роспись КБ'!K139)/1000</f>
        <v>12212.3</v>
      </c>
      <c r="M110" s="65">
        <f>L110/J110*100</f>
        <v>100</v>
      </c>
      <c r="N110" s="66">
        <v>12212.3</v>
      </c>
      <c r="O110" s="65">
        <f t="shared" si="72"/>
        <v>0</v>
      </c>
      <c r="P110" s="65">
        <f t="shared" si="73"/>
        <v>0</v>
      </c>
      <c r="Q110" s="65">
        <f t="shared" si="74"/>
        <v>0</v>
      </c>
      <c r="R110" s="67">
        <f t="shared" si="68"/>
        <v>12212.3</v>
      </c>
      <c r="S110" s="68" t="str">
        <f t="shared" si="71"/>
        <v/>
      </c>
      <c r="T110" s="68" t="str">
        <f t="shared" si="75"/>
        <v/>
      </c>
      <c r="U110" s="110"/>
    </row>
    <row r="111" spans="1:22" ht="47.25" x14ac:dyDescent="0.2">
      <c r="A111" s="111" t="s">
        <v>152</v>
      </c>
      <c r="B111" s="60" t="s">
        <v>30</v>
      </c>
      <c r="C111" s="105"/>
      <c r="D111" s="62"/>
      <c r="E111" s="63">
        <f t="shared" si="67"/>
        <v>0</v>
      </c>
      <c r="F111" s="63">
        <f t="shared" si="67"/>
        <v>0</v>
      </c>
      <c r="G111" s="63">
        <f t="shared" si="67"/>
        <v>0</v>
      </c>
      <c r="H111" s="63">
        <f t="shared" si="67"/>
        <v>0</v>
      </c>
      <c r="I111" s="63">
        <f t="shared" si="67"/>
        <v>0</v>
      </c>
      <c r="J111" s="63">
        <f t="shared" si="67"/>
        <v>0</v>
      </c>
      <c r="K111" s="63">
        <f t="shared" si="67"/>
        <v>0</v>
      </c>
      <c r="L111" s="64"/>
      <c r="M111" s="65"/>
      <c r="N111" s="66"/>
      <c r="O111" s="65">
        <f t="shared" si="72"/>
        <v>0</v>
      </c>
      <c r="P111" s="65">
        <f t="shared" si="73"/>
        <v>0</v>
      </c>
      <c r="Q111" s="65">
        <f t="shared" si="74"/>
        <v>0</v>
      </c>
      <c r="R111" s="67">
        <f t="shared" si="68"/>
        <v>0</v>
      </c>
      <c r="S111" s="68" t="str">
        <f t="shared" si="71"/>
        <v/>
      </c>
      <c r="T111" s="68" t="str">
        <f t="shared" si="75"/>
        <v/>
      </c>
      <c r="U111" s="71"/>
    </row>
    <row r="112" spans="1:22" x14ac:dyDescent="0.2">
      <c r="A112" s="50" t="s">
        <v>24</v>
      </c>
      <c r="B112" s="60" t="s">
        <v>25</v>
      </c>
      <c r="C112" s="105" t="s">
        <v>153</v>
      </c>
      <c r="D112" s="62">
        <v>7096.5</v>
      </c>
      <c r="E112" s="63">
        <f t="shared" si="67"/>
        <v>7096.5</v>
      </c>
      <c r="F112" s="63">
        <f t="shared" si="67"/>
        <v>7096.5</v>
      </c>
      <c r="G112" s="63">
        <f t="shared" si="67"/>
        <v>7096.5</v>
      </c>
      <c r="H112" s="63">
        <f t="shared" si="67"/>
        <v>7096.5</v>
      </c>
      <c r="I112" s="63">
        <f t="shared" si="67"/>
        <v>7096.5</v>
      </c>
      <c r="J112" s="63">
        <f t="shared" si="67"/>
        <v>7096.5</v>
      </c>
      <c r="K112" s="63">
        <f t="shared" si="67"/>
        <v>7096.5</v>
      </c>
      <c r="L112" s="64">
        <f>'[1]Бюдж роспись КБ'!K140/1000</f>
        <v>4500.6718100000007</v>
      </c>
      <c r="M112" s="65">
        <f t="shared" ref="M112:M133" si="76">L112/J112*100</f>
        <v>63.421007679842191</v>
      </c>
      <c r="N112" s="66">
        <v>4500.6718099999998</v>
      </c>
      <c r="O112" s="65">
        <f t="shared" si="72"/>
        <v>0</v>
      </c>
      <c r="P112" s="65">
        <f t="shared" si="73"/>
        <v>2595.8281899999993</v>
      </c>
      <c r="Q112" s="65">
        <f t="shared" si="74"/>
        <v>2595.8281899999993</v>
      </c>
      <c r="R112" s="67">
        <f t="shared" si="68"/>
        <v>7096.5</v>
      </c>
      <c r="S112" s="68" t="str">
        <f t="shared" si="71"/>
        <v/>
      </c>
      <c r="T112" s="68" t="str">
        <f t="shared" si="75"/>
        <v/>
      </c>
      <c r="U112" s="112"/>
      <c r="V112" s="113"/>
    </row>
    <row r="113" spans="1:22" x14ac:dyDescent="0.2">
      <c r="A113" s="50" t="s">
        <v>26</v>
      </c>
      <c r="B113" s="60" t="s">
        <v>27</v>
      </c>
      <c r="C113" s="105" t="s">
        <v>153</v>
      </c>
      <c r="D113" s="62">
        <v>21289.5</v>
      </c>
      <c r="E113" s="63">
        <f t="shared" si="67"/>
        <v>21289.5</v>
      </c>
      <c r="F113" s="63">
        <f t="shared" si="67"/>
        <v>21289.5</v>
      </c>
      <c r="G113" s="63">
        <f t="shared" si="67"/>
        <v>21289.5</v>
      </c>
      <c r="H113" s="63">
        <f t="shared" si="67"/>
        <v>21289.5</v>
      </c>
      <c r="I113" s="63">
        <f t="shared" si="67"/>
        <v>21289.5</v>
      </c>
      <c r="J113" s="63">
        <f t="shared" si="67"/>
        <v>21289.5</v>
      </c>
      <c r="K113" s="63">
        <f t="shared" si="67"/>
        <v>21289.5</v>
      </c>
      <c r="L113" s="64">
        <f>'[1]Бюдж роспись КБ'!K141/1000</f>
        <v>13502.01547</v>
      </c>
      <c r="M113" s="65">
        <f t="shared" si="76"/>
        <v>63.421007867728228</v>
      </c>
      <c r="N113" s="66">
        <v>13502.01547</v>
      </c>
      <c r="O113" s="65">
        <f t="shared" si="72"/>
        <v>0</v>
      </c>
      <c r="P113" s="65">
        <f t="shared" si="73"/>
        <v>7787.4845299999997</v>
      </c>
      <c r="Q113" s="65">
        <f t="shared" si="74"/>
        <v>7787.4845299999997</v>
      </c>
      <c r="R113" s="67">
        <f t="shared" si="68"/>
        <v>21289.5</v>
      </c>
      <c r="S113" s="68" t="str">
        <f t="shared" si="71"/>
        <v/>
      </c>
      <c r="T113" s="68" t="str">
        <f t="shared" si="75"/>
        <v/>
      </c>
      <c r="U113" s="114"/>
      <c r="V113" s="113"/>
    </row>
    <row r="114" spans="1:22" s="55" customFormat="1" ht="31.5" x14ac:dyDescent="0.2">
      <c r="A114" s="51" t="s">
        <v>154</v>
      </c>
      <c r="B114" s="56" t="s">
        <v>25</v>
      </c>
      <c r="C114" s="99">
        <f>SUM(C116:C123)</f>
        <v>0</v>
      </c>
      <c r="D114" s="49">
        <f>D115</f>
        <v>960515.8</v>
      </c>
      <c r="E114" s="49">
        <f t="shared" ref="E114:T114" si="77">E115</f>
        <v>960515.8</v>
      </c>
      <c r="F114" s="49">
        <f t="shared" si="77"/>
        <v>960515.8</v>
      </c>
      <c r="G114" s="49">
        <f t="shared" si="77"/>
        <v>975199.4</v>
      </c>
      <c r="H114" s="49">
        <f t="shared" si="77"/>
        <v>975199.4</v>
      </c>
      <c r="I114" s="49">
        <f t="shared" si="77"/>
        <v>975199.4</v>
      </c>
      <c r="J114" s="49">
        <f t="shared" si="77"/>
        <v>975199.4</v>
      </c>
      <c r="K114" s="49">
        <f t="shared" si="77"/>
        <v>975199.4</v>
      </c>
      <c r="L114" s="90">
        <f>L115</f>
        <v>887632.35966999992</v>
      </c>
      <c r="M114" s="49">
        <f t="shared" si="76"/>
        <v>91.020601496473432</v>
      </c>
      <c r="N114" s="92">
        <f t="shared" si="77"/>
        <v>887632.35966999992</v>
      </c>
      <c r="O114" s="49">
        <f t="shared" si="77"/>
        <v>0</v>
      </c>
      <c r="P114" s="49">
        <f t="shared" si="77"/>
        <v>87567.040329999974</v>
      </c>
      <c r="Q114" s="49">
        <f t="shared" si="77"/>
        <v>87567.040329999974</v>
      </c>
      <c r="R114" s="49">
        <f t="shared" si="77"/>
        <v>1747637.9000000001</v>
      </c>
      <c r="S114" s="49">
        <f t="shared" si="77"/>
        <v>789438.5</v>
      </c>
      <c r="T114" s="49">
        <f t="shared" si="77"/>
        <v>-17000</v>
      </c>
      <c r="U114" s="100"/>
    </row>
    <row r="115" spans="1:22" s="55" customFormat="1" x14ac:dyDescent="0.2">
      <c r="A115" s="50" t="s">
        <v>24</v>
      </c>
      <c r="B115" s="56" t="s">
        <v>25</v>
      </c>
      <c r="C115" s="101"/>
      <c r="D115" s="42">
        <f t="shared" ref="D115:L115" si="78">SUMIF($B$116:$B$123,"=01",D116:D123)</f>
        <v>960515.8</v>
      </c>
      <c r="E115" s="42">
        <f t="shared" si="78"/>
        <v>960515.8</v>
      </c>
      <c r="F115" s="42">
        <f t="shared" si="78"/>
        <v>960515.8</v>
      </c>
      <c r="G115" s="42">
        <f t="shared" si="78"/>
        <v>975199.4</v>
      </c>
      <c r="H115" s="42">
        <f t="shared" si="78"/>
        <v>975199.4</v>
      </c>
      <c r="I115" s="42">
        <f t="shared" si="78"/>
        <v>975199.4</v>
      </c>
      <c r="J115" s="42">
        <f t="shared" si="78"/>
        <v>975199.4</v>
      </c>
      <c r="K115" s="42">
        <f t="shared" si="78"/>
        <v>975199.4</v>
      </c>
      <c r="L115" s="93">
        <f t="shared" si="78"/>
        <v>887632.35966999992</v>
      </c>
      <c r="M115" s="42">
        <f t="shared" si="76"/>
        <v>91.020601496473432</v>
      </c>
      <c r="N115" s="94">
        <f t="shared" ref="N115:T115" si="79">SUMIF($B$116:$B$123,"=01",N116:N123)</f>
        <v>887632.35966999992</v>
      </c>
      <c r="O115" s="42">
        <f t="shared" si="79"/>
        <v>0</v>
      </c>
      <c r="P115" s="42">
        <f t="shared" si="79"/>
        <v>87567.040329999974</v>
      </c>
      <c r="Q115" s="42">
        <f t="shared" si="79"/>
        <v>87567.040329999974</v>
      </c>
      <c r="R115" s="42">
        <f t="shared" si="79"/>
        <v>1747637.9000000001</v>
      </c>
      <c r="S115" s="42">
        <f t="shared" si="79"/>
        <v>789438.5</v>
      </c>
      <c r="T115" s="42">
        <f t="shared" si="79"/>
        <v>-17000</v>
      </c>
      <c r="U115" s="100"/>
    </row>
    <row r="116" spans="1:22" ht="69.75" customHeight="1" x14ac:dyDescent="0.2">
      <c r="A116" s="115" t="s">
        <v>155</v>
      </c>
      <c r="B116" s="116" t="s">
        <v>25</v>
      </c>
      <c r="C116" s="117" t="s">
        <v>156</v>
      </c>
      <c r="D116" s="62">
        <v>411191.7</v>
      </c>
      <c r="E116" s="63">
        <f t="shared" ref="E116:F116" si="80">D116</f>
        <v>411191.7</v>
      </c>
      <c r="F116" s="63">
        <f t="shared" si="80"/>
        <v>411191.7</v>
      </c>
      <c r="G116" s="78">
        <f>F116+14683.6</f>
        <v>425875.3</v>
      </c>
      <c r="H116" s="63">
        <f t="shared" ref="E116:K123" si="81">G116</f>
        <v>425875.3</v>
      </c>
      <c r="I116" s="63">
        <f t="shared" si="81"/>
        <v>425875.3</v>
      </c>
      <c r="J116" s="63">
        <f t="shared" si="81"/>
        <v>425875.3</v>
      </c>
      <c r="K116" s="63">
        <f t="shared" si="81"/>
        <v>425875.3</v>
      </c>
      <c r="L116" s="64">
        <f>('[1]Бюдж роспись КБ'!K143+'[1]Бюдж роспись КБ'!K144+'[1]Бюдж роспись КБ'!K145)/1000</f>
        <v>425839.53262000001</v>
      </c>
      <c r="M116" s="65">
        <f t="shared" si="76"/>
        <v>99.991601442957602</v>
      </c>
      <c r="N116" s="66">
        <v>425839.53262000001</v>
      </c>
      <c r="O116" s="65">
        <f t="shared" ref="O116:O119" si="82">L116-N116</f>
        <v>0</v>
      </c>
      <c r="P116" s="64">
        <f t="shared" ref="P116:P123" si="83">I116-L116</f>
        <v>35.767379999975674</v>
      </c>
      <c r="Q116" s="65">
        <f t="shared" ref="Q116:Q123" si="84">K116-L116</f>
        <v>35.767379999975674</v>
      </c>
      <c r="R116" s="67">
        <f>K116+479568.5</f>
        <v>905443.8</v>
      </c>
      <c r="S116" s="68">
        <f t="shared" ref="S116:S123" si="85">IF(R116-K116&gt;0,R116-K116,"")</f>
        <v>479568.50000000006</v>
      </c>
      <c r="T116" s="68" t="str">
        <f t="shared" ref="T116:T123" si="86">IF(R116-K116&lt;0,R116-K116,"")</f>
        <v/>
      </c>
      <c r="U116" s="71" t="s">
        <v>157</v>
      </c>
      <c r="V116" s="3">
        <v>479568.5</v>
      </c>
    </row>
    <row r="117" spans="1:22" ht="78.75" x14ac:dyDescent="0.2">
      <c r="A117" s="75" t="s">
        <v>158</v>
      </c>
      <c r="B117" s="76" t="s">
        <v>25</v>
      </c>
      <c r="C117" s="105" t="s">
        <v>159</v>
      </c>
      <c r="D117" s="62">
        <v>12472.9</v>
      </c>
      <c r="E117" s="63">
        <f t="shared" si="81"/>
        <v>12472.9</v>
      </c>
      <c r="F117" s="63">
        <f t="shared" si="81"/>
        <v>12472.9</v>
      </c>
      <c r="G117" s="63">
        <f t="shared" si="81"/>
        <v>12472.9</v>
      </c>
      <c r="H117" s="63">
        <f t="shared" si="81"/>
        <v>12472.9</v>
      </c>
      <c r="I117" s="63">
        <f t="shared" si="81"/>
        <v>12472.9</v>
      </c>
      <c r="J117" s="63">
        <f t="shared" si="81"/>
        <v>12472.9</v>
      </c>
      <c r="K117" s="63">
        <f t="shared" si="81"/>
        <v>12472.9</v>
      </c>
      <c r="L117" s="64">
        <f>('[1]Бюдж роспись КБ'!K146+'[1]Бюдж роспись КБ'!K147)/1000</f>
        <v>12461.617620000001</v>
      </c>
      <c r="M117" s="65">
        <f t="shared" si="76"/>
        <v>99.90954485324184</v>
      </c>
      <c r="N117" s="66">
        <v>12461.617620000001</v>
      </c>
      <c r="O117" s="65">
        <f t="shared" si="82"/>
        <v>0</v>
      </c>
      <c r="P117" s="65">
        <f>I117-L117</f>
        <v>11.282379999998739</v>
      </c>
      <c r="Q117" s="65">
        <f t="shared" si="84"/>
        <v>11.282379999998739</v>
      </c>
      <c r="R117" s="67">
        <f>K117+19770</f>
        <v>32242.9</v>
      </c>
      <c r="S117" s="68">
        <f t="shared" si="85"/>
        <v>19770</v>
      </c>
      <c r="T117" s="68" t="str">
        <f t="shared" si="86"/>
        <v/>
      </c>
      <c r="U117" s="71" t="s">
        <v>160</v>
      </c>
      <c r="V117" s="108"/>
    </row>
    <row r="118" spans="1:22" ht="65.25" customHeight="1" x14ac:dyDescent="0.2">
      <c r="A118" s="115" t="s">
        <v>161</v>
      </c>
      <c r="B118" s="116" t="s">
        <v>25</v>
      </c>
      <c r="C118" s="117" t="s">
        <v>162</v>
      </c>
      <c r="D118" s="62">
        <v>12091.7</v>
      </c>
      <c r="E118" s="63">
        <f t="shared" si="81"/>
        <v>12091.7</v>
      </c>
      <c r="F118" s="63">
        <f t="shared" si="81"/>
        <v>12091.7</v>
      </c>
      <c r="G118" s="63">
        <f t="shared" si="81"/>
        <v>12091.7</v>
      </c>
      <c r="H118" s="63">
        <f t="shared" si="81"/>
        <v>12091.7</v>
      </c>
      <c r="I118" s="63">
        <f t="shared" si="81"/>
        <v>12091.7</v>
      </c>
      <c r="J118" s="63">
        <f t="shared" si="81"/>
        <v>12091.7</v>
      </c>
      <c r="K118" s="63">
        <f t="shared" si="81"/>
        <v>12091.7</v>
      </c>
      <c r="L118" s="64"/>
      <c r="M118" s="65">
        <f t="shared" si="76"/>
        <v>0</v>
      </c>
      <c r="N118" s="66"/>
      <c r="O118" s="65">
        <f t="shared" si="82"/>
        <v>0</v>
      </c>
      <c r="P118" s="65">
        <f t="shared" si="83"/>
        <v>12091.7</v>
      </c>
      <c r="Q118" s="65">
        <f t="shared" si="84"/>
        <v>12091.7</v>
      </c>
      <c r="R118" s="67">
        <f t="shared" ref="R118:R119" si="87">K118</f>
        <v>12091.7</v>
      </c>
      <c r="S118" s="68" t="str">
        <f t="shared" si="85"/>
        <v/>
      </c>
      <c r="T118" s="68" t="str">
        <f t="shared" si="86"/>
        <v/>
      </c>
      <c r="U118" s="80"/>
    </row>
    <row r="119" spans="1:22" ht="31.5" x14ac:dyDescent="0.2">
      <c r="A119" s="115" t="s">
        <v>163</v>
      </c>
      <c r="B119" s="118" t="s">
        <v>25</v>
      </c>
      <c r="C119" s="117" t="s">
        <v>164</v>
      </c>
      <c r="D119" s="62">
        <v>40039.300000000003</v>
      </c>
      <c r="E119" s="63">
        <f t="shared" si="81"/>
        <v>40039.300000000003</v>
      </c>
      <c r="F119" s="63">
        <f t="shared" si="81"/>
        <v>40039.300000000003</v>
      </c>
      <c r="G119" s="63">
        <f t="shared" si="81"/>
        <v>40039.300000000003</v>
      </c>
      <c r="H119" s="63">
        <f t="shared" si="81"/>
        <v>40039.300000000003</v>
      </c>
      <c r="I119" s="63">
        <f t="shared" si="81"/>
        <v>40039.300000000003</v>
      </c>
      <c r="J119" s="63">
        <f t="shared" si="81"/>
        <v>40039.300000000003</v>
      </c>
      <c r="K119" s="63">
        <f t="shared" si="81"/>
        <v>40039.300000000003</v>
      </c>
      <c r="L119" s="64">
        <f>('[1]Бюдж роспись КБ'!K149+'[1]Бюдж роспись КБ'!K150+'[1]Бюдж роспись КБ'!K151)/1000</f>
        <v>39948.949829999998</v>
      </c>
      <c r="M119" s="65">
        <f t="shared" si="76"/>
        <v>99.774346279780104</v>
      </c>
      <c r="N119" s="66">
        <v>39948.949829999998</v>
      </c>
      <c r="O119" s="65">
        <f t="shared" si="82"/>
        <v>0</v>
      </c>
      <c r="P119" s="65">
        <f t="shared" si="83"/>
        <v>90.350170000005164</v>
      </c>
      <c r="Q119" s="65">
        <f t="shared" si="84"/>
        <v>90.350170000005164</v>
      </c>
      <c r="R119" s="67">
        <f t="shared" si="87"/>
        <v>40039.300000000003</v>
      </c>
      <c r="S119" s="68" t="str">
        <f t="shared" si="85"/>
        <v/>
      </c>
      <c r="T119" s="68" t="str">
        <f t="shared" si="86"/>
        <v/>
      </c>
      <c r="U119" s="96"/>
    </row>
    <row r="120" spans="1:22" ht="47.25" x14ac:dyDescent="0.2">
      <c r="A120" s="75" t="s">
        <v>165</v>
      </c>
      <c r="B120" s="76" t="s">
        <v>25</v>
      </c>
      <c r="C120" s="105" t="s">
        <v>166</v>
      </c>
      <c r="D120" s="62">
        <v>80400.2</v>
      </c>
      <c r="E120" s="63">
        <f t="shared" si="81"/>
        <v>80400.2</v>
      </c>
      <c r="F120" s="63">
        <f t="shared" si="81"/>
        <v>80400.2</v>
      </c>
      <c r="G120" s="63">
        <f t="shared" si="81"/>
        <v>80400.2</v>
      </c>
      <c r="H120" s="63">
        <f t="shared" si="81"/>
        <v>80400.2</v>
      </c>
      <c r="I120" s="63">
        <f t="shared" si="81"/>
        <v>80400.2</v>
      </c>
      <c r="J120" s="63">
        <f t="shared" si="81"/>
        <v>80400.2</v>
      </c>
      <c r="K120" s="63">
        <f t="shared" si="81"/>
        <v>80400.2</v>
      </c>
      <c r="L120" s="64">
        <f>('[1]Бюдж роспись КБ'!K152+'[1]Бюдж роспись КБ'!K153+'[1]Бюдж роспись КБ'!K154)/1000</f>
        <v>46317.218399999998</v>
      </c>
      <c r="M120" s="65">
        <f t="shared" si="76"/>
        <v>57.6083372926933</v>
      </c>
      <c r="N120" s="66">
        <v>46317.218399999998</v>
      </c>
      <c r="O120" s="65">
        <f>L120-N120</f>
        <v>0</v>
      </c>
      <c r="P120" s="65">
        <f t="shared" si="83"/>
        <v>34082.981599999999</v>
      </c>
      <c r="Q120" s="65">
        <f t="shared" si="84"/>
        <v>34082.981599999999</v>
      </c>
      <c r="R120" s="67">
        <f>K120-7000</f>
        <v>73400.2</v>
      </c>
      <c r="S120" s="68" t="str">
        <f t="shared" si="85"/>
        <v/>
      </c>
      <c r="T120" s="68">
        <f t="shared" si="86"/>
        <v>-7000</v>
      </c>
      <c r="U120" s="71" t="s">
        <v>167</v>
      </c>
      <c r="V120" s="108"/>
    </row>
    <row r="121" spans="1:22" ht="94.5" x14ac:dyDescent="0.2">
      <c r="A121" s="119" t="s">
        <v>168</v>
      </c>
      <c r="B121" s="118" t="s">
        <v>25</v>
      </c>
      <c r="C121" s="120" t="s">
        <v>169</v>
      </c>
      <c r="D121" s="62">
        <v>44770</v>
      </c>
      <c r="E121" s="63">
        <f t="shared" si="81"/>
        <v>44770</v>
      </c>
      <c r="F121" s="63">
        <f t="shared" si="81"/>
        <v>44770</v>
      </c>
      <c r="G121" s="63">
        <f t="shared" si="81"/>
        <v>44770</v>
      </c>
      <c r="H121" s="63">
        <f t="shared" si="81"/>
        <v>44770</v>
      </c>
      <c r="I121" s="63">
        <f t="shared" si="81"/>
        <v>44770</v>
      </c>
      <c r="J121" s="63">
        <f t="shared" si="81"/>
        <v>44770</v>
      </c>
      <c r="K121" s="63">
        <f t="shared" si="81"/>
        <v>44770</v>
      </c>
      <c r="L121" s="64">
        <f>('[1]Бюдж роспись КБ'!K155+'[1]Бюдж роспись КБ'!K156)/1000</f>
        <v>17244.455329999997</v>
      </c>
      <c r="M121" s="65">
        <f t="shared" si="76"/>
        <v>38.517881014071911</v>
      </c>
      <c r="N121" s="66">
        <v>17244.455330000001</v>
      </c>
      <c r="O121" s="65">
        <f>L121-N121</f>
        <v>0</v>
      </c>
      <c r="P121" s="65">
        <f t="shared" si="83"/>
        <v>27525.544670000003</v>
      </c>
      <c r="Q121" s="65">
        <f t="shared" si="84"/>
        <v>27525.544670000003</v>
      </c>
      <c r="R121" s="67">
        <f>K121+102100</f>
        <v>146870</v>
      </c>
      <c r="S121" s="68">
        <f t="shared" si="85"/>
        <v>102100</v>
      </c>
      <c r="T121" s="68" t="str">
        <f t="shared" si="86"/>
        <v/>
      </c>
      <c r="U121" s="71" t="s">
        <v>170</v>
      </c>
    </row>
    <row r="122" spans="1:22" ht="130.5" customHeight="1" x14ac:dyDescent="0.2">
      <c r="A122" s="75" t="s">
        <v>171</v>
      </c>
      <c r="B122" s="76" t="s">
        <v>25</v>
      </c>
      <c r="C122" s="105" t="s">
        <v>172</v>
      </c>
      <c r="D122" s="62">
        <v>10000</v>
      </c>
      <c r="E122" s="63">
        <f t="shared" si="81"/>
        <v>10000</v>
      </c>
      <c r="F122" s="63">
        <f t="shared" si="81"/>
        <v>10000</v>
      </c>
      <c r="G122" s="63">
        <f t="shared" si="81"/>
        <v>10000</v>
      </c>
      <c r="H122" s="63">
        <f t="shared" si="81"/>
        <v>10000</v>
      </c>
      <c r="I122" s="63">
        <f t="shared" si="81"/>
        <v>10000</v>
      </c>
      <c r="J122" s="63">
        <f t="shared" si="81"/>
        <v>10000</v>
      </c>
      <c r="K122" s="63">
        <f t="shared" si="81"/>
        <v>10000</v>
      </c>
      <c r="L122" s="64">
        <f>'[1]Бюдж роспись КБ'!K157/1000</f>
        <v>0</v>
      </c>
      <c r="M122" s="65">
        <f t="shared" si="76"/>
        <v>0</v>
      </c>
      <c r="N122" s="66"/>
      <c r="O122" s="65">
        <f t="shared" ref="O122" si="88">L122-N122</f>
        <v>0</v>
      </c>
      <c r="P122" s="65">
        <f t="shared" si="83"/>
        <v>10000</v>
      </c>
      <c r="Q122" s="65">
        <f t="shared" si="84"/>
        <v>10000</v>
      </c>
      <c r="R122" s="67">
        <v>0</v>
      </c>
      <c r="S122" s="68" t="str">
        <f t="shared" si="85"/>
        <v/>
      </c>
      <c r="T122" s="68">
        <f t="shared" si="86"/>
        <v>-10000</v>
      </c>
      <c r="U122" s="69" t="s">
        <v>173</v>
      </c>
      <c r="V122" s="108"/>
    </row>
    <row r="123" spans="1:22" ht="69" customHeight="1" x14ac:dyDescent="0.2">
      <c r="A123" s="59" t="s">
        <v>174</v>
      </c>
      <c r="B123" s="76" t="s">
        <v>25</v>
      </c>
      <c r="C123" s="120" t="s">
        <v>175</v>
      </c>
      <c r="D123" s="62">
        <v>349550</v>
      </c>
      <c r="E123" s="63">
        <f t="shared" si="81"/>
        <v>349550</v>
      </c>
      <c r="F123" s="63">
        <f t="shared" si="81"/>
        <v>349550</v>
      </c>
      <c r="G123" s="63">
        <f t="shared" si="81"/>
        <v>349550</v>
      </c>
      <c r="H123" s="63">
        <f t="shared" si="81"/>
        <v>349550</v>
      </c>
      <c r="I123" s="63">
        <f t="shared" si="81"/>
        <v>349550</v>
      </c>
      <c r="J123" s="63">
        <f t="shared" si="81"/>
        <v>349550</v>
      </c>
      <c r="K123" s="63">
        <f t="shared" si="81"/>
        <v>349550</v>
      </c>
      <c r="L123" s="64">
        <f>('[1]Бюдж роспись КБ'!K158+'[1]Бюдж роспись КБ'!K159+'[1]Бюдж роспись КБ'!K160+'[1]Бюдж роспись КБ'!K161)/1000</f>
        <v>345820.58587000001</v>
      </c>
      <c r="M123" s="65">
        <f t="shared" si="76"/>
        <v>98.933081353168362</v>
      </c>
      <c r="N123" s="66">
        <f>347820.58587-2000</f>
        <v>345820.58587000001</v>
      </c>
      <c r="O123" s="65">
        <f>L123-N123</f>
        <v>0</v>
      </c>
      <c r="P123" s="65">
        <f t="shared" si="83"/>
        <v>3729.4141299999901</v>
      </c>
      <c r="Q123" s="65">
        <f t="shared" si="84"/>
        <v>3729.4141299999901</v>
      </c>
      <c r="R123" s="67">
        <f>K123+188000</f>
        <v>537550</v>
      </c>
      <c r="S123" s="68">
        <f t="shared" si="85"/>
        <v>188000</v>
      </c>
      <c r="T123" s="68" t="str">
        <f t="shared" si="86"/>
        <v/>
      </c>
      <c r="U123" s="71" t="s">
        <v>176</v>
      </c>
    </row>
    <row r="124" spans="1:22" s="55" customFormat="1" ht="31.5" x14ac:dyDescent="0.2">
      <c r="A124" s="51" t="s">
        <v>177</v>
      </c>
      <c r="B124" s="60"/>
      <c r="C124" s="99">
        <f>SUM(C126:C126)</f>
        <v>0</v>
      </c>
      <c r="D124" s="49">
        <f>D125</f>
        <v>19768.8</v>
      </c>
      <c r="E124" s="49">
        <f t="shared" ref="E124:T124" si="89">E125</f>
        <v>19768.8</v>
      </c>
      <c r="F124" s="49">
        <f t="shared" si="89"/>
        <v>19768.8</v>
      </c>
      <c r="G124" s="49">
        <f t="shared" si="89"/>
        <v>19768.8</v>
      </c>
      <c r="H124" s="49">
        <f t="shared" si="89"/>
        <v>19768.8</v>
      </c>
      <c r="I124" s="49">
        <f t="shared" si="89"/>
        <v>19768.8</v>
      </c>
      <c r="J124" s="49">
        <f t="shared" si="89"/>
        <v>19768.8</v>
      </c>
      <c r="K124" s="49">
        <f t="shared" si="89"/>
        <v>19768.8</v>
      </c>
      <c r="L124" s="90">
        <f t="shared" si="89"/>
        <v>0</v>
      </c>
      <c r="M124" s="49">
        <f t="shared" si="76"/>
        <v>0</v>
      </c>
      <c r="N124" s="92">
        <f t="shared" si="89"/>
        <v>0</v>
      </c>
      <c r="O124" s="49">
        <f t="shared" si="89"/>
        <v>0</v>
      </c>
      <c r="P124" s="49">
        <f t="shared" si="89"/>
        <v>19768.8</v>
      </c>
      <c r="Q124" s="49">
        <f t="shared" si="89"/>
        <v>19768.8</v>
      </c>
      <c r="R124" s="49">
        <f t="shared" si="89"/>
        <v>19768.8</v>
      </c>
      <c r="S124" s="49">
        <f t="shared" si="89"/>
        <v>0</v>
      </c>
      <c r="T124" s="49">
        <f t="shared" si="89"/>
        <v>0</v>
      </c>
      <c r="U124" s="100"/>
    </row>
    <row r="125" spans="1:22" s="55" customFormat="1" x14ac:dyDescent="0.2">
      <c r="A125" s="50" t="s">
        <v>24</v>
      </c>
      <c r="B125" s="56" t="s">
        <v>25</v>
      </c>
      <c r="C125" s="101"/>
      <c r="D125" s="42">
        <f t="shared" ref="D125:L125" si="90">SUMIF($B$126:$B$126,"=01",D126:D126)</f>
        <v>19768.8</v>
      </c>
      <c r="E125" s="42">
        <f t="shared" si="90"/>
        <v>19768.8</v>
      </c>
      <c r="F125" s="42">
        <f t="shared" si="90"/>
        <v>19768.8</v>
      </c>
      <c r="G125" s="42">
        <f t="shared" si="90"/>
        <v>19768.8</v>
      </c>
      <c r="H125" s="42">
        <f t="shared" si="90"/>
        <v>19768.8</v>
      </c>
      <c r="I125" s="42">
        <f t="shared" si="90"/>
        <v>19768.8</v>
      </c>
      <c r="J125" s="42">
        <f t="shared" si="90"/>
        <v>19768.8</v>
      </c>
      <c r="K125" s="42">
        <f t="shared" si="90"/>
        <v>19768.8</v>
      </c>
      <c r="L125" s="93">
        <f t="shared" si="90"/>
        <v>0</v>
      </c>
      <c r="M125" s="42">
        <f t="shared" si="76"/>
        <v>0</v>
      </c>
      <c r="N125" s="94">
        <f t="shared" ref="N125:T125" si="91">SUMIF($B$126:$B$126,"=01",N126:N126)</f>
        <v>0</v>
      </c>
      <c r="O125" s="42">
        <f t="shared" si="91"/>
        <v>0</v>
      </c>
      <c r="P125" s="42">
        <f t="shared" si="91"/>
        <v>19768.8</v>
      </c>
      <c r="Q125" s="42">
        <f t="shared" si="91"/>
        <v>19768.8</v>
      </c>
      <c r="R125" s="42">
        <f t="shared" si="91"/>
        <v>19768.8</v>
      </c>
      <c r="S125" s="42">
        <f t="shared" si="91"/>
        <v>0</v>
      </c>
      <c r="T125" s="42">
        <f t="shared" si="91"/>
        <v>0</v>
      </c>
      <c r="U125" s="100"/>
    </row>
    <row r="126" spans="1:22" ht="31.5" x14ac:dyDescent="0.2">
      <c r="A126" s="103" t="s">
        <v>178</v>
      </c>
      <c r="B126" s="60" t="s">
        <v>25</v>
      </c>
      <c r="C126" s="102" t="s">
        <v>179</v>
      </c>
      <c r="D126" s="62">
        <v>19768.8</v>
      </c>
      <c r="E126" s="63">
        <f t="shared" ref="E126:K126" si="92">D126</f>
        <v>19768.8</v>
      </c>
      <c r="F126" s="63">
        <f t="shared" si="92"/>
        <v>19768.8</v>
      </c>
      <c r="G126" s="63">
        <f t="shared" si="92"/>
        <v>19768.8</v>
      </c>
      <c r="H126" s="63">
        <f t="shared" si="92"/>
        <v>19768.8</v>
      </c>
      <c r="I126" s="63">
        <f t="shared" si="92"/>
        <v>19768.8</v>
      </c>
      <c r="J126" s="63">
        <f t="shared" si="92"/>
        <v>19768.8</v>
      </c>
      <c r="K126" s="63">
        <f t="shared" si="92"/>
        <v>19768.8</v>
      </c>
      <c r="L126" s="64">
        <f>'[1]Бюдж роспись КБ'!K164/1000</f>
        <v>0</v>
      </c>
      <c r="M126" s="65">
        <f t="shared" si="76"/>
        <v>0</v>
      </c>
      <c r="N126" s="66"/>
      <c r="O126" s="65">
        <f>L126-N126</f>
        <v>0</v>
      </c>
      <c r="P126" s="65">
        <f>I126-L126</f>
        <v>19768.8</v>
      </c>
      <c r="Q126" s="65">
        <f>K126-L126</f>
        <v>19768.8</v>
      </c>
      <c r="R126" s="67">
        <f t="shared" ref="R126" si="93">K126</f>
        <v>19768.8</v>
      </c>
      <c r="S126" s="68" t="str">
        <f>IF(R126-K126&gt;0,R126-K126,"")</f>
        <v/>
      </c>
      <c r="T126" s="68" t="str">
        <f>IF(R126-K126&lt;0,R126-K126,"")</f>
        <v/>
      </c>
      <c r="U126" s="96"/>
    </row>
    <row r="127" spans="1:22" s="55" customFormat="1" ht="31.5" x14ac:dyDescent="0.2">
      <c r="A127" s="51" t="s">
        <v>180</v>
      </c>
      <c r="B127" s="56" t="s">
        <v>25</v>
      </c>
      <c r="C127" s="121"/>
      <c r="D127" s="49">
        <f>D128</f>
        <v>319122.40000000002</v>
      </c>
      <c r="E127" s="49">
        <f t="shared" ref="E127:T127" si="94">E128</f>
        <v>319122.40000000002</v>
      </c>
      <c r="F127" s="49">
        <f t="shared" si="94"/>
        <v>319122.40000000002</v>
      </c>
      <c r="G127" s="49">
        <f t="shared" si="94"/>
        <v>319122.40000000002</v>
      </c>
      <c r="H127" s="49">
        <f t="shared" si="94"/>
        <v>319122.40000000002</v>
      </c>
      <c r="I127" s="49">
        <f t="shared" si="94"/>
        <v>319122.40000000002</v>
      </c>
      <c r="J127" s="49">
        <f t="shared" si="94"/>
        <v>319122.40000000002</v>
      </c>
      <c r="K127" s="49">
        <f t="shared" si="94"/>
        <v>319122.40000000002</v>
      </c>
      <c r="L127" s="90">
        <f>L128</f>
        <v>112941.73303</v>
      </c>
      <c r="M127" s="49">
        <f t="shared" si="76"/>
        <v>35.391352355710538</v>
      </c>
      <c r="N127" s="92">
        <f t="shared" si="94"/>
        <v>112941.73303</v>
      </c>
      <c r="O127" s="49">
        <f t="shared" si="94"/>
        <v>0</v>
      </c>
      <c r="P127" s="49">
        <f t="shared" si="94"/>
        <v>206180.66696999999</v>
      </c>
      <c r="Q127" s="49">
        <f t="shared" si="94"/>
        <v>206180.66696999999</v>
      </c>
      <c r="R127" s="49">
        <f t="shared" si="94"/>
        <v>319122.40000000002</v>
      </c>
      <c r="S127" s="49">
        <f t="shared" si="94"/>
        <v>0</v>
      </c>
      <c r="T127" s="49">
        <f t="shared" si="94"/>
        <v>0</v>
      </c>
      <c r="U127" s="100"/>
    </row>
    <row r="128" spans="1:22" s="55" customFormat="1" x14ac:dyDescent="0.2">
      <c r="A128" s="50" t="s">
        <v>24</v>
      </c>
      <c r="B128" s="56" t="s">
        <v>25</v>
      </c>
      <c r="C128" s="101"/>
      <c r="D128" s="42">
        <f t="shared" ref="D128:L128" si="95">SUMIF($B$129:$B$135,"=01",D129:D135)</f>
        <v>319122.40000000002</v>
      </c>
      <c r="E128" s="42">
        <f t="shared" si="95"/>
        <v>319122.40000000002</v>
      </c>
      <c r="F128" s="42">
        <f t="shared" si="95"/>
        <v>319122.40000000002</v>
      </c>
      <c r="G128" s="42">
        <f t="shared" si="95"/>
        <v>319122.40000000002</v>
      </c>
      <c r="H128" s="42">
        <f t="shared" si="95"/>
        <v>319122.40000000002</v>
      </c>
      <c r="I128" s="42">
        <f t="shared" si="95"/>
        <v>319122.40000000002</v>
      </c>
      <c r="J128" s="42">
        <f t="shared" si="95"/>
        <v>319122.40000000002</v>
      </c>
      <c r="K128" s="42">
        <f t="shared" si="95"/>
        <v>319122.40000000002</v>
      </c>
      <c r="L128" s="93">
        <f t="shared" si="95"/>
        <v>112941.73303</v>
      </c>
      <c r="M128" s="42">
        <f t="shared" si="76"/>
        <v>35.391352355710538</v>
      </c>
      <c r="N128" s="94">
        <f t="shared" ref="N128:T128" si="96">SUMIF($B$129:$B$135,"=01",N129:N135)</f>
        <v>112941.73303</v>
      </c>
      <c r="O128" s="42">
        <f t="shared" si="96"/>
        <v>0</v>
      </c>
      <c r="P128" s="42">
        <f t="shared" si="96"/>
        <v>206180.66696999999</v>
      </c>
      <c r="Q128" s="42">
        <f t="shared" si="96"/>
        <v>206180.66696999999</v>
      </c>
      <c r="R128" s="42">
        <f t="shared" si="96"/>
        <v>319122.40000000002</v>
      </c>
      <c r="S128" s="42">
        <f t="shared" si="96"/>
        <v>0</v>
      </c>
      <c r="T128" s="42">
        <f t="shared" si="96"/>
        <v>0</v>
      </c>
      <c r="U128" s="100"/>
    </row>
    <row r="129" spans="1:21" ht="126" x14ac:dyDescent="0.2">
      <c r="A129" s="69" t="s">
        <v>181</v>
      </c>
      <c r="B129" s="60" t="s">
        <v>25</v>
      </c>
      <c r="C129" s="102" t="s">
        <v>182</v>
      </c>
      <c r="D129" s="62">
        <v>1355.2</v>
      </c>
      <c r="E129" s="63">
        <f t="shared" ref="E129:K135" si="97">D129</f>
        <v>1355.2</v>
      </c>
      <c r="F129" s="63">
        <f t="shared" si="97"/>
        <v>1355.2</v>
      </c>
      <c r="G129" s="63">
        <f t="shared" si="97"/>
        <v>1355.2</v>
      </c>
      <c r="H129" s="63">
        <f t="shared" si="97"/>
        <v>1355.2</v>
      </c>
      <c r="I129" s="63">
        <f t="shared" si="97"/>
        <v>1355.2</v>
      </c>
      <c r="J129" s="63">
        <f t="shared" si="97"/>
        <v>1355.2</v>
      </c>
      <c r="K129" s="63">
        <f t="shared" si="97"/>
        <v>1355.2</v>
      </c>
      <c r="L129" s="64">
        <f>N129</f>
        <v>0</v>
      </c>
      <c r="M129" s="65">
        <f t="shared" si="76"/>
        <v>0</v>
      </c>
      <c r="N129" s="66"/>
      <c r="O129" s="65">
        <f t="shared" ref="O129:O135" si="98">L129-N129</f>
        <v>0</v>
      </c>
      <c r="P129" s="65">
        <f t="shared" ref="P129:P135" si="99">I129-L129</f>
        <v>1355.2</v>
      </c>
      <c r="Q129" s="65">
        <f t="shared" ref="Q129:Q135" si="100">K129-L129</f>
        <v>1355.2</v>
      </c>
      <c r="R129" s="67">
        <f t="shared" ref="R129:R135" si="101">K129</f>
        <v>1355.2</v>
      </c>
      <c r="S129" s="68" t="str">
        <f t="shared" ref="S129:S135" si="102">IF(R129-K129&gt;0,R129-K129,"")</f>
        <v/>
      </c>
      <c r="T129" s="68" t="str">
        <f t="shared" ref="T129:T135" si="103">IF(R129-K129&lt;0,R129-K129,"")</f>
        <v/>
      </c>
      <c r="U129" s="80"/>
    </row>
    <row r="130" spans="1:21" ht="31.5" x14ac:dyDescent="0.2">
      <c r="A130" s="69" t="s">
        <v>183</v>
      </c>
      <c r="B130" s="60" t="s">
        <v>25</v>
      </c>
      <c r="C130" s="102" t="s">
        <v>184</v>
      </c>
      <c r="D130" s="62">
        <v>142500</v>
      </c>
      <c r="E130" s="63">
        <f t="shared" si="97"/>
        <v>142500</v>
      </c>
      <c r="F130" s="63">
        <f t="shared" si="97"/>
        <v>142500</v>
      </c>
      <c r="G130" s="63">
        <f t="shared" si="97"/>
        <v>142500</v>
      </c>
      <c r="H130" s="63">
        <f t="shared" si="97"/>
        <v>142500</v>
      </c>
      <c r="I130" s="63">
        <f t="shared" si="97"/>
        <v>142500</v>
      </c>
      <c r="J130" s="63">
        <f t="shared" si="97"/>
        <v>142500</v>
      </c>
      <c r="K130" s="63">
        <f t="shared" si="97"/>
        <v>142500</v>
      </c>
      <c r="L130" s="64">
        <f>'[1]Бюдж роспись КБ'!K169/1000</f>
        <v>57500</v>
      </c>
      <c r="M130" s="65">
        <f t="shared" si="76"/>
        <v>40.350877192982452</v>
      </c>
      <c r="N130" s="66">
        <v>57500</v>
      </c>
      <c r="O130" s="65">
        <f t="shared" si="98"/>
        <v>0</v>
      </c>
      <c r="P130" s="65">
        <f t="shared" si="99"/>
        <v>85000</v>
      </c>
      <c r="Q130" s="65">
        <f t="shared" si="100"/>
        <v>85000</v>
      </c>
      <c r="R130" s="67">
        <f t="shared" si="101"/>
        <v>142500</v>
      </c>
      <c r="S130" s="68" t="str">
        <f t="shared" si="102"/>
        <v/>
      </c>
      <c r="T130" s="68" t="str">
        <f t="shared" si="103"/>
        <v/>
      </c>
      <c r="U130" s="32"/>
    </row>
    <row r="131" spans="1:21" ht="94.5" x14ac:dyDescent="0.2">
      <c r="A131" s="69" t="s">
        <v>185</v>
      </c>
      <c r="B131" s="60" t="s">
        <v>25</v>
      </c>
      <c r="C131" s="102" t="s">
        <v>186</v>
      </c>
      <c r="D131" s="62">
        <v>80469.7</v>
      </c>
      <c r="E131" s="63">
        <f t="shared" si="97"/>
        <v>80469.7</v>
      </c>
      <c r="F131" s="63">
        <f t="shared" si="97"/>
        <v>80469.7</v>
      </c>
      <c r="G131" s="63">
        <f t="shared" si="97"/>
        <v>80469.7</v>
      </c>
      <c r="H131" s="63">
        <f t="shared" si="97"/>
        <v>80469.7</v>
      </c>
      <c r="I131" s="63">
        <f t="shared" si="97"/>
        <v>80469.7</v>
      </c>
      <c r="J131" s="63">
        <f t="shared" si="97"/>
        <v>80469.7</v>
      </c>
      <c r="K131" s="63">
        <f t="shared" si="97"/>
        <v>80469.7</v>
      </c>
      <c r="L131" s="64">
        <f>('[1]Бюдж роспись КБ'!K170+'[1]Бюдж роспись КБ'!K171+'[1]Бюдж роспись КБ'!K172)/1000</f>
        <v>27826.832690000003</v>
      </c>
      <c r="M131" s="65">
        <f t="shared" si="76"/>
        <v>34.580510042910568</v>
      </c>
      <c r="N131" s="66">
        <v>27826.832689999999</v>
      </c>
      <c r="O131" s="65">
        <f t="shared" si="98"/>
        <v>0</v>
      </c>
      <c r="P131" s="65">
        <f t="shared" si="99"/>
        <v>52642.867309999994</v>
      </c>
      <c r="Q131" s="65">
        <f t="shared" si="100"/>
        <v>52642.867309999994</v>
      </c>
      <c r="R131" s="67">
        <f t="shared" si="101"/>
        <v>80469.7</v>
      </c>
      <c r="S131" s="68" t="str">
        <f t="shared" si="102"/>
        <v/>
      </c>
      <c r="T131" s="68" t="str">
        <f t="shared" si="103"/>
        <v/>
      </c>
      <c r="U131" s="71"/>
    </row>
    <row r="132" spans="1:21" ht="110.25" x14ac:dyDescent="0.2">
      <c r="A132" s="59" t="s">
        <v>187</v>
      </c>
      <c r="B132" s="60" t="s">
        <v>25</v>
      </c>
      <c r="C132" s="102" t="s">
        <v>188</v>
      </c>
      <c r="D132" s="62">
        <v>462.5</v>
      </c>
      <c r="E132" s="63">
        <f t="shared" si="97"/>
        <v>462.5</v>
      </c>
      <c r="F132" s="63">
        <f t="shared" si="97"/>
        <v>462.5</v>
      </c>
      <c r="G132" s="63">
        <f t="shared" si="97"/>
        <v>462.5</v>
      </c>
      <c r="H132" s="63">
        <f t="shared" si="97"/>
        <v>462.5</v>
      </c>
      <c r="I132" s="63">
        <f t="shared" si="97"/>
        <v>462.5</v>
      </c>
      <c r="J132" s="63">
        <f t="shared" si="97"/>
        <v>462.5</v>
      </c>
      <c r="K132" s="63">
        <f t="shared" si="97"/>
        <v>462.5</v>
      </c>
      <c r="L132" s="64">
        <f>'[1]Бюдж роспись КБ'!K173/1000</f>
        <v>103.23185000000001</v>
      </c>
      <c r="M132" s="65">
        <f t="shared" si="76"/>
        <v>22.320400000000003</v>
      </c>
      <c r="N132" s="66">
        <v>103.23184999999999</v>
      </c>
      <c r="O132" s="65">
        <f t="shared" si="98"/>
        <v>0</v>
      </c>
      <c r="P132" s="122">
        <f t="shared" si="99"/>
        <v>359.26814999999999</v>
      </c>
      <c r="Q132" s="65">
        <f t="shared" si="100"/>
        <v>359.26814999999999</v>
      </c>
      <c r="R132" s="67">
        <f t="shared" si="101"/>
        <v>462.5</v>
      </c>
      <c r="S132" s="68" t="str">
        <f t="shared" si="102"/>
        <v/>
      </c>
      <c r="T132" s="68" t="str">
        <f t="shared" si="103"/>
        <v/>
      </c>
      <c r="U132" s="32"/>
    </row>
    <row r="133" spans="1:21" ht="110.25" x14ac:dyDescent="0.2">
      <c r="A133" s="69" t="s">
        <v>189</v>
      </c>
      <c r="B133" s="60" t="s">
        <v>25</v>
      </c>
      <c r="C133" s="102" t="s">
        <v>190</v>
      </c>
      <c r="D133" s="62">
        <v>1292</v>
      </c>
      <c r="E133" s="63">
        <f t="shared" si="97"/>
        <v>1292</v>
      </c>
      <c r="F133" s="63">
        <f t="shared" si="97"/>
        <v>1292</v>
      </c>
      <c r="G133" s="63">
        <f t="shared" si="97"/>
        <v>1292</v>
      </c>
      <c r="H133" s="63">
        <f t="shared" si="97"/>
        <v>1292</v>
      </c>
      <c r="I133" s="63">
        <f t="shared" si="97"/>
        <v>1292</v>
      </c>
      <c r="J133" s="63">
        <f t="shared" si="97"/>
        <v>1292</v>
      </c>
      <c r="K133" s="63">
        <f t="shared" si="97"/>
        <v>1292</v>
      </c>
      <c r="L133" s="64">
        <f>'[1]Бюдж роспись КБ'!K175/1000</f>
        <v>664.21849999999995</v>
      </c>
      <c r="M133" s="65">
        <f t="shared" si="76"/>
        <v>51.410100619195042</v>
      </c>
      <c r="N133" s="66">
        <v>664.21849999999995</v>
      </c>
      <c r="O133" s="65">
        <f t="shared" si="98"/>
        <v>0</v>
      </c>
      <c r="P133" s="65">
        <f t="shared" si="99"/>
        <v>627.78150000000005</v>
      </c>
      <c r="Q133" s="65">
        <f t="shared" si="100"/>
        <v>627.78150000000005</v>
      </c>
      <c r="R133" s="67">
        <f t="shared" si="101"/>
        <v>1292</v>
      </c>
      <c r="S133" s="68" t="str">
        <f t="shared" si="102"/>
        <v/>
      </c>
      <c r="T133" s="68" t="str">
        <f t="shared" si="103"/>
        <v/>
      </c>
      <c r="U133" s="32"/>
    </row>
    <row r="134" spans="1:21" ht="63" x14ac:dyDescent="0.2">
      <c r="A134" s="123" t="s">
        <v>191</v>
      </c>
      <c r="B134" s="60" t="s">
        <v>25</v>
      </c>
      <c r="C134" s="102" t="s">
        <v>192</v>
      </c>
      <c r="D134" s="62">
        <v>7200</v>
      </c>
      <c r="E134" s="63">
        <f t="shared" si="97"/>
        <v>7200</v>
      </c>
      <c r="F134" s="63">
        <f t="shared" si="97"/>
        <v>7200</v>
      </c>
      <c r="G134" s="63">
        <f t="shared" si="97"/>
        <v>7200</v>
      </c>
      <c r="H134" s="63">
        <f t="shared" si="97"/>
        <v>7200</v>
      </c>
      <c r="I134" s="63">
        <f t="shared" si="97"/>
        <v>7200</v>
      </c>
      <c r="J134" s="63">
        <f t="shared" si="97"/>
        <v>7200</v>
      </c>
      <c r="K134" s="63">
        <f t="shared" si="97"/>
        <v>7200</v>
      </c>
      <c r="L134" s="64"/>
      <c r="M134" s="65"/>
      <c r="N134" s="66"/>
      <c r="O134" s="65">
        <f t="shared" si="98"/>
        <v>0</v>
      </c>
      <c r="P134" s="65">
        <f t="shared" si="99"/>
        <v>7200</v>
      </c>
      <c r="Q134" s="65">
        <f t="shared" si="100"/>
        <v>7200</v>
      </c>
      <c r="R134" s="67">
        <f t="shared" si="101"/>
        <v>7200</v>
      </c>
      <c r="S134" s="68" t="str">
        <f t="shared" si="102"/>
        <v/>
      </c>
      <c r="T134" s="68" t="str">
        <f t="shared" si="103"/>
        <v/>
      </c>
      <c r="U134" s="32"/>
    </row>
    <row r="135" spans="1:21" ht="236.25" x14ac:dyDescent="0.2">
      <c r="A135" s="69" t="s">
        <v>193</v>
      </c>
      <c r="B135" s="60" t="s">
        <v>25</v>
      </c>
      <c r="C135" s="102" t="s">
        <v>194</v>
      </c>
      <c r="D135" s="62">
        <v>85843</v>
      </c>
      <c r="E135" s="63">
        <f t="shared" si="97"/>
        <v>85843</v>
      </c>
      <c r="F135" s="63">
        <f t="shared" si="97"/>
        <v>85843</v>
      </c>
      <c r="G135" s="63">
        <f t="shared" si="97"/>
        <v>85843</v>
      </c>
      <c r="H135" s="63">
        <f t="shared" si="97"/>
        <v>85843</v>
      </c>
      <c r="I135" s="63">
        <f t="shared" si="97"/>
        <v>85843</v>
      </c>
      <c r="J135" s="63">
        <f t="shared" si="97"/>
        <v>85843</v>
      </c>
      <c r="K135" s="63">
        <f t="shared" si="97"/>
        <v>85843</v>
      </c>
      <c r="L135" s="64">
        <f>N135</f>
        <v>26847.449990000001</v>
      </c>
      <c r="M135" s="65">
        <f t="shared" ref="M135:M172" si="104">L135/J135*100</f>
        <v>31.275060272823644</v>
      </c>
      <c r="N135" s="66">
        <v>26847.449990000001</v>
      </c>
      <c r="O135" s="65">
        <f t="shared" si="98"/>
        <v>0</v>
      </c>
      <c r="P135" s="65">
        <f t="shared" si="99"/>
        <v>58995.550009999999</v>
      </c>
      <c r="Q135" s="65">
        <f t="shared" si="100"/>
        <v>58995.550009999999</v>
      </c>
      <c r="R135" s="67">
        <f t="shared" si="101"/>
        <v>85843</v>
      </c>
      <c r="S135" s="68" t="str">
        <f t="shared" si="102"/>
        <v/>
      </c>
      <c r="T135" s="68" t="str">
        <f t="shared" si="103"/>
        <v/>
      </c>
      <c r="U135" s="32"/>
    </row>
    <row r="136" spans="1:21" s="55" customFormat="1" ht="31.5" x14ac:dyDescent="0.2">
      <c r="A136" s="51" t="s">
        <v>195</v>
      </c>
      <c r="B136" s="60" t="s">
        <v>30</v>
      </c>
      <c r="C136" s="99">
        <f>SUM(C139:C152)</f>
        <v>0</v>
      </c>
      <c r="D136" s="49">
        <f>D137+D138</f>
        <v>343910.69999999995</v>
      </c>
      <c r="E136" s="49">
        <f t="shared" ref="E136:T136" si="105">E137+E138</f>
        <v>343910.69999999995</v>
      </c>
      <c r="F136" s="49">
        <f t="shared" si="105"/>
        <v>343910.69999999995</v>
      </c>
      <c r="G136" s="49">
        <f t="shared" si="105"/>
        <v>418910.69999999995</v>
      </c>
      <c r="H136" s="49">
        <f t="shared" si="105"/>
        <v>418910.69999999995</v>
      </c>
      <c r="I136" s="49">
        <f t="shared" si="105"/>
        <v>418910.69999999995</v>
      </c>
      <c r="J136" s="49">
        <f t="shared" si="105"/>
        <v>418910.69999999995</v>
      </c>
      <c r="K136" s="49">
        <f t="shared" si="105"/>
        <v>418910.69999999995</v>
      </c>
      <c r="L136" s="90">
        <f>L137+L138</f>
        <v>331852.86945</v>
      </c>
      <c r="M136" s="49">
        <f t="shared" si="104"/>
        <v>79.218045624043512</v>
      </c>
      <c r="N136" s="92">
        <f t="shared" si="105"/>
        <v>331852.86945</v>
      </c>
      <c r="O136" s="49">
        <f t="shared" si="105"/>
        <v>0</v>
      </c>
      <c r="P136" s="49">
        <f t="shared" si="105"/>
        <v>87057.830549999984</v>
      </c>
      <c r="Q136" s="49">
        <f t="shared" si="105"/>
        <v>87057.830549999984</v>
      </c>
      <c r="R136" s="49">
        <f t="shared" si="105"/>
        <v>418910.69999999995</v>
      </c>
      <c r="S136" s="49">
        <f t="shared" si="105"/>
        <v>0</v>
      </c>
      <c r="T136" s="49">
        <f t="shared" si="105"/>
        <v>0</v>
      </c>
      <c r="U136" s="100"/>
    </row>
    <row r="137" spans="1:21" s="55" customFormat="1" x14ac:dyDescent="0.2">
      <c r="A137" s="50" t="s">
        <v>24</v>
      </c>
      <c r="B137" s="56" t="s">
        <v>25</v>
      </c>
      <c r="C137" s="101"/>
      <c r="D137" s="42">
        <f t="shared" ref="D137:L137" si="106">SUMIF($B$139:$B$152,"=01",D139:D152)</f>
        <v>328401.99999999994</v>
      </c>
      <c r="E137" s="42">
        <f t="shared" si="106"/>
        <v>328401.99999999994</v>
      </c>
      <c r="F137" s="42">
        <f t="shared" si="106"/>
        <v>328401.99999999994</v>
      </c>
      <c r="G137" s="42">
        <f t="shared" si="106"/>
        <v>403401.99999999994</v>
      </c>
      <c r="H137" s="42">
        <f t="shared" si="106"/>
        <v>403401.99999999994</v>
      </c>
      <c r="I137" s="42">
        <f t="shared" si="106"/>
        <v>403401.99999999994</v>
      </c>
      <c r="J137" s="42">
        <f t="shared" si="106"/>
        <v>403401.99999999994</v>
      </c>
      <c r="K137" s="42">
        <f t="shared" si="106"/>
        <v>403401.99999999994</v>
      </c>
      <c r="L137" s="93">
        <f t="shared" si="106"/>
        <v>320259.22369000001</v>
      </c>
      <c r="M137" s="42">
        <f t="shared" si="104"/>
        <v>79.389597396641577</v>
      </c>
      <c r="N137" s="94">
        <f t="shared" ref="N137:T137" si="107">SUMIF($B$139:$B$152,"=01",N139:N152)</f>
        <v>320259.22369000001</v>
      </c>
      <c r="O137" s="42">
        <f t="shared" si="107"/>
        <v>0</v>
      </c>
      <c r="P137" s="42">
        <f t="shared" si="107"/>
        <v>83142.776309999987</v>
      </c>
      <c r="Q137" s="42">
        <f t="shared" si="107"/>
        <v>83142.776309999987</v>
      </c>
      <c r="R137" s="42">
        <f t="shared" si="107"/>
        <v>403401.99999999994</v>
      </c>
      <c r="S137" s="42">
        <f t="shared" si="107"/>
        <v>0</v>
      </c>
      <c r="T137" s="42">
        <f t="shared" si="107"/>
        <v>0</v>
      </c>
      <c r="U137" s="100"/>
    </row>
    <row r="138" spans="1:21" s="55" customFormat="1" x14ac:dyDescent="0.2">
      <c r="A138" s="50" t="s">
        <v>26</v>
      </c>
      <c r="B138" s="56" t="s">
        <v>27</v>
      </c>
      <c r="C138" s="101"/>
      <c r="D138" s="42">
        <f t="shared" ref="D138:L138" si="108">SUMIF($B$139:$B$152,"=02",D139:D152)</f>
        <v>15508.7</v>
      </c>
      <c r="E138" s="42">
        <f t="shared" si="108"/>
        <v>15508.7</v>
      </c>
      <c r="F138" s="42">
        <f t="shared" si="108"/>
        <v>15508.7</v>
      </c>
      <c r="G138" s="42">
        <f t="shared" si="108"/>
        <v>15508.7</v>
      </c>
      <c r="H138" s="42">
        <f t="shared" si="108"/>
        <v>15508.7</v>
      </c>
      <c r="I138" s="42">
        <f t="shared" si="108"/>
        <v>15508.7</v>
      </c>
      <c r="J138" s="42">
        <f t="shared" si="108"/>
        <v>15508.7</v>
      </c>
      <c r="K138" s="42">
        <f t="shared" si="108"/>
        <v>15508.7</v>
      </c>
      <c r="L138" s="93">
        <f t="shared" si="108"/>
        <v>11593.645759999999</v>
      </c>
      <c r="M138" s="42">
        <f t="shared" si="104"/>
        <v>74.755754898863216</v>
      </c>
      <c r="N138" s="94">
        <f t="shared" ref="N138:T138" si="109">SUMIF($B$139:$B$152,"=02",N139:N152)</f>
        <v>11593.645759999999</v>
      </c>
      <c r="O138" s="42">
        <f t="shared" si="109"/>
        <v>0</v>
      </c>
      <c r="P138" s="42">
        <f t="shared" si="109"/>
        <v>3915.0542400000004</v>
      </c>
      <c r="Q138" s="42">
        <f t="shared" si="109"/>
        <v>3915.0542400000004</v>
      </c>
      <c r="R138" s="42">
        <f t="shared" si="109"/>
        <v>15508.7</v>
      </c>
      <c r="S138" s="42">
        <f t="shared" si="109"/>
        <v>0</v>
      </c>
      <c r="T138" s="42">
        <f t="shared" si="109"/>
        <v>0</v>
      </c>
      <c r="U138" s="100"/>
    </row>
    <row r="139" spans="1:21" ht="63" x14ac:dyDescent="0.2">
      <c r="A139" s="69" t="s">
        <v>196</v>
      </c>
      <c r="B139" s="60" t="s">
        <v>25</v>
      </c>
      <c r="C139" s="102" t="s">
        <v>197</v>
      </c>
      <c r="D139" s="62">
        <v>244228.6</v>
      </c>
      <c r="E139" s="63">
        <f t="shared" ref="E139:K152" si="110">D139</f>
        <v>244228.6</v>
      </c>
      <c r="F139" s="63">
        <f t="shared" si="110"/>
        <v>244228.6</v>
      </c>
      <c r="G139" s="63">
        <f t="shared" si="110"/>
        <v>244228.6</v>
      </c>
      <c r="H139" s="63">
        <f t="shared" si="110"/>
        <v>244228.6</v>
      </c>
      <c r="I139" s="63">
        <f t="shared" si="110"/>
        <v>244228.6</v>
      </c>
      <c r="J139" s="63">
        <f t="shared" si="110"/>
        <v>244228.6</v>
      </c>
      <c r="K139" s="63">
        <f t="shared" si="110"/>
        <v>244228.6</v>
      </c>
      <c r="L139" s="64">
        <v>237275.84340000001</v>
      </c>
      <c r="M139" s="65">
        <f t="shared" si="104"/>
        <v>97.153176736876844</v>
      </c>
      <c r="N139" s="66">
        <v>237275.84340000001</v>
      </c>
      <c r="O139" s="65">
        <f>L139-N139</f>
        <v>0</v>
      </c>
      <c r="P139" s="65">
        <f t="shared" ref="P139:P152" si="111">I139-L139</f>
        <v>6952.7565999999933</v>
      </c>
      <c r="Q139" s="65">
        <f t="shared" ref="Q139:Q152" si="112">K139-L139</f>
        <v>6952.7565999999933</v>
      </c>
      <c r="R139" s="67">
        <f t="shared" ref="R139:R152" si="113">K139</f>
        <v>244228.6</v>
      </c>
      <c r="S139" s="68" t="str">
        <f t="shared" ref="S139:S152" si="114">IF(R139-K139&gt;0,R139-K139,"")</f>
        <v/>
      </c>
      <c r="T139" s="68" t="str">
        <f t="shared" ref="T139:T152" si="115">IF(R139-K139&lt;0,R139-K139,"")</f>
        <v/>
      </c>
      <c r="U139" s="32"/>
    </row>
    <row r="140" spans="1:21" ht="47.25" x14ac:dyDescent="0.2">
      <c r="A140" s="69" t="s">
        <v>198</v>
      </c>
      <c r="B140" s="60" t="s">
        <v>25</v>
      </c>
      <c r="C140" s="102"/>
      <c r="D140" s="62"/>
      <c r="E140" s="63"/>
      <c r="F140" s="63"/>
      <c r="G140" s="78">
        <v>75000</v>
      </c>
      <c r="H140" s="63">
        <f t="shared" si="110"/>
        <v>75000</v>
      </c>
      <c r="I140" s="63">
        <f t="shared" si="110"/>
        <v>75000</v>
      </c>
      <c r="J140" s="63">
        <f t="shared" si="110"/>
        <v>75000</v>
      </c>
      <c r="K140" s="63">
        <f t="shared" si="110"/>
        <v>75000</v>
      </c>
      <c r="L140" s="64"/>
      <c r="M140" s="65"/>
      <c r="N140" s="66"/>
      <c r="O140" s="65"/>
      <c r="P140" s="65">
        <f t="shared" si="111"/>
        <v>75000</v>
      </c>
      <c r="Q140" s="65">
        <f t="shared" si="112"/>
        <v>75000</v>
      </c>
      <c r="R140" s="67">
        <f t="shared" si="113"/>
        <v>75000</v>
      </c>
      <c r="S140" s="68"/>
      <c r="T140" s="68"/>
      <c r="U140" s="32"/>
    </row>
    <row r="141" spans="1:21" ht="94.5" x14ac:dyDescent="0.2">
      <c r="A141" s="69" t="s">
        <v>199</v>
      </c>
      <c r="B141" s="60" t="s">
        <v>25</v>
      </c>
      <c r="C141" s="102" t="s">
        <v>200</v>
      </c>
      <c r="D141" s="62">
        <v>35474.5</v>
      </c>
      <c r="E141" s="63">
        <f t="shared" ref="E141:G152" si="116">D141</f>
        <v>35474.5</v>
      </c>
      <c r="F141" s="63">
        <f t="shared" si="116"/>
        <v>35474.5</v>
      </c>
      <c r="G141" s="63">
        <f t="shared" si="116"/>
        <v>35474.5</v>
      </c>
      <c r="H141" s="63">
        <f t="shared" si="110"/>
        <v>35474.5</v>
      </c>
      <c r="I141" s="63">
        <f t="shared" si="110"/>
        <v>35474.5</v>
      </c>
      <c r="J141" s="63">
        <f t="shared" si="110"/>
        <v>35474.5</v>
      </c>
      <c r="K141" s="63">
        <f t="shared" si="110"/>
        <v>35474.5</v>
      </c>
      <c r="L141" s="64">
        <f>N141</f>
        <v>35474.472000000002</v>
      </c>
      <c r="M141" s="65">
        <f t="shared" si="104"/>
        <v>99.999921070064417</v>
      </c>
      <c r="N141" s="66">
        <v>35474.472000000002</v>
      </c>
      <c r="O141" s="65"/>
      <c r="P141" s="65">
        <f t="shared" si="111"/>
        <v>2.7999999998428393E-2</v>
      </c>
      <c r="Q141" s="65">
        <f t="shared" si="112"/>
        <v>2.7999999998428393E-2</v>
      </c>
      <c r="R141" s="67">
        <f t="shared" si="113"/>
        <v>35474.5</v>
      </c>
      <c r="S141" s="68" t="str">
        <f t="shared" si="114"/>
        <v/>
      </c>
      <c r="T141" s="68" t="str">
        <f t="shared" si="115"/>
        <v/>
      </c>
      <c r="U141" s="32"/>
    </row>
    <row r="142" spans="1:21" ht="78.75" x14ac:dyDescent="0.2">
      <c r="A142" s="69" t="s">
        <v>201</v>
      </c>
      <c r="B142" s="60" t="s">
        <v>25</v>
      </c>
      <c r="C142" s="102" t="s">
        <v>202</v>
      </c>
      <c r="D142" s="62">
        <v>14512.3</v>
      </c>
      <c r="E142" s="63">
        <f t="shared" si="116"/>
        <v>14512.3</v>
      </c>
      <c r="F142" s="63">
        <f t="shared" si="116"/>
        <v>14512.3</v>
      </c>
      <c r="G142" s="63">
        <f t="shared" si="116"/>
        <v>14512.3</v>
      </c>
      <c r="H142" s="63">
        <f t="shared" si="110"/>
        <v>14512.3</v>
      </c>
      <c r="I142" s="63">
        <f t="shared" si="110"/>
        <v>14512.3</v>
      </c>
      <c r="J142" s="63">
        <f t="shared" si="110"/>
        <v>14512.3</v>
      </c>
      <c r="K142" s="63">
        <f t="shared" si="110"/>
        <v>14512.3</v>
      </c>
      <c r="L142" s="64">
        <f>N142</f>
        <v>14387.31711</v>
      </c>
      <c r="M142" s="65">
        <f>L142/J142*100</f>
        <v>99.138779586971054</v>
      </c>
      <c r="N142" s="66">
        <v>14387.31711</v>
      </c>
      <c r="O142" s="65"/>
      <c r="P142" s="65">
        <f t="shared" si="111"/>
        <v>124.98288999999932</v>
      </c>
      <c r="Q142" s="65">
        <f t="shared" si="112"/>
        <v>124.98288999999932</v>
      </c>
      <c r="R142" s="67">
        <f t="shared" si="113"/>
        <v>14512.3</v>
      </c>
      <c r="S142" s="68" t="str">
        <f t="shared" si="114"/>
        <v/>
      </c>
      <c r="T142" s="68" t="str">
        <f t="shared" si="115"/>
        <v/>
      </c>
      <c r="U142" s="32"/>
    </row>
    <row r="143" spans="1:21" ht="157.5" x14ac:dyDescent="0.2">
      <c r="A143" s="59" t="s">
        <v>203</v>
      </c>
      <c r="B143" s="60" t="s">
        <v>25</v>
      </c>
      <c r="C143" s="102" t="s">
        <v>204</v>
      </c>
      <c r="D143" s="62">
        <v>29024.6</v>
      </c>
      <c r="E143" s="63">
        <f t="shared" si="116"/>
        <v>29024.6</v>
      </c>
      <c r="F143" s="63">
        <f t="shared" si="116"/>
        <v>29024.6</v>
      </c>
      <c r="G143" s="63">
        <f t="shared" si="116"/>
        <v>29024.6</v>
      </c>
      <c r="H143" s="63">
        <f t="shared" si="110"/>
        <v>29024.6</v>
      </c>
      <c r="I143" s="63">
        <f t="shared" si="110"/>
        <v>29024.6</v>
      </c>
      <c r="J143" s="63">
        <f t="shared" si="110"/>
        <v>29024.6</v>
      </c>
      <c r="K143" s="63">
        <f t="shared" si="110"/>
        <v>29024.6</v>
      </c>
      <c r="L143" s="64">
        <v>29024.6</v>
      </c>
      <c r="M143" s="65">
        <f t="shared" si="104"/>
        <v>100</v>
      </c>
      <c r="N143" s="66">
        <v>29024.6</v>
      </c>
      <c r="O143" s="65">
        <f>L143-N143</f>
        <v>0</v>
      </c>
      <c r="P143" s="65">
        <f t="shared" si="111"/>
        <v>0</v>
      </c>
      <c r="Q143" s="65">
        <f t="shared" si="112"/>
        <v>0</v>
      </c>
      <c r="R143" s="67">
        <f t="shared" si="113"/>
        <v>29024.6</v>
      </c>
      <c r="S143" s="68" t="str">
        <f t="shared" si="114"/>
        <v/>
      </c>
      <c r="T143" s="68" t="str">
        <f t="shared" si="115"/>
        <v/>
      </c>
      <c r="U143" s="32"/>
    </row>
    <row r="144" spans="1:21" ht="63" x14ac:dyDescent="0.2">
      <c r="A144" s="59" t="s">
        <v>205</v>
      </c>
      <c r="B144" s="60" t="s">
        <v>30</v>
      </c>
      <c r="C144" s="105"/>
      <c r="D144" s="62"/>
      <c r="E144" s="63">
        <f t="shared" si="116"/>
        <v>0</v>
      </c>
      <c r="F144" s="63">
        <f t="shared" si="116"/>
        <v>0</v>
      </c>
      <c r="G144" s="63">
        <f t="shared" si="116"/>
        <v>0</v>
      </c>
      <c r="H144" s="63">
        <f t="shared" si="110"/>
        <v>0</v>
      </c>
      <c r="I144" s="63">
        <f t="shared" si="110"/>
        <v>0</v>
      </c>
      <c r="J144" s="63">
        <f t="shared" si="110"/>
        <v>0</v>
      </c>
      <c r="K144" s="63">
        <f t="shared" si="110"/>
        <v>0</v>
      </c>
      <c r="L144" s="64"/>
      <c r="M144" s="65"/>
      <c r="N144" s="66"/>
      <c r="O144" s="65">
        <f t="shared" ref="O144:O152" si="117">L144-N144</f>
        <v>0</v>
      </c>
      <c r="P144" s="65">
        <f t="shared" si="111"/>
        <v>0</v>
      </c>
      <c r="Q144" s="65">
        <f t="shared" si="112"/>
        <v>0</v>
      </c>
      <c r="R144" s="67">
        <f t="shared" si="113"/>
        <v>0</v>
      </c>
      <c r="S144" s="68"/>
      <c r="T144" s="68"/>
      <c r="U144" s="32"/>
    </row>
    <row r="145" spans="1:21" x14ac:dyDescent="0.2">
      <c r="A145" s="50" t="s">
        <v>24</v>
      </c>
      <c r="B145" s="60" t="s">
        <v>25</v>
      </c>
      <c r="C145" s="102" t="s">
        <v>206</v>
      </c>
      <c r="D145" s="62">
        <v>18.600000000000001</v>
      </c>
      <c r="E145" s="63">
        <f t="shared" si="116"/>
        <v>18.600000000000001</v>
      </c>
      <c r="F145" s="63">
        <f t="shared" si="116"/>
        <v>18.600000000000001</v>
      </c>
      <c r="G145" s="63">
        <f t="shared" si="116"/>
        <v>18.600000000000001</v>
      </c>
      <c r="H145" s="63">
        <f t="shared" si="110"/>
        <v>18.600000000000001</v>
      </c>
      <c r="I145" s="63">
        <f t="shared" si="110"/>
        <v>18.600000000000001</v>
      </c>
      <c r="J145" s="63">
        <f t="shared" si="110"/>
        <v>18.600000000000001</v>
      </c>
      <c r="K145" s="63">
        <f t="shared" si="110"/>
        <v>18.600000000000001</v>
      </c>
      <c r="L145" s="64"/>
      <c r="M145" s="65">
        <f t="shared" si="104"/>
        <v>0</v>
      </c>
      <c r="N145" s="66"/>
      <c r="O145" s="65">
        <f t="shared" si="117"/>
        <v>0</v>
      </c>
      <c r="P145" s="65">
        <f t="shared" si="111"/>
        <v>18.600000000000001</v>
      </c>
      <c r="Q145" s="65">
        <f t="shared" si="112"/>
        <v>18.600000000000001</v>
      </c>
      <c r="R145" s="67">
        <f t="shared" si="113"/>
        <v>18.600000000000001</v>
      </c>
      <c r="S145" s="68"/>
      <c r="T145" s="68"/>
      <c r="U145" s="32"/>
    </row>
    <row r="146" spans="1:21" x14ac:dyDescent="0.2">
      <c r="A146" s="50" t="s">
        <v>26</v>
      </c>
      <c r="B146" s="60" t="s">
        <v>27</v>
      </c>
      <c r="C146" s="102" t="s">
        <v>206</v>
      </c>
      <c r="D146" s="62">
        <v>352.9</v>
      </c>
      <c r="E146" s="63">
        <f t="shared" si="116"/>
        <v>352.9</v>
      </c>
      <c r="F146" s="63">
        <f t="shared" si="116"/>
        <v>352.9</v>
      </c>
      <c r="G146" s="63">
        <f t="shared" si="116"/>
        <v>352.9</v>
      </c>
      <c r="H146" s="63">
        <f t="shared" si="110"/>
        <v>352.9</v>
      </c>
      <c r="I146" s="63">
        <f t="shared" si="110"/>
        <v>352.9</v>
      </c>
      <c r="J146" s="63">
        <f t="shared" si="110"/>
        <v>352.9</v>
      </c>
      <c r="K146" s="63">
        <f t="shared" si="110"/>
        <v>352.9</v>
      </c>
      <c r="L146" s="64"/>
      <c r="M146" s="65">
        <f t="shared" si="104"/>
        <v>0</v>
      </c>
      <c r="N146" s="66"/>
      <c r="O146" s="65">
        <f t="shared" si="117"/>
        <v>0</v>
      </c>
      <c r="P146" s="65">
        <f t="shared" si="111"/>
        <v>352.9</v>
      </c>
      <c r="Q146" s="65">
        <f t="shared" si="112"/>
        <v>352.9</v>
      </c>
      <c r="R146" s="67">
        <f t="shared" si="113"/>
        <v>352.9</v>
      </c>
      <c r="S146" s="68"/>
      <c r="T146" s="68"/>
      <c r="U146" s="32"/>
    </row>
    <row r="147" spans="1:21" ht="63" x14ac:dyDescent="0.2">
      <c r="A147" s="59" t="s">
        <v>207</v>
      </c>
      <c r="B147" s="60"/>
      <c r="C147" s="102"/>
      <c r="D147" s="62"/>
      <c r="E147" s="63">
        <f t="shared" si="116"/>
        <v>0</v>
      </c>
      <c r="F147" s="63">
        <f t="shared" si="116"/>
        <v>0</v>
      </c>
      <c r="G147" s="63">
        <f t="shared" si="116"/>
        <v>0</v>
      </c>
      <c r="H147" s="63">
        <f t="shared" si="110"/>
        <v>0</v>
      </c>
      <c r="I147" s="63">
        <f t="shared" si="110"/>
        <v>0</v>
      </c>
      <c r="J147" s="63">
        <f t="shared" si="110"/>
        <v>0</v>
      </c>
      <c r="K147" s="63">
        <f t="shared" si="110"/>
        <v>0</v>
      </c>
      <c r="L147" s="64"/>
      <c r="M147" s="65"/>
      <c r="N147" s="66"/>
      <c r="O147" s="65">
        <f t="shared" si="117"/>
        <v>0</v>
      </c>
      <c r="P147" s="65">
        <f t="shared" si="111"/>
        <v>0</v>
      </c>
      <c r="Q147" s="65">
        <f t="shared" si="112"/>
        <v>0</v>
      </c>
      <c r="R147" s="67">
        <f t="shared" si="113"/>
        <v>0</v>
      </c>
      <c r="S147" s="68"/>
      <c r="T147" s="68"/>
      <c r="U147" s="32"/>
    </row>
    <row r="148" spans="1:21" x14ac:dyDescent="0.2">
      <c r="A148" s="50" t="s">
        <v>24</v>
      </c>
      <c r="B148" s="60" t="s">
        <v>25</v>
      </c>
      <c r="C148" s="102" t="s">
        <v>208</v>
      </c>
      <c r="D148" s="62">
        <v>37.200000000000003</v>
      </c>
      <c r="E148" s="63">
        <f t="shared" si="116"/>
        <v>37.200000000000003</v>
      </c>
      <c r="F148" s="63">
        <f t="shared" si="116"/>
        <v>37.200000000000003</v>
      </c>
      <c r="G148" s="63">
        <f t="shared" si="116"/>
        <v>37.200000000000003</v>
      </c>
      <c r="H148" s="63">
        <f t="shared" si="110"/>
        <v>37.200000000000003</v>
      </c>
      <c r="I148" s="63">
        <f t="shared" si="110"/>
        <v>37.200000000000003</v>
      </c>
      <c r="J148" s="63">
        <f t="shared" si="110"/>
        <v>37.200000000000003</v>
      </c>
      <c r="K148" s="63">
        <f t="shared" si="110"/>
        <v>37.200000000000003</v>
      </c>
      <c r="L148" s="64"/>
      <c r="M148" s="65">
        <f t="shared" si="104"/>
        <v>0</v>
      </c>
      <c r="N148" s="66"/>
      <c r="O148" s="65">
        <f t="shared" si="117"/>
        <v>0</v>
      </c>
      <c r="P148" s="65">
        <f t="shared" si="111"/>
        <v>37.200000000000003</v>
      </c>
      <c r="Q148" s="65">
        <f t="shared" si="112"/>
        <v>37.200000000000003</v>
      </c>
      <c r="R148" s="67">
        <f t="shared" si="113"/>
        <v>37.200000000000003</v>
      </c>
      <c r="S148" s="68"/>
      <c r="T148" s="68"/>
      <c r="U148" s="32"/>
    </row>
    <row r="149" spans="1:21" x14ac:dyDescent="0.2">
      <c r="A149" s="50" t="s">
        <v>26</v>
      </c>
      <c r="B149" s="60" t="s">
        <v>27</v>
      </c>
      <c r="C149" s="102" t="s">
        <v>208</v>
      </c>
      <c r="D149" s="62">
        <v>706.3</v>
      </c>
      <c r="E149" s="63">
        <f t="shared" si="116"/>
        <v>706.3</v>
      </c>
      <c r="F149" s="63">
        <f t="shared" si="116"/>
        <v>706.3</v>
      </c>
      <c r="G149" s="63">
        <f t="shared" si="116"/>
        <v>706.3</v>
      </c>
      <c r="H149" s="63">
        <f t="shared" si="110"/>
        <v>706.3</v>
      </c>
      <c r="I149" s="63">
        <f t="shared" si="110"/>
        <v>706.3</v>
      </c>
      <c r="J149" s="63">
        <f t="shared" si="110"/>
        <v>706.3</v>
      </c>
      <c r="K149" s="63">
        <f t="shared" si="110"/>
        <v>706.3</v>
      </c>
      <c r="L149" s="64"/>
      <c r="M149" s="65">
        <f t="shared" si="104"/>
        <v>0</v>
      </c>
      <c r="N149" s="66"/>
      <c r="O149" s="65">
        <f t="shared" si="117"/>
        <v>0</v>
      </c>
      <c r="P149" s="65">
        <f t="shared" si="111"/>
        <v>706.3</v>
      </c>
      <c r="Q149" s="65">
        <f t="shared" si="112"/>
        <v>706.3</v>
      </c>
      <c r="R149" s="67">
        <f t="shared" si="113"/>
        <v>706.3</v>
      </c>
      <c r="S149" s="68"/>
      <c r="T149" s="68"/>
      <c r="U149" s="32"/>
    </row>
    <row r="150" spans="1:21" ht="31.5" x14ac:dyDescent="0.2">
      <c r="A150" s="69" t="s">
        <v>209</v>
      </c>
      <c r="B150" s="60" t="s">
        <v>30</v>
      </c>
      <c r="C150" s="102"/>
      <c r="D150" s="62"/>
      <c r="E150" s="63">
        <f t="shared" si="116"/>
        <v>0</v>
      </c>
      <c r="F150" s="63">
        <f t="shared" si="116"/>
        <v>0</v>
      </c>
      <c r="G150" s="63">
        <f t="shared" si="116"/>
        <v>0</v>
      </c>
      <c r="H150" s="63">
        <f t="shared" si="110"/>
        <v>0</v>
      </c>
      <c r="I150" s="63">
        <f t="shared" si="110"/>
        <v>0</v>
      </c>
      <c r="J150" s="63">
        <f t="shared" si="110"/>
        <v>0</v>
      </c>
      <c r="K150" s="63">
        <f t="shared" si="110"/>
        <v>0</v>
      </c>
      <c r="L150" s="64"/>
      <c r="M150" s="65"/>
      <c r="N150" s="66"/>
      <c r="O150" s="65">
        <f t="shared" si="117"/>
        <v>0</v>
      </c>
      <c r="P150" s="65">
        <f t="shared" si="111"/>
        <v>0</v>
      </c>
      <c r="Q150" s="65">
        <f t="shared" si="112"/>
        <v>0</v>
      </c>
      <c r="R150" s="67">
        <f t="shared" si="113"/>
        <v>0</v>
      </c>
      <c r="S150" s="68" t="str">
        <f t="shared" si="114"/>
        <v/>
      </c>
      <c r="T150" s="68" t="str">
        <f t="shared" si="115"/>
        <v/>
      </c>
      <c r="U150" s="32"/>
    </row>
    <row r="151" spans="1:21" x14ac:dyDescent="0.2">
      <c r="A151" s="50" t="s">
        <v>24</v>
      </c>
      <c r="B151" s="60" t="s">
        <v>25</v>
      </c>
      <c r="C151" s="124" t="s">
        <v>210</v>
      </c>
      <c r="D151" s="62">
        <v>5106.2</v>
      </c>
      <c r="E151" s="63">
        <f t="shared" si="116"/>
        <v>5106.2</v>
      </c>
      <c r="F151" s="63">
        <f t="shared" si="116"/>
        <v>5106.2</v>
      </c>
      <c r="G151" s="63">
        <f t="shared" si="116"/>
        <v>5106.2</v>
      </c>
      <c r="H151" s="63">
        <f t="shared" si="110"/>
        <v>5106.2</v>
      </c>
      <c r="I151" s="63">
        <f t="shared" si="110"/>
        <v>5106.2</v>
      </c>
      <c r="J151" s="63">
        <f t="shared" si="110"/>
        <v>5106.2</v>
      </c>
      <c r="K151" s="63">
        <f t="shared" si="110"/>
        <v>5106.2</v>
      </c>
      <c r="L151" s="64">
        <v>4096.99118</v>
      </c>
      <c r="M151" s="65">
        <f t="shared" si="104"/>
        <v>80.235619051349332</v>
      </c>
      <c r="N151" s="66">
        <v>4096.99118</v>
      </c>
      <c r="O151" s="65">
        <f t="shared" si="117"/>
        <v>0</v>
      </c>
      <c r="P151" s="65">
        <f t="shared" si="111"/>
        <v>1009.2088199999998</v>
      </c>
      <c r="Q151" s="65">
        <f t="shared" si="112"/>
        <v>1009.2088199999998</v>
      </c>
      <c r="R151" s="67">
        <f t="shared" si="113"/>
        <v>5106.2</v>
      </c>
      <c r="S151" s="68" t="str">
        <f t="shared" si="114"/>
        <v/>
      </c>
      <c r="T151" s="68" t="str">
        <f t="shared" si="115"/>
        <v/>
      </c>
      <c r="U151" s="32"/>
    </row>
    <row r="152" spans="1:21" x14ac:dyDescent="0.2">
      <c r="A152" s="50" t="s">
        <v>26</v>
      </c>
      <c r="B152" s="60" t="s">
        <v>27</v>
      </c>
      <c r="C152" s="124" t="s">
        <v>210</v>
      </c>
      <c r="D152" s="62">
        <v>14449.5</v>
      </c>
      <c r="E152" s="63">
        <f t="shared" si="116"/>
        <v>14449.5</v>
      </c>
      <c r="F152" s="63">
        <f t="shared" si="116"/>
        <v>14449.5</v>
      </c>
      <c r="G152" s="63">
        <f t="shared" si="116"/>
        <v>14449.5</v>
      </c>
      <c r="H152" s="63">
        <f t="shared" si="110"/>
        <v>14449.5</v>
      </c>
      <c r="I152" s="63">
        <f t="shared" si="110"/>
        <v>14449.5</v>
      </c>
      <c r="J152" s="63">
        <f t="shared" si="110"/>
        <v>14449.5</v>
      </c>
      <c r="K152" s="63">
        <f t="shared" si="110"/>
        <v>14449.5</v>
      </c>
      <c r="L152" s="64">
        <v>11593.645759999999</v>
      </c>
      <c r="M152" s="65">
        <f t="shared" si="104"/>
        <v>80.235618948752546</v>
      </c>
      <c r="N152" s="66">
        <v>11593.645759999999</v>
      </c>
      <c r="O152" s="65">
        <f t="shared" si="117"/>
        <v>0</v>
      </c>
      <c r="P152" s="64">
        <f t="shared" si="111"/>
        <v>2855.8542400000006</v>
      </c>
      <c r="Q152" s="65">
        <f t="shared" si="112"/>
        <v>2855.8542400000006</v>
      </c>
      <c r="R152" s="67">
        <f t="shared" si="113"/>
        <v>14449.5</v>
      </c>
      <c r="S152" s="68" t="str">
        <f t="shared" si="114"/>
        <v/>
      </c>
      <c r="T152" s="68" t="str">
        <f t="shared" si="115"/>
        <v/>
      </c>
      <c r="U152" s="32"/>
    </row>
    <row r="153" spans="1:21" s="55" customFormat="1" x14ac:dyDescent="0.2">
      <c r="A153" s="51" t="s">
        <v>211</v>
      </c>
      <c r="B153" s="56" t="s">
        <v>25</v>
      </c>
      <c r="C153" s="99">
        <f>SUM(C155:C156)</f>
        <v>0</v>
      </c>
      <c r="D153" s="49">
        <f>D154</f>
        <v>50000</v>
      </c>
      <c r="E153" s="49">
        <f t="shared" ref="E153:T153" si="118">E154</f>
        <v>50000</v>
      </c>
      <c r="F153" s="49">
        <f t="shared" si="118"/>
        <v>50000</v>
      </c>
      <c r="G153" s="49">
        <f t="shared" si="118"/>
        <v>50000</v>
      </c>
      <c r="H153" s="49">
        <f t="shared" si="118"/>
        <v>50000</v>
      </c>
      <c r="I153" s="49">
        <f t="shared" si="118"/>
        <v>50000</v>
      </c>
      <c r="J153" s="49">
        <f t="shared" si="118"/>
        <v>50000</v>
      </c>
      <c r="K153" s="49">
        <f t="shared" si="118"/>
        <v>50000</v>
      </c>
      <c r="L153" s="90">
        <f>L154</f>
        <v>0</v>
      </c>
      <c r="M153" s="49">
        <f t="shared" si="104"/>
        <v>0</v>
      </c>
      <c r="N153" s="92">
        <f t="shared" si="118"/>
        <v>0</v>
      </c>
      <c r="O153" s="49">
        <f t="shared" si="118"/>
        <v>0</v>
      </c>
      <c r="P153" s="49">
        <f t="shared" si="118"/>
        <v>50000</v>
      </c>
      <c r="Q153" s="49">
        <f t="shared" si="118"/>
        <v>50000</v>
      </c>
      <c r="R153" s="49">
        <f t="shared" si="118"/>
        <v>50000</v>
      </c>
      <c r="S153" s="49">
        <f t="shared" si="118"/>
        <v>0</v>
      </c>
      <c r="T153" s="49">
        <f t="shared" si="118"/>
        <v>0</v>
      </c>
      <c r="U153" s="100"/>
    </row>
    <row r="154" spans="1:21" s="55" customFormat="1" x14ac:dyDescent="0.2">
      <c r="A154" s="50" t="s">
        <v>24</v>
      </c>
      <c r="B154" s="56" t="s">
        <v>25</v>
      </c>
      <c r="C154" s="101"/>
      <c r="D154" s="42">
        <f t="shared" ref="D154:L154" si="119">SUMIF($B$155:$B$157,"=01",D155:D157)</f>
        <v>50000</v>
      </c>
      <c r="E154" s="42">
        <f>SUMIF($B$155:$B$157,"=01",E155:E157)</f>
        <v>50000</v>
      </c>
      <c r="F154" s="42">
        <f t="shared" si="119"/>
        <v>50000</v>
      </c>
      <c r="G154" s="42">
        <f t="shared" si="119"/>
        <v>50000</v>
      </c>
      <c r="H154" s="42">
        <f t="shared" si="119"/>
        <v>50000</v>
      </c>
      <c r="I154" s="42">
        <f t="shared" si="119"/>
        <v>50000</v>
      </c>
      <c r="J154" s="42">
        <f>SUMIF($B$155:$B$157,"=01",J155:J157)</f>
        <v>50000</v>
      </c>
      <c r="K154" s="42">
        <f>SUMIF($B$155:$B$157,"=01",K155:K157)</f>
        <v>50000</v>
      </c>
      <c r="L154" s="93">
        <f t="shared" si="119"/>
        <v>0</v>
      </c>
      <c r="M154" s="42">
        <f t="shared" si="104"/>
        <v>0</v>
      </c>
      <c r="N154" s="94">
        <f>SUMIF($B$155:$B$157,"=01",N155:N157)</f>
        <v>0</v>
      </c>
      <c r="O154" s="42">
        <f>SUMIF($B$155:$B$157,"=01",O155:O157)</f>
        <v>0</v>
      </c>
      <c r="P154" s="42">
        <f>SUMIF($B$155:$B$157,"=01",P155:P157)</f>
        <v>50000</v>
      </c>
      <c r="Q154" s="42">
        <f t="shared" ref="Q154:T154" si="120">SUMIF($B$155:$B$157,"=01",Q155:Q157)</f>
        <v>50000</v>
      </c>
      <c r="R154" s="42">
        <f t="shared" si="120"/>
        <v>50000</v>
      </c>
      <c r="S154" s="42">
        <f t="shared" si="120"/>
        <v>0</v>
      </c>
      <c r="T154" s="42">
        <f t="shared" si="120"/>
        <v>0</v>
      </c>
      <c r="U154" s="100"/>
    </row>
    <row r="155" spans="1:21" ht="47.25" x14ac:dyDescent="0.2">
      <c r="A155" s="125" t="s">
        <v>212</v>
      </c>
      <c r="B155" s="60" t="s">
        <v>25</v>
      </c>
      <c r="C155" s="102" t="s">
        <v>213</v>
      </c>
      <c r="D155" s="62">
        <v>26000</v>
      </c>
      <c r="E155" s="63">
        <f t="shared" ref="E155:K157" si="121">D155</f>
        <v>26000</v>
      </c>
      <c r="F155" s="63">
        <f t="shared" si="121"/>
        <v>26000</v>
      </c>
      <c r="G155" s="63">
        <f t="shared" si="121"/>
        <v>26000</v>
      </c>
      <c r="H155" s="63">
        <f t="shared" si="121"/>
        <v>26000</v>
      </c>
      <c r="I155" s="63">
        <f t="shared" si="121"/>
        <v>26000</v>
      </c>
      <c r="J155" s="63">
        <f t="shared" si="121"/>
        <v>26000</v>
      </c>
      <c r="K155" s="63">
        <f t="shared" si="121"/>
        <v>26000</v>
      </c>
      <c r="L155" s="64">
        <f>N155</f>
        <v>0</v>
      </c>
      <c r="M155" s="65">
        <f t="shared" si="104"/>
        <v>0</v>
      </c>
      <c r="N155" s="66"/>
      <c r="O155" s="65">
        <f>L155-N155</f>
        <v>0</v>
      </c>
      <c r="P155" s="65">
        <f>I155-L155</f>
        <v>26000</v>
      </c>
      <c r="Q155" s="65">
        <f>K155-L155</f>
        <v>26000</v>
      </c>
      <c r="R155" s="67">
        <f t="shared" ref="R155:R157" si="122">K155</f>
        <v>26000</v>
      </c>
      <c r="S155" s="68" t="str">
        <f>IF(R155-K155&gt;0,R155-K155,"")</f>
        <v/>
      </c>
      <c r="T155" s="68" t="str">
        <f>IF(R155-K155&lt;0,R155-K155,"")</f>
        <v/>
      </c>
      <c r="U155" s="80"/>
    </row>
    <row r="156" spans="1:21" ht="94.5" x14ac:dyDescent="0.2">
      <c r="A156" s="103" t="s">
        <v>214</v>
      </c>
      <c r="B156" s="60" t="s">
        <v>25</v>
      </c>
      <c r="C156" s="102" t="s">
        <v>215</v>
      </c>
      <c r="D156" s="62">
        <v>4000</v>
      </c>
      <c r="E156" s="63">
        <f t="shared" si="121"/>
        <v>4000</v>
      </c>
      <c r="F156" s="63">
        <f t="shared" si="121"/>
        <v>4000</v>
      </c>
      <c r="G156" s="63">
        <f t="shared" si="121"/>
        <v>4000</v>
      </c>
      <c r="H156" s="63">
        <f t="shared" si="121"/>
        <v>4000</v>
      </c>
      <c r="I156" s="63">
        <f t="shared" si="121"/>
        <v>4000</v>
      </c>
      <c r="J156" s="63">
        <f t="shared" si="121"/>
        <v>4000</v>
      </c>
      <c r="K156" s="63">
        <f t="shared" si="121"/>
        <v>4000</v>
      </c>
      <c r="L156" s="64">
        <f t="shared" ref="L156:L157" si="123">N156</f>
        <v>0</v>
      </c>
      <c r="M156" s="65">
        <f t="shared" si="104"/>
        <v>0</v>
      </c>
      <c r="N156" s="66"/>
      <c r="O156" s="65">
        <f>L156-N156</f>
        <v>0</v>
      </c>
      <c r="P156" s="65">
        <f>I156-L156</f>
        <v>4000</v>
      </c>
      <c r="Q156" s="65">
        <f>K156-L156</f>
        <v>4000</v>
      </c>
      <c r="R156" s="67">
        <f t="shared" si="122"/>
        <v>4000</v>
      </c>
      <c r="S156" s="68" t="str">
        <f>IF(R156-K156&gt;0,R156-K156,"")</f>
        <v/>
      </c>
      <c r="T156" s="68" t="str">
        <f>IF(R156-K156&lt;0,R156-K156,"")</f>
        <v/>
      </c>
      <c r="U156" s="32"/>
    </row>
    <row r="157" spans="1:21" ht="94.5" x14ac:dyDescent="0.2">
      <c r="A157" s="103" t="s">
        <v>216</v>
      </c>
      <c r="B157" s="60" t="s">
        <v>25</v>
      </c>
      <c r="C157" s="102" t="s">
        <v>217</v>
      </c>
      <c r="D157" s="62">
        <v>20000</v>
      </c>
      <c r="E157" s="63">
        <f t="shared" si="121"/>
        <v>20000</v>
      </c>
      <c r="F157" s="63">
        <f t="shared" si="121"/>
        <v>20000</v>
      </c>
      <c r="G157" s="63">
        <f t="shared" si="121"/>
        <v>20000</v>
      </c>
      <c r="H157" s="63">
        <f t="shared" si="121"/>
        <v>20000</v>
      </c>
      <c r="I157" s="63">
        <f t="shared" si="121"/>
        <v>20000</v>
      </c>
      <c r="J157" s="63">
        <f t="shared" si="121"/>
        <v>20000</v>
      </c>
      <c r="K157" s="63">
        <f t="shared" si="121"/>
        <v>20000</v>
      </c>
      <c r="L157" s="64">
        <f t="shared" si="123"/>
        <v>0</v>
      </c>
      <c r="M157" s="65">
        <f t="shared" si="104"/>
        <v>0</v>
      </c>
      <c r="N157" s="66"/>
      <c r="O157" s="65">
        <f>L157-N157</f>
        <v>0</v>
      </c>
      <c r="P157" s="65">
        <f>I157-L157</f>
        <v>20000</v>
      </c>
      <c r="Q157" s="65">
        <f>K157-L157</f>
        <v>20000</v>
      </c>
      <c r="R157" s="67">
        <f t="shared" si="122"/>
        <v>20000</v>
      </c>
      <c r="S157" s="68" t="str">
        <f>IF(R157-K157&gt;0,R157-K157,"")</f>
        <v/>
      </c>
      <c r="T157" s="68" t="str">
        <f>IF(R157-K157&lt;0,R157-K157,"")</f>
        <v/>
      </c>
      <c r="U157" s="80"/>
    </row>
    <row r="158" spans="1:21" s="55" customFormat="1" ht="33.75" customHeight="1" x14ac:dyDescent="0.2">
      <c r="A158" s="51" t="s">
        <v>218</v>
      </c>
      <c r="B158" s="56" t="s">
        <v>25</v>
      </c>
      <c r="C158" s="99">
        <f>SUM(C160,C164,C169:C172)</f>
        <v>0</v>
      </c>
      <c r="D158" s="49">
        <f>D159</f>
        <v>1987035.2999999998</v>
      </c>
      <c r="E158" s="49">
        <f t="shared" ref="E158:T158" si="124">E159</f>
        <v>1987035.2999999998</v>
      </c>
      <c r="F158" s="49">
        <f t="shared" si="124"/>
        <v>1987035.2999999998</v>
      </c>
      <c r="G158" s="49">
        <f t="shared" si="124"/>
        <v>2026807.2999999998</v>
      </c>
      <c r="H158" s="49">
        <f t="shared" si="124"/>
        <v>2026807.2999999998</v>
      </c>
      <c r="I158" s="49">
        <f t="shared" si="124"/>
        <v>2026807.2999999998</v>
      </c>
      <c r="J158" s="49">
        <f t="shared" si="124"/>
        <v>2026807.2999999998</v>
      </c>
      <c r="K158" s="49">
        <f t="shared" si="124"/>
        <v>2026807.2999999998</v>
      </c>
      <c r="L158" s="90">
        <f>L159</f>
        <v>720008.84682999994</v>
      </c>
      <c r="M158" s="49">
        <f t="shared" si="104"/>
        <v>35.524287228983233</v>
      </c>
      <c r="N158" s="92">
        <f t="shared" si="124"/>
        <v>702278.17142000003</v>
      </c>
      <c r="O158" s="49">
        <f t="shared" si="124"/>
        <v>17730.675409999996</v>
      </c>
      <c r="P158" s="49">
        <f t="shared" si="124"/>
        <v>1306798.4531700001</v>
      </c>
      <c r="Q158" s="49">
        <f t="shared" si="124"/>
        <v>1306798.4531700001</v>
      </c>
      <c r="R158" s="49">
        <f t="shared" si="124"/>
        <v>2026807.2999999998</v>
      </c>
      <c r="S158" s="49">
        <f t="shared" si="124"/>
        <v>0</v>
      </c>
      <c r="T158" s="49">
        <f t="shared" si="124"/>
        <v>0</v>
      </c>
      <c r="U158" s="100"/>
    </row>
    <row r="159" spans="1:21" s="55" customFormat="1" x14ac:dyDescent="0.2">
      <c r="A159" s="50" t="s">
        <v>24</v>
      </c>
      <c r="B159" s="56" t="s">
        <v>25</v>
      </c>
      <c r="C159" s="101"/>
      <c r="D159" s="42">
        <f t="shared" ref="D159:L159" si="125">SUMIF($B$160:$B$174,"=01",D160:D174)</f>
        <v>1987035.2999999998</v>
      </c>
      <c r="E159" s="42">
        <f t="shared" si="125"/>
        <v>1987035.2999999998</v>
      </c>
      <c r="F159" s="42">
        <f t="shared" si="125"/>
        <v>1987035.2999999998</v>
      </c>
      <c r="G159" s="42">
        <f t="shared" si="125"/>
        <v>2026807.2999999998</v>
      </c>
      <c r="H159" s="42">
        <f t="shared" si="125"/>
        <v>2026807.2999999998</v>
      </c>
      <c r="I159" s="42">
        <f t="shared" si="125"/>
        <v>2026807.2999999998</v>
      </c>
      <c r="J159" s="42">
        <f t="shared" si="125"/>
        <v>2026807.2999999998</v>
      </c>
      <c r="K159" s="42">
        <f t="shared" si="125"/>
        <v>2026807.2999999998</v>
      </c>
      <c r="L159" s="93">
        <f t="shared" si="125"/>
        <v>720008.84682999994</v>
      </c>
      <c r="M159" s="42">
        <f t="shared" si="104"/>
        <v>35.524287228983233</v>
      </c>
      <c r="N159" s="94">
        <f t="shared" ref="N159:T159" si="126">SUMIF($B$160:$B$174,"=01",N160:N174)</f>
        <v>702278.17142000003</v>
      </c>
      <c r="O159" s="42">
        <f t="shared" si="126"/>
        <v>17730.675409999996</v>
      </c>
      <c r="P159" s="42">
        <f t="shared" si="126"/>
        <v>1306798.4531700001</v>
      </c>
      <c r="Q159" s="42">
        <f t="shared" si="126"/>
        <v>1306798.4531700001</v>
      </c>
      <c r="R159" s="42">
        <f t="shared" si="126"/>
        <v>2026807.2999999998</v>
      </c>
      <c r="S159" s="42">
        <f t="shared" si="126"/>
        <v>0</v>
      </c>
      <c r="T159" s="42">
        <f t="shared" si="126"/>
        <v>0</v>
      </c>
      <c r="U159" s="100"/>
    </row>
    <row r="160" spans="1:21" s="132" customFormat="1" ht="31.5" x14ac:dyDescent="0.2">
      <c r="A160" s="126" t="s">
        <v>219</v>
      </c>
      <c r="B160" s="127"/>
      <c r="C160" s="128">
        <f>SUM(C161:C163)</f>
        <v>0</v>
      </c>
      <c r="D160" s="129">
        <f>SUM(D161:D163)</f>
        <v>457928.2</v>
      </c>
      <c r="E160" s="129">
        <f t="shared" ref="E160:K160" si="127">SUM(E161:E163)</f>
        <v>457928.2</v>
      </c>
      <c r="F160" s="129">
        <f t="shared" si="127"/>
        <v>457928.2</v>
      </c>
      <c r="G160" s="129">
        <f t="shared" si="127"/>
        <v>457928.2</v>
      </c>
      <c r="H160" s="129">
        <f t="shared" si="127"/>
        <v>457928.2</v>
      </c>
      <c r="I160" s="129">
        <f t="shared" si="127"/>
        <v>457928.2</v>
      </c>
      <c r="J160" s="129">
        <f t="shared" si="127"/>
        <v>457928.2</v>
      </c>
      <c r="K160" s="129">
        <f t="shared" si="127"/>
        <v>457928.2</v>
      </c>
      <c r="L160" s="64">
        <f>SUM(L161:L163)</f>
        <v>187794.10570999997</v>
      </c>
      <c r="M160" s="65">
        <f t="shared" si="104"/>
        <v>41.009508850950866</v>
      </c>
      <c r="N160" s="66">
        <f>SUM(N161:N163)</f>
        <v>170063.43030000001</v>
      </c>
      <c r="O160" s="129">
        <f t="shared" ref="O160:P160" si="128">SUM(O161:O163)</f>
        <v>17730.675409999996</v>
      </c>
      <c r="P160" s="130">
        <f t="shared" si="128"/>
        <v>270134.09429000004</v>
      </c>
      <c r="Q160" s="65">
        <f>K160-L160</f>
        <v>270134.09429000004</v>
      </c>
      <c r="R160" s="129">
        <f t="shared" ref="R160" si="129">SUM(R161:R163)</f>
        <v>457928.2</v>
      </c>
      <c r="S160" s="68"/>
      <c r="T160" s="68"/>
      <c r="U160" s="131"/>
    </row>
    <row r="161" spans="1:21" x14ac:dyDescent="0.2">
      <c r="A161" s="103" t="s">
        <v>220</v>
      </c>
      <c r="B161" s="60" t="s">
        <v>25</v>
      </c>
      <c r="C161" s="102" t="s">
        <v>221</v>
      </c>
      <c r="D161" s="62">
        <v>258959.5</v>
      </c>
      <c r="E161" s="63">
        <f t="shared" ref="E161:K175" si="130">D161</f>
        <v>258959.5</v>
      </c>
      <c r="F161" s="63">
        <f t="shared" si="130"/>
        <v>258959.5</v>
      </c>
      <c r="G161" s="63">
        <f t="shared" si="130"/>
        <v>258959.5</v>
      </c>
      <c r="H161" s="63">
        <f t="shared" si="130"/>
        <v>258959.5</v>
      </c>
      <c r="I161" s="63">
        <f t="shared" si="130"/>
        <v>258959.5</v>
      </c>
      <c r="J161" s="63">
        <f t="shared" si="130"/>
        <v>258959.5</v>
      </c>
      <c r="K161" s="63">
        <f t="shared" si="130"/>
        <v>258959.5</v>
      </c>
      <c r="L161" s="64">
        <v>120299.00571</v>
      </c>
      <c r="M161" s="65">
        <f t="shared" si="104"/>
        <v>46.45475671292229</v>
      </c>
      <c r="N161" s="66">
        <v>102568.3303</v>
      </c>
      <c r="O161" s="65">
        <f>L161-N161</f>
        <v>17730.675409999996</v>
      </c>
      <c r="P161" s="65">
        <f>I161-L161</f>
        <v>138660.49429</v>
      </c>
      <c r="Q161" s="65">
        <f>K161-L161</f>
        <v>138660.49429</v>
      </c>
      <c r="R161" s="67">
        <f t="shared" ref="R161:R174" si="131">K161</f>
        <v>258959.5</v>
      </c>
      <c r="S161" s="68"/>
      <c r="T161" s="68"/>
      <c r="U161" s="32"/>
    </row>
    <row r="162" spans="1:21" s="11" customFormat="1" x14ac:dyDescent="0.2">
      <c r="A162" s="103" t="s">
        <v>222</v>
      </c>
      <c r="B162" s="60" t="s">
        <v>25</v>
      </c>
      <c r="C162" s="102" t="s">
        <v>221</v>
      </c>
      <c r="D162" s="62">
        <v>72335.5</v>
      </c>
      <c r="E162" s="63">
        <f t="shared" si="130"/>
        <v>72335.5</v>
      </c>
      <c r="F162" s="63">
        <f t="shared" si="130"/>
        <v>72335.5</v>
      </c>
      <c r="G162" s="63">
        <f t="shared" si="130"/>
        <v>72335.5</v>
      </c>
      <c r="H162" s="63">
        <f t="shared" si="130"/>
        <v>72335.5</v>
      </c>
      <c r="I162" s="63">
        <f t="shared" si="130"/>
        <v>72335.5</v>
      </c>
      <c r="J162" s="63">
        <f t="shared" si="130"/>
        <v>72335.5</v>
      </c>
      <c r="K162" s="63">
        <f t="shared" si="130"/>
        <v>72335.5</v>
      </c>
      <c r="L162" s="64">
        <f>N162</f>
        <v>23639.4</v>
      </c>
      <c r="M162" s="65">
        <f t="shared" si="104"/>
        <v>32.680219256105239</v>
      </c>
      <c r="N162" s="66">
        <v>23639.4</v>
      </c>
      <c r="O162" s="65">
        <f>L162-N162</f>
        <v>0</v>
      </c>
      <c r="P162" s="65">
        <f>I162-L162</f>
        <v>48696.1</v>
      </c>
      <c r="Q162" s="65">
        <f>K162-L162</f>
        <v>48696.1</v>
      </c>
      <c r="R162" s="67">
        <f t="shared" si="131"/>
        <v>72335.5</v>
      </c>
      <c r="S162" s="68"/>
      <c r="T162" s="68"/>
      <c r="U162" s="133"/>
    </row>
    <row r="163" spans="1:21" s="11" customFormat="1" x14ac:dyDescent="0.2">
      <c r="A163" s="103" t="s">
        <v>223</v>
      </c>
      <c r="B163" s="60" t="s">
        <v>25</v>
      </c>
      <c r="C163" s="102" t="s">
        <v>221</v>
      </c>
      <c r="D163" s="62">
        <v>126633.2</v>
      </c>
      <c r="E163" s="63">
        <f t="shared" si="130"/>
        <v>126633.2</v>
      </c>
      <c r="F163" s="63">
        <f t="shared" si="130"/>
        <v>126633.2</v>
      </c>
      <c r="G163" s="63">
        <f t="shared" si="130"/>
        <v>126633.2</v>
      </c>
      <c r="H163" s="63">
        <f t="shared" si="130"/>
        <v>126633.2</v>
      </c>
      <c r="I163" s="63">
        <f t="shared" si="130"/>
        <v>126633.2</v>
      </c>
      <c r="J163" s="63">
        <f t="shared" si="130"/>
        <v>126633.2</v>
      </c>
      <c r="K163" s="63">
        <f t="shared" si="130"/>
        <v>126633.2</v>
      </c>
      <c r="L163" s="64">
        <f>N163</f>
        <v>43855.7</v>
      </c>
      <c r="M163" s="65">
        <f t="shared" si="104"/>
        <v>34.632071210393484</v>
      </c>
      <c r="N163" s="66">
        <v>43855.7</v>
      </c>
      <c r="O163" s="65">
        <f>L163-N163</f>
        <v>0</v>
      </c>
      <c r="P163" s="65">
        <f>I163-L163</f>
        <v>82777.5</v>
      </c>
      <c r="Q163" s="65">
        <f>K163-L163</f>
        <v>82777.5</v>
      </c>
      <c r="R163" s="67">
        <f t="shared" si="131"/>
        <v>126633.2</v>
      </c>
      <c r="S163" s="68"/>
      <c r="T163" s="68"/>
      <c r="U163" s="133"/>
    </row>
    <row r="164" spans="1:21" s="136" customFormat="1" ht="31.5" x14ac:dyDescent="0.2">
      <c r="A164" s="126" t="s">
        <v>224</v>
      </c>
      <c r="B164" s="127"/>
      <c r="C164" s="134"/>
      <c r="D164" s="129">
        <f>SUM(D165:D168)</f>
        <v>1305511.2999999998</v>
      </c>
      <c r="E164" s="129">
        <f t="shared" ref="E164:R164" si="132">SUM(E165:E168)</f>
        <v>1305511.2999999998</v>
      </c>
      <c r="F164" s="129">
        <f t="shared" si="132"/>
        <v>1305511.2999999998</v>
      </c>
      <c r="G164" s="129">
        <f t="shared" si="132"/>
        <v>1344783.2999999998</v>
      </c>
      <c r="H164" s="129">
        <f t="shared" si="132"/>
        <v>1344783.2999999998</v>
      </c>
      <c r="I164" s="85">
        <f t="shared" si="130"/>
        <v>1344783.2999999998</v>
      </c>
      <c r="J164" s="129">
        <f t="shared" ref="J164:K164" si="133">SUM(J165:J168)</f>
        <v>1344783.2999999998</v>
      </c>
      <c r="K164" s="129">
        <f t="shared" si="133"/>
        <v>1344783.2999999998</v>
      </c>
      <c r="L164" s="64">
        <f>SUM(L165:L168)</f>
        <v>449953.79999999993</v>
      </c>
      <c r="M164" s="65">
        <f t="shared" si="104"/>
        <v>33.459204914278757</v>
      </c>
      <c r="N164" s="66">
        <f>SUM(N165:N168)</f>
        <v>449953.79999999993</v>
      </c>
      <c r="O164" s="129">
        <f t="shared" si="132"/>
        <v>0</v>
      </c>
      <c r="P164" s="129">
        <f t="shared" si="132"/>
        <v>894829.50000000023</v>
      </c>
      <c r="Q164" s="129">
        <f t="shared" si="132"/>
        <v>894829.50000000023</v>
      </c>
      <c r="R164" s="129">
        <f t="shared" si="132"/>
        <v>1344783.2999999998</v>
      </c>
      <c r="S164" s="68"/>
      <c r="T164" s="68"/>
      <c r="U164" s="135"/>
    </row>
    <row r="165" spans="1:21" s="11" customFormat="1" ht="33.75" customHeight="1" x14ac:dyDescent="0.2">
      <c r="A165" s="103" t="s">
        <v>225</v>
      </c>
      <c r="B165" s="60" t="s">
        <v>25</v>
      </c>
      <c r="C165" s="102" t="s">
        <v>226</v>
      </c>
      <c r="D165" s="62">
        <v>30265.9</v>
      </c>
      <c r="E165" s="63">
        <f t="shared" ref="E165:H174" si="134">D165</f>
        <v>30265.9</v>
      </c>
      <c r="F165" s="63">
        <f t="shared" si="134"/>
        <v>30265.9</v>
      </c>
      <c r="G165" s="63">
        <f t="shared" si="134"/>
        <v>30265.9</v>
      </c>
      <c r="H165" s="63">
        <f t="shared" si="134"/>
        <v>30265.9</v>
      </c>
      <c r="I165" s="63">
        <f t="shared" si="130"/>
        <v>30265.9</v>
      </c>
      <c r="J165" s="63">
        <f t="shared" si="130"/>
        <v>30265.9</v>
      </c>
      <c r="K165" s="63">
        <f t="shared" si="130"/>
        <v>30265.9</v>
      </c>
      <c r="L165" s="64">
        <f>N165</f>
        <v>8486.1</v>
      </c>
      <c r="M165" s="65">
        <f t="shared" si="104"/>
        <v>28.0384855563522</v>
      </c>
      <c r="N165" s="66">
        <v>8486.1</v>
      </c>
      <c r="O165" s="65">
        <f t="shared" ref="O165:O174" si="135">L165-N165</f>
        <v>0</v>
      </c>
      <c r="P165" s="65">
        <f t="shared" ref="P165:P173" si="136">I165-L165</f>
        <v>21779.800000000003</v>
      </c>
      <c r="Q165" s="65">
        <f t="shared" ref="Q165:Q174" si="137">K165-L165</f>
        <v>21779.800000000003</v>
      </c>
      <c r="R165" s="67">
        <f t="shared" si="131"/>
        <v>30265.9</v>
      </c>
      <c r="S165" s="68"/>
      <c r="T165" s="68"/>
      <c r="U165" s="133"/>
    </row>
    <row r="166" spans="1:21" s="11" customFormat="1" ht="25.5" customHeight="1" x14ac:dyDescent="0.2">
      <c r="A166" s="137" t="s">
        <v>227</v>
      </c>
      <c r="B166" s="138" t="s">
        <v>25</v>
      </c>
      <c r="C166" s="102" t="s">
        <v>226</v>
      </c>
      <c r="D166" s="62">
        <v>1018606</v>
      </c>
      <c r="E166" s="63">
        <f t="shared" si="134"/>
        <v>1018606</v>
      </c>
      <c r="F166" s="63">
        <f t="shared" si="134"/>
        <v>1018606</v>
      </c>
      <c r="G166" s="78">
        <f>F166+3566.3</f>
        <v>1022172.3</v>
      </c>
      <c r="H166" s="63">
        <f t="shared" si="134"/>
        <v>1022172.3</v>
      </c>
      <c r="I166" s="63">
        <f t="shared" si="130"/>
        <v>1022172.3</v>
      </c>
      <c r="J166" s="63">
        <f t="shared" si="130"/>
        <v>1022172.3</v>
      </c>
      <c r="K166" s="63">
        <f t="shared" si="130"/>
        <v>1022172.3</v>
      </c>
      <c r="L166" s="64">
        <f t="shared" ref="L166:L168" si="138">N166</f>
        <v>371332.7</v>
      </c>
      <c r="M166" s="65">
        <f t="shared" si="104"/>
        <v>36.327799139147089</v>
      </c>
      <c r="N166" s="66">
        <v>371332.7</v>
      </c>
      <c r="O166" s="65">
        <f t="shared" si="135"/>
        <v>0</v>
      </c>
      <c r="P166" s="65">
        <f t="shared" si="136"/>
        <v>650839.60000000009</v>
      </c>
      <c r="Q166" s="65">
        <f t="shared" si="137"/>
        <v>650839.60000000009</v>
      </c>
      <c r="R166" s="67">
        <f t="shared" si="131"/>
        <v>1022172.3</v>
      </c>
      <c r="S166" s="68"/>
      <c r="T166" s="68"/>
      <c r="U166" s="133"/>
    </row>
    <row r="167" spans="1:21" s="11" customFormat="1" ht="30.75" customHeight="1" x14ac:dyDescent="0.2">
      <c r="A167" s="103" t="s">
        <v>228</v>
      </c>
      <c r="B167" s="60" t="s">
        <v>25</v>
      </c>
      <c r="C167" s="61" t="s">
        <v>229</v>
      </c>
      <c r="D167" s="62">
        <v>255919</v>
      </c>
      <c r="E167" s="63">
        <f t="shared" si="134"/>
        <v>255919</v>
      </c>
      <c r="F167" s="63">
        <f t="shared" si="134"/>
        <v>255919</v>
      </c>
      <c r="G167" s="78">
        <f>F167+35705.7</f>
        <v>291624.7</v>
      </c>
      <c r="H167" s="63">
        <f t="shared" si="134"/>
        <v>291624.7</v>
      </c>
      <c r="I167" s="63">
        <f t="shared" si="130"/>
        <v>291624.7</v>
      </c>
      <c r="J167" s="63">
        <f t="shared" si="130"/>
        <v>291624.7</v>
      </c>
      <c r="K167" s="63">
        <f t="shared" si="130"/>
        <v>291624.7</v>
      </c>
      <c r="L167" s="64">
        <f t="shared" si="138"/>
        <v>70103.399999999994</v>
      </c>
      <c r="M167" s="65">
        <f t="shared" si="104"/>
        <v>24.03891028434834</v>
      </c>
      <c r="N167" s="66">
        <v>70103.399999999994</v>
      </c>
      <c r="O167" s="65">
        <f t="shared" si="135"/>
        <v>0</v>
      </c>
      <c r="P167" s="65">
        <f t="shared" si="136"/>
        <v>221521.30000000002</v>
      </c>
      <c r="Q167" s="65">
        <f t="shared" si="137"/>
        <v>221521.30000000002</v>
      </c>
      <c r="R167" s="67">
        <f t="shared" si="131"/>
        <v>291624.7</v>
      </c>
      <c r="S167" s="68"/>
      <c r="T167" s="68"/>
      <c r="U167" s="133"/>
    </row>
    <row r="168" spans="1:21" s="11" customFormat="1" x14ac:dyDescent="0.2">
      <c r="A168" s="139" t="s">
        <v>230</v>
      </c>
      <c r="B168" s="60" t="s">
        <v>25</v>
      </c>
      <c r="C168" s="61" t="s">
        <v>231</v>
      </c>
      <c r="D168" s="62">
        <v>720.4</v>
      </c>
      <c r="E168" s="63">
        <f t="shared" si="134"/>
        <v>720.4</v>
      </c>
      <c r="F168" s="63">
        <f t="shared" si="134"/>
        <v>720.4</v>
      </c>
      <c r="G168" s="63">
        <f t="shared" si="134"/>
        <v>720.4</v>
      </c>
      <c r="H168" s="63">
        <f t="shared" si="134"/>
        <v>720.4</v>
      </c>
      <c r="I168" s="63">
        <f t="shared" si="130"/>
        <v>720.4</v>
      </c>
      <c r="J168" s="63">
        <f t="shared" si="130"/>
        <v>720.4</v>
      </c>
      <c r="K168" s="63">
        <f t="shared" si="130"/>
        <v>720.4</v>
      </c>
      <c r="L168" s="64">
        <f t="shared" si="138"/>
        <v>31.6</v>
      </c>
      <c r="M168" s="65">
        <f t="shared" si="104"/>
        <v>4.3864519711271521</v>
      </c>
      <c r="N168" s="66">
        <v>31.6</v>
      </c>
      <c r="O168" s="65">
        <f t="shared" si="135"/>
        <v>0</v>
      </c>
      <c r="P168" s="65">
        <f t="shared" si="136"/>
        <v>688.8</v>
      </c>
      <c r="Q168" s="65">
        <f t="shared" si="137"/>
        <v>688.8</v>
      </c>
      <c r="R168" s="67">
        <f t="shared" si="131"/>
        <v>720.4</v>
      </c>
      <c r="S168" s="68"/>
      <c r="T168" s="68"/>
      <c r="U168" s="133"/>
    </row>
    <row r="169" spans="1:21" ht="126" x14ac:dyDescent="0.2">
      <c r="A169" s="69" t="s">
        <v>232</v>
      </c>
      <c r="B169" s="60" t="s">
        <v>25</v>
      </c>
      <c r="C169" s="102" t="s">
        <v>233</v>
      </c>
      <c r="D169" s="62">
        <v>1305.8</v>
      </c>
      <c r="E169" s="63">
        <f t="shared" si="134"/>
        <v>1305.8</v>
      </c>
      <c r="F169" s="63">
        <f t="shared" si="134"/>
        <v>1305.8</v>
      </c>
      <c r="G169" s="63">
        <f t="shared" si="134"/>
        <v>1305.8</v>
      </c>
      <c r="H169" s="63">
        <f t="shared" si="134"/>
        <v>1305.8</v>
      </c>
      <c r="I169" s="63">
        <f t="shared" si="130"/>
        <v>1305.8</v>
      </c>
      <c r="J169" s="63">
        <f t="shared" si="130"/>
        <v>1305.8</v>
      </c>
      <c r="K169" s="63">
        <f t="shared" si="130"/>
        <v>1305.8</v>
      </c>
      <c r="L169" s="64">
        <f>N169</f>
        <v>0</v>
      </c>
      <c r="M169" s="65">
        <f t="shared" si="104"/>
        <v>0</v>
      </c>
      <c r="N169" s="66"/>
      <c r="O169" s="65">
        <f t="shared" si="135"/>
        <v>0</v>
      </c>
      <c r="P169" s="65">
        <f t="shared" si="136"/>
        <v>1305.8</v>
      </c>
      <c r="Q169" s="65">
        <f t="shared" si="137"/>
        <v>1305.8</v>
      </c>
      <c r="R169" s="67">
        <f t="shared" si="131"/>
        <v>1305.8</v>
      </c>
      <c r="S169" s="68" t="str">
        <f t="shared" ref="S169:S173" si="139">IF(R169-K169&gt;0,R169-K169,"")</f>
        <v/>
      </c>
      <c r="T169" s="68" t="str">
        <f t="shared" ref="T169:T173" si="140">IF(R169-K169&lt;0,R169-K169,"")</f>
        <v/>
      </c>
      <c r="U169" s="32"/>
    </row>
    <row r="170" spans="1:21" ht="47.25" x14ac:dyDescent="0.2">
      <c r="A170" s="71" t="s">
        <v>234</v>
      </c>
      <c r="B170" s="60" t="s">
        <v>25</v>
      </c>
      <c r="C170" s="102" t="s">
        <v>235</v>
      </c>
      <c r="D170" s="62">
        <v>71848.899999999994</v>
      </c>
      <c r="E170" s="63">
        <f t="shared" si="134"/>
        <v>71848.899999999994</v>
      </c>
      <c r="F170" s="63">
        <f t="shared" si="134"/>
        <v>71848.899999999994</v>
      </c>
      <c r="G170" s="63">
        <f t="shared" si="134"/>
        <v>71848.899999999994</v>
      </c>
      <c r="H170" s="63">
        <f t="shared" si="134"/>
        <v>71848.899999999994</v>
      </c>
      <c r="I170" s="63">
        <f t="shared" si="130"/>
        <v>71848.899999999994</v>
      </c>
      <c r="J170" s="63">
        <f t="shared" si="130"/>
        <v>71848.899999999994</v>
      </c>
      <c r="K170" s="63">
        <f t="shared" si="130"/>
        <v>71848.899999999994</v>
      </c>
      <c r="L170" s="64">
        <v>4738.75</v>
      </c>
      <c r="M170" s="65">
        <f t="shared" si="104"/>
        <v>6.5954384827046768</v>
      </c>
      <c r="N170" s="66">
        <v>4738.75</v>
      </c>
      <c r="O170" s="65">
        <f t="shared" si="135"/>
        <v>0</v>
      </c>
      <c r="P170" s="65">
        <f t="shared" si="136"/>
        <v>67110.149999999994</v>
      </c>
      <c r="Q170" s="65">
        <f t="shared" si="137"/>
        <v>67110.149999999994</v>
      </c>
      <c r="R170" s="67">
        <f t="shared" si="131"/>
        <v>71848.899999999994</v>
      </c>
      <c r="S170" s="68" t="str">
        <f t="shared" si="139"/>
        <v/>
      </c>
      <c r="T170" s="68" t="str">
        <f t="shared" si="140"/>
        <v/>
      </c>
      <c r="U170" s="71"/>
    </row>
    <row r="171" spans="1:21" ht="78.75" x14ac:dyDescent="0.2">
      <c r="A171" s="71" t="s">
        <v>236</v>
      </c>
      <c r="B171" s="60" t="s">
        <v>25</v>
      </c>
      <c r="C171" s="102" t="s">
        <v>237</v>
      </c>
      <c r="D171" s="62">
        <v>2446.5</v>
      </c>
      <c r="E171" s="63">
        <f t="shared" si="134"/>
        <v>2446.5</v>
      </c>
      <c r="F171" s="63">
        <f t="shared" si="134"/>
        <v>2446.5</v>
      </c>
      <c r="G171" s="63">
        <f t="shared" si="134"/>
        <v>2446.5</v>
      </c>
      <c r="H171" s="63">
        <f t="shared" si="134"/>
        <v>2446.5</v>
      </c>
      <c r="I171" s="63">
        <f t="shared" si="130"/>
        <v>2446.5</v>
      </c>
      <c r="J171" s="63">
        <f t="shared" si="130"/>
        <v>2446.5</v>
      </c>
      <c r="K171" s="63">
        <f t="shared" si="130"/>
        <v>2446.5</v>
      </c>
      <c r="L171" s="64">
        <v>503.06112000000002</v>
      </c>
      <c r="M171" s="65">
        <f t="shared" si="104"/>
        <v>20.56248191293685</v>
      </c>
      <c r="N171" s="66">
        <v>503.06112000000002</v>
      </c>
      <c r="O171" s="65">
        <f>L171-N171</f>
        <v>0</v>
      </c>
      <c r="P171" s="65">
        <f t="shared" si="136"/>
        <v>1943.4388799999999</v>
      </c>
      <c r="Q171" s="65">
        <f t="shared" si="137"/>
        <v>1943.4388799999999</v>
      </c>
      <c r="R171" s="67">
        <f t="shared" si="131"/>
        <v>2446.5</v>
      </c>
      <c r="S171" s="68" t="str">
        <f t="shared" si="139"/>
        <v/>
      </c>
      <c r="T171" s="68" t="str">
        <f t="shared" si="140"/>
        <v/>
      </c>
      <c r="U171" s="71"/>
    </row>
    <row r="172" spans="1:21" ht="47.25" x14ac:dyDescent="0.2">
      <c r="A172" s="103" t="s">
        <v>238</v>
      </c>
      <c r="B172" s="60" t="s">
        <v>25</v>
      </c>
      <c r="C172" s="102" t="s">
        <v>239</v>
      </c>
      <c r="D172" s="62">
        <v>147656.70000000001</v>
      </c>
      <c r="E172" s="63">
        <f t="shared" si="134"/>
        <v>147656.70000000001</v>
      </c>
      <c r="F172" s="63">
        <f t="shared" si="134"/>
        <v>147656.70000000001</v>
      </c>
      <c r="G172" s="63">
        <f t="shared" si="134"/>
        <v>147656.70000000001</v>
      </c>
      <c r="H172" s="63">
        <f t="shared" si="134"/>
        <v>147656.70000000001</v>
      </c>
      <c r="I172" s="63">
        <f t="shared" si="130"/>
        <v>147656.70000000001</v>
      </c>
      <c r="J172" s="63">
        <f t="shared" si="130"/>
        <v>147656.70000000001</v>
      </c>
      <c r="K172" s="63">
        <f t="shared" si="130"/>
        <v>147656.70000000001</v>
      </c>
      <c r="L172" s="64">
        <v>76850.17</v>
      </c>
      <c r="M172" s="65">
        <f t="shared" si="104"/>
        <v>52.046517360878298</v>
      </c>
      <c r="N172" s="66">
        <v>76850.17</v>
      </c>
      <c r="O172" s="140">
        <f t="shared" si="135"/>
        <v>0</v>
      </c>
      <c r="P172" s="65">
        <f t="shared" si="136"/>
        <v>70806.530000000013</v>
      </c>
      <c r="Q172" s="65">
        <f t="shared" si="137"/>
        <v>70806.530000000013</v>
      </c>
      <c r="R172" s="67">
        <f t="shared" si="131"/>
        <v>147656.70000000001</v>
      </c>
      <c r="S172" s="68" t="str">
        <f t="shared" si="139"/>
        <v/>
      </c>
      <c r="T172" s="68" t="str">
        <f t="shared" si="140"/>
        <v/>
      </c>
      <c r="U172" s="32"/>
    </row>
    <row r="173" spans="1:21" ht="31.5" x14ac:dyDescent="0.2">
      <c r="A173" s="103" t="s">
        <v>240</v>
      </c>
      <c r="B173" s="60" t="s">
        <v>25</v>
      </c>
      <c r="C173" s="102" t="s">
        <v>241</v>
      </c>
      <c r="D173" s="62"/>
      <c r="E173" s="63">
        <f t="shared" si="134"/>
        <v>0</v>
      </c>
      <c r="F173" s="63">
        <f t="shared" si="134"/>
        <v>0</v>
      </c>
      <c r="G173" s="78">
        <v>500</v>
      </c>
      <c r="H173" s="63">
        <f t="shared" si="134"/>
        <v>500</v>
      </c>
      <c r="I173" s="63">
        <f t="shared" si="130"/>
        <v>500</v>
      </c>
      <c r="J173" s="63">
        <f t="shared" si="130"/>
        <v>500</v>
      </c>
      <c r="K173" s="63">
        <f t="shared" si="130"/>
        <v>500</v>
      </c>
      <c r="L173" s="64"/>
      <c r="M173" s="65"/>
      <c r="N173" s="66"/>
      <c r="O173" s="65"/>
      <c r="P173" s="65">
        <f t="shared" si="136"/>
        <v>500</v>
      </c>
      <c r="Q173" s="65">
        <f t="shared" si="137"/>
        <v>500</v>
      </c>
      <c r="R173" s="67">
        <f t="shared" si="131"/>
        <v>500</v>
      </c>
      <c r="S173" s="68" t="str">
        <f t="shared" si="139"/>
        <v/>
      </c>
      <c r="T173" s="68" t="str">
        <f t="shared" si="140"/>
        <v/>
      </c>
      <c r="U173" s="32"/>
    </row>
    <row r="174" spans="1:21" ht="78.75" x14ac:dyDescent="0.2">
      <c r="A174" s="125" t="s">
        <v>242</v>
      </c>
      <c r="B174" s="60" t="s">
        <v>25</v>
      </c>
      <c r="C174" s="102" t="s">
        <v>243</v>
      </c>
      <c r="D174" s="62">
        <v>337.9</v>
      </c>
      <c r="E174" s="63">
        <f t="shared" si="134"/>
        <v>337.9</v>
      </c>
      <c r="F174" s="63">
        <f t="shared" si="134"/>
        <v>337.9</v>
      </c>
      <c r="G174" s="63">
        <f t="shared" si="134"/>
        <v>337.9</v>
      </c>
      <c r="H174" s="63">
        <f t="shared" si="134"/>
        <v>337.9</v>
      </c>
      <c r="I174" s="63">
        <f t="shared" si="130"/>
        <v>337.9</v>
      </c>
      <c r="J174" s="63">
        <f t="shared" si="130"/>
        <v>337.9</v>
      </c>
      <c r="K174" s="63">
        <f t="shared" si="130"/>
        <v>337.9</v>
      </c>
      <c r="L174" s="64">
        <f>N174</f>
        <v>168.96</v>
      </c>
      <c r="M174" s="65">
        <f>L174/J174*100</f>
        <v>50.002959455460207</v>
      </c>
      <c r="N174" s="66">
        <v>168.96</v>
      </c>
      <c r="O174" s="65">
        <f t="shared" si="135"/>
        <v>0</v>
      </c>
      <c r="P174" s="65">
        <f>I174-L174</f>
        <v>168.93999999999997</v>
      </c>
      <c r="Q174" s="65">
        <f t="shared" si="137"/>
        <v>168.93999999999997</v>
      </c>
      <c r="R174" s="67">
        <f t="shared" si="131"/>
        <v>337.9</v>
      </c>
      <c r="S174" s="68"/>
      <c r="T174" s="68"/>
      <c r="U174" s="32"/>
    </row>
    <row r="175" spans="1:21" s="143" customFormat="1" x14ac:dyDescent="0.2">
      <c r="A175" s="141"/>
      <c r="B175" s="142"/>
      <c r="C175" s="141"/>
      <c r="D175" s="141"/>
      <c r="E175" s="141"/>
      <c r="J175" s="141"/>
      <c r="K175" s="144">
        <f t="shared" si="130"/>
        <v>0</v>
      </c>
      <c r="L175" s="141"/>
      <c r="M175" s="141"/>
      <c r="N175" s="145"/>
      <c r="O175" s="146"/>
      <c r="P175" s="141"/>
      <c r="Q175" s="141"/>
    </row>
    <row r="176" spans="1:21" x14ac:dyDescent="0.2">
      <c r="A176" s="147"/>
      <c r="B176" s="148"/>
      <c r="C176" s="149"/>
      <c r="D176" s="149"/>
      <c r="E176" s="149"/>
      <c r="F176" s="150"/>
      <c r="G176" s="150"/>
      <c r="H176" s="150"/>
      <c r="I176" s="150"/>
      <c r="J176" s="151"/>
      <c r="K176" s="151"/>
      <c r="L176" s="151"/>
      <c r="M176" s="151"/>
      <c r="N176" s="10"/>
      <c r="P176" s="151"/>
      <c r="Q176" s="151"/>
    </row>
    <row r="177" spans="1:17" x14ac:dyDescent="0.2">
      <c r="A177" s="147"/>
      <c r="B177" s="148"/>
      <c r="C177" s="149"/>
      <c r="D177" s="149"/>
      <c r="E177" s="149"/>
      <c r="F177" s="150"/>
      <c r="G177" s="150"/>
      <c r="H177" s="150"/>
      <c r="I177" s="150"/>
      <c r="J177" s="151"/>
      <c r="K177" s="151"/>
      <c r="L177" s="151"/>
      <c r="M177" s="151"/>
      <c r="N177" s="10"/>
      <c r="P177" s="151"/>
      <c r="Q177" s="151"/>
    </row>
    <row r="178" spans="1:17" x14ac:dyDescent="0.2">
      <c r="A178" s="147"/>
      <c r="B178" s="148"/>
      <c r="C178" s="147"/>
      <c r="D178" s="147"/>
      <c r="E178" s="147"/>
    </row>
    <row r="179" spans="1:17" x14ac:dyDescent="0.2">
      <c r="A179" s="147"/>
      <c r="B179" s="148"/>
      <c r="C179" s="147"/>
      <c r="D179" s="147"/>
      <c r="E179" s="147"/>
    </row>
    <row r="180" spans="1:17" x14ac:dyDescent="0.2">
      <c r="A180" s="147"/>
      <c r="B180" s="148"/>
      <c r="C180" s="147"/>
      <c r="D180" s="147"/>
      <c r="E180" s="147"/>
    </row>
    <row r="181" spans="1:17" x14ac:dyDescent="0.2">
      <c r="A181" s="152"/>
      <c r="B181" s="148"/>
      <c r="C181" s="147"/>
      <c r="D181" s="147"/>
      <c r="E181" s="147"/>
    </row>
    <row r="182" spans="1:17" x14ac:dyDescent="0.2">
      <c r="A182" s="147"/>
      <c r="B182" s="148"/>
      <c r="C182" s="147"/>
      <c r="D182" s="147"/>
      <c r="E182" s="147"/>
    </row>
    <row r="183" spans="1:17" x14ac:dyDescent="0.2">
      <c r="A183" s="147"/>
      <c r="B183" s="148"/>
      <c r="C183" s="147"/>
      <c r="D183" s="147"/>
      <c r="E183" s="147"/>
    </row>
    <row r="184" spans="1:17" x14ac:dyDescent="0.2">
      <c r="A184" s="147"/>
      <c r="B184" s="148"/>
      <c r="C184" s="147"/>
      <c r="D184" s="147"/>
      <c r="E184" s="147"/>
    </row>
    <row r="185" spans="1:17" x14ac:dyDescent="0.2">
      <c r="A185" s="147"/>
      <c r="B185" s="148"/>
      <c r="C185" s="147"/>
      <c r="D185" s="147"/>
      <c r="E185" s="147"/>
    </row>
    <row r="186" spans="1:17" x14ac:dyDescent="0.2">
      <c r="A186" s="147"/>
      <c r="B186" s="148"/>
      <c r="C186" s="147"/>
      <c r="D186" s="147"/>
      <c r="E186" s="147"/>
    </row>
    <row r="187" spans="1:17" x14ac:dyDescent="0.2">
      <c r="A187" s="147"/>
      <c r="B187" s="148"/>
      <c r="C187" s="147"/>
      <c r="D187" s="147"/>
      <c r="E187" s="147"/>
    </row>
    <row r="188" spans="1:17" x14ac:dyDescent="0.2">
      <c r="A188" s="147"/>
      <c r="B188" s="148"/>
      <c r="C188" s="147"/>
      <c r="D188" s="147"/>
      <c r="E188" s="147"/>
    </row>
    <row r="189" spans="1:17" x14ac:dyDescent="0.2">
      <c r="A189" s="147"/>
      <c r="B189" s="148"/>
      <c r="C189" s="147"/>
      <c r="D189" s="147"/>
      <c r="E189" s="147"/>
    </row>
    <row r="190" spans="1:17" x14ac:dyDescent="0.2">
      <c r="A190" s="147"/>
      <c r="B190" s="148"/>
      <c r="C190" s="147"/>
      <c r="D190" s="147"/>
      <c r="E190" s="147"/>
    </row>
    <row r="191" spans="1:17" x14ac:dyDescent="0.2">
      <c r="A191" s="147"/>
      <c r="B191" s="148"/>
      <c r="C191" s="147"/>
      <c r="D191" s="147"/>
      <c r="E191" s="147"/>
    </row>
    <row r="192" spans="1:17" x14ac:dyDescent="0.2">
      <c r="A192" s="147"/>
      <c r="B192" s="148"/>
      <c r="C192" s="147"/>
      <c r="D192" s="147"/>
      <c r="E192" s="147"/>
    </row>
    <row r="193" spans="1:5" x14ac:dyDescent="0.2">
      <c r="A193" s="147"/>
      <c r="B193" s="148"/>
      <c r="C193" s="147"/>
      <c r="D193" s="147"/>
      <c r="E193" s="147"/>
    </row>
  </sheetData>
  <autoFilter ref="A7:U175"/>
  <mergeCells count="24">
    <mergeCell ref="U37:U39"/>
    <mergeCell ref="U62:U63"/>
    <mergeCell ref="O5:O6"/>
    <mergeCell ref="P5:P6"/>
    <mergeCell ref="Q5:Q6"/>
    <mergeCell ref="R5:R6"/>
    <mergeCell ref="S5:T5"/>
    <mergeCell ref="U5:U6"/>
    <mergeCell ref="H5:H6"/>
    <mergeCell ref="I5:I6"/>
    <mergeCell ref="J5:J6"/>
    <mergeCell ref="K5:K6"/>
    <mergeCell ref="L5:M5"/>
    <mergeCell ref="N5:N6"/>
    <mergeCell ref="A1:P1"/>
    <mergeCell ref="A2:P2"/>
    <mergeCell ref="A3:P3"/>
    <mergeCell ref="A5:A6"/>
    <mergeCell ref="B5:B6"/>
    <mergeCell ref="C5:C6"/>
    <mergeCell ref="D5:D6"/>
    <mergeCell ref="E5:E6"/>
    <mergeCell ref="F5:F6"/>
    <mergeCell ref="G5:G6"/>
  </mergeCells>
  <printOptions horizontalCentered="1"/>
  <pageMargins left="0" right="0" top="0.31496062992125984" bottom="0.35433070866141736" header="0.15748031496062992" footer="0.19685039370078741"/>
  <pageSetup paperSize="9" scale="65" orientation="landscape" r:id="rId1"/>
  <headerFooter alignWithMargins="0">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край</vt:lpstr>
      <vt:lpstr>край!Заголовки_для_печати</vt:lpstr>
      <vt:lpstr>край!Область_печати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 Вильнер</dc:creator>
  <cp:lastModifiedBy>Ольга В. Вильнер</cp:lastModifiedBy>
  <dcterms:created xsi:type="dcterms:W3CDTF">2021-07-01T10:12:57Z</dcterms:created>
  <dcterms:modified xsi:type="dcterms:W3CDTF">2021-07-01T10:17:25Z</dcterms:modified>
</cp:coreProperties>
</file>