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7795" windowHeight="12090"/>
  </bookViews>
  <sheets>
    <sheet name="край" sheetId="1" r:id="rId1"/>
  </sheets>
  <definedNames>
    <definedName name="_xlnm._FilterDatabase" localSheetId="0" hidden="1">край!$A$7:$V$173</definedName>
    <definedName name="_xlnm.Print_Titles" localSheetId="0">край!$A:$A,край!$5:$6</definedName>
    <definedName name="_xlnm.Print_Area" localSheetId="0">край!$A$1:$P$172</definedName>
  </definedNames>
  <calcPr calcId="145621"/>
</workbook>
</file>

<file path=xl/calcChain.xml><?xml version="1.0" encoding="utf-8"?>
<calcChain xmlns="http://schemas.openxmlformats.org/spreadsheetml/2006/main">
  <c r="W62" i="1" l="1"/>
  <c r="W65" i="1"/>
  <c r="W67" i="1"/>
  <c r="W85" i="1"/>
  <c r="W95" i="1"/>
  <c r="W96" i="1"/>
  <c r="W97" i="1"/>
  <c r="W98" i="1"/>
  <c r="W138" i="1"/>
  <c r="W159" i="1"/>
  <c r="W160" i="1"/>
  <c r="W161" i="1"/>
  <c r="W162" i="1"/>
  <c r="W163" i="1"/>
  <c r="W164" i="1"/>
  <c r="W165" i="1"/>
  <c r="W173" i="1"/>
  <c r="P157" i="1"/>
  <c r="O157" i="1"/>
  <c r="N157" i="1"/>
  <c r="L157" i="1"/>
  <c r="P156" i="1"/>
  <c r="P155" i="1" s="1"/>
  <c r="O156" i="1"/>
  <c r="O155" i="1" s="1"/>
  <c r="N156" i="1"/>
  <c r="N155" i="1" s="1"/>
  <c r="L156" i="1"/>
  <c r="L155" i="1" s="1"/>
  <c r="P129" i="1"/>
  <c r="O129" i="1"/>
  <c r="O128" i="1" s="1"/>
  <c r="N129" i="1"/>
  <c r="N128" i="1" s="1"/>
  <c r="L129" i="1"/>
  <c r="O19" i="1"/>
  <c r="O16" i="1" s="1"/>
  <c r="N19" i="1"/>
  <c r="N16" i="1" s="1"/>
  <c r="L19" i="1"/>
  <c r="O18" i="1"/>
  <c r="O15" i="1" s="1"/>
  <c r="N18" i="1"/>
  <c r="L18" i="1"/>
  <c r="L9" i="1" l="1"/>
  <c r="L8" i="1" s="1"/>
  <c r="N17" i="1"/>
  <c r="O14" i="1"/>
  <c r="O12" i="1"/>
  <c r="L128" i="1"/>
  <c r="L15" i="1"/>
  <c r="L14" i="1" s="1"/>
  <c r="L12" i="1"/>
  <c r="L16" i="1"/>
  <c r="L17" i="1"/>
  <c r="L13" i="1"/>
  <c r="L10" i="1"/>
  <c r="P128" i="1"/>
  <c r="N13" i="1"/>
  <c r="N12" i="1"/>
  <c r="O13" i="1"/>
  <c r="N10" i="1"/>
  <c r="O17" i="1"/>
  <c r="N9" i="1"/>
  <c r="O10" i="1"/>
  <c r="N15" i="1"/>
  <c r="N14" i="1" s="1"/>
  <c r="O9" i="1"/>
  <c r="O11" i="1" l="1"/>
  <c r="N11" i="1"/>
  <c r="O8" i="1"/>
  <c r="L11" i="1"/>
  <c r="N8" i="1"/>
  <c r="K173" i="1" l="1"/>
  <c r="E172" i="1"/>
  <c r="F172" i="1" s="1"/>
  <c r="G172" i="1" s="1"/>
  <c r="R171" i="1"/>
  <c r="G171" i="1"/>
  <c r="E170" i="1"/>
  <c r="F170" i="1" s="1"/>
  <c r="G170" i="1" s="1"/>
  <c r="E169" i="1"/>
  <c r="F169" i="1" s="1"/>
  <c r="G169" i="1" s="1"/>
  <c r="E168" i="1"/>
  <c r="F168" i="1" s="1"/>
  <c r="G168" i="1" s="1"/>
  <c r="E167" i="1"/>
  <c r="F167" i="1" s="1"/>
  <c r="G167" i="1" s="1"/>
  <c r="E166" i="1"/>
  <c r="F166" i="1" s="1"/>
  <c r="G166" i="1" s="1"/>
  <c r="E165" i="1"/>
  <c r="E164" i="1"/>
  <c r="E163" i="1"/>
  <c r="E162" i="1"/>
  <c r="Q161" i="1"/>
  <c r="D161" i="1"/>
  <c r="E160" i="1"/>
  <c r="E159" i="1"/>
  <c r="E158" i="1"/>
  <c r="Q157" i="1"/>
  <c r="D157" i="1"/>
  <c r="C157" i="1"/>
  <c r="C155" i="1" s="1"/>
  <c r="U156" i="1"/>
  <c r="U155" i="1" s="1"/>
  <c r="T156" i="1"/>
  <c r="S156" i="1"/>
  <c r="S155" i="1" s="1"/>
  <c r="Q156" i="1"/>
  <c r="Q155" i="1" s="1"/>
  <c r="D156" i="1"/>
  <c r="D155" i="1" s="1"/>
  <c r="T155" i="1"/>
  <c r="E154" i="1"/>
  <c r="F154" i="1" s="1"/>
  <c r="G154" i="1" s="1"/>
  <c r="E153" i="1"/>
  <c r="F153" i="1" s="1"/>
  <c r="G153" i="1" s="1"/>
  <c r="E152" i="1"/>
  <c r="F152" i="1" s="1"/>
  <c r="Q151" i="1"/>
  <c r="Q150" i="1" s="1"/>
  <c r="D151" i="1"/>
  <c r="D150" i="1" s="1"/>
  <c r="C150" i="1"/>
  <c r="E149" i="1"/>
  <c r="F149" i="1" s="1"/>
  <c r="F142" i="1" s="1"/>
  <c r="E148" i="1"/>
  <c r="F148" i="1" s="1"/>
  <c r="G148" i="1" s="1"/>
  <c r="E147" i="1"/>
  <c r="F147" i="1" s="1"/>
  <c r="G147" i="1" s="1"/>
  <c r="E146" i="1"/>
  <c r="F146" i="1" s="1"/>
  <c r="G146" i="1" s="1"/>
  <c r="E145" i="1"/>
  <c r="F145" i="1" s="1"/>
  <c r="G145" i="1" s="1"/>
  <c r="E144" i="1"/>
  <c r="F144" i="1" s="1"/>
  <c r="G144" i="1" s="1"/>
  <c r="E143" i="1"/>
  <c r="F143" i="1" s="1"/>
  <c r="G143" i="1" s="1"/>
  <c r="Q142" i="1"/>
  <c r="E142" i="1"/>
  <c r="D142" i="1"/>
  <c r="Q141" i="1"/>
  <c r="D141" i="1"/>
  <c r="C140" i="1"/>
  <c r="R139" i="1"/>
  <c r="D139" i="1"/>
  <c r="E139" i="1" s="1"/>
  <c r="G139" i="1" s="1"/>
  <c r="E138" i="1"/>
  <c r="H138" i="1" s="1"/>
  <c r="I138" i="1" s="1"/>
  <c r="E137" i="1"/>
  <c r="F137" i="1" s="1"/>
  <c r="G137" i="1" s="1"/>
  <c r="E136" i="1"/>
  <c r="F136" i="1" s="1"/>
  <c r="G136" i="1" s="1"/>
  <c r="E135" i="1"/>
  <c r="F135" i="1" s="1"/>
  <c r="G135" i="1" s="1"/>
  <c r="E134" i="1"/>
  <c r="F134" i="1" s="1"/>
  <c r="G134" i="1" s="1"/>
  <c r="F133" i="1"/>
  <c r="G133" i="1" s="1"/>
  <c r="E133" i="1"/>
  <c r="E132" i="1"/>
  <c r="F132" i="1" s="1"/>
  <c r="G132" i="1" s="1"/>
  <c r="E131" i="1"/>
  <c r="F131" i="1" s="1"/>
  <c r="G131" i="1" s="1"/>
  <c r="E130" i="1"/>
  <c r="F130" i="1" s="1"/>
  <c r="Q129" i="1"/>
  <c r="Q128" i="1" s="1"/>
  <c r="E127" i="1"/>
  <c r="E126" i="1" s="1"/>
  <c r="E125" i="1" s="1"/>
  <c r="T126" i="1"/>
  <c r="T125" i="1" s="1"/>
  <c r="Q126" i="1"/>
  <c r="Q125" i="1" s="1"/>
  <c r="D126" i="1"/>
  <c r="D125" i="1" s="1"/>
  <c r="C125" i="1"/>
  <c r="E124" i="1"/>
  <c r="F124" i="1" s="1"/>
  <c r="G124" i="1" s="1"/>
  <c r="E123" i="1"/>
  <c r="F123" i="1" s="1"/>
  <c r="G123" i="1" s="1"/>
  <c r="E122" i="1"/>
  <c r="F122" i="1" s="1"/>
  <c r="G122" i="1" s="1"/>
  <c r="G121" i="1"/>
  <c r="E121" i="1"/>
  <c r="E120" i="1"/>
  <c r="F120" i="1" s="1"/>
  <c r="E119" i="1"/>
  <c r="F119" i="1" s="1"/>
  <c r="G119" i="1" s="1"/>
  <c r="E118" i="1"/>
  <c r="F118" i="1" s="1"/>
  <c r="G118" i="1" s="1"/>
  <c r="W118" i="1" s="1"/>
  <c r="Q117" i="1"/>
  <c r="Q116" i="1" s="1"/>
  <c r="D117" i="1"/>
  <c r="D116" i="1" s="1"/>
  <c r="C116" i="1"/>
  <c r="E115" i="1"/>
  <c r="E114" i="1"/>
  <c r="F114" i="1" s="1"/>
  <c r="G114" i="1" s="1"/>
  <c r="E113" i="1"/>
  <c r="F113" i="1" s="1"/>
  <c r="G113" i="1" s="1"/>
  <c r="E112" i="1"/>
  <c r="F112" i="1" s="1"/>
  <c r="G112" i="1" s="1"/>
  <c r="W112" i="1" s="1"/>
  <c r="E111" i="1"/>
  <c r="F111" i="1" s="1"/>
  <c r="G111" i="1" s="1"/>
  <c r="E110" i="1"/>
  <c r="F110" i="1" s="1"/>
  <c r="G110" i="1" s="1"/>
  <c r="E109" i="1"/>
  <c r="F109" i="1" s="1"/>
  <c r="G109" i="1" s="1"/>
  <c r="E108" i="1"/>
  <c r="F108" i="1" s="1"/>
  <c r="G108" i="1" s="1"/>
  <c r="E107" i="1"/>
  <c r="F107" i="1" s="1"/>
  <c r="G107" i="1" s="1"/>
  <c r="E106" i="1"/>
  <c r="F106" i="1" s="1"/>
  <c r="G106" i="1" s="1"/>
  <c r="E105" i="1"/>
  <c r="F105" i="1" s="1"/>
  <c r="G105" i="1" s="1"/>
  <c r="E104" i="1"/>
  <c r="F104" i="1" s="1"/>
  <c r="G104" i="1" s="1"/>
  <c r="G103" i="1"/>
  <c r="E102" i="1"/>
  <c r="S101" i="1"/>
  <c r="Q101" i="1"/>
  <c r="D101" i="1"/>
  <c r="Q100" i="1"/>
  <c r="D100" i="1"/>
  <c r="Q99" i="1"/>
  <c r="C99" i="1"/>
  <c r="E98" i="1"/>
  <c r="E97" i="1"/>
  <c r="Q96" i="1"/>
  <c r="Q95" i="1" s="1"/>
  <c r="D96" i="1"/>
  <c r="D95" i="1" s="1"/>
  <c r="C95" i="1"/>
  <c r="E94" i="1"/>
  <c r="F94" i="1" s="1"/>
  <c r="G94" i="1" s="1"/>
  <c r="G93" i="1"/>
  <c r="E93" i="1"/>
  <c r="E92" i="1"/>
  <c r="F92" i="1" s="1"/>
  <c r="G92" i="1" s="1"/>
  <c r="G91" i="1"/>
  <c r="W91" i="1" s="1"/>
  <c r="E90" i="1"/>
  <c r="F90" i="1" s="1"/>
  <c r="G90" i="1" s="1"/>
  <c r="G89" i="1"/>
  <c r="E89" i="1"/>
  <c r="E88" i="1"/>
  <c r="F88" i="1" s="1"/>
  <c r="G88" i="1" s="1"/>
  <c r="E87" i="1"/>
  <c r="F87" i="1" s="1"/>
  <c r="G87" i="1" s="1"/>
  <c r="G86" i="1"/>
  <c r="E86" i="1"/>
  <c r="U85" i="1"/>
  <c r="T85" i="1"/>
  <c r="R85" i="1"/>
  <c r="E84" i="1"/>
  <c r="F84" i="1" s="1"/>
  <c r="G84" i="1" s="1"/>
  <c r="E83" i="1"/>
  <c r="F83" i="1" s="1"/>
  <c r="G83" i="1" s="1"/>
  <c r="E82" i="1"/>
  <c r="F82" i="1" s="1"/>
  <c r="G82" i="1" s="1"/>
  <c r="E81" i="1"/>
  <c r="F81" i="1" s="1"/>
  <c r="E80" i="1"/>
  <c r="F80" i="1" s="1"/>
  <c r="G80" i="1" s="1"/>
  <c r="E79" i="1"/>
  <c r="F79" i="1" s="1"/>
  <c r="G79" i="1" s="1"/>
  <c r="E78" i="1"/>
  <c r="F78" i="1" s="1"/>
  <c r="G78" i="1" s="1"/>
  <c r="E77" i="1"/>
  <c r="F77" i="1" s="1"/>
  <c r="G77" i="1" s="1"/>
  <c r="G76" i="1"/>
  <c r="E75" i="1"/>
  <c r="F75" i="1" s="1"/>
  <c r="G75" i="1" s="1"/>
  <c r="E74" i="1"/>
  <c r="E73" i="1"/>
  <c r="F73" i="1" s="1"/>
  <c r="G73" i="1" s="1"/>
  <c r="E72" i="1"/>
  <c r="F72" i="1" s="1"/>
  <c r="G72" i="1" s="1"/>
  <c r="F71" i="1"/>
  <c r="E71" i="1"/>
  <c r="Q70" i="1"/>
  <c r="D70" i="1"/>
  <c r="Q69" i="1"/>
  <c r="D69" i="1"/>
  <c r="H67" i="1"/>
  <c r="I67" i="1" s="1"/>
  <c r="R67" i="1" s="1"/>
  <c r="G66" i="1"/>
  <c r="R65" i="1"/>
  <c r="K65" i="1"/>
  <c r="G64" i="1"/>
  <c r="G63" i="1"/>
  <c r="R62" i="1"/>
  <c r="K62" i="1"/>
  <c r="E61" i="1"/>
  <c r="F61" i="1" s="1"/>
  <c r="G61" i="1" s="1"/>
  <c r="E60" i="1"/>
  <c r="F60" i="1" s="1"/>
  <c r="G60" i="1" s="1"/>
  <c r="E59" i="1"/>
  <c r="F59" i="1" s="1"/>
  <c r="G59" i="1" s="1"/>
  <c r="E58" i="1"/>
  <c r="F58" i="1" s="1"/>
  <c r="G58" i="1" s="1"/>
  <c r="E57" i="1"/>
  <c r="F57" i="1" s="1"/>
  <c r="G57" i="1" s="1"/>
  <c r="E56" i="1"/>
  <c r="F56" i="1" s="1"/>
  <c r="G56" i="1" s="1"/>
  <c r="E55" i="1"/>
  <c r="F55" i="1" s="1"/>
  <c r="G55" i="1" s="1"/>
  <c r="E54" i="1"/>
  <c r="F54" i="1" s="1"/>
  <c r="G54" i="1" s="1"/>
  <c r="R53" i="1"/>
  <c r="E53" i="1"/>
  <c r="F53" i="1" s="1"/>
  <c r="G53" i="1" s="1"/>
  <c r="E52" i="1"/>
  <c r="F52" i="1" s="1"/>
  <c r="G52" i="1" s="1"/>
  <c r="E51" i="1"/>
  <c r="F51" i="1" s="1"/>
  <c r="G51" i="1" s="1"/>
  <c r="E50" i="1"/>
  <c r="F50" i="1" s="1"/>
  <c r="G50" i="1" s="1"/>
  <c r="E49" i="1"/>
  <c r="F49" i="1" s="1"/>
  <c r="G49" i="1" s="1"/>
  <c r="E48" i="1"/>
  <c r="F48" i="1" s="1"/>
  <c r="G48" i="1" s="1"/>
  <c r="E47" i="1"/>
  <c r="F47" i="1" s="1"/>
  <c r="G47" i="1" s="1"/>
  <c r="W47" i="1" s="1"/>
  <c r="E46" i="1"/>
  <c r="F46" i="1" s="1"/>
  <c r="G46" i="1" s="1"/>
  <c r="E45" i="1"/>
  <c r="F45" i="1" s="1"/>
  <c r="G45" i="1" s="1"/>
  <c r="E44" i="1"/>
  <c r="F44" i="1" s="1"/>
  <c r="G44" i="1" s="1"/>
  <c r="E43" i="1"/>
  <c r="F43" i="1" s="1"/>
  <c r="E42" i="1"/>
  <c r="F42" i="1" s="1"/>
  <c r="G42" i="1" s="1"/>
  <c r="E41" i="1"/>
  <c r="F41" i="1" s="1"/>
  <c r="G41" i="1" s="1"/>
  <c r="E40" i="1"/>
  <c r="F40" i="1" s="1"/>
  <c r="G40" i="1" s="1"/>
  <c r="E39" i="1"/>
  <c r="F39" i="1" s="1"/>
  <c r="G39" i="1" s="1"/>
  <c r="E38" i="1"/>
  <c r="F38" i="1" s="1"/>
  <c r="G38" i="1" s="1"/>
  <c r="E37" i="1"/>
  <c r="F37" i="1" s="1"/>
  <c r="G37" i="1" s="1"/>
  <c r="E36" i="1"/>
  <c r="F36" i="1" s="1"/>
  <c r="G36" i="1" s="1"/>
  <c r="E35" i="1"/>
  <c r="F35" i="1" s="1"/>
  <c r="G35" i="1" s="1"/>
  <c r="E34" i="1"/>
  <c r="F34" i="1" s="1"/>
  <c r="G34" i="1" s="1"/>
  <c r="E33" i="1"/>
  <c r="F33" i="1" s="1"/>
  <c r="G33" i="1" s="1"/>
  <c r="E32" i="1"/>
  <c r="F32" i="1" s="1"/>
  <c r="G32" i="1" s="1"/>
  <c r="E31" i="1"/>
  <c r="F31" i="1" s="1"/>
  <c r="G31" i="1" s="1"/>
  <c r="E30" i="1"/>
  <c r="F30" i="1" s="1"/>
  <c r="G30" i="1" s="1"/>
  <c r="F29" i="1"/>
  <c r="G29" i="1" s="1"/>
  <c r="E29" i="1"/>
  <c r="E28" i="1"/>
  <c r="F28" i="1" s="1"/>
  <c r="G28" i="1" s="1"/>
  <c r="E27" i="1"/>
  <c r="F27" i="1" s="1"/>
  <c r="G27" i="1" s="1"/>
  <c r="F26" i="1"/>
  <c r="G26" i="1" s="1"/>
  <c r="E26" i="1"/>
  <c r="E25" i="1"/>
  <c r="F25" i="1" s="1"/>
  <c r="G25" i="1" s="1"/>
  <c r="E24" i="1"/>
  <c r="F24" i="1" s="1"/>
  <c r="G24" i="1" s="1"/>
  <c r="E23" i="1"/>
  <c r="F23" i="1" s="1"/>
  <c r="G23" i="1" s="1"/>
  <c r="E22" i="1"/>
  <c r="F22" i="1" s="1"/>
  <c r="G22" i="1" s="1"/>
  <c r="E21" i="1"/>
  <c r="F21" i="1" s="1"/>
  <c r="G21" i="1" s="1"/>
  <c r="E20" i="1"/>
  <c r="Q19" i="1"/>
  <c r="D19" i="1"/>
  <c r="D10" i="1" s="1"/>
  <c r="Q18" i="1"/>
  <c r="D18" i="1"/>
  <c r="C17" i="1"/>
  <c r="Q12" i="1" l="1"/>
  <c r="D140" i="1"/>
  <c r="D17" i="1"/>
  <c r="H91" i="1"/>
  <c r="I91" i="1" s="1"/>
  <c r="J91" i="1" s="1"/>
  <c r="K91" i="1" s="1"/>
  <c r="D99" i="1"/>
  <c r="Q15" i="1"/>
  <c r="E70" i="1"/>
  <c r="H132" i="1"/>
  <c r="I132" i="1" s="1"/>
  <c r="W132" i="1"/>
  <c r="H53" i="1"/>
  <c r="I53" i="1" s="1"/>
  <c r="J53" i="1" s="1"/>
  <c r="W53" i="1"/>
  <c r="H36" i="1"/>
  <c r="I36" i="1" s="1"/>
  <c r="W36" i="1"/>
  <c r="H88" i="1"/>
  <c r="I88" i="1" s="1"/>
  <c r="W88" i="1"/>
  <c r="H92" i="1"/>
  <c r="I92" i="1" s="1"/>
  <c r="W92" i="1"/>
  <c r="H143" i="1"/>
  <c r="W143" i="1"/>
  <c r="H26" i="1"/>
  <c r="I26" i="1" s="1"/>
  <c r="J26" i="1" s="1"/>
  <c r="W26" i="1"/>
  <c r="H30" i="1"/>
  <c r="I30" i="1" s="1"/>
  <c r="W30" i="1"/>
  <c r="H52" i="1"/>
  <c r="I52" i="1" s="1"/>
  <c r="J52" i="1" s="1"/>
  <c r="W52" i="1"/>
  <c r="H56" i="1"/>
  <c r="I56" i="1" s="1"/>
  <c r="W56" i="1"/>
  <c r="H66" i="1"/>
  <c r="I66" i="1" s="1"/>
  <c r="W66" i="1"/>
  <c r="H28" i="1"/>
  <c r="I28" i="1" s="1"/>
  <c r="W28" i="1"/>
  <c r="H38" i="1"/>
  <c r="I38" i="1" s="1"/>
  <c r="W38" i="1"/>
  <c r="H49" i="1"/>
  <c r="I49" i="1" s="1"/>
  <c r="J49" i="1" s="1"/>
  <c r="W49" i="1"/>
  <c r="D68" i="1"/>
  <c r="H77" i="1"/>
  <c r="I77" i="1" s="1"/>
  <c r="W77" i="1"/>
  <c r="H83" i="1"/>
  <c r="I83" i="1" s="1"/>
  <c r="W83" i="1"/>
  <c r="H86" i="1"/>
  <c r="I86" i="1" s="1"/>
  <c r="J86" i="1" s="1"/>
  <c r="W86" i="1"/>
  <c r="H89" i="1"/>
  <c r="I89" i="1" s="1"/>
  <c r="W89" i="1"/>
  <c r="H121" i="1"/>
  <c r="I121" i="1" s="1"/>
  <c r="W121" i="1"/>
  <c r="H133" i="1"/>
  <c r="I133" i="1" s="1"/>
  <c r="W133" i="1"/>
  <c r="Q17" i="1"/>
  <c r="H25" i="1"/>
  <c r="I25" i="1" s="1"/>
  <c r="W25" i="1"/>
  <c r="H34" i="1"/>
  <c r="I34" i="1" s="1"/>
  <c r="J34" i="1" s="1"/>
  <c r="W34" i="1"/>
  <c r="H39" i="1"/>
  <c r="I39" i="1" s="1"/>
  <c r="W39" i="1"/>
  <c r="H45" i="1"/>
  <c r="I45" i="1" s="1"/>
  <c r="W45" i="1"/>
  <c r="H50" i="1"/>
  <c r="I50" i="1" s="1"/>
  <c r="J50" i="1" s="1"/>
  <c r="W50" i="1"/>
  <c r="H54" i="1"/>
  <c r="I54" i="1" s="1"/>
  <c r="W54" i="1"/>
  <c r="H60" i="1"/>
  <c r="I60" i="1" s="1"/>
  <c r="J60" i="1" s="1"/>
  <c r="W60" i="1"/>
  <c r="Q68" i="1"/>
  <c r="H72" i="1"/>
  <c r="I72" i="1" s="1"/>
  <c r="W72" i="1"/>
  <c r="H78" i="1"/>
  <c r="I78" i="1" s="1"/>
  <c r="W78" i="1"/>
  <c r="H84" i="1"/>
  <c r="I84" i="1" s="1"/>
  <c r="W84" i="1"/>
  <c r="H90" i="1"/>
  <c r="I90" i="1" s="1"/>
  <c r="W90" i="1"/>
  <c r="H93" i="1"/>
  <c r="I93" i="1" s="1"/>
  <c r="J93" i="1" s="1"/>
  <c r="W93" i="1"/>
  <c r="H106" i="1"/>
  <c r="I106" i="1" s="1"/>
  <c r="W106" i="1"/>
  <c r="H122" i="1"/>
  <c r="I122" i="1" s="1"/>
  <c r="W122" i="1"/>
  <c r="H134" i="1"/>
  <c r="I134" i="1" s="1"/>
  <c r="R134" i="1" s="1"/>
  <c r="W134" i="1"/>
  <c r="H139" i="1"/>
  <c r="I139" i="1" s="1"/>
  <c r="J139" i="1" s="1"/>
  <c r="W139" i="1"/>
  <c r="H145" i="1"/>
  <c r="I145" i="1" s="1"/>
  <c r="J145" i="1" s="1"/>
  <c r="W145" i="1"/>
  <c r="H169" i="1"/>
  <c r="I169" i="1" s="1"/>
  <c r="W169" i="1"/>
  <c r="H21" i="1"/>
  <c r="I21" i="1" s="1"/>
  <c r="W21" i="1"/>
  <c r="H29" i="1"/>
  <c r="I29" i="1" s="1"/>
  <c r="W29" i="1"/>
  <c r="H35" i="1"/>
  <c r="I35" i="1" s="1"/>
  <c r="W35" i="1"/>
  <c r="H40" i="1"/>
  <c r="I40" i="1" s="1"/>
  <c r="W40" i="1"/>
  <c r="H46" i="1"/>
  <c r="I46" i="1" s="1"/>
  <c r="J46" i="1" s="1"/>
  <c r="W46" i="1"/>
  <c r="H51" i="1"/>
  <c r="I51" i="1" s="1"/>
  <c r="W51" i="1"/>
  <c r="H55" i="1"/>
  <c r="I55" i="1" s="1"/>
  <c r="W55" i="1"/>
  <c r="H61" i="1"/>
  <c r="I61" i="1" s="1"/>
  <c r="J61" i="1" s="1"/>
  <c r="W61" i="1"/>
  <c r="H73" i="1"/>
  <c r="I73" i="1" s="1"/>
  <c r="W73" i="1"/>
  <c r="H79" i="1"/>
  <c r="I79" i="1" s="1"/>
  <c r="J79" i="1" s="1"/>
  <c r="W79" i="1"/>
  <c r="H87" i="1"/>
  <c r="I87" i="1" s="1"/>
  <c r="W87" i="1"/>
  <c r="H94" i="1"/>
  <c r="I94" i="1" s="1"/>
  <c r="W94" i="1"/>
  <c r="H107" i="1"/>
  <c r="I107" i="1" s="1"/>
  <c r="J107" i="1" s="1"/>
  <c r="W107" i="1"/>
  <c r="H113" i="1"/>
  <c r="I113" i="1" s="1"/>
  <c r="W113" i="1"/>
  <c r="H123" i="1"/>
  <c r="I123" i="1" s="1"/>
  <c r="W123" i="1"/>
  <c r="H131" i="1"/>
  <c r="I131" i="1" s="1"/>
  <c r="W131" i="1"/>
  <c r="H146" i="1"/>
  <c r="I146" i="1" s="1"/>
  <c r="W146" i="1"/>
  <c r="H170" i="1"/>
  <c r="I170" i="1" s="1"/>
  <c r="W170" i="1"/>
  <c r="H41" i="1"/>
  <c r="I41" i="1" s="1"/>
  <c r="J41" i="1" s="1"/>
  <c r="W41" i="1"/>
  <c r="H147" i="1"/>
  <c r="I147" i="1" s="1"/>
  <c r="W147" i="1"/>
  <c r="H171" i="1"/>
  <c r="I171" i="1" s="1"/>
  <c r="J171" i="1" s="1"/>
  <c r="K171" i="1" s="1"/>
  <c r="W171" i="1"/>
  <c r="H114" i="1"/>
  <c r="I114" i="1" s="1"/>
  <c r="J114" i="1" s="1"/>
  <c r="K114" i="1" s="1"/>
  <c r="W114" i="1"/>
  <c r="H119" i="1"/>
  <c r="I119" i="1" s="1"/>
  <c r="J119" i="1" s="1"/>
  <c r="W119" i="1"/>
  <c r="H124" i="1"/>
  <c r="I124" i="1" s="1"/>
  <c r="W124" i="1"/>
  <c r="H135" i="1"/>
  <c r="I135" i="1" s="1"/>
  <c r="W135" i="1"/>
  <c r="H22" i="1"/>
  <c r="I22" i="1" s="1"/>
  <c r="J22" i="1" s="1"/>
  <c r="K22" i="1" s="1"/>
  <c r="W22" i="1"/>
  <c r="H57" i="1"/>
  <c r="I57" i="1" s="1"/>
  <c r="W57" i="1"/>
  <c r="H103" i="1"/>
  <c r="I103" i="1" s="1"/>
  <c r="W103" i="1"/>
  <c r="F127" i="1"/>
  <c r="H148" i="1"/>
  <c r="I148" i="1" s="1"/>
  <c r="W148" i="1"/>
  <c r="C8" i="1"/>
  <c r="H166" i="1"/>
  <c r="I166" i="1" s="1"/>
  <c r="W166" i="1"/>
  <c r="H80" i="1"/>
  <c r="I80" i="1" s="1"/>
  <c r="J80" i="1" s="1"/>
  <c r="W80" i="1"/>
  <c r="H108" i="1"/>
  <c r="I108" i="1" s="1"/>
  <c r="W108" i="1"/>
  <c r="H75" i="1"/>
  <c r="I75" i="1" s="1"/>
  <c r="J75" i="1" s="1"/>
  <c r="W75" i="1"/>
  <c r="H136" i="1"/>
  <c r="I136" i="1" s="1"/>
  <c r="W136" i="1"/>
  <c r="H23" i="1"/>
  <c r="I23" i="1" s="1"/>
  <c r="W23" i="1"/>
  <c r="H32" i="1"/>
  <c r="I32" i="1" s="1"/>
  <c r="W32" i="1"/>
  <c r="H37" i="1"/>
  <c r="I37" i="1" s="1"/>
  <c r="W37" i="1"/>
  <c r="H48" i="1"/>
  <c r="I48" i="1" s="1"/>
  <c r="W48" i="1"/>
  <c r="H58" i="1"/>
  <c r="I58" i="1" s="1"/>
  <c r="J58" i="1" s="1"/>
  <c r="W58" i="1"/>
  <c r="H63" i="1"/>
  <c r="I63" i="1" s="1"/>
  <c r="J63" i="1" s="1"/>
  <c r="K63" i="1" s="1"/>
  <c r="P63" i="1"/>
  <c r="P18" i="1" s="1"/>
  <c r="H76" i="1"/>
  <c r="I76" i="1" s="1"/>
  <c r="W76" i="1"/>
  <c r="H82" i="1"/>
  <c r="I82" i="1" s="1"/>
  <c r="J82" i="1" s="1"/>
  <c r="W82" i="1"/>
  <c r="H104" i="1"/>
  <c r="I104" i="1" s="1"/>
  <c r="W104" i="1"/>
  <c r="H110" i="1"/>
  <c r="I110" i="1" s="1"/>
  <c r="W110" i="1"/>
  <c r="H137" i="1"/>
  <c r="I137" i="1" s="1"/>
  <c r="W137" i="1"/>
  <c r="E141" i="1"/>
  <c r="E140" i="1" s="1"/>
  <c r="H153" i="1"/>
  <c r="I153" i="1" s="1"/>
  <c r="J153" i="1" s="1"/>
  <c r="W153" i="1"/>
  <c r="H167" i="1"/>
  <c r="I167" i="1" s="1"/>
  <c r="W167" i="1"/>
  <c r="H172" i="1"/>
  <c r="I172" i="1" s="1"/>
  <c r="W172" i="1"/>
  <c r="H27" i="1"/>
  <c r="I27" i="1" s="1"/>
  <c r="J27" i="1" s="1"/>
  <c r="W27" i="1"/>
  <c r="H31" i="1"/>
  <c r="I31" i="1" s="1"/>
  <c r="W31" i="1"/>
  <c r="H42" i="1"/>
  <c r="I42" i="1" s="1"/>
  <c r="W42" i="1"/>
  <c r="H47" i="1"/>
  <c r="I47" i="1" s="1"/>
  <c r="R47" i="1" s="1"/>
  <c r="H109" i="1"/>
  <c r="I109" i="1" s="1"/>
  <c r="W109" i="1"/>
  <c r="H24" i="1"/>
  <c r="I24" i="1" s="1"/>
  <c r="J24" i="1" s="1"/>
  <c r="K24" i="1" s="1"/>
  <c r="W24" i="1"/>
  <c r="H33" i="1"/>
  <c r="I33" i="1" s="1"/>
  <c r="J33" i="1" s="1"/>
  <c r="W33" i="1"/>
  <c r="H44" i="1"/>
  <c r="I44" i="1" s="1"/>
  <c r="J44" i="1" s="1"/>
  <c r="W44" i="1"/>
  <c r="H59" i="1"/>
  <c r="I59" i="1" s="1"/>
  <c r="R59" i="1" s="1"/>
  <c r="W59" i="1"/>
  <c r="H64" i="1"/>
  <c r="I64" i="1" s="1"/>
  <c r="J64" i="1" s="1"/>
  <c r="K64" i="1" s="1"/>
  <c r="P64" i="1"/>
  <c r="P19" i="1" s="1"/>
  <c r="H105" i="1"/>
  <c r="I105" i="1" s="1"/>
  <c r="W105" i="1"/>
  <c r="H111" i="1"/>
  <c r="I111" i="1" s="1"/>
  <c r="J111" i="1" s="1"/>
  <c r="K111" i="1" s="1"/>
  <c r="W111" i="1"/>
  <c r="Q140" i="1"/>
  <c r="H144" i="1"/>
  <c r="I144" i="1" s="1"/>
  <c r="J144" i="1" s="1"/>
  <c r="W144" i="1"/>
  <c r="H154" i="1"/>
  <c r="I154" i="1" s="1"/>
  <c r="W154" i="1"/>
  <c r="H168" i="1"/>
  <c r="I168" i="1" s="1"/>
  <c r="W168" i="1"/>
  <c r="F70" i="1"/>
  <c r="R132" i="1"/>
  <c r="J132" i="1"/>
  <c r="S132" i="1" s="1"/>
  <c r="E117" i="1"/>
  <c r="E116" i="1" s="1"/>
  <c r="F129" i="1"/>
  <c r="F128" i="1" s="1"/>
  <c r="J134" i="1"/>
  <c r="K134" i="1" s="1"/>
  <c r="G149" i="1"/>
  <c r="W149" i="1" s="1"/>
  <c r="E156" i="1"/>
  <c r="E155" i="1" s="1"/>
  <c r="E69" i="1"/>
  <c r="E68" i="1" s="1"/>
  <c r="G130" i="1"/>
  <c r="W130" i="1" s="1"/>
  <c r="D16" i="1"/>
  <c r="D13" i="1"/>
  <c r="D15" i="1"/>
  <c r="E157" i="1"/>
  <c r="Q9" i="1"/>
  <c r="R22" i="1"/>
  <c r="R52" i="1"/>
  <c r="R24" i="1"/>
  <c r="R49" i="1"/>
  <c r="R91" i="1"/>
  <c r="T22" i="1"/>
  <c r="U22" i="1"/>
  <c r="T24" i="1"/>
  <c r="U24" i="1"/>
  <c r="R26" i="1"/>
  <c r="R27" i="1"/>
  <c r="J32" i="1"/>
  <c r="R32" i="1"/>
  <c r="R50" i="1"/>
  <c r="R23" i="1"/>
  <c r="J23" i="1"/>
  <c r="J30" i="1"/>
  <c r="R30" i="1"/>
  <c r="R61" i="1"/>
  <c r="J21" i="1"/>
  <c r="R21" i="1"/>
  <c r="J25" i="1"/>
  <c r="R25" i="1"/>
  <c r="J35" i="1"/>
  <c r="R35" i="1"/>
  <c r="R37" i="1"/>
  <c r="J37" i="1"/>
  <c r="K37" i="1" s="1"/>
  <c r="J39" i="1"/>
  <c r="R39" i="1"/>
  <c r="R46" i="1"/>
  <c r="J29" i="1"/>
  <c r="R29" i="1"/>
  <c r="R31" i="1"/>
  <c r="J31" i="1"/>
  <c r="R33" i="1"/>
  <c r="R44" i="1"/>
  <c r="J51" i="1"/>
  <c r="R51" i="1"/>
  <c r="R38" i="1"/>
  <c r="J38" i="1"/>
  <c r="J42" i="1"/>
  <c r="R42" i="1"/>
  <c r="J48" i="1"/>
  <c r="R48" i="1"/>
  <c r="F20" i="1"/>
  <c r="E18" i="1"/>
  <c r="R28" i="1"/>
  <c r="J28" i="1"/>
  <c r="R54" i="1"/>
  <c r="J54" i="1"/>
  <c r="K54" i="1" s="1"/>
  <c r="R34" i="1"/>
  <c r="J36" i="1"/>
  <c r="K36" i="1" s="1"/>
  <c r="R36" i="1"/>
  <c r="J40" i="1"/>
  <c r="R40" i="1"/>
  <c r="R45" i="1"/>
  <c r="J45" i="1"/>
  <c r="S49" i="1"/>
  <c r="K49" i="1"/>
  <c r="Q10" i="1"/>
  <c r="Q13" i="1"/>
  <c r="Q11" i="1" s="1"/>
  <c r="Q16" i="1"/>
  <c r="Q14" i="1" s="1"/>
  <c r="E19" i="1"/>
  <c r="R57" i="1"/>
  <c r="J57" i="1"/>
  <c r="J83" i="1"/>
  <c r="R83" i="1"/>
  <c r="J89" i="1"/>
  <c r="R89" i="1"/>
  <c r="U91" i="1"/>
  <c r="T91" i="1"/>
  <c r="J92" i="1"/>
  <c r="R92" i="1"/>
  <c r="R41" i="1"/>
  <c r="S53" i="1"/>
  <c r="K53" i="1"/>
  <c r="R66" i="1"/>
  <c r="J66" i="1"/>
  <c r="K66" i="1" s="1"/>
  <c r="R75" i="1"/>
  <c r="J77" i="1"/>
  <c r="R77" i="1"/>
  <c r="R60" i="1"/>
  <c r="J73" i="1"/>
  <c r="R73" i="1"/>
  <c r="J88" i="1"/>
  <c r="R88" i="1"/>
  <c r="J90" i="1"/>
  <c r="R90" i="1"/>
  <c r="R94" i="1"/>
  <c r="J94" i="1"/>
  <c r="S52" i="1"/>
  <c r="J56" i="1"/>
  <c r="R56" i="1"/>
  <c r="R58" i="1"/>
  <c r="J67" i="1"/>
  <c r="K67" i="1" s="1"/>
  <c r="R78" i="1"/>
  <c r="J78" i="1"/>
  <c r="K78" i="1" s="1"/>
  <c r="R80" i="1"/>
  <c r="J84" i="1"/>
  <c r="R84" i="1"/>
  <c r="R55" i="1"/>
  <c r="J55" i="1"/>
  <c r="J72" i="1"/>
  <c r="K72" i="1" s="1"/>
  <c r="R72" i="1"/>
  <c r="J76" i="1"/>
  <c r="K76" i="1" s="1"/>
  <c r="R76" i="1"/>
  <c r="R82" i="1"/>
  <c r="G43" i="1"/>
  <c r="W43" i="1" s="1"/>
  <c r="F19" i="1"/>
  <c r="K52" i="1"/>
  <c r="J59" i="1"/>
  <c r="R79" i="1"/>
  <c r="J87" i="1"/>
  <c r="R87" i="1"/>
  <c r="G71" i="1"/>
  <c r="W71" i="1" s="1"/>
  <c r="F74" i="1"/>
  <c r="G74" i="1" s="1"/>
  <c r="G81" i="1"/>
  <c r="W81" i="1" s="1"/>
  <c r="R113" i="1"/>
  <c r="J113" i="1"/>
  <c r="S86" i="1"/>
  <c r="K86" i="1"/>
  <c r="S93" i="1"/>
  <c r="K93" i="1"/>
  <c r="R105" i="1"/>
  <c r="J105" i="1"/>
  <c r="K105" i="1" s="1"/>
  <c r="J108" i="1"/>
  <c r="K108" i="1" s="1"/>
  <c r="R108" i="1"/>
  <c r="R111" i="1"/>
  <c r="R119" i="1"/>
  <c r="R123" i="1"/>
  <c r="J123" i="1"/>
  <c r="J106" i="1"/>
  <c r="K106" i="1" s="1"/>
  <c r="R106" i="1"/>
  <c r="R114" i="1"/>
  <c r="J121" i="1"/>
  <c r="R121" i="1"/>
  <c r="J131" i="1"/>
  <c r="R131" i="1"/>
  <c r="R86" i="1"/>
  <c r="R93" i="1"/>
  <c r="E96" i="1"/>
  <c r="E95" i="1" s="1"/>
  <c r="R103" i="1"/>
  <c r="J103" i="1"/>
  <c r="K103" i="1" s="1"/>
  <c r="R107" i="1"/>
  <c r="R109" i="1"/>
  <c r="J109" i="1"/>
  <c r="H112" i="1"/>
  <c r="F117" i="1"/>
  <c r="F116" i="1" s="1"/>
  <c r="G120" i="1"/>
  <c r="J124" i="1"/>
  <c r="R124" i="1"/>
  <c r="R104" i="1"/>
  <c r="J104" i="1"/>
  <c r="R110" i="1"/>
  <c r="J110" i="1"/>
  <c r="H118" i="1"/>
  <c r="J122" i="1"/>
  <c r="R122" i="1"/>
  <c r="J138" i="1"/>
  <c r="R138" i="1"/>
  <c r="F115" i="1"/>
  <c r="E101" i="1"/>
  <c r="J135" i="1"/>
  <c r="R135" i="1"/>
  <c r="F102" i="1"/>
  <c r="E100" i="1"/>
  <c r="J133" i="1"/>
  <c r="R133" i="1"/>
  <c r="J137" i="1"/>
  <c r="R137" i="1"/>
  <c r="K132" i="1"/>
  <c r="G127" i="1"/>
  <c r="W127" i="1" s="1"/>
  <c r="F126" i="1"/>
  <c r="F125" i="1" s="1"/>
  <c r="E129" i="1"/>
  <c r="E128" i="1" s="1"/>
  <c r="R144" i="1"/>
  <c r="R148" i="1"/>
  <c r="J148" i="1"/>
  <c r="G152" i="1"/>
  <c r="W152" i="1" s="1"/>
  <c r="F151" i="1"/>
  <c r="F150" i="1" s="1"/>
  <c r="R164" i="1"/>
  <c r="R167" i="1"/>
  <c r="J167" i="1"/>
  <c r="R169" i="1"/>
  <c r="J169" i="1"/>
  <c r="F141" i="1"/>
  <c r="F140" i="1" s="1"/>
  <c r="J146" i="1"/>
  <c r="R146" i="1"/>
  <c r="J154" i="1"/>
  <c r="R154" i="1"/>
  <c r="J172" i="1"/>
  <c r="R172" i="1"/>
  <c r="R145" i="1"/>
  <c r="R153" i="1"/>
  <c r="R160" i="1"/>
  <c r="R165" i="1"/>
  <c r="J170" i="1"/>
  <c r="R170" i="1"/>
  <c r="J136" i="1"/>
  <c r="R136" i="1"/>
  <c r="R168" i="1"/>
  <c r="J168" i="1"/>
  <c r="K168" i="1" s="1"/>
  <c r="D129" i="1"/>
  <c r="I143" i="1"/>
  <c r="J147" i="1"/>
  <c r="R147" i="1"/>
  <c r="R159" i="1"/>
  <c r="R163" i="1"/>
  <c r="J166" i="1"/>
  <c r="K166" i="1" s="1"/>
  <c r="R166" i="1"/>
  <c r="E161" i="1"/>
  <c r="F158" i="1"/>
  <c r="G141" i="1"/>
  <c r="E151" i="1"/>
  <c r="E150" i="1" s="1"/>
  <c r="P16" i="1" l="1"/>
  <c r="P13" i="1"/>
  <c r="P10" i="1"/>
  <c r="H141" i="1"/>
  <c r="R64" i="1"/>
  <c r="G129" i="1"/>
  <c r="H130" i="1"/>
  <c r="I130" i="1" s="1"/>
  <c r="H120" i="1"/>
  <c r="I120" i="1" s="1"/>
  <c r="W120" i="1"/>
  <c r="R63" i="1"/>
  <c r="P15" i="1"/>
  <c r="P14" i="1" s="1"/>
  <c r="P9" i="1"/>
  <c r="P12" i="1"/>
  <c r="P17" i="1"/>
  <c r="J47" i="1"/>
  <c r="K47" i="1" s="1"/>
  <c r="H74" i="1"/>
  <c r="I74" i="1" s="1"/>
  <c r="W74" i="1"/>
  <c r="F69" i="1"/>
  <c r="F68" i="1" s="1"/>
  <c r="S134" i="1"/>
  <c r="U134" i="1" s="1"/>
  <c r="D14" i="1"/>
  <c r="G142" i="1"/>
  <c r="H149" i="1"/>
  <c r="Q8" i="1"/>
  <c r="S45" i="1"/>
  <c r="K45" i="1"/>
  <c r="K167" i="1"/>
  <c r="D128" i="1"/>
  <c r="D12" i="1"/>
  <c r="D11" i="1" s="1"/>
  <c r="D9" i="1"/>
  <c r="D8" i="1" s="1"/>
  <c r="K145" i="1"/>
  <c r="S145" i="1"/>
  <c r="K148" i="1"/>
  <c r="S148" i="1"/>
  <c r="S123" i="1"/>
  <c r="K123" i="1"/>
  <c r="T93" i="1"/>
  <c r="U93" i="1"/>
  <c r="H43" i="1"/>
  <c r="G19" i="1"/>
  <c r="K55" i="1"/>
  <c r="U78" i="1"/>
  <c r="T78" i="1"/>
  <c r="S90" i="1"/>
  <c r="K90" i="1"/>
  <c r="S60" i="1"/>
  <c r="K60" i="1"/>
  <c r="S57" i="1"/>
  <c r="K57" i="1"/>
  <c r="J143" i="1"/>
  <c r="I141" i="1"/>
  <c r="K144" i="1"/>
  <c r="S144" i="1"/>
  <c r="U144" i="1" s="1"/>
  <c r="H127" i="1"/>
  <c r="G126" i="1"/>
  <c r="S135" i="1"/>
  <c r="K135" i="1"/>
  <c r="S138" i="1"/>
  <c r="I118" i="1"/>
  <c r="H117" i="1"/>
  <c r="H116" i="1" s="1"/>
  <c r="T114" i="1"/>
  <c r="U114" i="1"/>
  <c r="J74" i="1"/>
  <c r="R74" i="1"/>
  <c r="S59" i="1"/>
  <c r="K59" i="1"/>
  <c r="T76" i="1"/>
  <c r="U76" i="1"/>
  <c r="K77" i="1"/>
  <c r="T54" i="1"/>
  <c r="U54" i="1"/>
  <c r="S42" i="1"/>
  <c r="K42" i="1"/>
  <c r="K29" i="1"/>
  <c r="S29" i="1"/>
  <c r="S21" i="1"/>
  <c r="K21" i="1"/>
  <c r="S23" i="1"/>
  <c r="K23" i="1"/>
  <c r="S26" i="1"/>
  <c r="K26" i="1"/>
  <c r="S110" i="1"/>
  <c r="K110" i="1"/>
  <c r="S109" i="1"/>
  <c r="K109" i="1"/>
  <c r="U86" i="1"/>
  <c r="T86" i="1"/>
  <c r="S89" i="1"/>
  <c r="K89" i="1"/>
  <c r="H152" i="1"/>
  <c r="G151" i="1"/>
  <c r="K170" i="1"/>
  <c r="K146" i="1"/>
  <c r="S146" i="1"/>
  <c r="U132" i="1"/>
  <c r="T132" i="1"/>
  <c r="S133" i="1"/>
  <c r="K133" i="1"/>
  <c r="K107" i="1"/>
  <c r="S131" i="1"/>
  <c r="K131" i="1"/>
  <c r="F157" i="1"/>
  <c r="F156" i="1"/>
  <c r="F155" i="1" s="1"/>
  <c r="G158" i="1"/>
  <c r="W158" i="1" s="1"/>
  <c r="K139" i="1"/>
  <c r="S139" i="1"/>
  <c r="K172" i="1"/>
  <c r="K169" i="1"/>
  <c r="H129" i="1"/>
  <c r="H128" i="1" s="1"/>
  <c r="G117" i="1"/>
  <c r="I112" i="1"/>
  <c r="U108" i="1"/>
  <c r="T108" i="1"/>
  <c r="G69" i="1"/>
  <c r="W69" i="1" s="1"/>
  <c r="H71" i="1"/>
  <c r="S56" i="1"/>
  <c r="K56" i="1"/>
  <c r="K88" i="1"/>
  <c r="S88" i="1"/>
  <c r="S41" i="1"/>
  <c r="K41" i="1"/>
  <c r="U49" i="1"/>
  <c r="T49" i="1"/>
  <c r="T36" i="1"/>
  <c r="U36" i="1"/>
  <c r="K38" i="1"/>
  <c r="S38" i="1"/>
  <c r="K33" i="1"/>
  <c r="S33" i="1"/>
  <c r="E16" i="1"/>
  <c r="E13" i="1"/>
  <c r="E10" i="1"/>
  <c r="S28" i="1"/>
  <c r="K28" i="1"/>
  <c r="S46" i="1"/>
  <c r="K46" i="1"/>
  <c r="S35" i="1"/>
  <c r="K35" i="1"/>
  <c r="R98" i="1"/>
  <c r="S82" i="1"/>
  <c r="K82" i="1"/>
  <c r="E99" i="1"/>
  <c r="F101" i="1"/>
  <c r="F13" i="1" s="1"/>
  <c r="G115" i="1"/>
  <c r="W115" i="1" s="1"/>
  <c r="K124" i="1"/>
  <c r="U106" i="1"/>
  <c r="T106" i="1"/>
  <c r="K87" i="1"/>
  <c r="S87" i="1"/>
  <c r="S73" i="1"/>
  <c r="K73" i="1"/>
  <c r="T53" i="1"/>
  <c r="U53" i="1"/>
  <c r="K31" i="1"/>
  <c r="S31" i="1"/>
  <c r="S61" i="1"/>
  <c r="K61" i="1"/>
  <c r="K50" i="1"/>
  <c r="S50" i="1"/>
  <c r="T134" i="1"/>
  <c r="S119" i="1"/>
  <c r="K119" i="1"/>
  <c r="U72" i="1"/>
  <c r="T72" i="1"/>
  <c r="S84" i="1"/>
  <c r="K84" i="1"/>
  <c r="T52" i="1"/>
  <c r="U52" i="1"/>
  <c r="S75" i="1"/>
  <c r="K75" i="1"/>
  <c r="K34" i="1"/>
  <c r="S34" i="1"/>
  <c r="K136" i="1"/>
  <c r="S136" i="1"/>
  <c r="K154" i="1"/>
  <c r="S154" i="1"/>
  <c r="S137" i="1"/>
  <c r="K137" i="1"/>
  <c r="S147" i="1"/>
  <c r="K147" i="1"/>
  <c r="G102" i="1"/>
  <c r="W102" i="1" s="1"/>
  <c r="F100" i="1"/>
  <c r="S122" i="1"/>
  <c r="K122" i="1"/>
  <c r="K104" i="1"/>
  <c r="S104" i="1"/>
  <c r="J120" i="1"/>
  <c r="R120" i="1"/>
  <c r="K121" i="1"/>
  <c r="S121" i="1"/>
  <c r="U111" i="1"/>
  <c r="T111" i="1"/>
  <c r="S113" i="1"/>
  <c r="K113" i="1"/>
  <c r="H81" i="1"/>
  <c r="G70" i="1"/>
  <c r="W70" i="1" s="1"/>
  <c r="K79" i="1"/>
  <c r="S79" i="1"/>
  <c r="F16" i="1"/>
  <c r="S80" i="1"/>
  <c r="K80" i="1"/>
  <c r="K58" i="1"/>
  <c r="S58" i="1"/>
  <c r="K92" i="1"/>
  <c r="S92" i="1"/>
  <c r="K83" i="1"/>
  <c r="S83" i="1"/>
  <c r="E17" i="1"/>
  <c r="E15" i="1"/>
  <c r="E12" i="1"/>
  <c r="E11" i="1" s="1"/>
  <c r="E9" i="1"/>
  <c r="E8" i="1" s="1"/>
  <c r="S48" i="1"/>
  <c r="K48" i="1"/>
  <c r="S51" i="1"/>
  <c r="K51" i="1"/>
  <c r="K39" i="1"/>
  <c r="S39" i="1"/>
  <c r="S25" i="1"/>
  <c r="K25" i="1"/>
  <c r="K27" i="1"/>
  <c r="S27" i="1"/>
  <c r="S153" i="1"/>
  <c r="U153" i="1" s="1"/>
  <c r="K153" i="1"/>
  <c r="U105" i="1"/>
  <c r="T105" i="1"/>
  <c r="S94" i="1"/>
  <c r="K94" i="1"/>
  <c r="S40" i="1"/>
  <c r="K40" i="1"/>
  <c r="G20" i="1"/>
  <c r="W20" i="1" s="1"/>
  <c r="F18" i="1"/>
  <c r="S44" i="1"/>
  <c r="K44" i="1"/>
  <c r="T37" i="1"/>
  <c r="U37" i="1"/>
  <c r="S30" i="1"/>
  <c r="K30" i="1"/>
  <c r="K32" i="1"/>
  <c r="F99" i="1" l="1"/>
  <c r="S47" i="1"/>
  <c r="U133" i="1"/>
  <c r="G150" i="1"/>
  <c r="W150" i="1" s="1"/>
  <c r="W151" i="1"/>
  <c r="G125" i="1"/>
  <c r="W125" i="1" s="1"/>
  <c r="W126" i="1"/>
  <c r="P8" i="1"/>
  <c r="G128" i="1"/>
  <c r="W128" i="1" s="1"/>
  <c r="W129" i="1"/>
  <c r="G140" i="1"/>
  <c r="W142" i="1"/>
  <c r="G116" i="1"/>
  <c r="W116" i="1" s="1"/>
  <c r="W117" i="1"/>
  <c r="P11" i="1"/>
  <c r="E14" i="1"/>
  <c r="H142" i="1"/>
  <c r="H140" i="1" s="1"/>
  <c r="I149" i="1"/>
  <c r="K120" i="1"/>
  <c r="S120" i="1"/>
  <c r="T154" i="1"/>
  <c r="U154" i="1"/>
  <c r="U40" i="1"/>
  <c r="T40" i="1"/>
  <c r="U94" i="1"/>
  <c r="T94" i="1"/>
  <c r="U39" i="1"/>
  <c r="T39" i="1"/>
  <c r="T48" i="1"/>
  <c r="U48" i="1"/>
  <c r="T113" i="1"/>
  <c r="U113" i="1"/>
  <c r="U122" i="1"/>
  <c r="T122" i="1"/>
  <c r="U137" i="1"/>
  <c r="T137" i="1"/>
  <c r="R149" i="1"/>
  <c r="R142" i="1" s="1"/>
  <c r="U84" i="1"/>
  <c r="T84" i="1"/>
  <c r="U28" i="1"/>
  <c r="T28" i="1"/>
  <c r="U33" i="1"/>
  <c r="T33" i="1"/>
  <c r="G68" i="1"/>
  <c r="W68" i="1" s="1"/>
  <c r="G156" i="1"/>
  <c r="H158" i="1"/>
  <c r="G157" i="1"/>
  <c r="W157" i="1" s="1"/>
  <c r="U77" i="1"/>
  <c r="T77" i="1"/>
  <c r="T59" i="1"/>
  <c r="U59" i="1"/>
  <c r="K143" i="1"/>
  <c r="K141" i="1" s="1"/>
  <c r="J141" i="1"/>
  <c r="S143" i="1"/>
  <c r="U145" i="1"/>
  <c r="T145" i="1"/>
  <c r="U79" i="1"/>
  <c r="T79" i="1"/>
  <c r="U35" i="1"/>
  <c r="T35" i="1"/>
  <c r="U88" i="1"/>
  <c r="T88" i="1"/>
  <c r="T131" i="1"/>
  <c r="U131" i="1"/>
  <c r="U42" i="1"/>
  <c r="T42" i="1"/>
  <c r="U135" i="1"/>
  <c r="T135" i="1"/>
  <c r="U90" i="1"/>
  <c r="T90" i="1"/>
  <c r="I43" i="1"/>
  <c r="H19" i="1"/>
  <c r="U92" i="1"/>
  <c r="T92" i="1"/>
  <c r="T27" i="1"/>
  <c r="U27" i="1"/>
  <c r="H102" i="1"/>
  <c r="G100" i="1"/>
  <c r="U146" i="1"/>
  <c r="T146" i="1"/>
  <c r="I152" i="1"/>
  <c r="H151" i="1"/>
  <c r="H150" i="1" s="1"/>
  <c r="U109" i="1"/>
  <c r="T109" i="1"/>
  <c r="T21" i="1"/>
  <c r="U21" i="1"/>
  <c r="K74" i="1"/>
  <c r="S74" i="1"/>
  <c r="F15" i="1"/>
  <c r="F14" i="1" s="1"/>
  <c r="F12" i="1"/>
  <c r="F11" i="1" s="1"/>
  <c r="F9" i="1"/>
  <c r="F17" i="1"/>
  <c r="U104" i="1"/>
  <c r="S100" i="1"/>
  <c r="S99" i="1" s="1"/>
  <c r="J130" i="1"/>
  <c r="I129" i="1"/>
  <c r="I128" i="1" s="1"/>
  <c r="U139" i="1"/>
  <c r="T139" i="1"/>
  <c r="U26" i="1"/>
  <c r="T26" i="1"/>
  <c r="I117" i="1"/>
  <c r="I116" i="1" s="1"/>
  <c r="J118" i="1"/>
  <c r="T57" i="1"/>
  <c r="U57" i="1"/>
  <c r="U148" i="1"/>
  <c r="T148" i="1"/>
  <c r="T44" i="1"/>
  <c r="U44" i="1"/>
  <c r="U147" i="1"/>
  <c r="T147" i="1"/>
  <c r="U136" i="1"/>
  <c r="T136" i="1"/>
  <c r="U50" i="1"/>
  <c r="T50" i="1"/>
  <c r="U87" i="1"/>
  <c r="T87" i="1"/>
  <c r="T124" i="1"/>
  <c r="U124" i="1"/>
  <c r="S98" i="1"/>
  <c r="T98" i="1" s="1"/>
  <c r="T96" i="1" s="1"/>
  <c r="T95" i="1" s="1"/>
  <c r="T46" i="1"/>
  <c r="U46" i="1"/>
  <c r="U41" i="1"/>
  <c r="T41" i="1"/>
  <c r="T56" i="1"/>
  <c r="U56" i="1"/>
  <c r="J112" i="1"/>
  <c r="U89" i="1"/>
  <c r="T89" i="1"/>
  <c r="U110" i="1"/>
  <c r="T110" i="1"/>
  <c r="T29" i="1"/>
  <c r="U29" i="1"/>
  <c r="R143" i="1"/>
  <c r="R141" i="1" s="1"/>
  <c r="U55" i="1"/>
  <c r="T55" i="1"/>
  <c r="U45" i="1"/>
  <c r="T45" i="1"/>
  <c r="T32" i="1"/>
  <c r="U32" i="1"/>
  <c r="T75" i="1"/>
  <c r="U75" i="1"/>
  <c r="U61" i="1"/>
  <c r="T61" i="1"/>
  <c r="U38" i="1"/>
  <c r="T38" i="1"/>
  <c r="U51" i="1"/>
  <c r="T51" i="1"/>
  <c r="U80" i="1"/>
  <c r="T80" i="1"/>
  <c r="U34" i="1"/>
  <c r="T34" i="1"/>
  <c r="U31" i="1"/>
  <c r="T31" i="1"/>
  <c r="U73" i="1"/>
  <c r="T73" i="1"/>
  <c r="U82" i="1"/>
  <c r="T82" i="1"/>
  <c r="U107" i="1"/>
  <c r="T107" i="1"/>
  <c r="U30" i="1"/>
  <c r="T30" i="1"/>
  <c r="H20" i="1"/>
  <c r="G18" i="1"/>
  <c r="F10" i="1"/>
  <c r="H70" i="1"/>
  <c r="I81" i="1"/>
  <c r="U25" i="1"/>
  <c r="T25" i="1"/>
  <c r="U83" i="1"/>
  <c r="T83" i="1"/>
  <c r="T58" i="1"/>
  <c r="U58" i="1"/>
  <c r="U121" i="1"/>
  <c r="T121" i="1"/>
  <c r="U119" i="1"/>
  <c r="H115" i="1"/>
  <c r="G101" i="1"/>
  <c r="U47" i="1"/>
  <c r="T47" i="1"/>
  <c r="I71" i="1"/>
  <c r="H69" i="1"/>
  <c r="T23" i="1"/>
  <c r="U23" i="1"/>
  <c r="T138" i="1"/>
  <c r="U138" i="1"/>
  <c r="H126" i="1"/>
  <c r="H125" i="1" s="1"/>
  <c r="I127" i="1"/>
  <c r="U60" i="1"/>
  <c r="T60" i="1"/>
  <c r="U123" i="1"/>
  <c r="T123" i="1"/>
  <c r="G99" i="1" l="1"/>
  <c r="W99" i="1" s="1"/>
  <c r="W100" i="1"/>
  <c r="G13" i="1"/>
  <c r="W101" i="1"/>
  <c r="G155" i="1"/>
  <c r="W155" i="1" s="1"/>
  <c r="W156" i="1"/>
  <c r="J149" i="1"/>
  <c r="I142" i="1"/>
  <c r="I140" i="1" s="1"/>
  <c r="F8" i="1"/>
  <c r="R118" i="1"/>
  <c r="R117" i="1" s="1"/>
  <c r="R116" i="1" s="1"/>
  <c r="J129" i="1"/>
  <c r="M129" i="1" s="1"/>
  <c r="S130" i="1"/>
  <c r="K130" i="1"/>
  <c r="K129" i="1" s="1"/>
  <c r="K128" i="1" s="1"/>
  <c r="I115" i="1"/>
  <c r="H101" i="1"/>
  <c r="H16" i="1" s="1"/>
  <c r="J127" i="1"/>
  <c r="I126" i="1"/>
  <c r="I125" i="1" s="1"/>
  <c r="H68" i="1"/>
  <c r="G15" i="1"/>
  <c r="G9" i="1"/>
  <c r="G17" i="1"/>
  <c r="G12" i="1"/>
  <c r="G11" i="1" s="1"/>
  <c r="K112" i="1"/>
  <c r="J117" i="1"/>
  <c r="K118" i="1"/>
  <c r="K117" i="1" s="1"/>
  <c r="K116" i="1" s="1"/>
  <c r="S118" i="1"/>
  <c r="U74" i="1"/>
  <c r="T74" i="1"/>
  <c r="T143" i="1"/>
  <c r="T141" i="1" s="1"/>
  <c r="S141" i="1"/>
  <c r="U143" i="1"/>
  <c r="U141" i="1" s="1"/>
  <c r="J43" i="1"/>
  <c r="I19" i="1"/>
  <c r="G10" i="1"/>
  <c r="J71" i="1"/>
  <c r="I69" i="1"/>
  <c r="R112" i="1"/>
  <c r="I102" i="1"/>
  <c r="H100" i="1"/>
  <c r="S69" i="1"/>
  <c r="R130" i="1"/>
  <c r="R129" i="1" s="1"/>
  <c r="R128" i="1" s="1"/>
  <c r="R140" i="1"/>
  <c r="J152" i="1"/>
  <c r="I151" i="1"/>
  <c r="I150" i="1" s="1"/>
  <c r="G16" i="1"/>
  <c r="I158" i="1"/>
  <c r="H157" i="1"/>
  <c r="H156" i="1"/>
  <c r="H155" i="1" s="1"/>
  <c r="I20" i="1"/>
  <c r="H18" i="1"/>
  <c r="U120" i="1"/>
  <c r="T120" i="1"/>
  <c r="I70" i="1"/>
  <c r="J81" i="1"/>
  <c r="H13" i="1" l="1"/>
  <c r="G8" i="1"/>
  <c r="G14" i="1"/>
  <c r="K149" i="1"/>
  <c r="K142" i="1" s="1"/>
  <c r="K140" i="1" s="1"/>
  <c r="S149" i="1"/>
  <c r="J142" i="1"/>
  <c r="J140" i="1" s="1"/>
  <c r="H17" i="1"/>
  <c r="H15" i="1"/>
  <c r="H14" i="1" s="1"/>
  <c r="H9" i="1"/>
  <c r="H12" i="1"/>
  <c r="H11" i="1" s="1"/>
  <c r="R127" i="1"/>
  <c r="R126" i="1" s="1"/>
  <c r="R125" i="1" s="1"/>
  <c r="J70" i="1"/>
  <c r="K81" i="1"/>
  <c r="K70" i="1" s="1"/>
  <c r="S81" i="1"/>
  <c r="I18" i="1"/>
  <c r="J20" i="1"/>
  <c r="K152" i="1"/>
  <c r="K151" i="1" s="1"/>
  <c r="K150" i="1" s="1"/>
  <c r="J151" i="1"/>
  <c r="S152" i="1"/>
  <c r="R43" i="1"/>
  <c r="R19" i="1" s="1"/>
  <c r="J116" i="1"/>
  <c r="S127" i="1"/>
  <c r="J126" i="1"/>
  <c r="K127" i="1"/>
  <c r="K126" i="1" s="1"/>
  <c r="K125" i="1" s="1"/>
  <c r="U130" i="1"/>
  <c r="U129" i="1" s="1"/>
  <c r="U128" i="1" s="1"/>
  <c r="T130" i="1"/>
  <c r="T129" i="1" s="1"/>
  <c r="T128" i="1" s="1"/>
  <c r="S129" i="1"/>
  <c r="S128" i="1" s="1"/>
  <c r="I68" i="1"/>
  <c r="S43" i="1"/>
  <c r="K43" i="1"/>
  <c r="K19" i="1" s="1"/>
  <c r="J19" i="1"/>
  <c r="M19" i="1" s="1"/>
  <c r="J128" i="1"/>
  <c r="M128" i="1" s="1"/>
  <c r="S97" i="1"/>
  <c r="R152" i="1"/>
  <c r="R151" i="1" s="1"/>
  <c r="R150" i="1" s="1"/>
  <c r="K71" i="1"/>
  <c r="J69" i="1"/>
  <c r="R97" i="1"/>
  <c r="R96" i="1" s="1"/>
  <c r="R95" i="1" s="1"/>
  <c r="J158" i="1"/>
  <c r="I157" i="1"/>
  <c r="I156" i="1"/>
  <c r="I155" i="1" s="1"/>
  <c r="R162" i="1"/>
  <c r="R161" i="1" s="1"/>
  <c r="H99" i="1"/>
  <c r="R71" i="1"/>
  <c r="R69" i="1" s="1"/>
  <c r="H10" i="1"/>
  <c r="J115" i="1"/>
  <c r="I101" i="1"/>
  <c r="I10" i="1" s="1"/>
  <c r="R81" i="1"/>
  <c r="R70" i="1" s="1"/>
  <c r="I100" i="1"/>
  <c r="J102" i="1"/>
  <c r="U118" i="1"/>
  <c r="U117" i="1" s="1"/>
  <c r="U116" i="1" s="1"/>
  <c r="T118" i="1"/>
  <c r="T117" i="1" s="1"/>
  <c r="T116" i="1" s="1"/>
  <c r="S117" i="1"/>
  <c r="S116" i="1" s="1"/>
  <c r="T112" i="1"/>
  <c r="U112" i="1"/>
  <c r="I99" i="1" l="1"/>
  <c r="I13" i="1"/>
  <c r="S142" i="1"/>
  <c r="S140" i="1" s="1"/>
  <c r="U149" i="1"/>
  <c r="U142" i="1" s="1"/>
  <c r="U140" i="1" s="1"/>
  <c r="T149" i="1"/>
  <c r="T142" i="1" s="1"/>
  <c r="T140" i="1" s="1"/>
  <c r="R68" i="1"/>
  <c r="R158" i="1"/>
  <c r="R102" i="1"/>
  <c r="R100" i="1" s="1"/>
  <c r="J157" i="1"/>
  <c r="M157" i="1" s="1"/>
  <c r="J156" i="1"/>
  <c r="M156" i="1" s="1"/>
  <c r="K158" i="1"/>
  <c r="S96" i="1"/>
  <c r="S95" i="1" s="1"/>
  <c r="U97" i="1"/>
  <c r="U96" i="1" s="1"/>
  <c r="U95" i="1" s="1"/>
  <c r="R20" i="1"/>
  <c r="R18" i="1" s="1"/>
  <c r="I16" i="1"/>
  <c r="R115" i="1"/>
  <c r="R101" i="1" s="1"/>
  <c r="R13" i="1" s="1"/>
  <c r="U43" i="1"/>
  <c r="U19" i="1" s="1"/>
  <c r="S19" i="1"/>
  <c r="T43" i="1"/>
  <c r="T19" i="1" s="1"/>
  <c r="J125" i="1"/>
  <c r="S151" i="1"/>
  <c r="S150" i="1" s="1"/>
  <c r="U152" i="1"/>
  <c r="U151" i="1" s="1"/>
  <c r="U150" i="1" s="1"/>
  <c r="T152" i="1"/>
  <c r="T151" i="1" s="1"/>
  <c r="T150" i="1" s="1"/>
  <c r="J18" i="1"/>
  <c r="M18" i="1" s="1"/>
  <c r="S20" i="1"/>
  <c r="K20" i="1"/>
  <c r="K18" i="1" s="1"/>
  <c r="K115" i="1"/>
  <c r="J101" i="1"/>
  <c r="J10" i="1" s="1"/>
  <c r="M10" i="1" s="1"/>
  <c r="I15" i="1"/>
  <c r="I14" i="1" s="1"/>
  <c r="I17" i="1"/>
  <c r="I9" i="1"/>
  <c r="I8" i="1" s="1"/>
  <c r="I12" i="1"/>
  <c r="I11" i="1" s="1"/>
  <c r="J68" i="1"/>
  <c r="S126" i="1"/>
  <c r="S125" i="1" s="1"/>
  <c r="U127" i="1"/>
  <c r="U126" i="1" s="1"/>
  <c r="U125" i="1" s="1"/>
  <c r="J150" i="1"/>
  <c r="T81" i="1"/>
  <c r="T70" i="1" s="1"/>
  <c r="U81" i="1"/>
  <c r="U70" i="1" s="1"/>
  <c r="S70" i="1"/>
  <c r="S68" i="1" s="1"/>
  <c r="H8" i="1"/>
  <c r="J100" i="1"/>
  <c r="K102" i="1"/>
  <c r="U71" i="1"/>
  <c r="U69" i="1" s="1"/>
  <c r="T71" i="1"/>
  <c r="T69" i="1" s="1"/>
  <c r="T68" i="1" s="1"/>
  <c r="K69" i="1"/>
  <c r="K68" i="1" s="1"/>
  <c r="J13" i="1" l="1"/>
  <c r="M13" i="1" s="1"/>
  <c r="J16" i="1"/>
  <c r="M16" i="1" s="1"/>
  <c r="K157" i="1"/>
  <c r="K156" i="1"/>
  <c r="K155" i="1" s="1"/>
  <c r="U68" i="1"/>
  <c r="R16" i="1"/>
  <c r="U20" i="1"/>
  <c r="U18" i="1" s="1"/>
  <c r="S18" i="1"/>
  <c r="T20" i="1"/>
  <c r="T18" i="1" s="1"/>
  <c r="R99" i="1"/>
  <c r="J9" i="1"/>
  <c r="M9" i="1" s="1"/>
  <c r="J15" i="1"/>
  <c r="M15" i="1" s="1"/>
  <c r="J12" i="1"/>
  <c r="M12" i="1" s="1"/>
  <c r="J17" i="1"/>
  <c r="M17" i="1" s="1"/>
  <c r="U115" i="1"/>
  <c r="U101" i="1" s="1"/>
  <c r="U16" i="1" s="1"/>
  <c r="T115" i="1"/>
  <c r="T101" i="1" s="1"/>
  <c r="T16" i="1" s="1"/>
  <c r="K101" i="1"/>
  <c r="R10" i="1"/>
  <c r="U102" i="1"/>
  <c r="U100" i="1" s="1"/>
  <c r="K100" i="1"/>
  <c r="K99" i="1" s="1"/>
  <c r="T102" i="1"/>
  <c r="T100" i="1" s="1"/>
  <c r="J99" i="1"/>
  <c r="J155" i="1"/>
  <c r="M155" i="1" s="1"/>
  <c r="K17" i="1"/>
  <c r="S10" i="1"/>
  <c r="S13" i="1"/>
  <c r="S16" i="1"/>
  <c r="R15" i="1"/>
  <c r="R12" i="1"/>
  <c r="R11" i="1" s="1"/>
  <c r="R17" i="1"/>
  <c r="R157" i="1"/>
  <c r="R156" i="1"/>
  <c r="R155" i="1" s="1"/>
  <c r="U99" i="1" l="1"/>
  <c r="K15" i="1"/>
  <c r="K12" i="1"/>
  <c r="R14" i="1"/>
  <c r="J8" i="1"/>
  <c r="M8" i="1" s="1"/>
  <c r="T17" i="1"/>
  <c r="T15" i="1"/>
  <c r="T14" i="1" s="1"/>
  <c r="T9" i="1"/>
  <c r="T12" i="1"/>
  <c r="T11" i="1" s="1"/>
  <c r="S17" i="1"/>
  <c r="S9" i="1"/>
  <c r="S8" i="1" s="1"/>
  <c r="S15" i="1"/>
  <c r="S14" i="1" s="1"/>
  <c r="S12" i="1"/>
  <c r="S11" i="1" s="1"/>
  <c r="U17" i="1"/>
  <c r="U15" i="1"/>
  <c r="U14" i="1" s="1"/>
  <c r="U9" i="1"/>
  <c r="U12" i="1"/>
  <c r="U10" i="1"/>
  <c r="T13" i="1"/>
  <c r="R9" i="1"/>
  <c r="R8" i="1" s="1"/>
  <c r="K9" i="1"/>
  <c r="K8" i="1" s="1"/>
  <c r="T99" i="1"/>
  <c r="K16" i="1"/>
  <c r="K14" i="1" s="1"/>
  <c r="K13" i="1"/>
  <c r="K11" i="1" s="1"/>
  <c r="K10" i="1"/>
  <c r="J11" i="1"/>
  <c r="M11" i="1" s="1"/>
  <c r="U13" i="1"/>
  <c r="T10" i="1"/>
  <c r="J14" i="1"/>
  <c r="M14" i="1" s="1"/>
  <c r="U8" i="1" l="1"/>
  <c r="T8" i="1"/>
  <c r="U11" i="1"/>
</calcChain>
</file>

<file path=xl/sharedStrings.xml><?xml version="1.0" encoding="utf-8"?>
<sst xmlns="http://schemas.openxmlformats.org/spreadsheetml/2006/main" count="468" uniqueCount="241">
  <si>
    <t>Информация</t>
  </si>
  <si>
    <t>о финансировании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 в  2020 году</t>
  </si>
  <si>
    <t>тыс. рублей</t>
  </si>
  <si>
    <t>Направление финансирования</t>
  </si>
  <si>
    <t>уровень бюджета</t>
  </si>
  <si>
    <t>КБК в 2020 году</t>
  </si>
  <si>
    <t>Закон края от 05.12.2019              № 8-3414</t>
  </si>
  <si>
    <t>Изменение росписи расходов от 12.03.2020</t>
  </si>
  <si>
    <t xml:space="preserve">Закон края от 02.04.2020                  № 9-3811 </t>
  </si>
  <si>
    <t>Проект изменения ГП</t>
  </si>
  <si>
    <t>Начислено с начала года</t>
  </si>
  <si>
    <t xml:space="preserve">Перечислено получателям на </t>
  </si>
  <si>
    <t>Начислено, но не перечислено получателям</t>
  </si>
  <si>
    <t>Остаток  средств бюджета после начисления</t>
  </si>
  <si>
    <t>Оптимизация</t>
  </si>
  <si>
    <t>Сумма после оптимизации</t>
  </si>
  <si>
    <t>Потребность в средствах на год на 19.06</t>
  </si>
  <si>
    <t>Изменения от проекта ГП</t>
  </si>
  <si>
    <t>Комментарии</t>
  </si>
  <si>
    <t>Сумма</t>
  </si>
  <si>
    <t xml:space="preserve">% исполнения </t>
  </si>
  <si>
    <t>доп потребность (+)</t>
  </si>
  <si>
    <t>экономия (-)</t>
  </si>
  <si>
    <t>Государственная программа края "Развитие сельского хозяйства и регулирование рынков сельскохозяйственной продукции, сырья и продовольствия"</t>
  </si>
  <si>
    <t>краевой бюджет</t>
  </si>
  <si>
    <t>01</t>
  </si>
  <si>
    <t>федеральный бюджет</t>
  </si>
  <si>
    <t>02</t>
  </si>
  <si>
    <t>Прямая поддержка отрасли</t>
  </si>
  <si>
    <t>На поддержку агропромышленного комплекса</t>
  </si>
  <si>
    <t>искл</t>
  </si>
  <si>
    <t>соф</t>
  </si>
  <si>
    <t>Субсидии на компенсацию части стоимости элитных и (или) репродукционных, и (или) гибридных семян сельскохозяйственных растений</t>
  </si>
  <si>
    <t>14 Б 00 21720</t>
  </si>
  <si>
    <t>Субсидии на  компенсацию части затрат на производство и реализацию сухого молока и (или) сыра полутвердого, и (или) сыра твердого</t>
  </si>
  <si>
    <t>14 Б 00 21730</t>
  </si>
  <si>
    <t>Субсидии на возмещение части затрат на уплату страховых премий по договорам с/х страхования в области растениеводства</t>
  </si>
  <si>
    <t>14 Б 00 21800</t>
  </si>
  <si>
    <t>Субсидии на оказание несвязанной поддержки в области растениеводства государственным и муниципальным предприятиям, сельскохозяйственным товаропроизводителям</t>
  </si>
  <si>
    <t>14 Б 00 21880</t>
  </si>
  <si>
    <t>Субсидии на возмещение части затрат на уплату страховых премий по договорам сельскохозяйственного страхования в области  аквакультуры (рыбоводства)</t>
  </si>
  <si>
    <t>14 Б 00 22020</t>
  </si>
  <si>
    <t>Субсидии на  компенсацию части затрат на содержание племенных рогачей маралов</t>
  </si>
  <si>
    <t>14 Б 00 22120</t>
  </si>
  <si>
    <t>Субсидии на компенсацию части затрат на приобретение кормов для рыбы</t>
  </si>
  <si>
    <t>14 Б 00 22180</t>
  </si>
  <si>
    <t>Субсидии на компенсацию части затрат на производство и реализацию молока</t>
  </si>
  <si>
    <t>14 Б 00 24050</t>
  </si>
  <si>
    <t>Субсидии на  компенсацию части затрат на приобретение племенного материала разводимых пород, включенных в Государственный реестр селекционных достижений, допущенных к использованию</t>
  </si>
  <si>
    <t>14 Б 00 24220</t>
  </si>
  <si>
    <t>Субсидии на удешевление стоимости семени и жидкого азота, реализованных в крае для искусственного осеменения сельскохозяйственных животных</t>
  </si>
  <si>
    <t>14 Б 00 24240</t>
  </si>
  <si>
    <t>Субсидии на  компенсацию части затрат, связанных с приобретением телок и (или) нетелей и (или) коров-первотелок (за исключением импортированных) для замены поголовья коров, больных лейкозом и (или) инфицированных вирусом лейкоза крупного рогатого скота, выбывших на убой</t>
  </si>
  <si>
    <t>14 Б 00 24270</t>
  </si>
  <si>
    <t>Субсидии на возмещение части  затрат на уплату процентов по кредитным договорам (договорам займа), заключенным с 1 января 2017 года на срок до 2 лет</t>
  </si>
  <si>
    <t>14 Б 00 24300</t>
  </si>
  <si>
    <t>Субсидии на компенсацию части затрат на содержание коров и нетелей крупного рогатого скота</t>
  </si>
  <si>
    <t>14 Б 00 24330</t>
  </si>
  <si>
    <t>Согласно представленным документам в марте -мае</t>
  </si>
  <si>
    <t>Субсидии на возмещение части затрат, связанных с проведением добровольной сертификации пищевых продуктов</t>
  </si>
  <si>
    <t>14 Б 00 24340</t>
  </si>
  <si>
    <t>Субсидии на возмещение части затрат, связанных с оказанием услуг по продвижению пищевых продуктов</t>
  </si>
  <si>
    <t>14 Б 00 24350</t>
  </si>
  <si>
    <t>Субсидии на компенсацию части затрат на производство и реализацию продукции птицеводства</t>
  </si>
  <si>
    <t>14 Б 00 24360</t>
  </si>
  <si>
    <t>Субсидии на компенсацию части затрат на производство оригинальных и элитных семян зерновых и (или) зернобобовых культур</t>
  </si>
  <si>
    <t>14 Б 00 24390</t>
  </si>
  <si>
    <t>Согласно представленным документам</t>
  </si>
  <si>
    <t>Субсидии на оказание поддержки производства продукции животноводства в районах Крайнего Севера</t>
  </si>
  <si>
    <t>14 Б 00 24450</t>
  </si>
  <si>
    <t>Субсидии на возмещение части затрат на проведение некорневой подкормки минеральными азотными удобрениями повевов озимой и яровой пшеницы</t>
  </si>
  <si>
    <t>14 Б 00 24460</t>
  </si>
  <si>
    <t>Гранты в форме субсидий сельскохозяйственным научным организациям на финансовое обеспечение затрат на развитие материально-технической базы, необходимой для реализации научных, научно-технических проектов и (или) на поддержку производства, и (или) на реализацию сельскохозяйственной продукции собственного производства</t>
  </si>
  <si>
    <t>14 Б 00 24470</t>
  </si>
  <si>
    <t>Субсидии на компенсация части затрат на производство и реализацию муки, и (или) крупы, и (или) макаронных изделий</t>
  </si>
  <si>
    <t>14 Б 00 24810</t>
  </si>
  <si>
    <t>Субсидии на возмещение части затрат, направленных на обеспечение прироста собственного производства зерновых, зернобобовых и масличных (за исключением рапса и сои) культур</t>
  </si>
  <si>
    <t>14 Б 00 R5021</t>
  </si>
  <si>
    <t>Субсидии на возмещение части затрат, направленных на обеспечение прироста собственного производства молока</t>
  </si>
  <si>
    <t>14 Б 00 R5022</t>
  </si>
  <si>
    <t>Cубсидии на возмещение части затрат на поддержку элитного семеноводства и на проведение комплекса агротехнических работ в области развития семеноводства сельскохозяйственных культур</t>
  </si>
  <si>
    <t>14 Б 00 R5081</t>
  </si>
  <si>
    <t>Cубсидии на возмещение части затрат на поддержку собственного производства молока</t>
  </si>
  <si>
    <t>14 Б 00 R5082</t>
  </si>
  <si>
    <t xml:space="preserve">Субсидии на возмещение части затрат на племенное маточное поголовье с/х животных, племенных быков-производителей  </t>
  </si>
  <si>
    <t>14 Б 00 R5083</t>
  </si>
  <si>
    <t>Субсидии на возмещение части затрат на проведение комплекса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</si>
  <si>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14 Б 00 R5084</t>
  </si>
  <si>
    <t>Субсидии на возмещение части затрат на уплату страховых премий, начисленных по договорам сельскохозяйственного страхования в области животноводства</t>
  </si>
  <si>
    <t>14 Б 00 R5085</t>
  </si>
  <si>
    <t>Субсидии на возмещение части затрат на уплату страховых премий, начисленных по договорам сельскохозяйственного страхования в области растениеводства</t>
  </si>
  <si>
    <t>14 Б 00 R5087</t>
  </si>
  <si>
    <t>Субсидии на возмещение части затрат, направленных на производство бобов соевых и (или) семян рапса масличных культур</t>
  </si>
  <si>
    <t>14 Б Т2 52590</t>
  </si>
  <si>
    <t>Субсидии на возмещение части затрат на содержание коров молочного направления продуктивности, находящихся в собственности и (или) пользовании у граждан, ведущих личное подсобное хозяйство, являющихся членами сельскохозяйственного потребительского кооператива</t>
  </si>
  <si>
    <t>14 5 00 22460</t>
  </si>
  <si>
    <t>Субсидии на возмещение части затрат на приобретение племенных нетелей и (или) коров молочного направления продуктивности, включенных в Государственный реестр селекционных достижений, допущенных к использованию</t>
  </si>
  <si>
    <t>14 5 00 22470</t>
  </si>
  <si>
    <t>Субсидии на компенсацию части затрат, связанных с  закупом животноводческой продукции (молока, мяса свиней, мяса КРС) у граждан, ведущих ЛПХ на территории края</t>
  </si>
  <si>
    <t>14 5 00 22900</t>
  </si>
  <si>
    <t>Гранты в форме субсидий на финансовое обеспечение затрат на развитие несельскохозяйственных видов деятельности</t>
  </si>
  <si>
    <t>14 5 00 22920</t>
  </si>
  <si>
    <t>Субсидии крестьянским (фермерским) хозяйствам и сельскохозяйственным потребительским кооперативам на возмещение части затрат на уплату процентов по кредитам (займам), полученным на срок до 8 лет</t>
  </si>
  <si>
    <t>14 5 00 24370</t>
  </si>
  <si>
    <t>Субсидии крестьянским (фермерским) хозяйствам, сельскохозяйственным потребительским кооперативам и сельскохозяйственным потребительским кооперативам, образованным двумя и более сельскохозяйственными потребительскими кооперативами, зарегистрированными на территории края, на возмещение части затрат на уплату процентов по кредитам (займам), полученным на срок до 2 лет и до 8 лет</t>
  </si>
  <si>
    <t>14 5 00 22440</t>
  </si>
  <si>
    <t>Субсидии гражданам, ведущим личное подсобное хозяйство на территории края, на возмещение части затрат на уплату процентов по кредитам, полученным на срок до 5 лет</t>
  </si>
  <si>
    <t>14 5 00 24380</t>
  </si>
  <si>
    <t>Гранты в форме субсидий на финансовое обеспечение затрат на создание и (или) развитие сельскохозяйственных потребительских кооперативов</t>
  </si>
  <si>
    <t>14 5 00 22480</t>
  </si>
  <si>
    <t>Гранты в форме субсидий главам крестьянских (фермерских) хозяйств на финансовое обеспечение затрат на развитие семейных ферм</t>
  </si>
  <si>
    <t>14 5 00 R5023</t>
  </si>
  <si>
    <t>Гранты в форме субсидий сельскохозяйственным потребительским кооперативам на финансовое обеспечение затрат на развитие материально-технической базы</t>
  </si>
  <si>
    <t>14 5 00 R5024</t>
  </si>
  <si>
    <t>Гранты в форме субсидий «Агростартап» крестьянским (фермерским) хозяйствам на финансовое обеспечение затрат, связанных с реализацией проекта создания и развития крестьянского (фермерского) хозяйства</t>
  </si>
  <si>
    <t>14 5 I7 54801</t>
  </si>
  <si>
    <t>Субсидии сельскохозяйственным потребительским кооперативам на возмещение части затрат, понесенных в текущем финансовом году</t>
  </si>
  <si>
    <t>14 5 I7 54802</t>
  </si>
  <si>
    <t xml:space="preserve">Cубсидии центру компетенций в сфере сельскохозяйствен-ной кооперации и поддержки фермеров на возмещение затрат, связанных с осуществлением его деятельности, с оказанием консультационных услуг </t>
  </si>
  <si>
    <t>14 5 00 22450</t>
  </si>
  <si>
    <t>Субсидии центру компетенций в сфере сельскохозяйственной кооперации и поддержки фермеров на софинансирование затрат, связанных с осуществлением деятельности</t>
  </si>
  <si>
    <t>14 5 I7 54803</t>
  </si>
  <si>
    <t>3 Подпрограмма "Обеспечение общих условий функционирования отраслей агропромышленного комплекса"</t>
  </si>
  <si>
    <r>
      <t xml:space="preserve">Расходы на проведение противоэпизоотических мероприятий, диагностических исследований инфекционных и инвазионных заболеваний животных, вынужденной и профилактической дезинфекции, дератизации, дезинсекции на территории края  </t>
    </r>
    <r>
      <rPr>
        <b/>
        <sz val="11"/>
        <color rgb="FF996633"/>
        <rFont val="Times New Roman"/>
        <family val="1"/>
        <charset val="204"/>
      </rPr>
      <t>(ветслужба)</t>
    </r>
  </si>
  <si>
    <t>14 В 00 22080</t>
  </si>
  <si>
    <r>
      <t xml:space="preserve">Расходы на закупку автотранспортных средств, мобильных вагончиков, мебели медицинской и офисной, специализированного оборудования, приборов, инвентаря и бытовой техники для оснащения мобильных вагончиков,  приборов и инструментов для проведения искусственного осеменения сельскохозяйственных животных </t>
    </r>
    <r>
      <rPr>
        <b/>
        <sz val="12"/>
        <color rgb="FF996633"/>
        <rFont val="Times New Roman"/>
        <family val="1"/>
        <charset val="204"/>
      </rPr>
      <t>(ветслужба)</t>
    </r>
  </si>
  <si>
    <t>14 В 00 24040</t>
  </si>
  <si>
    <t xml:space="preserve">Субсидии на возмещение части затрат на уплату процентов по кредитам, полученным на срок до 10 лет </t>
  </si>
  <si>
    <t>14 Г 00 22820</t>
  </si>
  <si>
    <t>В связи с досрочным погашением кредитов</t>
  </si>
  <si>
    <t>Субсидии на компенсацию части затрат на разработку проектной документации и строительство учебно-опытных животноводческих комплексов  молочного направления, животноводческих объектов для содержания быков-производителей или маралов</t>
  </si>
  <si>
    <t>14 Г 00 22350</t>
  </si>
  <si>
    <t>Субсидии на компенсацию части затрат на строительство объектов животноводства, используемых для содержания и (или) убоя крупного рогатого скота, для хранения кормов (силоса, сенажа), для переработки, утилизации отходов животноводства (биогазовые установки), для обработки, очистки сточных вод, животноводческих стоков (водоочистные сооружения), объектов для переработки сельскохозяйственной продукции, объектов овощеводства, используемых для производства и (или) хранения овощей и (или) картофеля</t>
  </si>
  <si>
    <t>14 Г 00 22830</t>
  </si>
  <si>
    <t>Субсидии на возмещение части прямых понесенных затрат на создание объектов агропромышленного комплекса, на приобретение племенного материала, специализированного и технологического оборудования, сельскохозяйственной техники, автомобильного транспорта, на подключение (технологическое присоединение) к сетям инженерно-технического обеспечения в рамках реализации приоритетных инвестиционных проектов в агропромышленном комплексе</t>
  </si>
  <si>
    <t>14 Г 00 22860</t>
  </si>
  <si>
    <t>Субсидии на возмещение части затрат на уплату процентов по  кредитным договорам (договорам займа), заключенным с 1 января 2017 года на срок от 2 до 15 лет</t>
  </si>
  <si>
    <t>14 Г 00 22890</t>
  </si>
  <si>
    <t>По документам, принятым к субсидированию на 15.05.2020</t>
  </si>
  <si>
    <t>Субсидии на возмещение части затрат на уплату процентов по инвестиционным кредитам (займам), полученным на строительство, реконструкцию и модернизацию животноводческих комплексов для содержания свиней на срок до 8 лет, а также инвестиционным кредитам (займам), полученным на строительство, реконструкцию и модернизацию животноводческих комплексов (ферм) для содержания крупного рогатого скота на срок до 15 лет</t>
  </si>
  <si>
    <t>14 Г 00 23100</t>
  </si>
  <si>
    <t>потребность АО Свинокомплекс Красноярский за 2019-2020 годы - 58 923,9 т.р., ООО ОбъединениеАгроЭлита - 10 680,0 т.р.</t>
  </si>
  <si>
    <t>Субсидии на возмещение части затрат на уплату процентов по инвестиционным кредитам (займам), полученным на срок до 8 лет, до 10 лет и до 15 лет</t>
  </si>
  <si>
    <t>14 Г 00 23110</t>
  </si>
  <si>
    <t xml:space="preserve">Субсидии на возмещение части затрат на строительство заготовительных пунктов, включая приобретение технологического оборудования для переработки сельскохозяйственной продукции, недревесных и пищевых лесных ресурсов, лекарственных растений </t>
  </si>
  <si>
    <t>14 Г 00 23120</t>
  </si>
  <si>
    <t>Субсидии на возмещение части затрат на уплату процентов по инвестиционным кредитам (займам) в агропромышленном комплексе</t>
  </si>
  <si>
    <t>14 Г 00 R4330</t>
  </si>
  <si>
    <t>потребность в субсидии, направленная в МСХ. Изменения ФБ планируется в июле</t>
  </si>
  <si>
    <t>Субсидии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</si>
  <si>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14 Г 00 R5260</t>
  </si>
  <si>
    <t>Субсидии на компенсацию части затрат, связанных с оплатой первоначального (авансового) лизингового взноса, произведенного с 1 января 2018 года по заключенным договорам лизинга (сублизинга) техники и оборудования</t>
  </si>
  <si>
    <t>14 4 00 22310</t>
  </si>
  <si>
    <t>Расходы на приобретение изделий автомобильной промышленности, тракторов, сельскохозяйственных машин и племенных сельскохозяйственных животных для передачи в федеральную собственность для нужд учреждений системы исполнения наказаний</t>
  </si>
  <si>
    <t>14 4 00 22330</t>
  </si>
  <si>
    <t>Субсидии на компенсацию части затрат, связанных с проведением капитального ремонта тракторов и (или) их агрегатов</t>
  </si>
  <si>
    <t>14 4 00 22360</t>
  </si>
  <si>
    <t>Субсидии на компенсацию части затрат, связанных с оплатой первоначального (авансового) лизингового взноса и  очередных лизинговых платежей</t>
  </si>
  <si>
    <t>14 4 00 22800</t>
  </si>
  <si>
    <t>Субсидии на компенсацию части затрат, связанных с приобретением машин и оборудования для пищевой, перерабатывающей и элеваторной промышленности, модульных объектов,  медицинской техники, оборудования лабораторного для анализа молока, оборудования лабораторного для иммуногенетических и молекулярно-генетических исследований, оборудования для содержания птицы яичного направления</t>
  </si>
  <si>
    <t>14 4 00 24510</t>
  </si>
  <si>
    <t>Субсидии на компенсацию части затрат на реализацию мероприятий, направленных на увеличение уровня напряжения в точке присоединения энергопринимающих устройств</t>
  </si>
  <si>
    <t>14 4 00 24520</t>
  </si>
  <si>
    <t>Субсидии на компенсацию части затрат, связанных с приобретением новых тракторов и (или) новых самоходных зерноуборочных, и (или) самоходных кормоуборочных комбайнов, и (или) зерновых сушилок, и (или) новых посевных комплексов</t>
  </si>
  <si>
    <t>14 4 00 24530</t>
  </si>
  <si>
    <t>Субсидии на возмещение части затрат на проведение культуртехнических мероприятий</t>
  </si>
  <si>
    <t>14 А 00 24180</t>
  </si>
  <si>
    <t>Оплата услуг по проведению лекций, семинаров, дополнительному профессиональному образованию рабочих, служащих сельскохозяйственных товаропроизводителей, вновь созданных сельскохозяйственных товаропроизводителей, организаций агропромышленного комплекса, государственных и муниципальных предприятий, преподавателей, мастеров производственного обучения сельскохозяйственных образовательных организаций и муниципальных служащих</t>
  </si>
  <si>
    <t>14 6 00 22520</t>
  </si>
  <si>
    <t>Социальные выплаты на обустройство молодым специалистам, молодым рабочим</t>
  </si>
  <si>
    <t>14 6 00 22550</t>
  </si>
  <si>
    <t>Субсидии сельскохозяйственным товаропроизводителям, вновь созданным сельскохозяйственным товаропроизводителям на компенсацию части затрат, связанных с выплатой заработной платы молодому специалисту</t>
  </si>
  <si>
    <t>14 6 00 22560</t>
  </si>
  <si>
    <t>Субсидии сельскохозяйственным товаропроизводителям, вновь созданным сельскохозяйственным товаропроизводителям на компенсацию части затрат, связанных с дополнительным профессиональным образованием по программам повышения квалификации работников в организациях, осуществляющих образовательную деятельность по дополнительным профессиональным программам, расположенных на территории Российской Федерации</t>
  </si>
  <si>
    <t>14 6 00 22580</t>
  </si>
  <si>
    <t>Субсидии базовым хозяйствам на компенсацию затрат, связанных с доплатой работнику базового хозяйства, осуществляющему руководство производственной и (или) преддипломной практикой студента</t>
  </si>
  <si>
    <t>14 6 00 23000</t>
  </si>
  <si>
    <t>Субсидии базовым хозяйствам на компенсацию затрат, связанных  с выплатой заработной платы  студентам, в случае его трудоустройства по срочному трудовому договору в период прохождения производственной и (или) преддипломной практики</t>
  </si>
  <si>
    <t>14 6 00 23010</t>
  </si>
  <si>
    <t xml:space="preserve">Социальные выплаты на обустройство гражданам, изъявившим желание переехать на постоянное место жительства в сельскую местность </t>
  </si>
  <si>
    <t>14 6 00 24640</t>
  </si>
  <si>
    <t>Социальная выплата рабочим, служащим на компенсацию затрат, связанных с получением высшего образования по очно-заочной, заочной форме обучения</t>
  </si>
  <si>
    <t>14 6 00 24680</t>
  </si>
  <si>
    <r>
      <t xml:space="preserve">Гранты в форме субсидий общеобразовательным организациям на финансовое обеспечение затрат, связанных с реализацией сетевых программ в области агротехнического образования  </t>
    </r>
    <r>
      <rPr>
        <sz val="12"/>
        <color theme="3" tint="0.39997558519241921"/>
        <rFont val="Times New Roman"/>
        <family val="1"/>
        <charset val="204"/>
      </rPr>
      <t>(минобразования края)</t>
    </r>
  </si>
  <si>
    <t>14 6 00 24670</t>
  </si>
  <si>
    <r>
      <t xml:space="preserve">Субсидии на цели, не связанные с финансовым обеспечением выполнения государственного задания на оказание государственных услуг (выполнение работ), профессиональным образовательным организациям, осуществляющим подготовку кадров по укрупненным группам профессий и специальностей «Сельское хозяйство и сельскохозяйственные науки», «Промышленная экология и биотехнологии», для приобретения минеральных удобрений, средств химической защиты растений, элитных семян, племенных телок и (или) нетелей молочного направления продуктивности, оленей, изделий автомобильной промышленности, тракторов, сельскохозяйственных машин и оборудования, оборудования технологического для легкой и пищевой промышленности, учебного и лабораторного оборудования, программного обеспечения, в целях укрепления их материально-технической базы </t>
    </r>
    <r>
      <rPr>
        <sz val="12"/>
        <color rgb="FF008080"/>
        <rFont val="Times New Roman"/>
        <family val="1"/>
        <charset val="204"/>
      </rPr>
      <t>(минобразования края)</t>
    </r>
  </si>
  <si>
    <t>14 6 00 22570</t>
  </si>
  <si>
    <t>Социальные выплаты на строительство (приобретение) жилья молодым семьям и молодым специалистам, проживающим и работающим на селе либо изъявившим желание переехать на постоянное место жительства в сельскую местность и работать там</t>
  </si>
  <si>
    <t>14 7 00 22610</t>
  </si>
  <si>
    <t>Субсидии сельскохозяйственным товаропроизводителям, за исключением граждан, ведущих ЛПХ, на возмещение части затрат на строительство жилья в сельской местности, предоставляемого по договорам найма жилого помещения гражданам, проживающим и работающим на селе либо изъявившим желание переехать на постоянное место жительства в сельскую местность и работать там</t>
  </si>
  <si>
    <t>14 7 00 22620</t>
  </si>
  <si>
    <t>Социальные выплаты гражданам, постоянно проживающим и работающим в государственных учреждениях ветеринарии края в сельской местности или в городах Крайнего Севера и приравненных к ним местностях, на строительство (приобретение) жилья</t>
  </si>
  <si>
    <t>14 7 00 22650</t>
  </si>
  <si>
    <t xml:space="preserve">Субсидии бюджетам муниципальных образований на предоставление социальных выплат гражданам, проживающим и работающим в сельской местности и являющимся участниками муниципальных программ (подпрограмм муниципальных программ), в том числе молодым семьям и молодым специалистам, проживающим и работающим на селе либо изъявившим желание переехать на постоянное место жительства в сельскую местность и работать там и являющимся участниками муниципальных программ (подпрограмм муниципальных программ), на строительство или приобретение жилья в сельской местности </t>
  </si>
  <si>
    <t>14 7 00 74530</t>
  </si>
  <si>
    <t>Улучшение жилищных условий граждан, проживающих на сельских территориях</t>
  </si>
  <si>
    <t>14 7 00 R5760</t>
  </si>
  <si>
    <t>Гранты в форме субсидий некоммерческим товариществам на финансовое обеспечение затрат на реализацию программ развития инфраструктуры территорий некоммерческих товариществ</t>
  </si>
  <si>
    <t>14 Д 00 24400</t>
  </si>
  <si>
    <t>Гранты в форме субсидий некоммерческим товариществам на финансовое обеспечение затрат на приобретение оборудования, строительных материалов и (или) изделий для проведения работ по строительству, и (или) реконструкции, и (или) ремонту дорог и (или) объектов водоснабжения и (или) электросетевого хозяйства в пределах соответствующего некоммерческого товарищества</t>
  </si>
  <si>
    <t>14 Д 00 24420</t>
  </si>
  <si>
    <t>Субсидии бюджетам муниципальных образований края на строительство и (или) реконструкцию, и (или) ремонт  объектов электроснабжения, водоснабжения, находящихся в собственности муниципальных образований, для обеспечения подключения некоммерческих товариществ к источникам электроснабжения, водоснабжения</t>
  </si>
  <si>
    <t>14 Д 00 75750</t>
  </si>
  <si>
    <t>Руководство и управление в сфере установленных функций органов государственной власти, в том числе:</t>
  </si>
  <si>
    <t>министерство сельского хозяйства и торговли (грбс - 121)</t>
  </si>
  <si>
    <t>14 8 00 00210</t>
  </si>
  <si>
    <t>служба ветнадзора (грбс-120)</t>
  </si>
  <si>
    <t>служба гостехнадзора (грбс - 069)</t>
  </si>
  <si>
    <t>Обеспечение деятельности (оказание услуг) подведомственных учреждений, в том числе:</t>
  </si>
  <si>
    <t>Подведомственное учреждение (Центр ДИТО МСХ и ГТН (гостехнадзор))</t>
  </si>
  <si>
    <t>14 8 00 00610</t>
  </si>
  <si>
    <r>
      <rPr>
        <sz val="12"/>
        <rFont val="Times New Roman"/>
        <family val="1"/>
        <charset val="204"/>
      </rPr>
      <t>ветеринарная сеть</t>
    </r>
    <r>
      <rPr>
        <sz val="11"/>
        <rFont val="Times New Roman"/>
        <family val="1"/>
        <charset val="204"/>
      </rPr>
      <t xml:space="preserve"> (ветслужба)</t>
    </r>
  </si>
  <si>
    <r>
      <t>за счет приносящей доход предпринимательской  деятельности</t>
    </r>
    <r>
      <rPr>
        <sz val="11"/>
        <rFont val="Times New Roman"/>
        <family val="1"/>
        <charset val="204"/>
      </rPr>
      <t xml:space="preserve"> (ветслужба)</t>
    </r>
  </si>
  <si>
    <t>14 8 00 08100</t>
  </si>
  <si>
    <r>
      <t>за счет доходов от сдачи в аренду имущества</t>
    </r>
    <r>
      <rPr>
        <sz val="11"/>
        <rFont val="Times New Roman"/>
        <family val="1"/>
        <charset val="204"/>
      </rPr>
      <t xml:space="preserve"> (ветслужба)</t>
    </r>
  </si>
  <si>
    <t>14 8 00 07200</t>
  </si>
  <si>
    <t>Расходы на закупку электронно-вычислительной техники, оргтехники, сетевого и серверного оборудования, компьютерного программного обеспечения и услуг по его разработке, модификации, адаптации, тестированию, сопровождению (в том числе технической поддержки) для центрального узла информационного обеспечения агропромышленного комплекса и услуг по обучению специалистов, использующих программное обеспечение</t>
  </si>
  <si>
    <t>14 8 00 22710</t>
  </si>
  <si>
    <t>Расходы на организацию, проведение и участие в краевых, межрегиональных (зональных) и российских конкурсах, выставках, совещаниях и соревнованиях в агропромышленном комплексе</t>
  </si>
  <si>
    <t>14 8 00 22730</t>
  </si>
  <si>
    <t>Расходы на закупку услуг по изданию информационной литературы, производству и размещению информационной полиграфической продукции, освещению в средствах массовой информации состояния и развития агропромышленного комплекса края</t>
  </si>
  <si>
    <t>14 8 00 22740</t>
  </si>
  <si>
    <t>Расходы на закупку консультационных услуг</t>
  </si>
  <si>
    <t>14 8 00 22770</t>
  </si>
  <si>
    <t>Субвенции бюджетам муниципальных образований на выполнение отдельных государственных полномочий по решению вопросов поддержки с/х производства</t>
  </si>
  <si>
    <t>14 8 00 75170</t>
  </si>
  <si>
    <t>Расходы на реализацию региональной программы Красноярского края "Обеспечение защиты прав потребителей"</t>
  </si>
  <si>
    <t>14 8 00 22720</t>
  </si>
  <si>
    <t xml:space="preserve">Субвенция бюджету Эвенкийского муниципального района на осуществление органами местного самоуправления отдельных государственных полномочий по лицензированию розничной продажи алкогольной продукции (в соответствии с Законом края от 7 февраля 2008 года N 4-1254) </t>
  </si>
  <si>
    <t>14 8 00 75120</t>
  </si>
  <si>
    <t>по состоянию на 01.07.2020</t>
  </si>
  <si>
    <t>Предусмотрено на 2020 год</t>
  </si>
  <si>
    <t>Подпрограмма "Развитие отраслей агропромышленного комплекса"</t>
  </si>
  <si>
    <t>Подпрограмма "Развитие малых форм хозяйствования и сельскохозяйственной кооперации"</t>
  </si>
  <si>
    <t>Подпрограмма "Стимулирование инвестиционной деятельности в агропромышленном комплексе"</t>
  </si>
  <si>
    <t>Подпрограмма "Техническая и технологическая модернизация"</t>
  </si>
  <si>
    <t>Подпрограмма "Развитие мелиорации земель сельскохозяйственного назначения"</t>
  </si>
  <si>
    <t>Подпрограмма "Кадровое обеспечение агропромышленного комплекса"</t>
  </si>
  <si>
    <t>Подпрограмма "Комплексное развитие сельских территорий"</t>
  </si>
  <si>
    <t>Подпрограмма "Поддержка садоводства и огородничества"</t>
  </si>
  <si>
    <t>Подпрограмма "Обеспечение реализации Государственной программы"</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</si>
</sst>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000"/>
    <numFmt numFmtId="166" formatCode="?"/>
    <numFmt numFmtId="167" formatCode="#,##0.00000"/>
    <numFmt numFmtId="168" formatCode="#,##0.000"/>
    <numFmt numFmtId="169" formatCode="_-* #,##0.00_р_._-;\-* #,##0.00_р_._-;_-* &quot;-&quot;??_р_._-;_-@_-"/>
  </numFmts>
  <fonts count="23" x14ac:knownFonts="1">
    <font>
      <sz val="10"/>
      <name val="Arial Cyr"/>
      <charset val="204"/>
    </font>
    <font>
      <sz val="10"/>
      <name val="Arial Cyr"/>
      <charset val="204"/>
    </font>
    <font>
      <b/>
      <sz val="12"/>
      <name val="Times New Roman"/>
      <family val="1"/>
      <charset val="204"/>
    </font>
    <font>
      <sz val="12"/>
      <name val="Times New Roman"/>
      <family val="1"/>
      <charset val="204"/>
    </font>
    <font>
      <sz val="10"/>
      <name val="Times New Roman"/>
      <family val="1"/>
      <charset val="204"/>
    </font>
    <font>
      <sz val="11"/>
      <name val="Times New Roman"/>
      <family val="1"/>
      <charset val="204"/>
    </font>
    <font>
      <b/>
      <i/>
      <sz val="12"/>
      <color indexed="10"/>
      <name val="Times New Roman"/>
      <family val="1"/>
      <charset val="204"/>
    </font>
    <font>
      <b/>
      <sz val="11"/>
      <name val="Times New Roman"/>
      <family val="1"/>
      <charset val="204"/>
    </font>
    <font>
      <b/>
      <sz val="12"/>
      <color rgb="FFFF0000"/>
      <name val="Times New Roman"/>
      <family val="1"/>
      <charset val="204"/>
    </font>
    <font>
      <b/>
      <i/>
      <sz val="12"/>
      <color rgb="FF0070C0"/>
      <name val="Times New Roman"/>
      <family val="1"/>
      <charset val="204"/>
    </font>
    <font>
      <b/>
      <sz val="12"/>
      <color rgb="FF0070C0"/>
      <name val="Times New Roman"/>
      <family val="1"/>
      <charset val="204"/>
    </font>
    <font>
      <b/>
      <i/>
      <sz val="11"/>
      <color rgb="FF0070C0"/>
      <name val="Times New Roman"/>
      <family val="1"/>
      <charset val="204"/>
    </font>
    <font>
      <b/>
      <i/>
      <sz val="12"/>
      <name val="Times New Roman"/>
      <family val="1"/>
      <charset val="204"/>
    </font>
    <font>
      <i/>
      <sz val="12"/>
      <color rgb="FF0070C0"/>
      <name val="Times New Roman"/>
      <family val="1"/>
      <charset val="204"/>
    </font>
    <font>
      <sz val="12"/>
      <color rgb="FF0070C0"/>
      <name val="Times New Roman"/>
      <family val="1"/>
      <charset val="204"/>
    </font>
    <font>
      <b/>
      <i/>
      <sz val="12"/>
      <color rgb="FFFF0000"/>
      <name val="Times New Roman"/>
      <family val="1"/>
      <charset val="204"/>
    </font>
    <font>
      <b/>
      <sz val="11"/>
      <color rgb="FF996633"/>
      <name val="Times New Roman"/>
      <family val="1"/>
      <charset val="204"/>
    </font>
    <font>
      <b/>
      <sz val="12"/>
      <color rgb="FF996633"/>
      <name val="Times New Roman"/>
      <family val="1"/>
      <charset val="204"/>
    </font>
    <font>
      <sz val="12"/>
      <color indexed="8"/>
      <name val="Times New Roman"/>
      <family val="1"/>
      <charset val="204"/>
    </font>
    <font>
      <sz val="12"/>
      <color theme="3" tint="0.39997558519241921"/>
      <name val="Times New Roman"/>
      <family val="1"/>
      <charset val="204"/>
    </font>
    <font>
      <sz val="12"/>
      <color rgb="FF008080"/>
      <name val="Times New Roman"/>
      <family val="1"/>
      <charset val="204"/>
    </font>
    <font>
      <i/>
      <sz val="12"/>
      <name val="Times New Roman"/>
      <family val="1"/>
      <charset val="204"/>
    </font>
    <font>
      <i/>
      <sz val="11"/>
      <name val="Times New Roman"/>
      <family val="1"/>
      <charset val="204"/>
    </font>
  </fonts>
  <fills count="9">
    <fill>
      <patternFill patternType="none"/>
    </fill>
    <fill>
      <patternFill patternType="gray125"/>
    </fill>
    <fill>
      <patternFill patternType="solid">
        <fgColor rgb="FF99FF99"/>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bgColor indexed="64"/>
      </patternFill>
    </fill>
    <fill>
      <patternFill patternType="solid">
        <fgColor rgb="FFFFCCCC"/>
        <bgColor indexed="64"/>
      </patternFill>
    </fill>
    <fill>
      <patternFill patternType="solid">
        <fgColor theme="6" tint="0.39997558519241921"/>
        <bgColor indexed="64"/>
      </patternFill>
    </fill>
    <fill>
      <patternFill patternType="solid">
        <fgColor theme="8"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1" fillId="0" borderId="0"/>
    <xf numFmtId="169" fontId="1" fillId="0" borderId="0" applyFont="0" applyFill="0" applyBorder="0" applyAlignment="0" applyProtection="0"/>
  </cellStyleXfs>
  <cellXfs count="165">
    <xf numFmtId="0" fontId="0" fillId="0" borderId="0" xfId="0"/>
    <xf numFmtId="0" fontId="2" fillId="0" borderId="0" xfId="0" applyFont="1" applyFill="1" applyAlignment="1">
      <alignment vertical="top" wrapText="1"/>
    </xf>
    <xf numFmtId="0" fontId="3" fillId="0" borderId="0" xfId="0" applyFont="1" applyAlignment="1">
      <alignment vertical="top"/>
    </xf>
    <xf numFmtId="14" fontId="2" fillId="0" borderId="0" xfId="0" applyNumberFormat="1" applyFont="1" applyFill="1" applyAlignment="1">
      <alignment vertical="top" wrapText="1"/>
    </xf>
    <xf numFmtId="0" fontId="3" fillId="0" borderId="0" xfId="0" applyFont="1" applyFill="1" applyBorder="1" applyAlignment="1">
      <alignment horizontal="center" vertical="top" wrapText="1"/>
    </xf>
    <xf numFmtId="0" fontId="3" fillId="0" borderId="0" xfId="0" applyFont="1" applyFill="1" applyBorder="1" applyAlignment="1">
      <alignment horizontal="center" wrapText="1"/>
    </xf>
    <xf numFmtId="164" fontId="3" fillId="0" borderId="0"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top" wrapText="1"/>
    </xf>
    <xf numFmtId="165" fontId="3" fillId="0" borderId="0" xfId="0" applyNumberFormat="1" applyFont="1" applyAlignment="1">
      <alignment vertical="top"/>
    </xf>
    <xf numFmtId="4" fontId="3" fillId="0" borderId="0" xfId="0" applyNumberFormat="1" applyFont="1" applyFill="1" applyAlignment="1">
      <alignment horizontal="right" vertical="top"/>
    </xf>
    <xf numFmtId="0" fontId="3" fillId="0" borderId="0" xfId="0" applyFont="1" applyFill="1" applyAlignment="1">
      <alignment vertical="top"/>
    </xf>
    <xf numFmtId="0" fontId="5" fillId="0" borderId="0" xfId="0" applyFont="1" applyFill="1" applyAlignment="1">
      <alignment horizontal="right"/>
    </xf>
    <xf numFmtId="0" fontId="3" fillId="0" borderId="0" xfId="0" applyFont="1" applyAlignment="1">
      <alignment horizontal="center" vertical="center"/>
    </xf>
    <xf numFmtId="165"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wrapText="1"/>
    </xf>
    <xf numFmtId="0" fontId="5" fillId="0" borderId="1" xfId="0" applyFont="1" applyFill="1" applyBorder="1" applyAlignment="1">
      <alignment horizontal="center" vertical="top" wrapText="1"/>
    </xf>
    <xf numFmtId="164" fontId="3" fillId="0" borderId="1" xfId="0" applyNumberFormat="1" applyFont="1" applyFill="1" applyBorder="1" applyAlignment="1">
      <alignment horizontal="center" vertical="top" wrapText="1"/>
    </xf>
    <xf numFmtId="0" fontId="3" fillId="0" borderId="1" xfId="0" applyFont="1" applyFill="1" applyBorder="1" applyAlignment="1">
      <alignment horizontal="right" vertical="top" wrapText="1"/>
    </xf>
    <xf numFmtId="165" fontId="3" fillId="0" borderId="1" xfId="0" applyNumberFormat="1" applyFont="1" applyFill="1" applyBorder="1" applyAlignment="1">
      <alignment horizontal="center" vertical="top" wrapText="1"/>
    </xf>
    <xf numFmtId="0" fontId="3" fillId="0" borderId="1" xfId="0" applyFont="1" applyBorder="1" applyAlignment="1">
      <alignment vertical="top"/>
    </xf>
    <xf numFmtId="0" fontId="6" fillId="3" borderId="1" xfId="0" applyFont="1" applyFill="1" applyBorder="1" applyAlignment="1">
      <alignment horizontal="left" vertical="top" wrapText="1"/>
    </xf>
    <xf numFmtId="0" fontId="6" fillId="3" borderId="1" xfId="0" applyFont="1" applyFill="1" applyBorder="1" applyAlignment="1">
      <alignment horizontal="center" wrapText="1"/>
    </xf>
    <xf numFmtId="4" fontId="7" fillId="3" borderId="1" xfId="0" applyNumberFormat="1" applyFont="1" applyFill="1" applyBorder="1" applyAlignment="1">
      <alignment horizontal="right" wrapText="1"/>
    </xf>
    <xf numFmtId="4" fontId="8" fillId="3" borderId="1" xfId="0" applyNumberFormat="1" applyFont="1" applyFill="1" applyBorder="1" applyAlignment="1">
      <alignment horizontal="right" wrapText="1"/>
    </xf>
    <xf numFmtId="0" fontId="2" fillId="0" borderId="1" xfId="0" applyFont="1" applyFill="1" applyBorder="1" applyAlignment="1">
      <alignment vertical="top"/>
    </xf>
    <xf numFmtId="0" fontId="2" fillId="0" borderId="0" xfId="0" applyFont="1" applyFill="1" applyAlignment="1">
      <alignment vertical="top"/>
    </xf>
    <xf numFmtId="0" fontId="9" fillId="0" borderId="1" xfId="0" applyFont="1" applyFill="1" applyBorder="1" applyAlignment="1">
      <alignment horizontal="left" vertical="top" wrapText="1" indent="2"/>
    </xf>
    <xf numFmtId="49" fontId="10" fillId="0" borderId="1" xfId="0" applyNumberFormat="1" applyFont="1" applyFill="1" applyBorder="1" applyAlignment="1">
      <alignment horizontal="center"/>
    </xf>
    <xf numFmtId="4" fontId="11" fillId="0" borderId="1" xfId="0" applyNumberFormat="1" applyFont="1" applyFill="1" applyBorder="1" applyAlignment="1">
      <alignment horizontal="right" wrapText="1"/>
    </xf>
    <xf numFmtId="4" fontId="9" fillId="0" borderId="1" xfId="0" applyNumberFormat="1" applyFont="1" applyFill="1" applyBorder="1" applyAlignment="1">
      <alignment horizontal="right" wrapText="1"/>
    </xf>
    <xf numFmtId="0" fontId="12" fillId="0" borderId="0" xfId="0" applyFont="1" applyFill="1" applyAlignment="1">
      <alignment vertical="top"/>
    </xf>
    <xf numFmtId="0" fontId="6" fillId="4" borderId="1" xfId="0" applyFont="1" applyFill="1" applyBorder="1" applyAlignment="1">
      <alignment horizontal="left" vertical="top" wrapText="1"/>
    </xf>
    <xf numFmtId="4" fontId="8" fillId="4" borderId="1" xfId="0" applyNumberFormat="1" applyFont="1" applyFill="1" applyBorder="1" applyAlignment="1">
      <alignment horizontal="right" wrapText="1"/>
    </xf>
    <xf numFmtId="0" fontId="13" fillId="0" borderId="1" xfId="0" applyFont="1" applyFill="1" applyBorder="1" applyAlignment="1">
      <alignment horizontal="left" vertical="top" wrapText="1" indent="2"/>
    </xf>
    <xf numFmtId="0" fontId="6" fillId="4" borderId="1" xfId="0" applyFont="1" applyFill="1" applyBorder="1" applyAlignment="1">
      <alignment horizontal="center" wrapText="1"/>
    </xf>
    <xf numFmtId="4" fontId="7" fillId="4" borderId="1" xfId="0" applyNumberFormat="1" applyFont="1" applyFill="1" applyBorder="1" applyAlignment="1">
      <alignment horizontal="right" wrapText="1"/>
    </xf>
    <xf numFmtId="0" fontId="2" fillId="4" borderId="0" xfId="0" applyFont="1" applyFill="1" applyAlignment="1">
      <alignment vertical="top"/>
    </xf>
    <xf numFmtId="0" fontId="13" fillId="0" borderId="1" xfId="0" applyFont="1" applyFill="1" applyBorder="1" applyAlignment="1">
      <alignment horizontal="center" wrapText="1"/>
    </xf>
    <xf numFmtId="0" fontId="12" fillId="0" borderId="1" xfId="0" applyFont="1" applyFill="1" applyBorder="1" applyAlignment="1">
      <alignment vertical="top"/>
    </xf>
    <xf numFmtId="0" fontId="8" fillId="0" borderId="1" xfId="0" applyFont="1" applyFill="1" applyBorder="1" applyAlignment="1">
      <alignment horizontal="left" vertical="top" wrapText="1"/>
    </xf>
    <xf numFmtId="49" fontId="3" fillId="5" borderId="1" xfId="0" applyNumberFormat="1" applyFont="1" applyFill="1" applyBorder="1" applyAlignment="1">
      <alignment horizontal="center"/>
    </xf>
    <xf numFmtId="4" fontId="8" fillId="0" borderId="1" xfId="0" applyNumberFormat="1" applyFont="1" applyFill="1" applyBorder="1" applyAlignment="1">
      <alignment horizontal="right" wrapText="1"/>
    </xf>
    <xf numFmtId="4" fontId="8" fillId="0" borderId="1" xfId="0" applyNumberFormat="1" applyFont="1" applyBorder="1" applyAlignment="1">
      <alignment vertical="top"/>
    </xf>
    <xf numFmtId="0" fontId="8" fillId="0" borderId="0" xfId="0" applyFont="1" applyAlignment="1">
      <alignment vertical="top"/>
    </xf>
    <xf numFmtId="49" fontId="14" fillId="0" borderId="1" xfId="0" applyNumberFormat="1" applyFont="1" applyFill="1" applyBorder="1" applyAlignment="1">
      <alignment horizontal="center"/>
    </xf>
    <xf numFmtId="0" fontId="15" fillId="0" borderId="1" xfId="0" applyFont="1" applyBorder="1" applyAlignment="1">
      <alignment vertical="top"/>
    </xf>
    <xf numFmtId="0" fontId="15" fillId="0" borderId="0" xfId="0" applyFont="1" applyAlignment="1">
      <alignment vertical="top"/>
    </xf>
    <xf numFmtId="166" fontId="3" fillId="0" borderId="1" xfId="0" applyNumberFormat="1" applyFont="1" applyFill="1" applyBorder="1" applyAlignment="1" applyProtection="1">
      <alignment horizontal="left" vertical="center" wrapText="1"/>
    </xf>
    <xf numFmtId="49" fontId="3" fillId="0" borderId="1" xfId="0" applyNumberFormat="1" applyFont="1" applyFill="1" applyBorder="1" applyAlignment="1">
      <alignment horizontal="center"/>
    </xf>
    <xf numFmtId="0" fontId="3" fillId="0" borderId="1" xfId="0" applyNumberFormat="1" applyFont="1" applyFill="1" applyBorder="1" applyAlignment="1">
      <alignment horizontal="center"/>
    </xf>
    <xf numFmtId="4" fontId="3" fillId="0" borderId="1" xfId="0" applyNumberFormat="1" applyFont="1" applyFill="1" applyBorder="1" applyAlignment="1">
      <alignment horizontal="right"/>
    </xf>
    <xf numFmtId="4" fontId="3" fillId="0" borderId="5" xfId="0" applyNumberFormat="1" applyFont="1" applyFill="1" applyBorder="1" applyAlignment="1">
      <alignment horizontal="right" wrapText="1"/>
    </xf>
    <xf numFmtId="4" fontId="3" fillId="0" borderId="1" xfId="0" applyNumberFormat="1" applyFont="1" applyFill="1" applyBorder="1" applyAlignment="1">
      <alignment horizontal="right" wrapText="1"/>
    </xf>
    <xf numFmtId="164" fontId="3" fillId="0" borderId="1" xfId="0" applyNumberFormat="1" applyFont="1" applyBorder="1" applyAlignment="1"/>
    <xf numFmtId="4" fontId="3" fillId="0" borderId="1" xfId="0" applyNumberFormat="1" applyFont="1" applyFill="1" applyBorder="1" applyAlignment="1"/>
    <xf numFmtId="49" fontId="3" fillId="0" borderId="1" xfId="0" applyNumberFormat="1" applyFont="1" applyFill="1" applyBorder="1" applyAlignment="1">
      <alignment horizontal="left" vertical="top" wrapText="1"/>
    </xf>
    <xf numFmtId="4" fontId="3" fillId="6" borderId="5" xfId="0" applyNumberFormat="1" applyFont="1" applyFill="1" applyBorder="1" applyAlignment="1">
      <alignment horizontal="right" wrapText="1"/>
    </xf>
    <xf numFmtId="49" fontId="3" fillId="5" borderId="1" xfId="0" applyNumberFormat="1" applyFont="1" applyFill="1" applyBorder="1" applyAlignment="1">
      <alignment horizontal="left" wrapText="1"/>
    </xf>
    <xf numFmtId="0" fontId="3" fillId="0" borderId="1" xfId="0" applyNumberFormat="1" applyFont="1" applyFill="1" applyBorder="1" applyAlignment="1">
      <alignment horizontal="left" wrapText="1"/>
    </xf>
    <xf numFmtId="0" fontId="3" fillId="0" borderId="1" xfId="0" applyNumberFormat="1" applyFont="1" applyFill="1" applyBorder="1" applyAlignment="1">
      <alignment horizontal="left" vertical="top" wrapText="1"/>
    </xf>
    <xf numFmtId="0" fontId="3" fillId="0" borderId="1" xfId="0" applyFont="1" applyBorder="1" applyAlignment="1"/>
    <xf numFmtId="49" fontId="3" fillId="0" borderId="2" xfId="0" applyNumberFormat="1" applyFont="1" applyFill="1" applyBorder="1" applyAlignment="1">
      <alignment horizontal="left" vertical="top" wrapText="1"/>
    </xf>
    <xf numFmtId="49" fontId="3" fillId="0" borderId="2" xfId="0" applyNumberFormat="1" applyFont="1" applyFill="1" applyBorder="1" applyAlignment="1">
      <alignment horizontal="center"/>
    </xf>
    <xf numFmtId="0" fontId="3" fillId="0" borderId="2" xfId="0" applyNumberFormat="1" applyFont="1" applyFill="1" applyBorder="1" applyAlignment="1">
      <alignment horizontal="center"/>
    </xf>
    <xf numFmtId="164" fontId="3" fillId="0" borderId="1" xfId="0" applyNumberFormat="1" applyFont="1" applyFill="1" applyBorder="1" applyAlignment="1">
      <alignment horizontal="right" wrapText="1"/>
    </xf>
    <xf numFmtId="0" fontId="3" fillId="0" borderId="1" xfId="0" applyFont="1" applyBorder="1" applyAlignment="1">
      <alignment vertical="top" wrapText="1"/>
    </xf>
    <xf numFmtId="167" fontId="3" fillId="0" borderId="1" xfId="0" applyNumberFormat="1" applyFont="1" applyFill="1" applyBorder="1" applyAlignment="1">
      <alignment horizontal="right" wrapText="1"/>
    </xf>
    <xf numFmtId="4" fontId="3" fillId="7" borderId="5" xfId="0" applyNumberFormat="1" applyFont="1" applyFill="1" applyBorder="1" applyAlignment="1">
      <alignment horizontal="right" wrapText="1"/>
    </xf>
    <xf numFmtId="49" fontId="3" fillId="0" borderId="1" xfId="0" applyNumberFormat="1" applyFont="1" applyFill="1" applyBorder="1" applyAlignment="1">
      <alignment horizontal="center" vertical="center"/>
    </xf>
    <xf numFmtId="4" fontId="3" fillId="8" borderId="5" xfId="0" applyNumberFormat="1" applyFont="1" applyFill="1" applyBorder="1" applyAlignment="1">
      <alignment horizontal="right" wrapText="1"/>
    </xf>
    <xf numFmtId="0" fontId="3" fillId="0" borderId="1" xfId="0" applyNumberFormat="1" applyFont="1" applyFill="1" applyBorder="1" applyAlignment="1">
      <alignment horizontal="center" vertical="center"/>
    </xf>
    <xf numFmtId="0" fontId="8" fillId="0" borderId="1" xfId="0" applyNumberFormat="1" applyFont="1" applyFill="1" applyBorder="1" applyAlignment="1">
      <alignment horizontal="right"/>
    </xf>
    <xf numFmtId="0" fontId="8" fillId="0" borderId="1" xfId="0" applyFont="1" applyBorder="1" applyAlignment="1">
      <alignment vertical="top"/>
    </xf>
    <xf numFmtId="0" fontId="8" fillId="0" borderId="2" xfId="0" applyNumberFormat="1" applyFont="1" applyFill="1" applyBorder="1" applyAlignment="1">
      <alignment horizontal="right"/>
    </xf>
    <xf numFmtId="0" fontId="3" fillId="0" borderId="1" xfId="0" applyNumberFormat="1" applyFont="1" applyFill="1" applyBorder="1" applyAlignment="1">
      <alignment horizontal="right"/>
    </xf>
    <xf numFmtId="0" fontId="3"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2" xfId="0" applyNumberFormat="1" applyFont="1" applyFill="1" applyBorder="1" applyAlignment="1">
      <alignment horizontal="right"/>
    </xf>
    <xf numFmtId="4" fontId="3" fillId="0" borderId="1" xfId="0" applyNumberFormat="1" applyFont="1" applyFill="1" applyBorder="1" applyAlignment="1">
      <alignment wrapText="1"/>
    </xf>
    <xf numFmtId="4" fontId="3" fillId="0" borderId="1" xfId="0" applyNumberFormat="1" applyFont="1" applyFill="1" applyBorder="1" applyAlignment="1">
      <alignment vertical="center" wrapText="1"/>
    </xf>
    <xf numFmtId="0" fontId="3" fillId="0" borderId="3" xfId="0" applyNumberFormat="1" applyFont="1" applyFill="1" applyBorder="1" applyAlignment="1">
      <alignment horizontal="left" vertical="top" wrapText="1"/>
    </xf>
    <xf numFmtId="49" fontId="3" fillId="0" borderId="3" xfId="0" applyNumberFormat="1" applyFont="1" applyFill="1" applyBorder="1" applyAlignment="1">
      <alignment horizontal="center"/>
    </xf>
    <xf numFmtId="0" fontId="13" fillId="0" borderId="1" xfId="0" applyFont="1" applyFill="1" applyBorder="1" applyAlignment="1">
      <alignment horizontal="left" wrapText="1" indent="2"/>
    </xf>
    <xf numFmtId="0" fontId="3" fillId="0" borderId="2" xfId="0" applyFont="1" applyFill="1" applyBorder="1" applyAlignment="1">
      <alignment vertical="top" wrapText="1"/>
    </xf>
    <xf numFmtId="49" fontId="3" fillId="0" borderId="1" xfId="0" applyNumberFormat="1" applyFont="1" applyFill="1" applyBorder="1" applyAlignment="1">
      <alignment horizontal="left" wrapText="1"/>
    </xf>
    <xf numFmtId="0" fontId="3" fillId="0" borderId="1" xfId="0" applyNumberFormat="1" applyFont="1" applyFill="1" applyBorder="1" applyAlignment="1">
      <alignment wrapText="1"/>
    </xf>
    <xf numFmtId="0" fontId="18" fillId="0" borderId="1" xfId="0" applyFont="1" applyFill="1" applyBorder="1" applyAlignment="1">
      <alignment horizontal="left" vertical="top" wrapText="1"/>
    </xf>
    <xf numFmtId="49" fontId="18" fillId="0" borderId="1" xfId="0" applyNumberFormat="1" applyFont="1" applyFill="1" applyBorder="1" applyAlignment="1">
      <alignment horizontal="center"/>
    </xf>
    <xf numFmtId="0" fontId="18" fillId="0" borderId="1" xfId="0" applyNumberFormat="1" applyFont="1" applyFill="1" applyBorder="1" applyAlignment="1">
      <alignment horizontal="right"/>
    </xf>
    <xf numFmtId="164" fontId="3" fillId="0" borderId="1" xfId="0" applyNumberFormat="1" applyFont="1" applyFill="1" applyBorder="1" applyAlignment="1"/>
    <xf numFmtId="49" fontId="18" fillId="0" borderId="2" xfId="0" applyNumberFormat="1" applyFont="1" applyFill="1" applyBorder="1" applyAlignment="1">
      <alignment horizontal="center"/>
    </xf>
    <xf numFmtId="0" fontId="3" fillId="0" borderId="2" xfId="0" applyNumberFormat="1" applyFont="1" applyFill="1" applyBorder="1" applyAlignment="1">
      <alignment horizontal="left" vertical="top" wrapText="1"/>
    </xf>
    <xf numFmtId="0" fontId="18" fillId="0" borderId="2" xfId="0" applyNumberFormat="1" applyFont="1" applyFill="1" applyBorder="1" applyAlignment="1">
      <alignment horizontal="right"/>
    </xf>
    <xf numFmtId="4" fontId="8" fillId="0" borderId="1" xfId="0" applyNumberFormat="1" applyFont="1" applyFill="1" applyBorder="1" applyAlignment="1">
      <alignment horizontal="right"/>
    </xf>
    <xf numFmtId="4" fontId="3" fillId="0" borderId="2" xfId="0" applyNumberFormat="1" applyFont="1" applyFill="1" applyBorder="1" applyAlignment="1">
      <alignment horizontal="right" wrapText="1"/>
    </xf>
    <xf numFmtId="0" fontId="3" fillId="0" borderId="1" xfId="0" quotePrefix="1" applyNumberFormat="1" applyFont="1" applyFill="1" applyBorder="1" applyAlignment="1">
      <alignment horizontal="left" vertical="top" wrapText="1"/>
    </xf>
    <xf numFmtId="0" fontId="3" fillId="0" borderId="1" xfId="0" applyFont="1" applyFill="1" applyBorder="1" applyAlignment="1">
      <alignment vertical="top" wrapText="1"/>
    </xf>
    <xf numFmtId="0" fontId="21" fillId="0" borderId="1" xfId="0" applyFont="1" applyFill="1" applyBorder="1" applyAlignment="1">
      <alignment horizontal="left" vertical="top" wrapText="1"/>
    </xf>
    <xf numFmtId="49" fontId="21" fillId="0" borderId="1" xfId="0" applyNumberFormat="1" applyFont="1" applyFill="1" applyBorder="1" applyAlignment="1">
      <alignment horizontal="center"/>
    </xf>
    <xf numFmtId="0" fontId="22" fillId="0" borderId="1" xfId="0" applyNumberFormat="1" applyFont="1" applyFill="1" applyBorder="1" applyAlignment="1">
      <alignment horizontal="right"/>
    </xf>
    <xf numFmtId="4" fontId="22" fillId="0" borderId="1" xfId="0" applyNumberFormat="1" applyFont="1" applyFill="1" applyBorder="1" applyAlignment="1">
      <alignment horizontal="right" wrapText="1"/>
    </xf>
    <xf numFmtId="4" fontId="21" fillId="0" borderId="1" xfId="0" applyNumberFormat="1" applyFont="1" applyFill="1" applyBorder="1" applyAlignment="1">
      <alignment horizontal="right" wrapText="1"/>
    </xf>
    <xf numFmtId="4" fontId="3" fillId="0" borderId="1" xfId="0" applyNumberFormat="1" applyFont="1" applyBorder="1" applyAlignment="1"/>
    <xf numFmtId="0" fontId="21" fillId="0" borderId="1" xfId="0" applyFont="1" applyBorder="1" applyAlignment="1">
      <alignment vertical="top"/>
    </xf>
    <xf numFmtId="0" fontId="21" fillId="0" borderId="0" xfId="0" applyFont="1" applyAlignment="1">
      <alignment vertical="top"/>
    </xf>
    <xf numFmtId="0" fontId="3" fillId="0" borderId="1" xfId="0" applyFont="1" applyFill="1" applyBorder="1" applyAlignment="1">
      <alignment vertical="top"/>
    </xf>
    <xf numFmtId="0" fontId="21" fillId="0" borderId="1" xfId="0" applyNumberFormat="1" applyFont="1" applyFill="1" applyBorder="1" applyAlignment="1">
      <alignment horizontal="right"/>
    </xf>
    <xf numFmtId="0" fontId="21" fillId="0" borderId="1" xfId="0" applyFont="1" applyFill="1" applyBorder="1" applyAlignment="1">
      <alignment vertical="top"/>
    </xf>
    <xf numFmtId="0" fontId="21" fillId="0" borderId="0" xfId="0" applyFont="1" applyFill="1" applyAlignment="1">
      <alignment vertical="top"/>
    </xf>
    <xf numFmtId="0" fontId="5"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0" fontId="3" fillId="0" borderId="1" xfId="0" applyFont="1" applyFill="1" applyBorder="1" applyAlignment="1">
      <alignment horizontal="left" vertical="top"/>
    </xf>
    <xf numFmtId="4" fontId="3" fillId="6" borderId="1" xfId="0" applyNumberFormat="1" applyFont="1" applyFill="1" applyBorder="1" applyAlignment="1">
      <alignment horizontal="right" wrapText="1"/>
    </xf>
    <xf numFmtId="0" fontId="3" fillId="0" borderId="0" xfId="0" applyFont="1" applyFill="1" applyBorder="1" applyAlignment="1">
      <alignment vertical="top"/>
    </xf>
    <xf numFmtId="0" fontId="3" fillId="0" borderId="0" xfId="0" applyFont="1" applyFill="1" applyBorder="1" applyAlignment="1">
      <alignment horizontal="center"/>
    </xf>
    <xf numFmtId="0" fontId="3" fillId="0" borderId="0" xfId="0" applyFont="1" applyBorder="1" applyAlignment="1">
      <alignment vertical="top"/>
    </xf>
    <xf numFmtId="4" fontId="3" fillId="0" borderId="0" xfId="0" applyNumberFormat="1" applyFont="1" applyFill="1" applyBorder="1" applyAlignment="1">
      <alignment horizontal="right" wrapText="1"/>
    </xf>
    <xf numFmtId="165" fontId="3" fillId="0" borderId="0" xfId="0" applyNumberFormat="1" applyFont="1" applyBorder="1" applyAlignment="1">
      <alignment vertical="top"/>
    </xf>
    <xf numFmtId="0" fontId="3" fillId="0" borderId="0" xfId="0" applyFont="1" applyFill="1" applyBorder="1" applyAlignment="1">
      <alignment horizontal="right" vertical="top"/>
    </xf>
    <xf numFmtId="0" fontId="3" fillId="0" borderId="0" xfId="0" applyFont="1" applyFill="1" applyAlignment="1">
      <alignment vertical="top" wrapText="1"/>
    </xf>
    <xf numFmtId="0" fontId="3" fillId="0" borderId="0" xfId="0" applyFont="1" applyFill="1" applyAlignment="1">
      <alignment horizontal="center" wrapText="1"/>
    </xf>
    <xf numFmtId="0" fontId="3" fillId="0" borderId="0" xfId="0" applyFont="1" applyFill="1" applyAlignment="1">
      <alignment horizontal="right" vertical="top" wrapText="1"/>
    </xf>
    <xf numFmtId="0" fontId="3" fillId="0" borderId="0" xfId="0" applyFont="1" applyAlignment="1">
      <alignment horizontal="right" vertical="top"/>
    </xf>
    <xf numFmtId="0" fontId="3" fillId="0" borderId="0" xfId="0" applyFont="1" applyFill="1" applyAlignment="1">
      <alignment horizontal="right" vertical="top"/>
    </xf>
    <xf numFmtId="165" fontId="3" fillId="0" borderId="0" xfId="0" applyNumberFormat="1" applyFont="1" applyAlignment="1">
      <alignment horizontal="right" vertical="top"/>
    </xf>
    <xf numFmtId="0" fontId="3" fillId="0" borderId="0" xfId="0" applyNumberFormat="1" applyFont="1" applyFill="1" applyBorder="1" applyAlignment="1">
      <alignment horizontal="left" vertical="top" wrapText="1"/>
    </xf>
    <xf numFmtId="0" fontId="3" fillId="0" borderId="0" xfId="0" applyFont="1" applyFill="1" applyAlignment="1">
      <alignment horizontal="center"/>
    </xf>
    <xf numFmtId="4" fontId="9" fillId="0" borderId="1" xfId="0" applyNumberFormat="1" applyFont="1" applyFill="1" applyBorder="1" applyAlignment="1">
      <alignment horizontal="right" wrapText="1"/>
    </xf>
    <xf numFmtId="4" fontId="8" fillId="0" borderId="1" xfId="0" applyNumberFormat="1" applyFont="1" applyFill="1" applyBorder="1" applyAlignment="1">
      <alignment horizontal="right" wrapText="1"/>
    </xf>
    <xf numFmtId="4" fontId="3" fillId="0" borderId="1" xfId="0" applyNumberFormat="1" applyFont="1" applyFill="1" applyBorder="1" applyAlignment="1">
      <alignment horizontal="right"/>
    </xf>
    <xf numFmtId="4" fontId="3" fillId="0" borderId="1" xfId="0" applyNumberFormat="1" applyFont="1" applyFill="1" applyBorder="1" applyAlignment="1">
      <alignment horizontal="right" wrapText="1"/>
    </xf>
    <xf numFmtId="164" fontId="3" fillId="0" borderId="1" xfId="0" applyNumberFormat="1" applyFont="1" applyFill="1" applyBorder="1" applyAlignment="1">
      <alignment horizontal="right" wrapText="1"/>
    </xf>
    <xf numFmtId="167" fontId="3" fillId="0" borderId="1" xfId="0" applyNumberFormat="1" applyFont="1" applyFill="1" applyBorder="1" applyAlignment="1">
      <alignment horizontal="right" wrapText="1"/>
    </xf>
    <xf numFmtId="165" fontId="3" fillId="0" borderId="1" xfId="0" applyNumberFormat="1" applyFont="1" applyFill="1" applyBorder="1" applyAlignment="1">
      <alignment horizontal="right" wrapText="1"/>
    </xf>
    <xf numFmtId="4" fontId="8" fillId="5" borderId="1" xfId="0" applyNumberFormat="1" applyFont="1" applyFill="1" applyBorder="1" applyAlignment="1">
      <alignment horizontal="right" wrapText="1"/>
    </xf>
    <xf numFmtId="168" fontId="3" fillId="0" borderId="1" xfId="0" applyNumberFormat="1" applyFont="1" applyFill="1" applyBorder="1" applyAlignment="1">
      <alignment horizontal="right" wrapText="1"/>
    </xf>
    <xf numFmtId="4" fontId="3" fillId="0" borderId="2" xfId="0" applyNumberFormat="1" applyFont="1" applyFill="1" applyBorder="1" applyAlignment="1">
      <alignment horizontal="right" wrapText="1"/>
    </xf>
    <xf numFmtId="4" fontId="22" fillId="0" borderId="1" xfId="0" applyNumberFormat="1" applyFont="1" applyFill="1" applyBorder="1" applyAlignment="1">
      <alignment horizontal="right" wrapText="1"/>
    </xf>
    <xf numFmtId="4" fontId="21" fillId="0" borderId="1" xfId="0" applyNumberFormat="1" applyFont="1" applyFill="1" applyBorder="1" applyAlignment="1">
      <alignment horizontal="right" wrapText="1"/>
    </xf>
    <xf numFmtId="4" fontId="3" fillId="0" borderId="6" xfId="0" applyNumberFormat="1" applyFont="1" applyFill="1" applyBorder="1" applyAlignment="1">
      <alignment horizontal="right" wrapText="1"/>
    </xf>
    <xf numFmtId="4" fontId="3" fillId="0" borderId="0" xfId="0" applyNumberFormat="1" applyFont="1" applyAlignment="1">
      <alignment vertical="top"/>
    </xf>
    <xf numFmtId="4" fontId="3" fillId="0" borderId="1" xfId="0" applyNumberFormat="1" applyFont="1" applyFill="1" applyBorder="1" applyAlignment="1">
      <alignment horizontal="right" wrapText="1"/>
    </xf>
    <xf numFmtId="4" fontId="8" fillId="3" borderId="1" xfId="0" applyNumberFormat="1" applyFont="1" applyFill="1" applyBorder="1" applyAlignment="1">
      <alignment horizontal="right" wrapText="1"/>
    </xf>
    <xf numFmtId="4" fontId="8" fillId="4" borderId="1" xfId="0" applyNumberFormat="1" applyFont="1" applyFill="1" applyBorder="1" applyAlignment="1">
      <alignment horizontal="right" wrapText="1"/>
    </xf>
    <xf numFmtId="4" fontId="8" fillId="0" borderId="1" xfId="0" applyNumberFormat="1" applyFont="1" applyFill="1" applyBorder="1" applyAlignment="1">
      <alignment horizontal="right" wrapText="1"/>
    </xf>
    <xf numFmtId="4" fontId="9" fillId="0" borderId="1" xfId="0" applyNumberFormat="1" applyFont="1" applyFill="1" applyBorder="1" applyAlignment="1">
      <alignment horizontal="right" wrapText="1"/>
    </xf>
    <xf numFmtId="4" fontId="3" fillId="0" borderId="5" xfId="0" applyNumberFormat="1" applyFont="1" applyFill="1" applyBorder="1" applyAlignment="1">
      <alignment horizontal="right" wrapText="1"/>
    </xf>
    <xf numFmtId="0" fontId="2" fillId="0" borderId="1" xfId="0" applyFont="1" applyFill="1" applyBorder="1" applyAlignment="1">
      <alignment horizontal="center" vertical="center" wrapText="1"/>
    </xf>
    <xf numFmtId="0" fontId="3" fillId="0" borderId="2" xfId="0" applyNumberFormat="1" applyFont="1" applyFill="1" applyBorder="1" applyAlignment="1">
      <alignment wrapText="1"/>
    </xf>
    <xf numFmtId="0" fontId="3" fillId="0" borderId="5" xfId="0" applyNumberFormat="1" applyFont="1" applyFill="1" applyBorder="1" applyAlignment="1">
      <alignment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14" fontId="2" fillId="0" borderId="0" xfId="0" applyNumberFormat="1"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4">
    <cellStyle name="Обычный" xfId="0" builtinId="0"/>
    <cellStyle name="Обычный 2" xfId="1"/>
    <cellStyle name="Обычный 2 2" xfId="2"/>
    <cellStyle name="Финансов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F0"/>
  </sheetPr>
  <dimension ref="A1:W191"/>
  <sheetViews>
    <sheetView showZeros="0" tabSelected="1" view="pageBreakPreview" topLeftCell="A146" zoomScale="80" zoomScaleNormal="90" zoomScaleSheetLayoutView="80" workbookViewId="0">
      <selection activeCell="M146" sqref="M146"/>
    </sheetView>
  </sheetViews>
  <sheetFormatPr defaultColWidth="9.140625" defaultRowHeight="15.75" x14ac:dyDescent="0.25"/>
  <cols>
    <col min="1" max="1" width="77.5703125" style="10" customWidth="1"/>
    <col min="2" max="2" width="9.140625" style="128" hidden="1" customWidth="1"/>
    <col min="3" max="3" width="15.42578125" style="10" hidden="1" customWidth="1"/>
    <col min="4" max="4" width="16" style="10" hidden="1" customWidth="1"/>
    <col min="5" max="5" width="15.42578125" style="10" hidden="1" customWidth="1"/>
    <col min="6" max="6" width="15.28515625" style="2" hidden="1" customWidth="1"/>
    <col min="7" max="7" width="16.42578125" style="2" customWidth="1"/>
    <col min="8" max="8" width="15.42578125" style="2" hidden="1" customWidth="1"/>
    <col min="9" max="9" width="16.85546875" style="2" hidden="1" customWidth="1"/>
    <col min="10" max="11" width="15.28515625" style="10" hidden="1" customWidth="1"/>
    <col min="12" max="12" width="15" style="10" customWidth="1"/>
    <col min="13" max="13" width="14" style="10" customWidth="1"/>
    <col min="14" max="14" width="14.85546875" style="8" hidden="1" customWidth="1"/>
    <col min="15" max="15" width="14.7109375" style="125" hidden="1" customWidth="1"/>
    <col min="16" max="16" width="17" style="10" customWidth="1"/>
    <col min="17" max="18" width="17" style="10" hidden="1" customWidth="1"/>
    <col min="19" max="19" width="14.85546875" style="2" hidden="1" customWidth="1"/>
    <col min="20" max="20" width="14.5703125" style="2" hidden="1" customWidth="1"/>
    <col min="21" max="21" width="13.5703125" style="2" hidden="1" customWidth="1"/>
    <col min="22" max="22" width="28.28515625" style="2" hidden="1" customWidth="1"/>
    <col min="23" max="23" width="20.7109375" style="2" customWidth="1"/>
    <col min="24" max="24" width="15.28515625" style="2" customWidth="1"/>
    <col min="25" max="16384" width="9.140625" style="2"/>
  </cols>
  <sheetData>
    <row r="1" spans="1:22" x14ac:dyDescent="0.2">
      <c r="A1" s="154" t="s">
        <v>0</v>
      </c>
      <c r="B1" s="154"/>
      <c r="C1" s="154"/>
      <c r="D1" s="154"/>
      <c r="E1" s="154"/>
      <c r="F1" s="154"/>
      <c r="G1" s="154"/>
      <c r="H1" s="154"/>
      <c r="I1" s="154"/>
      <c r="J1" s="154"/>
      <c r="K1" s="154"/>
      <c r="L1" s="154"/>
      <c r="M1" s="154"/>
      <c r="N1" s="154"/>
      <c r="O1" s="154"/>
      <c r="P1" s="154"/>
      <c r="Q1" s="1"/>
      <c r="R1" s="1"/>
      <c r="S1" s="1"/>
      <c r="T1" s="1"/>
      <c r="U1" s="1"/>
      <c r="V1" s="1"/>
    </row>
    <row r="2" spans="1:22" ht="36.75" customHeight="1" x14ac:dyDescent="0.2">
      <c r="A2" s="154" t="s">
        <v>1</v>
      </c>
      <c r="B2" s="154"/>
      <c r="C2" s="154"/>
      <c r="D2" s="154"/>
      <c r="E2" s="154"/>
      <c r="F2" s="154"/>
      <c r="G2" s="154"/>
      <c r="H2" s="154"/>
      <c r="I2" s="154"/>
      <c r="J2" s="154"/>
      <c r="K2" s="154"/>
      <c r="L2" s="154"/>
      <c r="M2" s="154"/>
      <c r="N2" s="154"/>
      <c r="O2" s="154"/>
      <c r="P2" s="154"/>
      <c r="Q2" s="1"/>
      <c r="R2" s="1"/>
      <c r="S2" s="1"/>
      <c r="T2" s="1"/>
      <c r="U2" s="1"/>
      <c r="V2" s="1"/>
    </row>
    <row r="3" spans="1:22" x14ac:dyDescent="0.2">
      <c r="A3" s="155" t="s">
        <v>230</v>
      </c>
      <c r="B3" s="155"/>
      <c r="C3" s="155"/>
      <c r="D3" s="155"/>
      <c r="E3" s="155"/>
      <c r="F3" s="155"/>
      <c r="G3" s="155"/>
      <c r="H3" s="155"/>
      <c r="I3" s="155"/>
      <c r="J3" s="155"/>
      <c r="K3" s="155"/>
      <c r="L3" s="155"/>
      <c r="M3" s="155"/>
      <c r="N3" s="155"/>
      <c r="O3" s="155"/>
      <c r="P3" s="155"/>
      <c r="Q3" s="3"/>
      <c r="R3" s="3"/>
      <c r="S3" s="3"/>
      <c r="T3" s="3"/>
      <c r="U3" s="3"/>
      <c r="V3" s="3"/>
    </row>
    <row r="4" spans="1:22" x14ac:dyDescent="0.25">
      <c r="A4" s="4"/>
      <c r="B4" s="5"/>
      <c r="C4" s="4"/>
      <c r="D4" s="4"/>
      <c r="E4" s="6"/>
      <c r="F4" s="7"/>
      <c r="G4" s="7"/>
      <c r="H4" s="7"/>
      <c r="I4" s="7"/>
      <c r="J4" s="7"/>
      <c r="K4" s="7"/>
      <c r="L4" s="7"/>
      <c r="M4" s="7"/>
      <c r="O4" s="9"/>
      <c r="Q4" s="11"/>
      <c r="R4" s="11"/>
      <c r="V4" s="11" t="s">
        <v>2</v>
      </c>
    </row>
    <row r="5" spans="1:22" s="12" customFormat="1" ht="22.5" customHeight="1" x14ac:dyDescent="0.2">
      <c r="A5" s="156" t="s">
        <v>3</v>
      </c>
      <c r="B5" s="156" t="s">
        <v>4</v>
      </c>
      <c r="C5" s="157" t="s">
        <v>5</v>
      </c>
      <c r="D5" s="149" t="s">
        <v>6</v>
      </c>
      <c r="E5" s="149" t="s">
        <v>7</v>
      </c>
      <c r="F5" s="149" t="s">
        <v>8</v>
      </c>
      <c r="G5" s="149" t="s">
        <v>231</v>
      </c>
      <c r="H5" s="159"/>
      <c r="I5" s="152"/>
      <c r="J5" s="152"/>
      <c r="K5" s="161" t="s">
        <v>9</v>
      </c>
      <c r="L5" s="163" t="s">
        <v>10</v>
      </c>
      <c r="M5" s="164"/>
      <c r="N5" s="152" t="s">
        <v>11</v>
      </c>
      <c r="O5" s="149" t="s">
        <v>12</v>
      </c>
      <c r="P5" s="149" t="s">
        <v>13</v>
      </c>
      <c r="Q5" s="149" t="s">
        <v>14</v>
      </c>
      <c r="R5" s="149" t="s">
        <v>15</v>
      </c>
      <c r="S5" s="149" t="s">
        <v>16</v>
      </c>
      <c r="T5" s="149" t="s">
        <v>17</v>
      </c>
      <c r="U5" s="149"/>
      <c r="V5" s="149" t="s">
        <v>18</v>
      </c>
    </row>
    <row r="6" spans="1:22" s="12" customFormat="1" ht="48.75" customHeight="1" x14ac:dyDescent="0.2">
      <c r="A6" s="156"/>
      <c r="B6" s="156"/>
      <c r="C6" s="158"/>
      <c r="D6" s="149"/>
      <c r="E6" s="149"/>
      <c r="F6" s="149"/>
      <c r="G6" s="149"/>
      <c r="H6" s="160"/>
      <c r="I6" s="153"/>
      <c r="J6" s="153"/>
      <c r="K6" s="162"/>
      <c r="L6" s="13" t="s">
        <v>19</v>
      </c>
      <c r="M6" s="14" t="s">
        <v>20</v>
      </c>
      <c r="N6" s="153"/>
      <c r="O6" s="149"/>
      <c r="P6" s="149"/>
      <c r="Q6" s="152"/>
      <c r="R6" s="152"/>
      <c r="S6" s="152"/>
      <c r="T6" s="14" t="s">
        <v>21</v>
      </c>
      <c r="U6" s="14" t="s">
        <v>22</v>
      </c>
      <c r="V6" s="149"/>
    </row>
    <row r="7" spans="1:22" x14ac:dyDescent="0.25">
      <c r="A7" s="15">
        <v>1</v>
      </c>
      <c r="B7" s="16"/>
      <c r="C7" s="15"/>
      <c r="D7" s="17">
        <v>2</v>
      </c>
      <c r="E7" s="15"/>
      <c r="F7" s="18"/>
      <c r="G7" s="15"/>
      <c r="H7" s="15"/>
      <c r="I7" s="15"/>
      <c r="J7" s="15"/>
      <c r="K7" s="15"/>
      <c r="L7" s="19"/>
      <c r="M7" s="19"/>
      <c r="N7" s="20"/>
      <c r="O7" s="19"/>
      <c r="P7" s="15"/>
      <c r="Q7" s="15"/>
      <c r="R7" s="15"/>
      <c r="S7" s="21"/>
      <c r="T7" s="21"/>
      <c r="U7" s="21"/>
      <c r="V7" s="21"/>
    </row>
    <row r="8" spans="1:22" s="27" customFormat="1" ht="47.25" x14ac:dyDescent="0.25">
      <c r="A8" s="22" t="s">
        <v>23</v>
      </c>
      <c r="B8" s="23"/>
      <c r="C8" s="24">
        <f>C17+C95+C99+C116+C125+C128+C140+C155+C150</f>
        <v>0</v>
      </c>
      <c r="D8" s="25">
        <f>D9+D10</f>
        <v>8042380.3999999994</v>
      </c>
      <c r="E8" s="25">
        <f t="shared" ref="E8:L8" si="0">E9+E10</f>
        <v>8042380.3999999994</v>
      </c>
      <c r="F8" s="25">
        <f t="shared" si="0"/>
        <v>6460607.4999999991</v>
      </c>
      <c r="G8" s="25">
        <f t="shared" si="0"/>
        <v>6551651.9999999991</v>
      </c>
      <c r="H8" s="25">
        <f t="shared" si="0"/>
        <v>6551651.9999999991</v>
      </c>
      <c r="I8" s="25">
        <f t="shared" si="0"/>
        <v>6551651.9999999991</v>
      </c>
      <c r="J8" s="25">
        <f t="shared" si="0"/>
        <v>6551651.9999999991</v>
      </c>
      <c r="K8" s="25">
        <f t="shared" si="0"/>
        <v>6551651.9999999991</v>
      </c>
      <c r="L8" s="144">
        <f t="shared" si="0"/>
        <v>3727688.2220399999</v>
      </c>
      <c r="M8" s="144">
        <f t="shared" ref="M8:M19" si="1">L8/J8*100</f>
        <v>56.896920380386504</v>
      </c>
      <c r="N8" s="144">
        <f t="shared" ref="N8:O8" si="2">N9+N10</f>
        <v>3723215.5131900003</v>
      </c>
      <c r="O8" s="144">
        <f t="shared" si="2"/>
        <v>4472.7088500000136</v>
      </c>
      <c r="P8" s="144">
        <f>P9+P10</f>
        <v>2823963.7779600001</v>
      </c>
      <c r="Q8" s="25">
        <f>Q9+Q10</f>
        <v>-39865.4</v>
      </c>
      <c r="R8" s="25">
        <f>R9+R10</f>
        <v>2784098.3779599997</v>
      </c>
      <c r="S8" s="25">
        <f t="shared" ref="S8:U8" si="3">S9+S10</f>
        <v>6144102.7632899992</v>
      </c>
      <c r="T8" s="25">
        <f t="shared" si="3"/>
        <v>88289.12000000001</v>
      </c>
      <c r="U8" s="25">
        <f t="shared" si="3"/>
        <v>-35724.656710000054</v>
      </c>
      <c r="V8" s="26"/>
    </row>
    <row r="9" spans="1:22" s="32" customFormat="1" x14ac:dyDescent="0.25">
      <c r="A9" s="28" t="s">
        <v>24</v>
      </c>
      <c r="B9" s="29" t="s">
        <v>25</v>
      </c>
      <c r="C9" s="30"/>
      <c r="D9" s="31">
        <f t="shared" ref="D9:L9" si="4">D18+D69+D96+D100+D117+D126+D129+D141+D156+D151</f>
        <v>6990467.6999999993</v>
      </c>
      <c r="E9" s="31">
        <f t="shared" si="4"/>
        <v>6990467.6999999993</v>
      </c>
      <c r="F9" s="31">
        <f t="shared" si="4"/>
        <v>5408694.7999999989</v>
      </c>
      <c r="G9" s="31">
        <f t="shared" si="4"/>
        <v>5408694.7999999989</v>
      </c>
      <c r="H9" s="31">
        <f t="shared" si="4"/>
        <v>5408694.7999999989</v>
      </c>
      <c r="I9" s="31">
        <f t="shared" si="4"/>
        <v>5408694.7999999989</v>
      </c>
      <c r="J9" s="31">
        <f t="shared" si="4"/>
        <v>5408694.7999999989</v>
      </c>
      <c r="K9" s="31">
        <f t="shared" si="4"/>
        <v>5408694.7999999989</v>
      </c>
      <c r="L9" s="147">
        <f t="shared" si="4"/>
        <v>2988748.6346499999</v>
      </c>
      <c r="M9" s="147">
        <f t="shared" si="1"/>
        <v>55.258223012509418</v>
      </c>
      <c r="N9" s="147">
        <f t="shared" ref="N9:P9" si="5">N18+N69+N96+N100+N117+N126+N129+N141+N156+N151</f>
        <v>2984275.9258000003</v>
      </c>
      <c r="O9" s="147">
        <f t="shared" si="5"/>
        <v>4472.7088500000136</v>
      </c>
      <c r="P9" s="147">
        <f t="shared" si="5"/>
        <v>2419946.1653499999</v>
      </c>
      <c r="Q9" s="31">
        <f t="shared" ref="Q9:S9" si="6">Q18+Q69+Q96+Q100+Q117+Q126+Q129+Q141+Q156+Q151</f>
        <v>-39865.4</v>
      </c>
      <c r="R9" s="31">
        <f t="shared" si="6"/>
        <v>2380080.7653499995</v>
      </c>
      <c r="S9" s="31">
        <f t="shared" si="6"/>
        <v>5017746.2058199989</v>
      </c>
      <c r="T9" s="31">
        <f>T18+T69+T96+T100+T117+T126+T129+T141+T156+T151</f>
        <v>88289.12000000001</v>
      </c>
      <c r="U9" s="31">
        <f>U18+U69+U96+U100+U117+U126+U129+U141+U156+U151</f>
        <v>-32822.614180000055</v>
      </c>
      <c r="V9" s="26"/>
    </row>
    <row r="10" spans="1:22" s="32" customFormat="1" x14ac:dyDescent="0.25">
      <c r="A10" s="28" t="s">
        <v>26</v>
      </c>
      <c r="B10" s="29" t="s">
        <v>27</v>
      </c>
      <c r="C10" s="30"/>
      <c r="D10" s="31">
        <f t="shared" ref="D10:L10" si="7">D19+D70+D101+D142</f>
        <v>1051912.7</v>
      </c>
      <c r="E10" s="31">
        <f t="shared" si="7"/>
        <v>1051912.7</v>
      </c>
      <c r="F10" s="31">
        <f t="shared" si="7"/>
        <v>1051912.7</v>
      </c>
      <c r="G10" s="31">
        <f t="shared" si="7"/>
        <v>1142957.2000000002</v>
      </c>
      <c r="H10" s="31">
        <f t="shared" si="7"/>
        <v>1142957.2000000002</v>
      </c>
      <c r="I10" s="31">
        <f t="shared" si="7"/>
        <v>1142957.2000000002</v>
      </c>
      <c r="J10" s="31">
        <f t="shared" si="7"/>
        <v>1142957.2000000002</v>
      </c>
      <c r="K10" s="31">
        <f t="shared" si="7"/>
        <v>1142957.2000000002</v>
      </c>
      <c r="L10" s="147">
        <f t="shared" si="7"/>
        <v>738939.58738999988</v>
      </c>
      <c r="M10" s="147">
        <f t="shared" si="1"/>
        <v>64.651553653102638</v>
      </c>
      <c r="N10" s="147">
        <f t="shared" ref="N10:P10" si="8">N19+N70+N101+N142</f>
        <v>738939.58739</v>
      </c>
      <c r="O10" s="147">
        <f t="shared" si="8"/>
        <v>0</v>
      </c>
      <c r="P10" s="147">
        <f t="shared" si="8"/>
        <v>404017.61261000007</v>
      </c>
      <c r="Q10" s="31">
        <f t="shared" ref="Q10:S10" si="9">Q19+Q70+Q101+Q142</f>
        <v>0</v>
      </c>
      <c r="R10" s="31">
        <f t="shared" si="9"/>
        <v>404017.61261000007</v>
      </c>
      <c r="S10" s="31">
        <f t="shared" si="9"/>
        <v>1126356.5574700001</v>
      </c>
      <c r="T10" s="31">
        <f>T19+T101+T142</f>
        <v>0</v>
      </c>
      <c r="U10" s="31">
        <f>U19+U101+U142</f>
        <v>-2902.0425299999988</v>
      </c>
      <c r="V10" s="26"/>
    </row>
    <row r="11" spans="1:22" s="32" customFormat="1" x14ac:dyDescent="0.25">
      <c r="A11" s="33" t="s">
        <v>28</v>
      </c>
      <c r="B11" s="29"/>
      <c r="C11" s="30"/>
      <c r="D11" s="34">
        <f>D12+D13</f>
        <v>6169759.9999999991</v>
      </c>
      <c r="E11" s="34">
        <f t="shared" ref="E11:L11" si="10">E12+E13</f>
        <v>6169759.9999999991</v>
      </c>
      <c r="F11" s="34">
        <f t="shared" si="10"/>
        <v>6023460.5999999987</v>
      </c>
      <c r="G11" s="34">
        <f t="shared" si="10"/>
        <v>6114505.0999999987</v>
      </c>
      <c r="H11" s="34">
        <f t="shared" si="10"/>
        <v>6114505.0999999987</v>
      </c>
      <c r="I11" s="34">
        <f t="shared" si="10"/>
        <v>6114505.0999999987</v>
      </c>
      <c r="J11" s="34">
        <f t="shared" si="10"/>
        <v>6114505.0999999987</v>
      </c>
      <c r="K11" s="34">
        <f t="shared" si="10"/>
        <v>6114505.0999999987</v>
      </c>
      <c r="L11" s="145">
        <f t="shared" si="10"/>
        <v>3563119.8761700001</v>
      </c>
      <c r="M11" s="145">
        <f t="shared" si="1"/>
        <v>58.273234184889318</v>
      </c>
      <c r="N11" s="145">
        <f t="shared" ref="N11:P11" si="11">N12+N13</f>
        <v>3559774.9260800001</v>
      </c>
      <c r="O11" s="145">
        <f t="shared" si="11"/>
        <v>3344.9500900000021</v>
      </c>
      <c r="P11" s="145">
        <f t="shared" si="11"/>
        <v>2551385.22383</v>
      </c>
      <c r="Q11" s="34">
        <f t="shared" ref="Q11:U11" si="12">Q12+Q13</f>
        <v>-39865.4</v>
      </c>
      <c r="R11" s="34">
        <f t="shared" si="12"/>
        <v>2511519.8238300001</v>
      </c>
      <c r="S11" s="34">
        <f t="shared" si="12"/>
        <v>6144102.7632899992</v>
      </c>
      <c r="T11" s="34">
        <f t="shared" si="12"/>
        <v>88289.12000000001</v>
      </c>
      <c r="U11" s="34">
        <f t="shared" si="12"/>
        <v>-35724.656710000054</v>
      </c>
      <c r="V11" s="26"/>
    </row>
    <row r="12" spans="1:22" s="32" customFormat="1" x14ac:dyDescent="0.25">
      <c r="A12" s="35" t="s">
        <v>24</v>
      </c>
      <c r="B12" s="29"/>
      <c r="C12" s="30"/>
      <c r="D12" s="31">
        <f t="shared" ref="D12:L12" si="13">D18+D69+D96+D100+D117+D126+D129+D141+D151</f>
        <v>5117847.2999999989</v>
      </c>
      <c r="E12" s="31">
        <f t="shared" si="13"/>
        <v>5117847.2999999989</v>
      </c>
      <c r="F12" s="31">
        <f t="shared" si="13"/>
        <v>4971547.8999999985</v>
      </c>
      <c r="G12" s="31">
        <f t="shared" si="13"/>
        <v>4971547.8999999985</v>
      </c>
      <c r="H12" s="31">
        <f t="shared" si="13"/>
        <v>4971547.8999999985</v>
      </c>
      <c r="I12" s="31">
        <f t="shared" si="13"/>
        <v>4971547.8999999985</v>
      </c>
      <c r="J12" s="31">
        <f t="shared" si="13"/>
        <v>4971547.8999999985</v>
      </c>
      <c r="K12" s="31">
        <f t="shared" si="13"/>
        <v>4971547.8999999985</v>
      </c>
      <c r="L12" s="147">
        <f t="shared" si="13"/>
        <v>2824180.2887800001</v>
      </c>
      <c r="M12" s="147">
        <f t="shared" si="1"/>
        <v>56.806860671703497</v>
      </c>
      <c r="N12" s="147">
        <f t="shared" ref="N12:P12" si="14">N18+N69+N96+N100+N117+N126+N129+N141+N151</f>
        <v>2820835.3386900001</v>
      </c>
      <c r="O12" s="147">
        <f t="shared" si="14"/>
        <v>3344.9500900000021</v>
      </c>
      <c r="P12" s="147">
        <f t="shared" si="14"/>
        <v>2147367.6112199998</v>
      </c>
      <c r="Q12" s="31">
        <f t="shared" ref="Q12:U12" si="15">Q18+Q69+Q96+Q100+Q117+Q126+Q129+Q141+Q151</f>
        <v>-39865.4</v>
      </c>
      <c r="R12" s="31">
        <f t="shared" si="15"/>
        <v>2107502.2112199999</v>
      </c>
      <c r="S12" s="31">
        <f t="shared" si="15"/>
        <v>5017746.2058199989</v>
      </c>
      <c r="T12" s="31">
        <f t="shared" si="15"/>
        <v>88289.12000000001</v>
      </c>
      <c r="U12" s="31">
        <f t="shared" si="15"/>
        <v>-32822.614180000055</v>
      </c>
      <c r="V12" s="26"/>
    </row>
    <row r="13" spans="1:22" s="32" customFormat="1" x14ac:dyDescent="0.25">
      <c r="A13" s="35" t="s">
        <v>26</v>
      </c>
      <c r="B13" s="29"/>
      <c r="C13" s="30"/>
      <c r="D13" s="31">
        <f t="shared" ref="D13:L13" si="16">D19+D70+D101+D142</f>
        <v>1051912.7</v>
      </c>
      <c r="E13" s="31">
        <f t="shared" si="16"/>
        <v>1051912.7</v>
      </c>
      <c r="F13" s="31">
        <f t="shared" si="16"/>
        <v>1051912.7</v>
      </c>
      <c r="G13" s="31">
        <f t="shared" si="16"/>
        <v>1142957.2000000002</v>
      </c>
      <c r="H13" s="31">
        <f t="shared" si="16"/>
        <v>1142957.2000000002</v>
      </c>
      <c r="I13" s="31">
        <f t="shared" si="16"/>
        <v>1142957.2000000002</v>
      </c>
      <c r="J13" s="31">
        <f t="shared" si="16"/>
        <v>1142957.2000000002</v>
      </c>
      <c r="K13" s="31">
        <f t="shared" si="16"/>
        <v>1142957.2000000002</v>
      </c>
      <c r="L13" s="147">
        <f t="shared" si="16"/>
        <v>738939.58738999988</v>
      </c>
      <c r="M13" s="147">
        <f t="shared" si="1"/>
        <v>64.651553653102638</v>
      </c>
      <c r="N13" s="147">
        <f t="shared" ref="N13:P13" si="17">N19+N70+N101+N142</f>
        <v>738939.58739</v>
      </c>
      <c r="O13" s="147">
        <f t="shared" si="17"/>
        <v>0</v>
      </c>
      <c r="P13" s="147">
        <f t="shared" si="17"/>
        <v>404017.61261000007</v>
      </c>
      <c r="Q13" s="31">
        <f t="shared" ref="Q13:S13" si="18">Q19+Q70+Q101+Q142</f>
        <v>0</v>
      </c>
      <c r="R13" s="31">
        <f t="shared" si="18"/>
        <v>404017.61261000007</v>
      </c>
      <c r="S13" s="31">
        <f t="shared" si="18"/>
        <v>1126356.5574700001</v>
      </c>
      <c r="T13" s="31">
        <f>T19+T101+T142</f>
        <v>0</v>
      </c>
      <c r="U13" s="31">
        <f>U19+U101+U142</f>
        <v>-2902.0425299999988</v>
      </c>
      <c r="V13" s="26"/>
    </row>
    <row r="14" spans="1:22" s="38" customFormat="1" ht="20.25" hidden="1" customHeight="1" x14ac:dyDescent="0.25">
      <c r="A14" s="33" t="s">
        <v>29</v>
      </c>
      <c r="B14" s="36" t="s">
        <v>30</v>
      </c>
      <c r="C14" s="37"/>
      <c r="D14" s="34">
        <f>D15+D16</f>
        <v>5438050.2999999998</v>
      </c>
      <c r="E14" s="34">
        <f t="shared" ref="E14:L14" si="19">E15+E16</f>
        <v>5438050.2999999998</v>
      </c>
      <c r="F14" s="34">
        <f t="shared" si="19"/>
        <v>5432543.4999999991</v>
      </c>
      <c r="G14" s="34">
        <f t="shared" si="19"/>
        <v>5523588</v>
      </c>
      <c r="H14" s="34">
        <f t="shared" si="19"/>
        <v>5523588</v>
      </c>
      <c r="I14" s="34">
        <f t="shared" si="19"/>
        <v>5523588</v>
      </c>
      <c r="J14" s="34">
        <f t="shared" si="19"/>
        <v>5523588</v>
      </c>
      <c r="K14" s="34">
        <f t="shared" si="19"/>
        <v>5523588</v>
      </c>
      <c r="L14" s="145">
        <f t="shared" si="19"/>
        <v>3108681.0583799998</v>
      </c>
      <c r="M14" s="145">
        <f t="shared" si="1"/>
        <v>56.280103772765088</v>
      </c>
      <c r="N14" s="145">
        <f t="shared" ref="N14:P14" si="20">N15+N16</f>
        <v>3105401.1082899999</v>
      </c>
      <c r="O14" s="145">
        <f t="shared" si="20"/>
        <v>3279.9500900000021</v>
      </c>
      <c r="P14" s="145">
        <f t="shared" si="20"/>
        <v>2414906.9416199997</v>
      </c>
      <c r="Q14" s="34">
        <f t="shared" ref="Q14:U14" si="21">Q15+Q16</f>
        <v>-39865.4</v>
      </c>
      <c r="R14" s="34">
        <f t="shared" si="21"/>
        <v>2375041.5416199998</v>
      </c>
      <c r="S14" s="34">
        <f t="shared" si="21"/>
        <v>5553185.6632899996</v>
      </c>
      <c r="T14" s="34">
        <f t="shared" si="21"/>
        <v>88289.12000000001</v>
      </c>
      <c r="U14" s="34">
        <f t="shared" si="21"/>
        <v>-15144.856710000058</v>
      </c>
      <c r="V14" s="26"/>
    </row>
    <row r="15" spans="1:22" s="32" customFormat="1" ht="21.75" hidden="1" customHeight="1" x14ac:dyDescent="0.25">
      <c r="A15" s="35" t="s">
        <v>24</v>
      </c>
      <c r="B15" s="39" t="s">
        <v>30</v>
      </c>
      <c r="C15" s="30"/>
      <c r="D15" s="31">
        <f t="shared" ref="D15:K15" si="22">D18+D69+D100+D117+D126</f>
        <v>4406190.7</v>
      </c>
      <c r="E15" s="31">
        <f t="shared" si="22"/>
        <v>4406190.7</v>
      </c>
      <c r="F15" s="31">
        <f t="shared" si="22"/>
        <v>4400683.8999999994</v>
      </c>
      <c r="G15" s="31">
        <f t="shared" si="22"/>
        <v>4400683.8999999994</v>
      </c>
      <c r="H15" s="31">
        <f t="shared" si="22"/>
        <v>4400683.8999999994</v>
      </c>
      <c r="I15" s="31">
        <f t="shared" si="22"/>
        <v>4400683.8999999994</v>
      </c>
      <c r="J15" s="31">
        <f t="shared" si="22"/>
        <v>4400683.8999999994</v>
      </c>
      <c r="K15" s="31">
        <f t="shared" si="22"/>
        <v>4400683.8999999994</v>
      </c>
      <c r="L15" s="147">
        <f>L18+L69+L96+L100+L117+L126</f>
        <v>2388788.8437399999</v>
      </c>
      <c r="M15" s="147">
        <f t="shared" si="1"/>
        <v>54.282218355651501</v>
      </c>
      <c r="N15" s="147">
        <f>N18+N69+N96+N100+N117+N126</f>
        <v>2385508.89365</v>
      </c>
      <c r="O15" s="147">
        <f>O18+O69+O96+O100+O117+O126</f>
        <v>3279.9500900000021</v>
      </c>
      <c r="P15" s="147">
        <f>P18+P69+P100+P117+P126</f>
        <v>2011895.0562599998</v>
      </c>
      <c r="Q15" s="31">
        <f>Q18+Q69+Q100+Q117+Q126</f>
        <v>-39865.4</v>
      </c>
      <c r="R15" s="31">
        <f>R18+R69+R100+R117+R126</f>
        <v>1972029.6562599998</v>
      </c>
      <c r="S15" s="31">
        <f>S18+S69+S100+S117+S126</f>
        <v>4446882.2058199998</v>
      </c>
      <c r="T15" s="31">
        <f>T18+T100+T117+T126</f>
        <v>88289.12000000001</v>
      </c>
      <c r="U15" s="31">
        <f>U18+U100+U117+U126</f>
        <v>-12242.814180000059</v>
      </c>
      <c r="V15" s="40"/>
    </row>
    <row r="16" spans="1:22" s="32" customFormat="1" ht="18" hidden="1" customHeight="1" x14ac:dyDescent="0.25">
      <c r="A16" s="35" t="s">
        <v>26</v>
      </c>
      <c r="B16" s="39" t="s">
        <v>30</v>
      </c>
      <c r="C16" s="30"/>
      <c r="D16" s="31">
        <f t="shared" ref="D16:L16" si="23">D19+D70+D101</f>
        <v>1031859.6</v>
      </c>
      <c r="E16" s="31">
        <f t="shared" si="23"/>
        <v>1031859.6</v>
      </c>
      <c r="F16" s="31">
        <f t="shared" si="23"/>
        <v>1031859.6</v>
      </c>
      <c r="G16" s="31">
        <f t="shared" si="23"/>
        <v>1122904.1000000001</v>
      </c>
      <c r="H16" s="31">
        <f t="shared" si="23"/>
        <v>1122904.1000000001</v>
      </c>
      <c r="I16" s="31">
        <f t="shared" si="23"/>
        <v>1122904.1000000001</v>
      </c>
      <c r="J16" s="31">
        <f t="shared" si="23"/>
        <v>1122904.1000000001</v>
      </c>
      <c r="K16" s="31">
        <f t="shared" si="23"/>
        <v>1122904.1000000001</v>
      </c>
      <c r="L16" s="147">
        <f t="shared" si="23"/>
        <v>719892.2146399999</v>
      </c>
      <c r="M16" s="147">
        <f t="shared" si="1"/>
        <v>64.109857167677973</v>
      </c>
      <c r="N16" s="147">
        <f t="shared" ref="N16:P16" si="24">N19+N70+N101</f>
        <v>719892.21464000002</v>
      </c>
      <c r="O16" s="147">
        <f t="shared" si="24"/>
        <v>0</v>
      </c>
      <c r="P16" s="147">
        <f t="shared" si="24"/>
        <v>403011.88536000007</v>
      </c>
      <c r="Q16" s="31">
        <f t="shared" ref="Q16:S16" si="25">Q19+Q70+Q101</f>
        <v>0</v>
      </c>
      <c r="R16" s="31">
        <f t="shared" si="25"/>
        <v>403011.88536000007</v>
      </c>
      <c r="S16" s="31">
        <f t="shared" si="25"/>
        <v>1106303.45747</v>
      </c>
      <c r="T16" s="31">
        <f>T19+T101</f>
        <v>0</v>
      </c>
      <c r="U16" s="31">
        <f>U19+U101</f>
        <v>-2902.0425299999988</v>
      </c>
      <c r="V16" s="40"/>
    </row>
    <row r="17" spans="1:23" s="45" customFormat="1" x14ac:dyDescent="0.25">
      <c r="A17" s="41" t="s">
        <v>232</v>
      </c>
      <c r="B17" s="42" t="s">
        <v>31</v>
      </c>
      <c r="C17" s="43">
        <f>SUM(C20:C67)</f>
        <v>0</v>
      </c>
      <c r="D17" s="43">
        <f>D18+D19</f>
        <v>3087612.3999999994</v>
      </c>
      <c r="E17" s="43">
        <f t="shared" ref="E17:U17" si="26">E18+E19</f>
        <v>3087612.3999999994</v>
      </c>
      <c r="F17" s="43">
        <f t="shared" si="26"/>
        <v>3069637.8999999994</v>
      </c>
      <c r="G17" s="43">
        <f t="shared" si="26"/>
        <v>3069637.8999999994</v>
      </c>
      <c r="H17" s="43">
        <f t="shared" si="26"/>
        <v>3069637.8999999994</v>
      </c>
      <c r="I17" s="43">
        <f t="shared" si="26"/>
        <v>3069637.8999999994</v>
      </c>
      <c r="J17" s="43">
        <f t="shared" si="26"/>
        <v>3069637.8999999994</v>
      </c>
      <c r="K17" s="43">
        <f t="shared" si="26"/>
        <v>3069637.8999999994</v>
      </c>
      <c r="L17" s="146">
        <f t="shared" si="26"/>
        <v>2035972.7245999998</v>
      </c>
      <c r="M17" s="146">
        <f t="shared" si="1"/>
        <v>66.326152820826195</v>
      </c>
      <c r="N17" s="146">
        <f t="shared" ref="N17" si="27">N18+N19</f>
        <v>2033032.2865999998</v>
      </c>
      <c r="O17" s="146">
        <f t="shared" si="26"/>
        <v>2940.4379999999983</v>
      </c>
      <c r="P17" s="146">
        <f>P18+P19</f>
        <v>1033665.1753999998</v>
      </c>
      <c r="Q17" s="43">
        <f>Q18+Q19</f>
        <v>0</v>
      </c>
      <c r="R17" s="43">
        <f>R18+R19</f>
        <v>1033665.1753999998</v>
      </c>
      <c r="S17" s="43">
        <f t="shared" si="26"/>
        <v>3052817.3199999994</v>
      </c>
      <c r="T17" s="43">
        <f t="shared" si="26"/>
        <v>6380.8200000000015</v>
      </c>
      <c r="U17" s="43">
        <f t="shared" si="26"/>
        <v>-4430</v>
      </c>
      <c r="V17" s="44"/>
    </row>
    <row r="18" spans="1:23" s="48" customFormat="1" x14ac:dyDescent="0.25">
      <c r="A18" s="35" t="s">
        <v>24</v>
      </c>
      <c r="B18" s="46" t="s">
        <v>25</v>
      </c>
      <c r="C18" s="31"/>
      <c r="D18" s="31">
        <f t="shared" ref="D18:L18" si="28">SUMIF($B$20:$B$67,"=01",D20:D67)</f>
        <v>2331594.4999999995</v>
      </c>
      <c r="E18" s="31">
        <f t="shared" si="28"/>
        <v>2331594.4999999995</v>
      </c>
      <c r="F18" s="31">
        <f t="shared" si="28"/>
        <v>2313619.9999999995</v>
      </c>
      <c r="G18" s="31">
        <f t="shared" si="28"/>
        <v>2313619.9999999995</v>
      </c>
      <c r="H18" s="31">
        <f t="shared" si="28"/>
        <v>2313619.9999999995</v>
      </c>
      <c r="I18" s="31">
        <f t="shared" si="28"/>
        <v>2313619.9999999995</v>
      </c>
      <c r="J18" s="31">
        <f t="shared" si="28"/>
        <v>2313619.9999999995</v>
      </c>
      <c r="K18" s="31">
        <f t="shared" si="28"/>
        <v>2313619.9999999995</v>
      </c>
      <c r="L18" s="147">
        <f t="shared" si="28"/>
        <v>1432888.5168199998</v>
      </c>
      <c r="M18" s="147">
        <f t="shared" si="1"/>
        <v>61.932751135450083</v>
      </c>
      <c r="N18" s="147">
        <f t="shared" ref="N18:P18" si="29">SUMIF($B$20:$B$67,"=01",N20:N67)</f>
        <v>1429948.0788199997</v>
      </c>
      <c r="O18" s="147">
        <f t="shared" si="29"/>
        <v>2940.4379999999983</v>
      </c>
      <c r="P18" s="147">
        <f t="shared" si="29"/>
        <v>880731.48317999975</v>
      </c>
      <c r="Q18" s="31">
        <f t="shared" ref="Q18:U18" si="30">SUMIF($B$20:$B$67,"=01",Q20:Q67)</f>
        <v>0</v>
      </c>
      <c r="R18" s="31">
        <f t="shared" si="30"/>
        <v>880731.48317999975</v>
      </c>
      <c r="S18" s="31">
        <f t="shared" si="30"/>
        <v>2310498.0199999996</v>
      </c>
      <c r="T18" s="31">
        <f t="shared" si="30"/>
        <v>6380.8200000000015</v>
      </c>
      <c r="U18" s="31">
        <f t="shared" si="30"/>
        <v>-4430</v>
      </c>
      <c r="V18" s="47"/>
    </row>
    <row r="19" spans="1:23" s="48" customFormat="1" x14ac:dyDescent="0.25">
      <c r="A19" s="35" t="s">
        <v>26</v>
      </c>
      <c r="B19" s="46" t="s">
        <v>27</v>
      </c>
      <c r="C19" s="31"/>
      <c r="D19" s="31">
        <f t="shared" ref="D19:L19" si="31">SUMIF($B$20:$B$67,"=02",D20:D67)</f>
        <v>756017.9</v>
      </c>
      <c r="E19" s="31">
        <f t="shared" si="31"/>
        <v>756017.9</v>
      </c>
      <c r="F19" s="31">
        <f t="shared" si="31"/>
        <v>756017.9</v>
      </c>
      <c r="G19" s="31">
        <f t="shared" si="31"/>
        <v>756017.9</v>
      </c>
      <c r="H19" s="31">
        <f t="shared" si="31"/>
        <v>756017.9</v>
      </c>
      <c r="I19" s="31">
        <f t="shared" si="31"/>
        <v>756017.9</v>
      </c>
      <c r="J19" s="31">
        <f t="shared" si="31"/>
        <v>756017.9</v>
      </c>
      <c r="K19" s="31">
        <f t="shared" si="31"/>
        <v>756017.9</v>
      </c>
      <c r="L19" s="147">
        <f t="shared" si="31"/>
        <v>603084.20777999994</v>
      </c>
      <c r="M19" s="147">
        <f t="shared" si="1"/>
        <v>79.771154595678212</v>
      </c>
      <c r="N19" s="147">
        <f t="shared" ref="N19:P19" si="32">SUMIF($B$20:$B$67,"=02",N20:N67)</f>
        <v>603084.20778000006</v>
      </c>
      <c r="O19" s="147">
        <f t="shared" si="32"/>
        <v>0</v>
      </c>
      <c r="P19" s="147">
        <f t="shared" si="32"/>
        <v>152933.69222000006</v>
      </c>
      <c r="Q19" s="31">
        <f t="shared" ref="Q19:U19" si="33">SUMIF($B$20:$B$67,"=02",Q20:Q67)</f>
        <v>0</v>
      </c>
      <c r="R19" s="31">
        <f t="shared" si="33"/>
        <v>152933.69222000006</v>
      </c>
      <c r="S19" s="31">
        <f t="shared" si="33"/>
        <v>742319.3</v>
      </c>
      <c r="T19" s="31">
        <f t="shared" si="33"/>
        <v>0</v>
      </c>
      <c r="U19" s="31">
        <f t="shared" si="33"/>
        <v>0</v>
      </c>
      <c r="V19" s="47"/>
    </row>
    <row r="20" spans="1:23" ht="47.25" x14ac:dyDescent="0.25">
      <c r="A20" s="49" t="s">
        <v>32</v>
      </c>
      <c r="B20" s="50" t="s">
        <v>25</v>
      </c>
      <c r="C20" s="51" t="s">
        <v>33</v>
      </c>
      <c r="D20" s="52">
        <v>38826.5</v>
      </c>
      <c r="E20" s="53">
        <f>D20</f>
        <v>38826.5</v>
      </c>
      <c r="F20" s="53">
        <f t="shared" ref="F20:K20" si="34">E20</f>
        <v>38826.5</v>
      </c>
      <c r="G20" s="53">
        <f t="shared" si="34"/>
        <v>38826.5</v>
      </c>
      <c r="H20" s="53">
        <f t="shared" si="34"/>
        <v>38826.5</v>
      </c>
      <c r="I20" s="53">
        <f t="shared" si="34"/>
        <v>38826.5</v>
      </c>
      <c r="J20" s="53">
        <f t="shared" si="34"/>
        <v>38826.5</v>
      </c>
      <c r="K20" s="53">
        <f t="shared" si="34"/>
        <v>38826.5</v>
      </c>
      <c r="L20" s="132">
        <v>33221.028310000002</v>
      </c>
      <c r="M20" s="132">
        <v>85.562768495743896</v>
      </c>
      <c r="N20" s="132">
        <v>33221.028310000002</v>
      </c>
      <c r="O20" s="132">
        <v>0</v>
      </c>
      <c r="P20" s="132">
        <v>5605.4716899999985</v>
      </c>
      <c r="Q20" s="54"/>
      <c r="R20" s="54">
        <f>P20+Q20</f>
        <v>5605.4716899999985</v>
      </c>
      <c r="S20" s="55">
        <f>J20</f>
        <v>38826.5</v>
      </c>
      <c r="T20" s="56" t="str">
        <f t="shared" ref="T20:T58" si="35">IF(S20-K20&gt;0,S20-K20,"")</f>
        <v/>
      </c>
      <c r="U20" s="56" t="str">
        <f t="shared" ref="U20:U58" si="36">IF(S20-K20&lt;0,S20-K20,"")</f>
        <v/>
      </c>
      <c r="V20" s="21"/>
      <c r="W20" s="142">
        <f>G20-L20-P20</f>
        <v>0</v>
      </c>
    </row>
    <row r="21" spans="1:23" ht="31.5" x14ac:dyDescent="0.25">
      <c r="A21" s="49" t="s">
        <v>34</v>
      </c>
      <c r="B21" s="50" t="s">
        <v>25</v>
      </c>
      <c r="C21" s="51" t="s">
        <v>35</v>
      </c>
      <c r="D21" s="52">
        <v>325020</v>
      </c>
      <c r="E21" s="53">
        <f t="shared" ref="E21:K36" si="37">D21</f>
        <v>325020</v>
      </c>
      <c r="F21" s="53">
        <f t="shared" si="37"/>
        <v>325020</v>
      </c>
      <c r="G21" s="53">
        <f t="shared" si="37"/>
        <v>325020</v>
      </c>
      <c r="H21" s="53">
        <f t="shared" si="37"/>
        <v>325020</v>
      </c>
      <c r="I21" s="53">
        <f t="shared" si="37"/>
        <v>325020</v>
      </c>
      <c r="J21" s="53">
        <f t="shared" si="37"/>
        <v>325020</v>
      </c>
      <c r="K21" s="53">
        <f t="shared" si="37"/>
        <v>325020</v>
      </c>
      <c r="L21" s="132">
        <v>305247.93727999995</v>
      </c>
      <c r="M21" s="132">
        <v>93.916662753061331</v>
      </c>
      <c r="N21" s="132">
        <v>305247.93728000001</v>
      </c>
      <c r="O21" s="132">
        <v>0</v>
      </c>
      <c r="P21" s="132">
        <v>19772.062720000045</v>
      </c>
      <c r="Q21" s="54"/>
      <c r="R21" s="54">
        <f t="shared" ref="R21:R84" si="38">P21+Q21</f>
        <v>19772.062720000045</v>
      </c>
      <c r="S21" s="55">
        <f t="shared" ref="S21:S58" si="39">J21</f>
        <v>325020</v>
      </c>
      <c r="T21" s="56" t="str">
        <f t="shared" si="35"/>
        <v/>
      </c>
      <c r="U21" s="56" t="str">
        <f t="shared" si="36"/>
        <v/>
      </c>
      <c r="V21" s="21"/>
      <c r="W21" s="142">
        <f t="shared" ref="W21:W84" si="40">G21-L21-P21</f>
        <v>0</v>
      </c>
    </row>
    <row r="22" spans="1:23" ht="31.5" customHeight="1" x14ac:dyDescent="0.25">
      <c r="A22" s="57" t="s">
        <v>36</v>
      </c>
      <c r="B22" s="50" t="s">
        <v>25</v>
      </c>
      <c r="C22" s="51" t="s">
        <v>37</v>
      </c>
      <c r="D22" s="52">
        <v>5140.2</v>
      </c>
      <c r="E22" s="53">
        <f t="shared" si="37"/>
        <v>5140.2</v>
      </c>
      <c r="F22" s="58">
        <f>E22-5140.2</f>
        <v>0</v>
      </c>
      <c r="G22" s="53">
        <f t="shared" si="37"/>
        <v>0</v>
      </c>
      <c r="H22" s="53">
        <f t="shared" si="37"/>
        <v>0</v>
      </c>
      <c r="I22" s="53">
        <f t="shared" si="37"/>
        <v>0</v>
      </c>
      <c r="J22" s="53">
        <f t="shared" si="37"/>
        <v>0</v>
      </c>
      <c r="K22" s="53">
        <f t="shared" si="37"/>
        <v>0</v>
      </c>
      <c r="L22" s="132">
        <v>0</v>
      </c>
      <c r="M22" s="132"/>
      <c r="N22" s="132"/>
      <c r="O22" s="132">
        <v>0</v>
      </c>
      <c r="P22" s="132">
        <v>0</v>
      </c>
      <c r="Q22" s="54"/>
      <c r="R22" s="54">
        <f t="shared" si="38"/>
        <v>0</v>
      </c>
      <c r="S22" s="55">
        <v>0</v>
      </c>
      <c r="T22" s="56" t="str">
        <f t="shared" si="35"/>
        <v/>
      </c>
      <c r="U22" s="56" t="str">
        <f t="shared" si="36"/>
        <v/>
      </c>
      <c r="V22" s="21"/>
      <c r="W22" s="142">
        <f t="shared" si="40"/>
        <v>0</v>
      </c>
    </row>
    <row r="23" spans="1:23" ht="47.25" x14ac:dyDescent="0.25">
      <c r="A23" s="49" t="s">
        <v>38</v>
      </c>
      <c r="B23" s="50" t="s">
        <v>25</v>
      </c>
      <c r="C23" s="51" t="s">
        <v>39</v>
      </c>
      <c r="D23" s="52">
        <v>235973.6</v>
      </c>
      <c r="E23" s="53">
        <f t="shared" si="37"/>
        <v>235973.6</v>
      </c>
      <c r="F23" s="53">
        <f t="shared" si="37"/>
        <v>235973.6</v>
      </c>
      <c r="G23" s="53">
        <f t="shared" si="37"/>
        <v>235973.6</v>
      </c>
      <c r="H23" s="53">
        <f t="shared" si="37"/>
        <v>235973.6</v>
      </c>
      <c r="I23" s="53">
        <f t="shared" si="37"/>
        <v>235973.6</v>
      </c>
      <c r="J23" s="53">
        <f t="shared" si="37"/>
        <v>235973.6</v>
      </c>
      <c r="K23" s="53">
        <f t="shared" si="37"/>
        <v>235973.6</v>
      </c>
      <c r="L23" s="132">
        <v>205604.55862999998</v>
      </c>
      <c r="M23" s="132">
        <v>87.130322472513868</v>
      </c>
      <c r="N23" s="132">
        <v>205604.55863000001</v>
      </c>
      <c r="O23" s="132">
        <v>0</v>
      </c>
      <c r="P23" s="132">
        <v>30369.041370000021</v>
      </c>
      <c r="Q23" s="54"/>
      <c r="R23" s="54">
        <f t="shared" si="38"/>
        <v>30369.041370000021</v>
      </c>
      <c r="S23" s="55">
        <f t="shared" si="39"/>
        <v>235973.6</v>
      </c>
      <c r="T23" s="56" t="str">
        <f t="shared" si="35"/>
        <v/>
      </c>
      <c r="U23" s="56" t="str">
        <f t="shared" si="36"/>
        <v/>
      </c>
      <c r="V23" s="21"/>
      <c r="W23" s="142">
        <f t="shared" si="40"/>
        <v>0</v>
      </c>
    </row>
    <row r="24" spans="1:23" ht="47.25" x14ac:dyDescent="0.25">
      <c r="A24" s="49" t="s">
        <v>40</v>
      </c>
      <c r="B24" s="50" t="s">
        <v>25</v>
      </c>
      <c r="C24" s="51" t="s">
        <v>41</v>
      </c>
      <c r="D24" s="52">
        <v>2330</v>
      </c>
      <c r="E24" s="53">
        <f t="shared" si="37"/>
        <v>2330</v>
      </c>
      <c r="F24" s="53">
        <f t="shared" si="37"/>
        <v>2330</v>
      </c>
      <c r="G24" s="53">
        <f t="shared" si="37"/>
        <v>2330</v>
      </c>
      <c r="H24" s="53">
        <f t="shared" si="37"/>
        <v>2330</v>
      </c>
      <c r="I24" s="53">
        <f t="shared" si="37"/>
        <v>2330</v>
      </c>
      <c r="J24" s="53">
        <f t="shared" si="37"/>
        <v>2330</v>
      </c>
      <c r="K24" s="53">
        <f t="shared" si="37"/>
        <v>2330</v>
      </c>
      <c r="L24" s="132">
        <v>0</v>
      </c>
      <c r="M24" s="132"/>
      <c r="N24" s="132"/>
      <c r="O24" s="132">
        <v>0</v>
      </c>
      <c r="P24" s="132">
        <v>2330</v>
      </c>
      <c r="Q24" s="54"/>
      <c r="R24" s="54">
        <f t="shared" si="38"/>
        <v>2330</v>
      </c>
      <c r="S24" s="55">
        <v>0</v>
      </c>
      <c r="T24" s="56" t="str">
        <f t="shared" si="35"/>
        <v/>
      </c>
      <c r="U24" s="56">
        <f t="shared" si="36"/>
        <v>-2330</v>
      </c>
      <c r="V24" s="59"/>
      <c r="W24" s="142">
        <f t="shared" si="40"/>
        <v>0</v>
      </c>
    </row>
    <row r="25" spans="1:23" ht="31.5" x14ac:dyDescent="0.25">
      <c r="A25" s="49" t="s">
        <v>42</v>
      </c>
      <c r="B25" s="50" t="s">
        <v>25</v>
      </c>
      <c r="C25" s="51" t="s">
        <v>43</v>
      </c>
      <c r="D25" s="52">
        <v>1000</v>
      </c>
      <c r="E25" s="53">
        <f t="shared" si="37"/>
        <v>1000</v>
      </c>
      <c r="F25" s="53">
        <f t="shared" si="37"/>
        <v>1000</v>
      </c>
      <c r="G25" s="53">
        <f t="shared" si="37"/>
        <v>1000</v>
      </c>
      <c r="H25" s="53">
        <f t="shared" si="37"/>
        <v>1000</v>
      </c>
      <c r="I25" s="53">
        <f t="shared" si="37"/>
        <v>1000</v>
      </c>
      <c r="J25" s="53">
        <f t="shared" si="37"/>
        <v>1000</v>
      </c>
      <c r="K25" s="53">
        <f t="shared" si="37"/>
        <v>1000</v>
      </c>
      <c r="L25" s="132">
        <v>1000</v>
      </c>
      <c r="M25" s="132">
        <v>100</v>
      </c>
      <c r="N25" s="132">
        <v>1000</v>
      </c>
      <c r="O25" s="132">
        <v>0</v>
      </c>
      <c r="P25" s="132">
        <v>0</v>
      </c>
      <c r="Q25" s="54"/>
      <c r="R25" s="54">
        <f t="shared" si="38"/>
        <v>0</v>
      </c>
      <c r="S25" s="55">
        <f t="shared" si="39"/>
        <v>1000</v>
      </c>
      <c r="T25" s="56" t="str">
        <f t="shared" si="35"/>
        <v/>
      </c>
      <c r="U25" s="56" t="str">
        <f t="shared" si="36"/>
        <v/>
      </c>
      <c r="V25" s="60"/>
      <c r="W25" s="142">
        <f t="shared" si="40"/>
        <v>0</v>
      </c>
    </row>
    <row r="26" spans="1:23" x14ac:dyDescent="0.25">
      <c r="A26" s="61" t="s">
        <v>44</v>
      </c>
      <c r="B26" s="50" t="s">
        <v>25</v>
      </c>
      <c r="C26" s="51" t="s">
        <v>45</v>
      </c>
      <c r="D26" s="52">
        <v>31800</v>
      </c>
      <c r="E26" s="53">
        <f t="shared" si="37"/>
        <v>31800</v>
      </c>
      <c r="F26" s="53">
        <f t="shared" si="37"/>
        <v>31800</v>
      </c>
      <c r="G26" s="53">
        <f t="shared" si="37"/>
        <v>31800</v>
      </c>
      <c r="H26" s="53">
        <f t="shared" si="37"/>
        <v>31800</v>
      </c>
      <c r="I26" s="53">
        <f t="shared" si="37"/>
        <v>31800</v>
      </c>
      <c r="J26" s="53">
        <f t="shared" si="37"/>
        <v>31800</v>
      </c>
      <c r="K26" s="53">
        <f t="shared" si="37"/>
        <v>31800</v>
      </c>
      <c r="L26" s="132">
        <v>14470.471030000001</v>
      </c>
      <c r="M26" s="132">
        <v>45.504625880503148</v>
      </c>
      <c r="N26" s="132">
        <v>14470.471030000001</v>
      </c>
      <c r="O26" s="132">
        <v>0</v>
      </c>
      <c r="P26" s="132">
        <v>17329.528969999999</v>
      </c>
      <c r="Q26" s="54"/>
      <c r="R26" s="54">
        <f t="shared" si="38"/>
        <v>17329.528969999999</v>
      </c>
      <c r="S26" s="55">
        <f t="shared" si="39"/>
        <v>31800</v>
      </c>
      <c r="T26" s="56" t="str">
        <f t="shared" si="35"/>
        <v/>
      </c>
      <c r="U26" s="56" t="str">
        <f t="shared" si="36"/>
        <v/>
      </c>
      <c r="V26" s="21"/>
      <c r="W26" s="142">
        <f t="shared" si="40"/>
        <v>0</v>
      </c>
    </row>
    <row r="27" spans="1:23" ht="31.5" x14ac:dyDescent="0.25">
      <c r="A27" s="57" t="s">
        <v>46</v>
      </c>
      <c r="B27" s="50" t="s">
        <v>25</v>
      </c>
      <c r="C27" s="51" t="s">
        <v>47</v>
      </c>
      <c r="D27" s="52">
        <v>708412.1</v>
      </c>
      <c r="E27" s="53">
        <f t="shared" si="37"/>
        <v>708412.1</v>
      </c>
      <c r="F27" s="53">
        <f t="shared" si="37"/>
        <v>708412.1</v>
      </c>
      <c r="G27" s="53">
        <f t="shared" si="37"/>
        <v>708412.1</v>
      </c>
      <c r="H27" s="53">
        <f t="shared" si="37"/>
        <v>708412.1</v>
      </c>
      <c r="I27" s="53">
        <f t="shared" si="37"/>
        <v>708412.1</v>
      </c>
      <c r="J27" s="53">
        <f t="shared" si="37"/>
        <v>708412.1</v>
      </c>
      <c r="K27" s="53">
        <f t="shared" si="37"/>
        <v>708412.1</v>
      </c>
      <c r="L27" s="132">
        <v>442111.46158000006</v>
      </c>
      <c r="M27" s="132">
        <v>62.408795894367145</v>
      </c>
      <c r="N27" s="132">
        <v>442111.46158</v>
      </c>
      <c r="O27" s="132">
        <v>0</v>
      </c>
      <c r="P27" s="132">
        <v>266300.63841999992</v>
      </c>
      <c r="Q27" s="54"/>
      <c r="R27" s="54">
        <f t="shared" si="38"/>
        <v>266300.63841999992</v>
      </c>
      <c r="S27" s="55">
        <f t="shared" si="39"/>
        <v>708412.1</v>
      </c>
      <c r="T27" s="56" t="str">
        <f t="shared" si="35"/>
        <v/>
      </c>
      <c r="U27" s="56" t="str">
        <f t="shared" si="36"/>
        <v/>
      </c>
      <c r="V27" s="62"/>
      <c r="W27" s="142">
        <f t="shared" si="40"/>
        <v>0</v>
      </c>
    </row>
    <row r="28" spans="1:23" ht="47.25" x14ac:dyDescent="0.25">
      <c r="A28" s="57" t="s">
        <v>48</v>
      </c>
      <c r="B28" s="50" t="s">
        <v>25</v>
      </c>
      <c r="C28" s="51" t="s">
        <v>49</v>
      </c>
      <c r="D28" s="52">
        <v>69473.5</v>
      </c>
      <c r="E28" s="53">
        <f t="shared" si="37"/>
        <v>69473.5</v>
      </c>
      <c r="F28" s="53">
        <f t="shared" si="37"/>
        <v>69473.5</v>
      </c>
      <c r="G28" s="53">
        <f t="shared" si="37"/>
        <v>69473.5</v>
      </c>
      <c r="H28" s="53">
        <f t="shared" si="37"/>
        <v>69473.5</v>
      </c>
      <c r="I28" s="53">
        <f t="shared" si="37"/>
        <v>69473.5</v>
      </c>
      <c r="J28" s="53">
        <f t="shared" si="37"/>
        <v>69473.5</v>
      </c>
      <c r="K28" s="53">
        <f t="shared" si="37"/>
        <v>69473.5</v>
      </c>
      <c r="L28" s="132">
        <v>14182.7978</v>
      </c>
      <c r="M28" s="132">
        <v>20.41468732682246</v>
      </c>
      <c r="N28" s="132">
        <v>14182.7978</v>
      </c>
      <c r="O28" s="132">
        <v>0</v>
      </c>
      <c r="P28" s="132">
        <v>55290.7022</v>
      </c>
      <c r="Q28" s="54"/>
      <c r="R28" s="54">
        <f t="shared" si="38"/>
        <v>55290.7022</v>
      </c>
      <c r="S28" s="55">
        <f t="shared" si="39"/>
        <v>69473.5</v>
      </c>
      <c r="T28" s="56" t="str">
        <f t="shared" si="35"/>
        <v/>
      </c>
      <c r="U28" s="56" t="str">
        <f t="shared" si="36"/>
        <v/>
      </c>
      <c r="V28" s="59"/>
      <c r="W28" s="142">
        <f t="shared" si="40"/>
        <v>0</v>
      </c>
    </row>
    <row r="29" spans="1:23" ht="47.25" x14ac:dyDescent="0.25">
      <c r="A29" s="61" t="s">
        <v>50</v>
      </c>
      <c r="B29" s="50" t="s">
        <v>25</v>
      </c>
      <c r="C29" s="51" t="s">
        <v>51</v>
      </c>
      <c r="D29" s="52">
        <v>4376</v>
      </c>
      <c r="E29" s="53">
        <f t="shared" si="37"/>
        <v>4376</v>
      </c>
      <c r="F29" s="53">
        <f t="shared" si="37"/>
        <v>4376</v>
      </c>
      <c r="G29" s="53">
        <f t="shared" si="37"/>
        <v>4376</v>
      </c>
      <c r="H29" s="53">
        <f t="shared" si="37"/>
        <v>4376</v>
      </c>
      <c r="I29" s="53">
        <f t="shared" si="37"/>
        <v>4376</v>
      </c>
      <c r="J29" s="53">
        <f t="shared" si="37"/>
        <v>4376</v>
      </c>
      <c r="K29" s="53">
        <f t="shared" si="37"/>
        <v>4376</v>
      </c>
      <c r="L29" s="131">
        <v>1870.77</v>
      </c>
      <c r="M29" s="132">
        <v>42.750685557586834</v>
      </c>
      <c r="N29" s="131">
        <v>1870.77</v>
      </c>
      <c r="O29" s="132">
        <v>0</v>
      </c>
      <c r="P29" s="132">
        <v>2505.23</v>
      </c>
      <c r="Q29" s="54"/>
      <c r="R29" s="54">
        <f t="shared" si="38"/>
        <v>2505.23</v>
      </c>
      <c r="S29" s="55">
        <f t="shared" si="39"/>
        <v>4376</v>
      </c>
      <c r="T29" s="56" t="str">
        <f t="shared" si="35"/>
        <v/>
      </c>
      <c r="U29" s="56" t="str">
        <f t="shared" si="36"/>
        <v/>
      </c>
      <c r="V29" s="60"/>
      <c r="W29" s="142">
        <f t="shared" si="40"/>
        <v>0</v>
      </c>
    </row>
    <row r="30" spans="1:23" ht="78.75" x14ac:dyDescent="0.25">
      <c r="A30" s="61" t="s">
        <v>52</v>
      </c>
      <c r="B30" s="50" t="s">
        <v>25</v>
      </c>
      <c r="C30" s="51" t="s">
        <v>53</v>
      </c>
      <c r="D30" s="52">
        <v>24500</v>
      </c>
      <c r="E30" s="53">
        <f t="shared" si="37"/>
        <v>24500</v>
      </c>
      <c r="F30" s="53">
        <f t="shared" si="37"/>
        <v>24500</v>
      </c>
      <c r="G30" s="53">
        <f t="shared" si="37"/>
        <v>24500</v>
      </c>
      <c r="H30" s="53">
        <f t="shared" si="37"/>
        <v>24500</v>
      </c>
      <c r="I30" s="53">
        <f t="shared" si="37"/>
        <v>24500</v>
      </c>
      <c r="J30" s="53">
        <f t="shared" si="37"/>
        <v>24500</v>
      </c>
      <c r="K30" s="53">
        <f t="shared" si="37"/>
        <v>24500</v>
      </c>
      <c r="L30" s="132">
        <v>7000</v>
      </c>
      <c r="M30" s="132">
        <v>28.571428571428569</v>
      </c>
      <c r="N30" s="132">
        <v>7000</v>
      </c>
      <c r="O30" s="132">
        <v>0</v>
      </c>
      <c r="P30" s="132">
        <v>17500</v>
      </c>
      <c r="Q30" s="54"/>
      <c r="R30" s="54">
        <f t="shared" si="38"/>
        <v>17500</v>
      </c>
      <c r="S30" s="55">
        <f t="shared" si="39"/>
        <v>24500</v>
      </c>
      <c r="T30" s="56" t="str">
        <f t="shared" si="35"/>
        <v/>
      </c>
      <c r="U30" s="56" t="str">
        <f t="shared" si="36"/>
        <v/>
      </c>
      <c r="V30" s="21"/>
      <c r="W30" s="142">
        <f t="shared" si="40"/>
        <v>0</v>
      </c>
    </row>
    <row r="31" spans="1:23" ht="47.25" x14ac:dyDescent="0.25">
      <c r="A31" s="63" t="s">
        <v>54</v>
      </c>
      <c r="B31" s="64" t="s">
        <v>25</v>
      </c>
      <c r="C31" s="65" t="s">
        <v>55</v>
      </c>
      <c r="D31" s="52">
        <v>212608.2</v>
      </c>
      <c r="E31" s="53">
        <f t="shared" si="37"/>
        <v>212608.2</v>
      </c>
      <c r="F31" s="58">
        <f>E31-12834.3</f>
        <v>199773.90000000002</v>
      </c>
      <c r="G31" s="53">
        <f t="shared" si="37"/>
        <v>199773.90000000002</v>
      </c>
      <c r="H31" s="53">
        <f t="shared" si="37"/>
        <v>199773.90000000002</v>
      </c>
      <c r="I31" s="53">
        <f t="shared" si="37"/>
        <v>199773.90000000002</v>
      </c>
      <c r="J31" s="53">
        <f t="shared" si="37"/>
        <v>199773.90000000002</v>
      </c>
      <c r="K31" s="53">
        <f t="shared" si="37"/>
        <v>199773.90000000002</v>
      </c>
      <c r="L31" s="132">
        <v>51583.401039999997</v>
      </c>
      <c r="M31" s="132">
        <v>25.820891037317683</v>
      </c>
      <c r="N31" s="132">
        <v>51583.401039999997</v>
      </c>
      <c r="O31" s="132">
        <v>0</v>
      </c>
      <c r="P31" s="132">
        <v>148190.49896000003</v>
      </c>
      <c r="Q31" s="54"/>
      <c r="R31" s="54">
        <f t="shared" si="38"/>
        <v>148190.49896000003</v>
      </c>
      <c r="S31" s="55">
        <f t="shared" si="39"/>
        <v>199773.90000000002</v>
      </c>
      <c r="T31" s="56" t="str">
        <f t="shared" si="35"/>
        <v/>
      </c>
      <c r="U31" s="56" t="str">
        <f t="shared" si="36"/>
        <v/>
      </c>
      <c r="V31" s="60"/>
      <c r="W31" s="142">
        <f t="shared" si="40"/>
        <v>0</v>
      </c>
    </row>
    <row r="32" spans="1:23" ht="31.5" x14ac:dyDescent="0.25">
      <c r="A32" s="57" t="s">
        <v>56</v>
      </c>
      <c r="B32" s="50" t="s">
        <v>25</v>
      </c>
      <c r="C32" s="51" t="s">
        <v>57</v>
      </c>
      <c r="D32" s="52">
        <v>61984</v>
      </c>
      <c r="E32" s="53">
        <f t="shared" si="37"/>
        <v>61984</v>
      </c>
      <c r="F32" s="53">
        <f t="shared" si="37"/>
        <v>61984</v>
      </c>
      <c r="G32" s="53">
        <f t="shared" si="37"/>
        <v>61984</v>
      </c>
      <c r="H32" s="53">
        <f t="shared" si="37"/>
        <v>61984</v>
      </c>
      <c r="I32" s="53">
        <f t="shared" si="37"/>
        <v>61984</v>
      </c>
      <c r="J32" s="53">
        <f t="shared" si="37"/>
        <v>61984</v>
      </c>
      <c r="K32" s="53">
        <f t="shared" si="37"/>
        <v>61984</v>
      </c>
      <c r="L32" s="132">
        <v>61983.999990000004</v>
      </c>
      <c r="M32" s="132">
        <v>99.9999999838668</v>
      </c>
      <c r="N32" s="132">
        <v>61983.999989999997</v>
      </c>
      <c r="O32" s="132">
        <v>0</v>
      </c>
      <c r="P32" s="132">
        <v>9.9999961093999445E-6</v>
      </c>
      <c r="Q32" s="54"/>
      <c r="R32" s="54">
        <f t="shared" si="38"/>
        <v>9.9999961093999445E-6</v>
      </c>
      <c r="S32" s="55">
        <v>66526.720000000001</v>
      </c>
      <c r="T32" s="56">
        <f t="shared" si="35"/>
        <v>4542.7200000000012</v>
      </c>
      <c r="U32" s="56" t="str">
        <f t="shared" si="36"/>
        <v/>
      </c>
      <c r="V32" s="60" t="s">
        <v>58</v>
      </c>
      <c r="W32" s="142">
        <f t="shared" si="40"/>
        <v>0</v>
      </c>
    </row>
    <row r="33" spans="1:23" ht="31.5" x14ac:dyDescent="0.25">
      <c r="A33" s="49" t="s">
        <v>59</v>
      </c>
      <c r="B33" s="50" t="s">
        <v>25</v>
      </c>
      <c r="C33" s="51" t="s">
        <v>60</v>
      </c>
      <c r="D33" s="52">
        <v>3000</v>
      </c>
      <c r="E33" s="53">
        <f t="shared" si="37"/>
        <v>3000</v>
      </c>
      <c r="F33" s="53">
        <f t="shared" si="37"/>
        <v>3000</v>
      </c>
      <c r="G33" s="53">
        <f t="shared" si="37"/>
        <v>3000</v>
      </c>
      <c r="H33" s="53">
        <f t="shared" si="37"/>
        <v>3000</v>
      </c>
      <c r="I33" s="53">
        <f t="shared" si="37"/>
        <v>3000</v>
      </c>
      <c r="J33" s="53">
        <f t="shared" si="37"/>
        <v>3000</v>
      </c>
      <c r="K33" s="53">
        <f t="shared" si="37"/>
        <v>3000</v>
      </c>
      <c r="L33" s="132">
        <v>7.8754200000000001</v>
      </c>
      <c r="M33" s="132">
        <v>0.26251400000000003</v>
      </c>
      <c r="N33" s="132">
        <v>7.8754200000000001</v>
      </c>
      <c r="O33" s="132">
        <v>0</v>
      </c>
      <c r="P33" s="132">
        <v>2992.1245800000002</v>
      </c>
      <c r="Q33" s="54"/>
      <c r="R33" s="54">
        <f t="shared" si="38"/>
        <v>2992.1245800000002</v>
      </c>
      <c r="S33" s="55">
        <f t="shared" si="39"/>
        <v>3000</v>
      </c>
      <c r="T33" s="56" t="str">
        <f t="shared" si="35"/>
        <v/>
      </c>
      <c r="U33" s="56" t="str">
        <f t="shared" si="36"/>
        <v/>
      </c>
      <c r="V33" s="62"/>
      <c r="W33" s="142">
        <f t="shared" si="40"/>
        <v>0</v>
      </c>
    </row>
    <row r="34" spans="1:23" ht="31.5" x14ac:dyDescent="0.25">
      <c r="A34" s="49" t="s">
        <v>61</v>
      </c>
      <c r="B34" s="50" t="s">
        <v>25</v>
      </c>
      <c r="C34" s="51" t="s">
        <v>62</v>
      </c>
      <c r="D34" s="52">
        <v>36000</v>
      </c>
      <c r="E34" s="53">
        <f t="shared" si="37"/>
        <v>36000</v>
      </c>
      <c r="F34" s="53">
        <f t="shared" si="37"/>
        <v>36000</v>
      </c>
      <c r="G34" s="53">
        <f t="shared" si="37"/>
        <v>36000</v>
      </c>
      <c r="H34" s="53">
        <f t="shared" si="37"/>
        <v>36000</v>
      </c>
      <c r="I34" s="53">
        <f t="shared" si="37"/>
        <v>36000</v>
      </c>
      <c r="J34" s="53">
        <f t="shared" si="37"/>
        <v>36000</v>
      </c>
      <c r="K34" s="53">
        <f t="shared" si="37"/>
        <v>36000</v>
      </c>
      <c r="L34" s="132">
        <v>11964.59153</v>
      </c>
      <c r="M34" s="132">
        <v>33.234976472222222</v>
      </c>
      <c r="N34" s="132">
        <v>11964.59153</v>
      </c>
      <c r="O34" s="132">
        <v>0</v>
      </c>
      <c r="P34" s="132">
        <v>24035.408470000002</v>
      </c>
      <c r="Q34" s="54"/>
      <c r="R34" s="54">
        <f t="shared" si="38"/>
        <v>24035.408470000002</v>
      </c>
      <c r="S34" s="55">
        <f t="shared" si="39"/>
        <v>36000</v>
      </c>
      <c r="T34" s="56" t="str">
        <f t="shared" si="35"/>
        <v/>
      </c>
      <c r="U34" s="56" t="str">
        <f t="shared" si="36"/>
        <v/>
      </c>
      <c r="V34" s="62"/>
      <c r="W34" s="142">
        <f t="shared" si="40"/>
        <v>0</v>
      </c>
    </row>
    <row r="35" spans="1:23" ht="31.5" x14ac:dyDescent="0.25">
      <c r="A35" s="57" t="s">
        <v>63</v>
      </c>
      <c r="B35" s="50" t="s">
        <v>25</v>
      </c>
      <c r="C35" s="51" t="s">
        <v>64</v>
      </c>
      <c r="D35" s="52">
        <v>169000</v>
      </c>
      <c r="E35" s="53">
        <f t="shared" si="37"/>
        <v>169000</v>
      </c>
      <c r="F35" s="53">
        <f t="shared" si="37"/>
        <v>169000</v>
      </c>
      <c r="G35" s="53">
        <f t="shared" si="37"/>
        <v>169000</v>
      </c>
      <c r="H35" s="53">
        <f t="shared" si="37"/>
        <v>169000</v>
      </c>
      <c r="I35" s="53">
        <f t="shared" si="37"/>
        <v>169000</v>
      </c>
      <c r="J35" s="53">
        <f t="shared" si="37"/>
        <v>169000</v>
      </c>
      <c r="K35" s="53">
        <f t="shared" si="37"/>
        <v>169000</v>
      </c>
      <c r="L35" s="132">
        <v>32358.0625</v>
      </c>
      <c r="M35" s="132">
        <v>19.146782544378699</v>
      </c>
      <c r="N35" s="132">
        <v>29417.624500000002</v>
      </c>
      <c r="O35" s="132">
        <v>2940.4379999999983</v>
      </c>
      <c r="P35" s="132">
        <v>136641.9375</v>
      </c>
      <c r="Q35" s="54"/>
      <c r="R35" s="54">
        <f t="shared" si="38"/>
        <v>136641.9375</v>
      </c>
      <c r="S35" s="55">
        <f t="shared" si="39"/>
        <v>169000</v>
      </c>
      <c r="T35" s="56" t="str">
        <f t="shared" si="35"/>
        <v/>
      </c>
      <c r="U35" s="56" t="str">
        <f t="shared" si="36"/>
        <v/>
      </c>
      <c r="V35" s="62"/>
      <c r="W35" s="142">
        <f t="shared" si="40"/>
        <v>0</v>
      </c>
    </row>
    <row r="36" spans="1:23" ht="31.5" x14ac:dyDescent="0.25">
      <c r="A36" s="57" t="s">
        <v>65</v>
      </c>
      <c r="B36" s="50" t="s">
        <v>25</v>
      </c>
      <c r="C36" s="51" t="s">
        <v>66</v>
      </c>
      <c r="D36" s="52">
        <v>46096</v>
      </c>
      <c r="E36" s="53">
        <f t="shared" si="37"/>
        <v>46096</v>
      </c>
      <c r="F36" s="53">
        <f t="shared" si="37"/>
        <v>46096</v>
      </c>
      <c r="G36" s="53">
        <f t="shared" si="37"/>
        <v>46096</v>
      </c>
      <c r="H36" s="53">
        <f t="shared" si="37"/>
        <v>46096</v>
      </c>
      <c r="I36" s="53">
        <f t="shared" si="37"/>
        <v>46096</v>
      </c>
      <c r="J36" s="53">
        <f t="shared" si="37"/>
        <v>46096</v>
      </c>
      <c r="K36" s="53">
        <f t="shared" si="37"/>
        <v>46096</v>
      </c>
      <c r="L36" s="132">
        <v>43996</v>
      </c>
      <c r="M36" s="132">
        <v>95.444290177021855</v>
      </c>
      <c r="N36" s="132">
        <v>43996</v>
      </c>
      <c r="O36" s="132">
        <v>0</v>
      </c>
      <c r="P36" s="132">
        <v>2100</v>
      </c>
      <c r="Q36" s="54"/>
      <c r="R36" s="54">
        <f t="shared" si="38"/>
        <v>2100</v>
      </c>
      <c r="S36" s="55">
        <v>43996</v>
      </c>
      <c r="T36" s="56" t="str">
        <f t="shared" si="35"/>
        <v/>
      </c>
      <c r="U36" s="56">
        <f t="shared" si="36"/>
        <v>-2100</v>
      </c>
      <c r="V36" s="60" t="s">
        <v>67</v>
      </c>
      <c r="W36" s="142">
        <f t="shared" si="40"/>
        <v>0</v>
      </c>
    </row>
    <row r="37" spans="1:23" ht="31.5" x14ac:dyDescent="0.25">
      <c r="A37" s="57" t="s">
        <v>68</v>
      </c>
      <c r="B37" s="50" t="s">
        <v>25</v>
      </c>
      <c r="C37" s="51" t="s">
        <v>69</v>
      </c>
      <c r="D37" s="52">
        <v>3975</v>
      </c>
      <c r="E37" s="53">
        <f t="shared" ref="E37:K52" si="41">D37</f>
        <v>3975</v>
      </c>
      <c r="F37" s="53">
        <f t="shared" si="41"/>
        <v>3975</v>
      </c>
      <c r="G37" s="53">
        <f t="shared" si="41"/>
        <v>3975</v>
      </c>
      <c r="H37" s="53">
        <f t="shared" si="41"/>
        <v>3975</v>
      </c>
      <c r="I37" s="53">
        <f t="shared" si="41"/>
        <v>3975</v>
      </c>
      <c r="J37" s="53">
        <f t="shared" si="41"/>
        <v>3975</v>
      </c>
      <c r="K37" s="53">
        <f t="shared" si="41"/>
        <v>3975</v>
      </c>
      <c r="L37" s="132">
        <v>3975</v>
      </c>
      <c r="M37" s="132">
        <v>100</v>
      </c>
      <c r="N37" s="132">
        <v>3975</v>
      </c>
      <c r="O37" s="132">
        <v>0</v>
      </c>
      <c r="P37" s="132">
        <v>0</v>
      </c>
      <c r="Q37" s="54"/>
      <c r="R37" s="54">
        <f t="shared" si="38"/>
        <v>0</v>
      </c>
      <c r="S37" s="55">
        <v>5813.1</v>
      </c>
      <c r="T37" s="56">
        <f t="shared" si="35"/>
        <v>1838.1000000000004</v>
      </c>
      <c r="U37" s="56" t="str">
        <f t="shared" si="36"/>
        <v/>
      </c>
      <c r="V37" s="60" t="s">
        <v>67</v>
      </c>
      <c r="W37" s="142">
        <f t="shared" si="40"/>
        <v>0</v>
      </c>
    </row>
    <row r="38" spans="1:23" ht="47.25" x14ac:dyDescent="0.25">
      <c r="A38" s="57" t="s">
        <v>70</v>
      </c>
      <c r="B38" s="50" t="s">
        <v>25</v>
      </c>
      <c r="C38" s="51" t="s">
        <v>71</v>
      </c>
      <c r="D38" s="52">
        <v>44754</v>
      </c>
      <c r="E38" s="53">
        <f t="shared" si="41"/>
        <v>44754</v>
      </c>
      <c r="F38" s="53">
        <f>E38-506.6</f>
        <v>44247.4</v>
      </c>
      <c r="G38" s="53">
        <f t="shared" si="41"/>
        <v>44247.4</v>
      </c>
      <c r="H38" s="53">
        <f t="shared" si="41"/>
        <v>44247.4</v>
      </c>
      <c r="I38" s="53">
        <f t="shared" si="41"/>
        <v>44247.4</v>
      </c>
      <c r="J38" s="53">
        <f t="shared" si="41"/>
        <v>44247.4</v>
      </c>
      <c r="K38" s="53">
        <f t="shared" si="41"/>
        <v>44247.4</v>
      </c>
      <c r="L38" s="132">
        <v>0</v>
      </c>
      <c r="M38" s="132"/>
      <c r="N38" s="132"/>
      <c r="O38" s="132"/>
      <c r="P38" s="132">
        <v>44247.4</v>
      </c>
      <c r="Q38" s="54"/>
      <c r="R38" s="54">
        <f t="shared" si="38"/>
        <v>44247.4</v>
      </c>
      <c r="S38" s="55">
        <f t="shared" si="39"/>
        <v>44247.4</v>
      </c>
      <c r="T38" s="56" t="str">
        <f t="shared" si="35"/>
        <v/>
      </c>
      <c r="U38" s="56" t="str">
        <f t="shared" si="36"/>
        <v/>
      </c>
      <c r="V38" s="21"/>
      <c r="W38" s="142">
        <f t="shared" si="40"/>
        <v>0</v>
      </c>
    </row>
    <row r="39" spans="1:23" ht="78.75" x14ac:dyDescent="0.25">
      <c r="A39" s="61" t="s">
        <v>72</v>
      </c>
      <c r="B39" s="50" t="s">
        <v>25</v>
      </c>
      <c r="C39" s="51" t="s">
        <v>73</v>
      </c>
      <c r="D39" s="52">
        <v>50000</v>
      </c>
      <c r="E39" s="53">
        <f t="shared" si="41"/>
        <v>50000</v>
      </c>
      <c r="F39" s="53">
        <f t="shared" si="41"/>
        <v>50000</v>
      </c>
      <c r="G39" s="53">
        <f t="shared" si="41"/>
        <v>50000</v>
      </c>
      <c r="H39" s="53">
        <f t="shared" si="41"/>
        <v>50000</v>
      </c>
      <c r="I39" s="53">
        <f t="shared" si="41"/>
        <v>50000</v>
      </c>
      <c r="J39" s="53">
        <f t="shared" si="41"/>
        <v>50000</v>
      </c>
      <c r="K39" s="53">
        <f t="shared" si="41"/>
        <v>50000</v>
      </c>
      <c r="L39" s="132">
        <v>0</v>
      </c>
      <c r="M39" s="132"/>
      <c r="N39" s="132"/>
      <c r="O39" s="132"/>
      <c r="P39" s="132">
        <v>50000</v>
      </c>
      <c r="Q39" s="54"/>
      <c r="R39" s="54">
        <f t="shared" si="38"/>
        <v>50000</v>
      </c>
      <c r="S39" s="55">
        <f t="shared" si="39"/>
        <v>50000</v>
      </c>
      <c r="T39" s="56" t="str">
        <f t="shared" si="35"/>
        <v/>
      </c>
      <c r="U39" s="56" t="str">
        <f t="shared" si="36"/>
        <v/>
      </c>
      <c r="V39" s="21"/>
      <c r="W39" s="142">
        <f t="shared" si="40"/>
        <v>0</v>
      </c>
    </row>
    <row r="40" spans="1:23" ht="31.5" x14ac:dyDescent="0.25">
      <c r="A40" s="57" t="s">
        <v>74</v>
      </c>
      <c r="B40" s="50" t="s">
        <v>25</v>
      </c>
      <c r="C40" s="51" t="s">
        <v>75</v>
      </c>
      <c r="D40" s="52">
        <v>5319.4</v>
      </c>
      <c r="E40" s="53">
        <f t="shared" si="41"/>
        <v>5319.4</v>
      </c>
      <c r="F40" s="53">
        <f t="shared" si="41"/>
        <v>5319.4</v>
      </c>
      <c r="G40" s="53">
        <f t="shared" si="41"/>
        <v>5319.4</v>
      </c>
      <c r="H40" s="53">
        <f t="shared" si="41"/>
        <v>5319.4</v>
      </c>
      <c r="I40" s="53">
        <f t="shared" si="41"/>
        <v>5319.4</v>
      </c>
      <c r="J40" s="53">
        <f t="shared" si="41"/>
        <v>5319.4</v>
      </c>
      <c r="K40" s="53">
        <f t="shared" si="41"/>
        <v>5319.4</v>
      </c>
      <c r="L40" s="132">
        <v>1282.4924799999999</v>
      </c>
      <c r="M40" s="132">
        <v>24.109720645185547</v>
      </c>
      <c r="N40" s="132">
        <v>1282.4924799999999</v>
      </c>
      <c r="O40" s="132">
        <v>0</v>
      </c>
      <c r="P40" s="132">
        <v>4036.9075199999997</v>
      </c>
      <c r="Q40" s="54"/>
      <c r="R40" s="54">
        <f t="shared" si="38"/>
        <v>4036.9075199999997</v>
      </c>
      <c r="S40" s="55">
        <f t="shared" si="39"/>
        <v>5319.4</v>
      </c>
      <c r="T40" s="56" t="str">
        <f t="shared" si="35"/>
        <v/>
      </c>
      <c r="U40" s="56" t="str">
        <f t="shared" si="36"/>
        <v/>
      </c>
      <c r="V40" s="21"/>
      <c r="W40" s="142">
        <f t="shared" si="40"/>
        <v>0</v>
      </c>
    </row>
    <row r="41" spans="1:23" ht="47.25" x14ac:dyDescent="0.25">
      <c r="A41" s="57" t="s">
        <v>76</v>
      </c>
      <c r="B41" s="50" t="s">
        <v>31</v>
      </c>
      <c r="C41" s="51"/>
      <c r="D41" s="52"/>
      <c r="E41" s="53">
        <f t="shared" si="41"/>
        <v>0</v>
      </c>
      <c r="F41" s="53">
        <f t="shared" si="41"/>
        <v>0</v>
      </c>
      <c r="G41" s="53">
        <f t="shared" si="41"/>
        <v>0</v>
      </c>
      <c r="H41" s="53">
        <f t="shared" si="41"/>
        <v>0</v>
      </c>
      <c r="I41" s="53">
        <f t="shared" si="41"/>
        <v>0</v>
      </c>
      <c r="J41" s="53">
        <f t="shared" si="41"/>
        <v>0</v>
      </c>
      <c r="K41" s="53">
        <f t="shared" si="41"/>
        <v>0</v>
      </c>
      <c r="L41" s="132"/>
      <c r="M41" s="132"/>
      <c r="N41" s="132"/>
      <c r="O41" s="132"/>
      <c r="P41" s="132">
        <v>0</v>
      </c>
      <c r="Q41" s="54"/>
      <c r="R41" s="54">
        <f t="shared" si="38"/>
        <v>0</v>
      </c>
      <c r="S41" s="55">
        <f t="shared" si="39"/>
        <v>0</v>
      </c>
      <c r="T41" s="56" t="str">
        <f t="shared" si="35"/>
        <v/>
      </c>
      <c r="U41" s="56" t="str">
        <f t="shared" si="36"/>
        <v/>
      </c>
      <c r="V41" s="21"/>
      <c r="W41" s="142">
        <f t="shared" si="40"/>
        <v>0</v>
      </c>
    </row>
    <row r="42" spans="1:23" x14ac:dyDescent="0.25">
      <c r="A42" s="35" t="s">
        <v>24</v>
      </c>
      <c r="B42" s="50" t="s">
        <v>25</v>
      </c>
      <c r="C42" s="51" t="s">
        <v>77</v>
      </c>
      <c r="D42" s="52">
        <v>41273.4</v>
      </c>
      <c r="E42" s="53">
        <f t="shared" si="41"/>
        <v>41273.4</v>
      </c>
      <c r="F42" s="53">
        <f t="shared" si="41"/>
        <v>41273.4</v>
      </c>
      <c r="G42" s="53">
        <f t="shared" si="41"/>
        <v>41273.4</v>
      </c>
      <c r="H42" s="53">
        <f t="shared" si="41"/>
        <v>41273.4</v>
      </c>
      <c r="I42" s="53">
        <f t="shared" si="41"/>
        <v>41273.4</v>
      </c>
      <c r="J42" s="53">
        <f t="shared" si="41"/>
        <v>41273.4</v>
      </c>
      <c r="K42" s="53">
        <f t="shared" si="41"/>
        <v>41273.4</v>
      </c>
      <c r="L42" s="132">
        <v>17112.564999999999</v>
      </c>
      <c r="M42" s="132">
        <v>41.461486090314828</v>
      </c>
      <c r="N42" s="132">
        <v>17112.564999999999</v>
      </c>
      <c r="O42" s="132">
        <v>0</v>
      </c>
      <c r="P42" s="132">
        <v>24160.835000000003</v>
      </c>
      <c r="Q42" s="54"/>
      <c r="R42" s="54">
        <f t="shared" si="38"/>
        <v>24160.835000000003</v>
      </c>
      <c r="S42" s="55">
        <f t="shared" si="39"/>
        <v>41273.4</v>
      </c>
      <c r="T42" s="56" t="str">
        <f t="shared" si="35"/>
        <v/>
      </c>
      <c r="U42" s="56" t="str">
        <f t="shared" si="36"/>
        <v/>
      </c>
      <c r="V42" s="21"/>
      <c r="W42" s="142">
        <f t="shared" si="40"/>
        <v>0</v>
      </c>
    </row>
    <row r="43" spans="1:23" x14ac:dyDescent="0.25">
      <c r="A43" s="35" t="s">
        <v>26</v>
      </c>
      <c r="B43" s="50" t="s">
        <v>27</v>
      </c>
      <c r="C43" s="51" t="s">
        <v>77</v>
      </c>
      <c r="D43" s="52">
        <v>123820.3</v>
      </c>
      <c r="E43" s="53">
        <f t="shared" si="41"/>
        <v>123820.3</v>
      </c>
      <c r="F43" s="53">
        <f t="shared" si="41"/>
        <v>123820.3</v>
      </c>
      <c r="G43" s="53">
        <f t="shared" si="41"/>
        <v>123820.3</v>
      </c>
      <c r="H43" s="53">
        <f t="shared" si="41"/>
        <v>123820.3</v>
      </c>
      <c r="I43" s="53">
        <f t="shared" si="41"/>
        <v>123820.3</v>
      </c>
      <c r="J43" s="53">
        <f t="shared" si="41"/>
        <v>123820.3</v>
      </c>
      <c r="K43" s="53">
        <f t="shared" si="41"/>
        <v>123820.3</v>
      </c>
      <c r="L43" s="132">
        <v>51337.695020000006</v>
      </c>
      <c r="M43" s="132">
        <v>41.461452621258395</v>
      </c>
      <c r="N43" s="132">
        <v>51337.695019999999</v>
      </c>
      <c r="O43" s="132">
        <v>0</v>
      </c>
      <c r="P43" s="132">
        <v>72482.604980000004</v>
      </c>
      <c r="Q43" s="54"/>
      <c r="R43" s="54">
        <f t="shared" si="38"/>
        <v>72482.604980000004</v>
      </c>
      <c r="S43" s="55">
        <f t="shared" si="39"/>
        <v>123820.3</v>
      </c>
      <c r="T43" s="56" t="str">
        <f t="shared" si="35"/>
        <v/>
      </c>
      <c r="U43" s="56" t="str">
        <f t="shared" si="36"/>
        <v/>
      </c>
      <c r="V43" s="21"/>
      <c r="W43" s="142">
        <f t="shared" si="40"/>
        <v>0</v>
      </c>
    </row>
    <row r="44" spans="1:23" ht="31.5" x14ac:dyDescent="0.25">
      <c r="A44" s="57" t="s">
        <v>78</v>
      </c>
      <c r="B44" s="50" t="s">
        <v>31</v>
      </c>
      <c r="C44" s="51"/>
      <c r="D44" s="52"/>
      <c r="E44" s="53">
        <f t="shared" si="41"/>
        <v>0</v>
      </c>
      <c r="F44" s="53">
        <f t="shared" si="41"/>
        <v>0</v>
      </c>
      <c r="G44" s="53">
        <f t="shared" si="41"/>
        <v>0</v>
      </c>
      <c r="H44" s="53">
        <f t="shared" si="41"/>
        <v>0</v>
      </c>
      <c r="I44" s="53">
        <f t="shared" si="41"/>
        <v>0</v>
      </c>
      <c r="J44" s="53">
        <f t="shared" si="41"/>
        <v>0</v>
      </c>
      <c r="K44" s="53">
        <f t="shared" si="41"/>
        <v>0</v>
      </c>
      <c r="L44" s="132"/>
      <c r="M44" s="132"/>
      <c r="N44" s="132"/>
      <c r="O44" s="132">
        <v>0</v>
      </c>
      <c r="P44" s="132">
        <v>0</v>
      </c>
      <c r="Q44" s="54"/>
      <c r="R44" s="54">
        <f t="shared" si="38"/>
        <v>0</v>
      </c>
      <c r="S44" s="55">
        <f t="shared" si="39"/>
        <v>0</v>
      </c>
      <c r="T44" s="56" t="str">
        <f t="shared" si="35"/>
        <v/>
      </c>
      <c r="U44" s="56" t="str">
        <f t="shared" si="36"/>
        <v/>
      </c>
      <c r="V44" s="21"/>
      <c r="W44" s="142">
        <f t="shared" si="40"/>
        <v>0</v>
      </c>
    </row>
    <row r="45" spans="1:23" ht="19.5" customHeight="1" x14ac:dyDescent="0.25">
      <c r="A45" s="35" t="s">
        <v>24</v>
      </c>
      <c r="B45" s="50" t="s">
        <v>25</v>
      </c>
      <c r="C45" s="51" t="s">
        <v>79</v>
      </c>
      <c r="D45" s="52">
        <v>32932.9</v>
      </c>
      <c r="E45" s="53">
        <f t="shared" si="41"/>
        <v>32932.9</v>
      </c>
      <c r="F45" s="53">
        <f t="shared" si="41"/>
        <v>32932.9</v>
      </c>
      <c r="G45" s="53">
        <f t="shared" si="41"/>
        <v>32932.9</v>
      </c>
      <c r="H45" s="53">
        <f t="shared" si="41"/>
        <v>32932.9</v>
      </c>
      <c r="I45" s="53">
        <f t="shared" si="41"/>
        <v>32932.9</v>
      </c>
      <c r="J45" s="53">
        <f t="shared" si="41"/>
        <v>32932.9</v>
      </c>
      <c r="K45" s="53">
        <f t="shared" si="41"/>
        <v>32932.9</v>
      </c>
      <c r="L45" s="132">
        <v>32932.875</v>
      </c>
      <c r="M45" s="132">
        <v>99.999924088069974</v>
      </c>
      <c r="N45" s="132">
        <v>32932.875</v>
      </c>
      <c r="O45" s="132">
        <v>0</v>
      </c>
      <c r="P45" s="132">
        <v>2.5000000001455192E-2</v>
      </c>
      <c r="Q45" s="54"/>
      <c r="R45" s="54">
        <f t="shared" si="38"/>
        <v>2.5000000001455192E-2</v>
      </c>
      <c r="S45" s="55">
        <f t="shared" si="39"/>
        <v>32932.9</v>
      </c>
      <c r="T45" s="56" t="str">
        <f t="shared" si="35"/>
        <v/>
      </c>
      <c r="U45" s="56" t="str">
        <f t="shared" si="36"/>
        <v/>
      </c>
      <c r="V45" s="21"/>
      <c r="W45" s="142">
        <f t="shared" si="40"/>
        <v>0</v>
      </c>
    </row>
    <row r="46" spans="1:23" ht="19.5" customHeight="1" x14ac:dyDescent="0.25">
      <c r="A46" s="35" t="s">
        <v>26</v>
      </c>
      <c r="B46" s="50" t="s">
        <v>27</v>
      </c>
      <c r="C46" s="51" t="s">
        <v>79</v>
      </c>
      <c r="D46" s="52">
        <v>98798.6</v>
      </c>
      <c r="E46" s="53">
        <f t="shared" si="41"/>
        <v>98798.6</v>
      </c>
      <c r="F46" s="53">
        <f t="shared" si="41"/>
        <v>98798.6</v>
      </c>
      <c r="G46" s="53">
        <f t="shared" si="41"/>
        <v>98798.6</v>
      </c>
      <c r="H46" s="53">
        <f t="shared" si="41"/>
        <v>98798.6</v>
      </c>
      <c r="I46" s="53">
        <f t="shared" si="41"/>
        <v>98798.6</v>
      </c>
      <c r="J46" s="53">
        <f t="shared" si="41"/>
        <v>98798.6</v>
      </c>
      <c r="K46" s="53">
        <f t="shared" si="41"/>
        <v>98798.6</v>
      </c>
      <c r="L46" s="132">
        <v>98798.625</v>
      </c>
      <c r="M46" s="132">
        <v>100.00002530400226</v>
      </c>
      <c r="N46" s="132">
        <v>98798.625</v>
      </c>
      <c r="O46" s="132">
        <v>0</v>
      </c>
      <c r="P46" s="132">
        <v>-2.4999999994179234E-2</v>
      </c>
      <c r="Q46" s="54"/>
      <c r="R46" s="54">
        <f t="shared" si="38"/>
        <v>-2.4999999994179234E-2</v>
      </c>
      <c r="S46" s="55">
        <f t="shared" si="39"/>
        <v>98798.6</v>
      </c>
      <c r="T46" s="56" t="str">
        <f t="shared" si="35"/>
        <v/>
      </c>
      <c r="U46" s="56" t="str">
        <f t="shared" si="36"/>
        <v/>
      </c>
      <c r="V46" s="21"/>
      <c r="W46" s="142">
        <f t="shared" si="40"/>
        <v>0</v>
      </c>
    </row>
    <row r="47" spans="1:23" ht="47.25" x14ac:dyDescent="0.25">
      <c r="A47" s="57" t="s">
        <v>80</v>
      </c>
      <c r="B47" s="50" t="s">
        <v>31</v>
      </c>
      <c r="C47" s="51"/>
      <c r="D47" s="52"/>
      <c r="E47" s="53">
        <f t="shared" si="41"/>
        <v>0</v>
      </c>
      <c r="F47" s="53">
        <f t="shared" si="41"/>
        <v>0</v>
      </c>
      <c r="G47" s="53">
        <f t="shared" si="41"/>
        <v>0</v>
      </c>
      <c r="H47" s="53">
        <f t="shared" si="41"/>
        <v>0</v>
      </c>
      <c r="I47" s="53">
        <f t="shared" si="41"/>
        <v>0</v>
      </c>
      <c r="J47" s="53">
        <f t="shared" si="41"/>
        <v>0</v>
      </c>
      <c r="K47" s="53">
        <f t="shared" si="41"/>
        <v>0</v>
      </c>
      <c r="L47" s="132"/>
      <c r="M47" s="132"/>
      <c r="N47" s="132"/>
      <c r="O47" s="132">
        <v>0</v>
      </c>
      <c r="P47" s="132">
        <v>0</v>
      </c>
      <c r="Q47" s="54"/>
      <c r="R47" s="54">
        <f t="shared" si="38"/>
        <v>0</v>
      </c>
      <c r="S47" s="55">
        <f t="shared" si="39"/>
        <v>0</v>
      </c>
      <c r="T47" s="56" t="str">
        <f t="shared" si="35"/>
        <v/>
      </c>
      <c r="U47" s="56" t="str">
        <f t="shared" si="36"/>
        <v/>
      </c>
      <c r="V47" s="21"/>
      <c r="W47" s="142">
        <f t="shared" si="40"/>
        <v>0</v>
      </c>
    </row>
    <row r="48" spans="1:23" x14ac:dyDescent="0.25">
      <c r="A48" s="35" t="s">
        <v>24</v>
      </c>
      <c r="B48" s="50" t="s">
        <v>25</v>
      </c>
      <c r="C48" s="51" t="s">
        <v>81</v>
      </c>
      <c r="D48" s="52">
        <v>41686.400000000001</v>
      </c>
      <c r="E48" s="53">
        <f t="shared" si="41"/>
        <v>41686.400000000001</v>
      </c>
      <c r="F48" s="53">
        <f t="shared" si="41"/>
        <v>41686.400000000001</v>
      </c>
      <c r="G48" s="53">
        <f t="shared" si="41"/>
        <v>41686.400000000001</v>
      </c>
      <c r="H48" s="53">
        <f t="shared" si="41"/>
        <v>41686.400000000001</v>
      </c>
      <c r="I48" s="53">
        <f t="shared" si="41"/>
        <v>41686.400000000001</v>
      </c>
      <c r="J48" s="53">
        <f t="shared" si="41"/>
        <v>41686.400000000001</v>
      </c>
      <c r="K48" s="53">
        <f t="shared" si="41"/>
        <v>41686.400000000001</v>
      </c>
      <c r="L48" s="132">
        <v>29748.433969999998</v>
      </c>
      <c r="M48" s="132">
        <v>71.362444274391649</v>
      </c>
      <c r="N48" s="132">
        <v>29748.433969999998</v>
      </c>
      <c r="O48" s="133">
        <v>0</v>
      </c>
      <c r="P48" s="132">
        <v>11937.966030000003</v>
      </c>
      <c r="Q48" s="66"/>
      <c r="R48" s="54">
        <f t="shared" si="38"/>
        <v>11937.966030000003</v>
      </c>
      <c r="S48" s="55">
        <f t="shared" si="39"/>
        <v>41686.400000000001</v>
      </c>
      <c r="T48" s="56" t="str">
        <f t="shared" si="35"/>
        <v/>
      </c>
      <c r="U48" s="56" t="str">
        <f t="shared" si="36"/>
        <v/>
      </c>
      <c r="V48" s="67"/>
      <c r="W48" s="142">
        <f t="shared" si="40"/>
        <v>0</v>
      </c>
    </row>
    <row r="49" spans="1:23" x14ac:dyDescent="0.25">
      <c r="A49" s="35" t="s">
        <v>26</v>
      </c>
      <c r="B49" s="50" t="s">
        <v>27</v>
      </c>
      <c r="C49" s="51" t="s">
        <v>81</v>
      </c>
      <c r="D49" s="52">
        <v>125059.2</v>
      </c>
      <c r="E49" s="53">
        <f t="shared" si="41"/>
        <v>125059.2</v>
      </c>
      <c r="F49" s="53">
        <f t="shared" si="41"/>
        <v>125059.2</v>
      </c>
      <c r="G49" s="53">
        <f t="shared" si="41"/>
        <v>125059.2</v>
      </c>
      <c r="H49" s="53">
        <f t="shared" si="41"/>
        <v>125059.2</v>
      </c>
      <c r="I49" s="53">
        <f t="shared" si="41"/>
        <v>125059.2</v>
      </c>
      <c r="J49" s="53">
        <f t="shared" si="41"/>
        <v>125059.2</v>
      </c>
      <c r="K49" s="53">
        <f t="shared" si="41"/>
        <v>125059.2</v>
      </c>
      <c r="L49" s="132">
        <v>89245.301930000001</v>
      </c>
      <c r="M49" s="132">
        <v>71.362444290384076</v>
      </c>
      <c r="N49" s="132">
        <v>89245.301930000001</v>
      </c>
      <c r="O49" s="133">
        <v>0</v>
      </c>
      <c r="P49" s="132">
        <v>35813.898069999996</v>
      </c>
      <c r="Q49" s="54"/>
      <c r="R49" s="54">
        <f t="shared" si="38"/>
        <v>35813.898069999996</v>
      </c>
      <c r="S49" s="55">
        <f t="shared" si="39"/>
        <v>125059.2</v>
      </c>
      <c r="T49" s="56" t="str">
        <f t="shared" si="35"/>
        <v/>
      </c>
      <c r="U49" s="56" t="str">
        <f t="shared" si="36"/>
        <v/>
      </c>
      <c r="V49" s="67"/>
      <c r="W49" s="142">
        <f t="shared" si="40"/>
        <v>0</v>
      </c>
    </row>
    <row r="50" spans="1:23" ht="31.5" x14ac:dyDescent="0.25">
      <c r="A50" s="57" t="s">
        <v>82</v>
      </c>
      <c r="B50" s="50" t="s">
        <v>31</v>
      </c>
      <c r="C50" s="51"/>
      <c r="D50" s="52"/>
      <c r="E50" s="53">
        <f t="shared" si="41"/>
        <v>0</v>
      </c>
      <c r="F50" s="53">
        <f t="shared" si="41"/>
        <v>0</v>
      </c>
      <c r="G50" s="53">
        <f t="shared" si="41"/>
        <v>0</v>
      </c>
      <c r="H50" s="53">
        <f t="shared" si="41"/>
        <v>0</v>
      </c>
      <c r="I50" s="53">
        <f t="shared" si="41"/>
        <v>0</v>
      </c>
      <c r="J50" s="53">
        <f t="shared" si="41"/>
        <v>0</v>
      </c>
      <c r="K50" s="53">
        <f t="shared" si="41"/>
        <v>0</v>
      </c>
      <c r="L50" s="132"/>
      <c r="M50" s="132"/>
      <c r="N50" s="132"/>
      <c r="O50" s="132">
        <v>0</v>
      </c>
      <c r="P50" s="132">
        <v>0</v>
      </c>
      <c r="Q50" s="54"/>
      <c r="R50" s="54">
        <f t="shared" si="38"/>
        <v>0</v>
      </c>
      <c r="S50" s="55">
        <f t="shared" si="39"/>
        <v>0</v>
      </c>
      <c r="T50" s="56" t="str">
        <f t="shared" si="35"/>
        <v/>
      </c>
      <c r="U50" s="56" t="str">
        <f t="shared" si="36"/>
        <v/>
      </c>
      <c r="V50" s="21"/>
      <c r="W50" s="142">
        <f t="shared" si="40"/>
        <v>0</v>
      </c>
    </row>
    <row r="51" spans="1:23" x14ac:dyDescent="0.25">
      <c r="A51" s="35" t="s">
        <v>24</v>
      </c>
      <c r="B51" s="50" t="s">
        <v>25</v>
      </c>
      <c r="C51" s="51" t="s">
        <v>83</v>
      </c>
      <c r="D51" s="52">
        <v>13920.8</v>
      </c>
      <c r="E51" s="53">
        <f t="shared" si="41"/>
        <v>13920.8</v>
      </c>
      <c r="F51" s="53">
        <f t="shared" si="41"/>
        <v>13920.8</v>
      </c>
      <c r="G51" s="53">
        <f t="shared" si="41"/>
        <v>13920.8</v>
      </c>
      <c r="H51" s="53">
        <f t="shared" si="41"/>
        <v>13920.8</v>
      </c>
      <c r="I51" s="53">
        <f t="shared" si="41"/>
        <v>13920.8</v>
      </c>
      <c r="J51" s="53">
        <f t="shared" si="41"/>
        <v>13920.8</v>
      </c>
      <c r="K51" s="53">
        <f t="shared" si="41"/>
        <v>13920.8</v>
      </c>
      <c r="L51" s="132">
        <v>13920.775</v>
      </c>
      <c r="M51" s="132">
        <v>99.999820412619968</v>
      </c>
      <c r="N51" s="132">
        <v>13920.775</v>
      </c>
      <c r="O51" s="132">
        <v>0</v>
      </c>
      <c r="P51" s="132">
        <v>2.4999999999636202E-2</v>
      </c>
      <c r="Q51" s="66"/>
      <c r="R51" s="54">
        <f t="shared" si="38"/>
        <v>2.4999999999636202E-2</v>
      </c>
      <c r="S51" s="55">
        <f t="shared" si="39"/>
        <v>13920.8</v>
      </c>
      <c r="T51" s="56" t="str">
        <f t="shared" si="35"/>
        <v/>
      </c>
      <c r="U51" s="56" t="str">
        <f t="shared" si="36"/>
        <v/>
      </c>
      <c r="V51" s="21"/>
      <c r="W51" s="142">
        <f t="shared" si="40"/>
        <v>0</v>
      </c>
    </row>
    <row r="52" spans="1:23" x14ac:dyDescent="0.25">
      <c r="A52" s="35" t="s">
        <v>26</v>
      </c>
      <c r="B52" s="50" t="s">
        <v>27</v>
      </c>
      <c r="C52" s="51" t="s">
        <v>83</v>
      </c>
      <c r="D52" s="52">
        <v>41762.300000000003</v>
      </c>
      <c r="E52" s="53">
        <f t="shared" si="41"/>
        <v>41762.300000000003</v>
      </c>
      <c r="F52" s="53">
        <f t="shared" si="41"/>
        <v>41762.300000000003</v>
      </c>
      <c r="G52" s="53">
        <f t="shared" si="41"/>
        <v>41762.300000000003</v>
      </c>
      <c r="H52" s="53">
        <f t="shared" si="41"/>
        <v>41762.300000000003</v>
      </c>
      <c r="I52" s="53">
        <f t="shared" si="41"/>
        <v>41762.300000000003</v>
      </c>
      <c r="J52" s="53">
        <f t="shared" si="41"/>
        <v>41762.300000000003</v>
      </c>
      <c r="K52" s="53">
        <f t="shared" si="41"/>
        <v>41762.300000000003</v>
      </c>
      <c r="L52" s="132">
        <v>41762.324999999997</v>
      </c>
      <c r="M52" s="132">
        <v>100.00005986260334</v>
      </c>
      <c r="N52" s="132">
        <v>41762.324999999997</v>
      </c>
      <c r="O52" s="132">
        <v>0</v>
      </c>
      <c r="P52" s="132">
        <v>-2.4999999994179234E-2</v>
      </c>
      <c r="Q52" s="68"/>
      <c r="R52" s="54">
        <f t="shared" si="38"/>
        <v>-2.4999999994179234E-2</v>
      </c>
      <c r="S52" s="55">
        <f t="shared" si="39"/>
        <v>41762.300000000003</v>
      </c>
      <c r="T52" s="56" t="str">
        <f t="shared" si="35"/>
        <v/>
      </c>
      <c r="U52" s="56" t="str">
        <f t="shared" si="36"/>
        <v/>
      </c>
      <c r="V52" s="21"/>
      <c r="W52" s="142">
        <f t="shared" si="40"/>
        <v>0</v>
      </c>
    </row>
    <row r="53" spans="1:23" ht="31.5" x14ac:dyDescent="0.25">
      <c r="A53" s="57" t="s">
        <v>84</v>
      </c>
      <c r="B53" s="50" t="s">
        <v>31</v>
      </c>
      <c r="C53" s="51"/>
      <c r="D53" s="52"/>
      <c r="E53" s="53">
        <f t="shared" ref="E53:K67" si="42">D53</f>
        <v>0</v>
      </c>
      <c r="F53" s="53">
        <f t="shared" si="42"/>
        <v>0</v>
      </c>
      <c r="G53" s="53">
        <f t="shared" si="42"/>
        <v>0</v>
      </c>
      <c r="H53" s="53">
        <f t="shared" si="42"/>
        <v>0</v>
      </c>
      <c r="I53" s="53">
        <f t="shared" si="42"/>
        <v>0</v>
      </c>
      <c r="J53" s="53">
        <f t="shared" si="42"/>
        <v>0</v>
      </c>
      <c r="K53" s="53">
        <f t="shared" si="42"/>
        <v>0</v>
      </c>
      <c r="L53" s="132"/>
      <c r="M53" s="132"/>
      <c r="N53" s="132"/>
      <c r="O53" s="132">
        <v>0</v>
      </c>
      <c r="P53" s="132">
        <v>0</v>
      </c>
      <c r="Q53" s="54"/>
      <c r="R53" s="54">
        <f t="shared" si="38"/>
        <v>0</v>
      </c>
      <c r="S53" s="55">
        <f t="shared" si="39"/>
        <v>0</v>
      </c>
      <c r="T53" s="56" t="str">
        <f t="shared" si="35"/>
        <v/>
      </c>
      <c r="U53" s="56" t="str">
        <f t="shared" si="36"/>
        <v/>
      </c>
      <c r="V53" s="21"/>
      <c r="W53" s="142">
        <f t="shared" si="40"/>
        <v>0</v>
      </c>
    </row>
    <row r="54" spans="1:23" x14ac:dyDescent="0.25">
      <c r="A54" s="35" t="s">
        <v>24</v>
      </c>
      <c r="B54" s="50" t="s">
        <v>25</v>
      </c>
      <c r="C54" s="51" t="s">
        <v>85</v>
      </c>
      <c r="D54" s="52">
        <v>50795.5</v>
      </c>
      <c r="E54" s="53">
        <f t="shared" si="42"/>
        <v>50795.5</v>
      </c>
      <c r="F54" s="58">
        <f>E54-4566.2</f>
        <v>46229.3</v>
      </c>
      <c r="G54" s="53">
        <f t="shared" si="42"/>
        <v>46229.3</v>
      </c>
      <c r="H54" s="53">
        <f t="shared" si="42"/>
        <v>46229.3</v>
      </c>
      <c r="I54" s="53">
        <f t="shared" si="42"/>
        <v>46229.3</v>
      </c>
      <c r="J54" s="53">
        <f t="shared" si="42"/>
        <v>46229.3</v>
      </c>
      <c r="K54" s="53">
        <f t="shared" si="42"/>
        <v>46229.3</v>
      </c>
      <c r="L54" s="132">
        <v>46229.167500000003</v>
      </c>
      <c r="M54" s="132">
        <v>99.999713385234045</v>
      </c>
      <c r="N54" s="132">
        <v>46229.167500000003</v>
      </c>
      <c r="O54" s="132">
        <v>0</v>
      </c>
      <c r="P54" s="132">
        <v>0.13249999999970896</v>
      </c>
      <c r="Q54" s="54"/>
      <c r="R54" s="54">
        <f t="shared" si="38"/>
        <v>0.13249999999970896</v>
      </c>
      <c r="S54" s="55">
        <v>46229.3</v>
      </c>
      <c r="T54" s="56" t="str">
        <f t="shared" si="35"/>
        <v/>
      </c>
      <c r="U54" s="56" t="str">
        <f t="shared" si="36"/>
        <v/>
      </c>
      <c r="V54" s="21"/>
      <c r="W54" s="142">
        <f t="shared" si="40"/>
        <v>0</v>
      </c>
    </row>
    <row r="55" spans="1:23" x14ac:dyDescent="0.25">
      <c r="A55" s="35" t="s">
        <v>26</v>
      </c>
      <c r="B55" s="50" t="s">
        <v>27</v>
      </c>
      <c r="C55" s="51" t="s">
        <v>85</v>
      </c>
      <c r="D55" s="52">
        <v>152386.5</v>
      </c>
      <c r="E55" s="53">
        <f t="shared" si="42"/>
        <v>152386.5</v>
      </c>
      <c r="F55" s="58">
        <f>E55-13698.6</f>
        <v>138687.9</v>
      </c>
      <c r="G55" s="53">
        <f t="shared" si="42"/>
        <v>138687.9</v>
      </c>
      <c r="H55" s="53">
        <f t="shared" si="42"/>
        <v>138687.9</v>
      </c>
      <c r="I55" s="53">
        <f t="shared" si="42"/>
        <v>138687.9</v>
      </c>
      <c r="J55" s="53">
        <f t="shared" si="42"/>
        <v>138687.9</v>
      </c>
      <c r="K55" s="53">
        <f t="shared" si="42"/>
        <v>138687.9</v>
      </c>
      <c r="L55" s="132">
        <v>138687.5025</v>
      </c>
      <c r="M55" s="132">
        <v>99.999713385234045</v>
      </c>
      <c r="N55" s="132">
        <v>138687.5025</v>
      </c>
      <c r="O55" s="132">
        <v>0</v>
      </c>
      <c r="P55" s="132">
        <v>0.39749999999185093</v>
      </c>
      <c r="Q55" s="54"/>
      <c r="R55" s="54">
        <f t="shared" si="38"/>
        <v>0.39749999999185093</v>
      </c>
      <c r="S55" s="55">
        <v>138687.9</v>
      </c>
      <c r="T55" s="56" t="str">
        <f t="shared" si="35"/>
        <v/>
      </c>
      <c r="U55" s="56" t="str">
        <f t="shared" si="36"/>
        <v/>
      </c>
      <c r="V55" s="21"/>
      <c r="W55" s="142">
        <f t="shared" si="40"/>
        <v>0</v>
      </c>
    </row>
    <row r="56" spans="1:23" ht="63" x14ac:dyDescent="0.25">
      <c r="A56" s="61" t="s">
        <v>86</v>
      </c>
      <c r="B56" s="50" t="s">
        <v>31</v>
      </c>
      <c r="C56" s="51"/>
      <c r="D56" s="52"/>
      <c r="E56" s="53">
        <f t="shared" si="42"/>
        <v>0</v>
      </c>
      <c r="F56" s="53">
        <f t="shared" si="42"/>
        <v>0</v>
      </c>
      <c r="G56" s="53">
        <f t="shared" si="42"/>
        <v>0</v>
      </c>
      <c r="H56" s="53">
        <f t="shared" si="42"/>
        <v>0</v>
      </c>
      <c r="I56" s="53">
        <f t="shared" si="42"/>
        <v>0</v>
      </c>
      <c r="J56" s="53">
        <f t="shared" si="42"/>
        <v>0</v>
      </c>
      <c r="K56" s="53">
        <f t="shared" si="42"/>
        <v>0</v>
      </c>
      <c r="L56" s="132"/>
      <c r="M56" s="132"/>
      <c r="N56" s="132"/>
      <c r="O56" s="135">
        <v>0</v>
      </c>
      <c r="P56" s="132">
        <v>0</v>
      </c>
      <c r="Q56" s="54"/>
      <c r="R56" s="54">
        <f t="shared" si="38"/>
        <v>0</v>
      </c>
      <c r="S56" s="55">
        <f t="shared" si="39"/>
        <v>0</v>
      </c>
      <c r="T56" s="56" t="str">
        <f t="shared" si="35"/>
        <v/>
      </c>
      <c r="U56" s="56" t="str">
        <f t="shared" si="36"/>
        <v/>
      </c>
      <c r="V56" s="21"/>
      <c r="W56" s="142">
        <f t="shared" si="40"/>
        <v>0</v>
      </c>
    </row>
    <row r="57" spans="1:23" x14ac:dyDescent="0.25">
      <c r="A57" s="35" t="s">
        <v>24</v>
      </c>
      <c r="B57" s="50" t="s">
        <v>25</v>
      </c>
      <c r="C57" s="51" t="s">
        <v>87</v>
      </c>
      <c r="D57" s="52">
        <v>68227.8</v>
      </c>
      <c r="E57" s="53">
        <f t="shared" si="42"/>
        <v>68227.8</v>
      </c>
      <c r="F57" s="53">
        <f t="shared" si="42"/>
        <v>68227.8</v>
      </c>
      <c r="G57" s="53">
        <f t="shared" si="42"/>
        <v>68227.8</v>
      </c>
      <c r="H57" s="53">
        <f t="shared" si="42"/>
        <v>68227.8</v>
      </c>
      <c r="I57" s="53">
        <f t="shared" si="42"/>
        <v>68227.8</v>
      </c>
      <c r="J57" s="53">
        <f t="shared" si="42"/>
        <v>68227.8</v>
      </c>
      <c r="K57" s="53">
        <f t="shared" si="42"/>
        <v>68227.8</v>
      </c>
      <c r="L57" s="132">
        <v>61084.252760000003</v>
      </c>
      <c r="M57" s="132">
        <v>89.529858444798165</v>
      </c>
      <c r="N57" s="132">
        <v>61084.252760000003</v>
      </c>
      <c r="O57" s="132">
        <v>0</v>
      </c>
      <c r="P57" s="132">
        <v>7143.5472399999999</v>
      </c>
      <c r="Q57" s="54"/>
      <c r="R57" s="54">
        <f t="shared" si="38"/>
        <v>7143.5472399999999</v>
      </c>
      <c r="S57" s="55">
        <f t="shared" si="39"/>
        <v>68227.8</v>
      </c>
      <c r="T57" s="56" t="str">
        <f t="shared" si="35"/>
        <v/>
      </c>
      <c r="U57" s="56" t="str">
        <f t="shared" si="36"/>
        <v/>
      </c>
      <c r="V57" s="21"/>
      <c r="W57" s="142">
        <f t="shared" si="40"/>
        <v>0</v>
      </c>
    </row>
    <row r="58" spans="1:23" x14ac:dyDescent="0.25">
      <c r="A58" s="35" t="s">
        <v>26</v>
      </c>
      <c r="B58" s="50" t="s">
        <v>27</v>
      </c>
      <c r="C58" s="51" t="s">
        <v>87</v>
      </c>
      <c r="D58" s="52">
        <v>204683.4</v>
      </c>
      <c r="E58" s="53">
        <f t="shared" si="42"/>
        <v>204683.4</v>
      </c>
      <c r="F58" s="53">
        <f t="shared" si="42"/>
        <v>204683.4</v>
      </c>
      <c r="G58" s="53">
        <f t="shared" si="42"/>
        <v>204683.4</v>
      </c>
      <c r="H58" s="53">
        <f t="shared" si="42"/>
        <v>204683.4</v>
      </c>
      <c r="I58" s="53">
        <f t="shared" si="42"/>
        <v>204683.4</v>
      </c>
      <c r="J58" s="53">
        <f t="shared" si="42"/>
        <v>204683.4</v>
      </c>
      <c r="K58" s="53">
        <f t="shared" si="42"/>
        <v>204683.4</v>
      </c>
      <c r="L58" s="132">
        <v>183252.75832999995</v>
      </c>
      <c r="M58" s="132">
        <v>89.529858469226113</v>
      </c>
      <c r="N58" s="132">
        <v>183252.75833000001</v>
      </c>
      <c r="O58" s="132">
        <v>0</v>
      </c>
      <c r="P58" s="132">
        <v>21430.641670000041</v>
      </c>
      <c r="Q58" s="54"/>
      <c r="R58" s="54">
        <f t="shared" si="38"/>
        <v>21430.641670000041</v>
      </c>
      <c r="S58" s="55">
        <f t="shared" si="39"/>
        <v>204683.4</v>
      </c>
      <c r="T58" s="56" t="str">
        <f t="shared" si="35"/>
        <v/>
      </c>
      <c r="U58" s="56" t="str">
        <f t="shared" si="36"/>
        <v/>
      </c>
      <c r="V58" s="21"/>
      <c r="W58" s="142">
        <f t="shared" si="40"/>
        <v>0</v>
      </c>
    </row>
    <row r="59" spans="1:23" ht="47.25" x14ac:dyDescent="0.25">
      <c r="A59" s="57" t="s">
        <v>88</v>
      </c>
      <c r="B59" s="50" t="s">
        <v>31</v>
      </c>
      <c r="C59" s="51"/>
      <c r="D59" s="52"/>
      <c r="E59" s="53">
        <f t="shared" si="42"/>
        <v>0</v>
      </c>
      <c r="F59" s="53">
        <f t="shared" si="42"/>
        <v>0</v>
      </c>
      <c r="G59" s="53">
        <f t="shared" si="42"/>
        <v>0</v>
      </c>
      <c r="H59" s="53">
        <f t="shared" si="42"/>
        <v>0</v>
      </c>
      <c r="I59" s="53">
        <f t="shared" si="42"/>
        <v>0</v>
      </c>
      <c r="J59" s="53">
        <f t="shared" si="42"/>
        <v>0</v>
      </c>
      <c r="K59" s="53">
        <f>J59</f>
        <v>0</v>
      </c>
      <c r="L59" s="132"/>
      <c r="M59" s="132"/>
      <c r="N59" s="132"/>
      <c r="O59" s="132">
        <v>0</v>
      </c>
      <c r="P59" s="132">
        <v>0</v>
      </c>
      <c r="Q59" s="54"/>
      <c r="R59" s="54">
        <f>P59+Q59</f>
        <v>0</v>
      </c>
      <c r="S59" s="55">
        <f>J59</f>
        <v>0</v>
      </c>
      <c r="T59" s="56" t="str">
        <f>IF(S59-K59&gt;0,S59-K59,"")</f>
        <v/>
      </c>
      <c r="U59" s="56" t="str">
        <f>IF(S59-K59&lt;0,S59-K59,"")</f>
        <v/>
      </c>
      <c r="V59" s="21"/>
      <c r="W59" s="142">
        <f t="shared" si="40"/>
        <v>0</v>
      </c>
    </row>
    <row r="60" spans="1:23" x14ac:dyDescent="0.25">
      <c r="A60" s="35" t="s">
        <v>24</v>
      </c>
      <c r="B60" s="50" t="s">
        <v>25</v>
      </c>
      <c r="C60" s="51" t="s">
        <v>89</v>
      </c>
      <c r="D60" s="52">
        <v>3169.2</v>
      </c>
      <c r="E60" s="53">
        <f t="shared" si="42"/>
        <v>3169.2</v>
      </c>
      <c r="F60" s="53">
        <f t="shared" si="42"/>
        <v>3169.2</v>
      </c>
      <c r="G60" s="53">
        <f t="shared" si="42"/>
        <v>3169.2</v>
      </c>
      <c r="H60" s="53">
        <f t="shared" si="42"/>
        <v>3169.2</v>
      </c>
      <c r="I60" s="53">
        <f t="shared" si="42"/>
        <v>3169.2</v>
      </c>
      <c r="J60" s="53">
        <f t="shared" si="42"/>
        <v>3169.2</v>
      </c>
      <c r="K60" s="53">
        <f>J60</f>
        <v>3169.2</v>
      </c>
      <c r="L60" s="132">
        <v>0</v>
      </c>
      <c r="M60" s="132">
        <v>0</v>
      </c>
      <c r="N60" s="132"/>
      <c r="O60" s="132">
        <v>0</v>
      </c>
      <c r="P60" s="133">
        <v>3169.2</v>
      </c>
      <c r="Q60" s="66"/>
      <c r="R60" s="54">
        <f>P60+Q60</f>
        <v>3169.2</v>
      </c>
      <c r="S60" s="55">
        <f>J60</f>
        <v>3169.2</v>
      </c>
      <c r="T60" s="56" t="str">
        <f>IF(S60-K60&gt;0,S60-K60,"")</f>
        <v/>
      </c>
      <c r="U60" s="56" t="str">
        <f>IF(S60-K60&lt;0,S60-K60,"")</f>
        <v/>
      </c>
      <c r="V60" s="21"/>
      <c r="W60" s="142">
        <f t="shared" si="40"/>
        <v>0</v>
      </c>
    </row>
    <row r="61" spans="1:23" x14ac:dyDescent="0.25">
      <c r="A61" s="35" t="s">
        <v>26</v>
      </c>
      <c r="B61" s="50" t="s">
        <v>27</v>
      </c>
      <c r="C61" s="51" t="s">
        <v>89</v>
      </c>
      <c r="D61" s="52">
        <v>9507.6</v>
      </c>
      <c r="E61" s="53">
        <f t="shared" si="42"/>
        <v>9507.6</v>
      </c>
      <c r="F61" s="53">
        <f t="shared" si="42"/>
        <v>9507.6</v>
      </c>
      <c r="G61" s="53">
        <f t="shared" si="42"/>
        <v>9507.6</v>
      </c>
      <c r="H61" s="53">
        <f t="shared" si="42"/>
        <v>9507.6</v>
      </c>
      <c r="I61" s="53">
        <f t="shared" si="42"/>
        <v>9507.6</v>
      </c>
      <c r="J61" s="53">
        <f t="shared" si="42"/>
        <v>9507.6</v>
      </c>
      <c r="K61" s="53">
        <f>J61</f>
        <v>9507.6</v>
      </c>
      <c r="L61" s="132">
        <v>0</v>
      </c>
      <c r="M61" s="132">
        <v>0</v>
      </c>
      <c r="N61" s="132"/>
      <c r="O61" s="132">
        <v>0</v>
      </c>
      <c r="P61" s="133">
        <v>9507.6</v>
      </c>
      <c r="Q61" s="66"/>
      <c r="R61" s="54">
        <f>P61+Q61</f>
        <v>9507.6</v>
      </c>
      <c r="S61" s="55">
        <f>J61</f>
        <v>9507.6</v>
      </c>
      <c r="T61" s="56" t="str">
        <f>IF(S61-K61&gt;0,S61-K61,"")</f>
        <v/>
      </c>
      <c r="U61" s="56" t="str">
        <f>IF(S61-K61&lt;0,S61-K61,"")</f>
        <v/>
      </c>
      <c r="V61" s="21"/>
      <c r="W61" s="142">
        <f t="shared" si="40"/>
        <v>0</v>
      </c>
    </row>
    <row r="62" spans="1:23" ht="47.25" x14ac:dyDescent="0.25">
      <c r="A62" s="57" t="s">
        <v>90</v>
      </c>
      <c r="B62" s="50" t="s">
        <v>31</v>
      </c>
      <c r="C62" s="51"/>
      <c r="D62" s="52"/>
      <c r="E62" s="53"/>
      <c r="F62" s="53"/>
      <c r="G62" s="53"/>
      <c r="H62" s="53"/>
      <c r="I62" s="53"/>
      <c r="J62" s="53"/>
      <c r="K62" s="53">
        <f t="shared" si="42"/>
        <v>0</v>
      </c>
      <c r="L62" s="132"/>
      <c r="M62" s="132"/>
      <c r="N62" s="132"/>
      <c r="O62" s="132"/>
      <c r="P62" s="132">
        <v>0</v>
      </c>
      <c r="Q62" s="54"/>
      <c r="R62" s="54">
        <f t="shared" si="38"/>
        <v>0</v>
      </c>
      <c r="S62" s="55"/>
      <c r="T62" s="56"/>
      <c r="U62" s="56"/>
      <c r="V62" s="21"/>
      <c r="W62" s="142">
        <f t="shared" si="40"/>
        <v>0</v>
      </c>
    </row>
    <row r="63" spans="1:23" x14ac:dyDescent="0.25">
      <c r="A63" s="35" t="s">
        <v>24</v>
      </c>
      <c r="B63" s="50" t="s">
        <v>25</v>
      </c>
      <c r="C63" s="51" t="s">
        <v>91</v>
      </c>
      <c r="D63" s="52"/>
      <c r="E63" s="53"/>
      <c r="F63" s="58">
        <v>4566.2</v>
      </c>
      <c r="G63" s="53">
        <f t="shared" ref="G63:J64" si="43">F63</f>
        <v>4566.2</v>
      </c>
      <c r="H63" s="53">
        <f t="shared" si="43"/>
        <v>4566.2</v>
      </c>
      <c r="I63" s="53">
        <f t="shared" si="43"/>
        <v>4566.2</v>
      </c>
      <c r="J63" s="53">
        <f t="shared" si="43"/>
        <v>4566.2</v>
      </c>
      <c r="K63" s="53">
        <f t="shared" si="42"/>
        <v>4566.2</v>
      </c>
      <c r="L63" s="132"/>
      <c r="M63" s="132"/>
      <c r="N63" s="132"/>
      <c r="O63" s="132"/>
      <c r="P63" s="148">
        <f>G63</f>
        <v>4566.2</v>
      </c>
      <c r="Q63" s="54"/>
      <c r="R63" s="54">
        <f t="shared" si="38"/>
        <v>4566.2</v>
      </c>
      <c r="S63" s="55"/>
      <c r="T63" s="56"/>
      <c r="U63" s="56"/>
      <c r="V63" s="21"/>
      <c r="W63" s="142"/>
    </row>
    <row r="64" spans="1:23" x14ac:dyDescent="0.25">
      <c r="A64" s="35" t="s">
        <v>26</v>
      </c>
      <c r="B64" s="50" t="s">
        <v>27</v>
      </c>
      <c r="C64" s="51" t="s">
        <v>91</v>
      </c>
      <c r="D64" s="52"/>
      <c r="E64" s="53"/>
      <c r="F64" s="58">
        <v>13698.6</v>
      </c>
      <c r="G64" s="53">
        <f t="shared" si="43"/>
        <v>13698.6</v>
      </c>
      <c r="H64" s="53">
        <f t="shared" si="43"/>
        <v>13698.6</v>
      </c>
      <c r="I64" s="53">
        <f t="shared" si="43"/>
        <v>13698.6</v>
      </c>
      <c r="J64" s="53">
        <f t="shared" si="43"/>
        <v>13698.6</v>
      </c>
      <c r="K64" s="53">
        <f t="shared" si="42"/>
        <v>13698.6</v>
      </c>
      <c r="L64" s="132"/>
      <c r="M64" s="132"/>
      <c r="N64" s="132"/>
      <c r="O64" s="132"/>
      <c r="P64" s="148">
        <f>G64</f>
        <v>13698.6</v>
      </c>
      <c r="Q64" s="54"/>
      <c r="R64" s="54">
        <f t="shared" si="38"/>
        <v>13698.6</v>
      </c>
      <c r="S64" s="55"/>
      <c r="T64" s="56"/>
      <c r="U64" s="56"/>
      <c r="V64" s="21"/>
      <c r="W64" s="142"/>
    </row>
    <row r="65" spans="1:23" ht="31.5" x14ac:dyDescent="0.25">
      <c r="A65" s="57" t="s">
        <v>92</v>
      </c>
      <c r="B65" s="50" t="s">
        <v>31</v>
      </c>
      <c r="C65" s="51"/>
      <c r="D65" s="52"/>
      <c r="E65" s="53"/>
      <c r="F65" s="53"/>
      <c r="G65" s="53"/>
      <c r="H65" s="53"/>
      <c r="I65" s="53"/>
      <c r="J65" s="53"/>
      <c r="K65" s="53">
        <f t="shared" si="42"/>
        <v>0</v>
      </c>
      <c r="L65" s="132"/>
      <c r="M65" s="132"/>
      <c r="N65" s="132"/>
      <c r="O65" s="132"/>
      <c r="P65" s="133">
        <v>0</v>
      </c>
      <c r="Q65" s="54"/>
      <c r="R65" s="54">
        <f t="shared" si="38"/>
        <v>0</v>
      </c>
      <c r="S65" s="55"/>
      <c r="T65" s="56"/>
      <c r="U65" s="56"/>
      <c r="V65" s="21"/>
      <c r="W65" s="142">
        <f t="shared" si="40"/>
        <v>0</v>
      </c>
    </row>
    <row r="66" spans="1:23" x14ac:dyDescent="0.25">
      <c r="A66" s="35" t="s">
        <v>24</v>
      </c>
      <c r="B66" s="50" t="s">
        <v>25</v>
      </c>
      <c r="C66" s="51" t="s">
        <v>93</v>
      </c>
      <c r="D66" s="52"/>
      <c r="E66" s="53"/>
      <c r="F66" s="58">
        <v>506.6</v>
      </c>
      <c r="G66" s="53">
        <f t="shared" ref="G66:J67" si="44">F66</f>
        <v>506.6</v>
      </c>
      <c r="H66" s="53">
        <f t="shared" si="44"/>
        <v>506.6</v>
      </c>
      <c r="I66" s="53">
        <f t="shared" si="44"/>
        <v>506.6</v>
      </c>
      <c r="J66" s="53">
        <f t="shared" si="44"/>
        <v>506.6</v>
      </c>
      <c r="K66" s="53">
        <f t="shared" si="42"/>
        <v>506.6</v>
      </c>
      <c r="L66" s="132"/>
      <c r="M66" s="132"/>
      <c r="N66" s="132"/>
      <c r="O66" s="132"/>
      <c r="P66" s="133">
        <v>506.6</v>
      </c>
      <c r="Q66" s="54"/>
      <c r="R66" s="54">
        <f t="shared" si="38"/>
        <v>506.6</v>
      </c>
      <c r="S66" s="55"/>
      <c r="T66" s="56"/>
      <c r="U66" s="56"/>
      <c r="V66" s="21"/>
      <c r="W66" s="142">
        <f t="shared" si="40"/>
        <v>0</v>
      </c>
    </row>
    <row r="67" spans="1:23" x14ac:dyDescent="0.25">
      <c r="A67" s="35" t="s">
        <v>26</v>
      </c>
      <c r="B67" s="50" t="s">
        <v>27</v>
      </c>
      <c r="C67" s="51" t="s">
        <v>93</v>
      </c>
      <c r="D67" s="52"/>
      <c r="E67" s="53"/>
      <c r="F67" s="53"/>
      <c r="G67" s="148"/>
      <c r="H67" s="53">
        <f t="shared" si="44"/>
        <v>0</v>
      </c>
      <c r="I67" s="53">
        <f t="shared" si="44"/>
        <v>0</v>
      </c>
      <c r="J67" s="53">
        <f t="shared" si="44"/>
        <v>0</v>
      </c>
      <c r="K67" s="53">
        <f t="shared" si="42"/>
        <v>0</v>
      </c>
      <c r="L67" s="132"/>
      <c r="M67" s="132"/>
      <c r="N67" s="132"/>
      <c r="O67" s="132"/>
      <c r="P67" s="133"/>
      <c r="Q67" s="54"/>
      <c r="R67" s="54">
        <f t="shared" si="38"/>
        <v>0</v>
      </c>
      <c r="S67" s="55"/>
      <c r="T67" s="56"/>
      <c r="U67" s="56"/>
      <c r="V67" s="21"/>
      <c r="W67" s="142">
        <f t="shared" si="40"/>
        <v>0</v>
      </c>
    </row>
    <row r="68" spans="1:23" ht="31.5" x14ac:dyDescent="0.25">
      <c r="A68" s="41" t="s">
        <v>233</v>
      </c>
      <c r="B68" s="50" t="s">
        <v>31</v>
      </c>
      <c r="C68" s="51"/>
      <c r="D68" s="43">
        <f>D69+D70</f>
        <v>407475.10000000003</v>
      </c>
      <c r="E68" s="43">
        <f t="shared" ref="E68:K68" si="45">E69+E70</f>
        <v>457487.67390000005</v>
      </c>
      <c r="F68" s="43">
        <f t="shared" si="45"/>
        <v>465760</v>
      </c>
      <c r="G68" s="43">
        <f t="shared" si="45"/>
        <v>465760</v>
      </c>
      <c r="H68" s="43">
        <f t="shared" si="45"/>
        <v>465760</v>
      </c>
      <c r="I68" s="43">
        <f t="shared" si="45"/>
        <v>465760</v>
      </c>
      <c r="J68" s="43">
        <f t="shared" si="45"/>
        <v>465760</v>
      </c>
      <c r="K68" s="43">
        <f t="shared" si="45"/>
        <v>614753.29999999993</v>
      </c>
      <c r="L68" s="130">
        <v>101104.89964</v>
      </c>
      <c r="M68" s="136">
        <v>21.707510228443834</v>
      </c>
      <c r="N68" s="130">
        <v>101104.89964</v>
      </c>
      <c r="O68" s="130">
        <v>0</v>
      </c>
      <c r="P68" s="130">
        <v>364655.10036000004</v>
      </c>
      <c r="Q68" s="43">
        <f t="shared" ref="Q68:U68" si="46">Q69+Q70</f>
        <v>-25000</v>
      </c>
      <c r="R68" s="43">
        <f t="shared" si="46"/>
        <v>339655.10036000004</v>
      </c>
      <c r="S68" s="43">
        <f t="shared" si="46"/>
        <v>594173.5</v>
      </c>
      <c r="T68" s="43">
        <f t="shared" si="46"/>
        <v>0</v>
      </c>
      <c r="U68" s="43">
        <f t="shared" si="46"/>
        <v>-20579.8</v>
      </c>
      <c r="V68" s="21"/>
      <c r="W68" s="142">
        <f t="shared" si="40"/>
        <v>0</v>
      </c>
    </row>
    <row r="69" spans="1:23" x14ac:dyDescent="0.25">
      <c r="A69" s="35" t="s">
        <v>24</v>
      </c>
      <c r="B69" s="46" t="s">
        <v>25</v>
      </c>
      <c r="C69" s="51"/>
      <c r="D69" s="31">
        <f t="shared" ref="D69:K69" si="47">SUMIF($B$71:$B$94,"=01",D71:D94)</f>
        <v>260381.50000000003</v>
      </c>
      <c r="E69" s="31">
        <f t="shared" si="47"/>
        <v>310394.07390000002</v>
      </c>
      <c r="F69" s="31">
        <f t="shared" si="47"/>
        <v>318666.40000000002</v>
      </c>
      <c r="G69" s="31">
        <f t="shared" si="47"/>
        <v>318666.40000000002</v>
      </c>
      <c r="H69" s="31">
        <f t="shared" si="47"/>
        <v>318666.40000000002</v>
      </c>
      <c r="I69" s="31">
        <f t="shared" si="47"/>
        <v>318666.40000000002</v>
      </c>
      <c r="J69" s="31">
        <f t="shared" si="47"/>
        <v>318666.40000000002</v>
      </c>
      <c r="K69" s="31">
        <f t="shared" si="47"/>
        <v>467659.69999999995</v>
      </c>
      <c r="L69" s="129">
        <v>97980.251910000006</v>
      </c>
      <c r="M69" s="129">
        <v>30.746966705620675</v>
      </c>
      <c r="N69" s="129">
        <v>97980.251910000006</v>
      </c>
      <c r="O69" s="129">
        <v>0</v>
      </c>
      <c r="P69" s="129">
        <v>220686.14809000003</v>
      </c>
      <c r="Q69" s="31">
        <f t="shared" ref="Q69:U69" si="48">SUMIF($B$71:$B$94,"=01",Q71:Q94)</f>
        <v>-25000</v>
      </c>
      <c r="R69" s="31">
        <f t="shared" si="48"/>
        <v>195686.14809000003</v>
      </c>
      <c r="S69" s="31">
        <f t="shared" si="48"/>
        <v>447079.89999999997</v>
      </c>
      <c r="T69" s="31">
        <f t="shared" si="48"/>
        <v>0</v>
      </c>
      <c r="U69" s="31">
        <f t="shared" si="48"/>
        <v>-20579.8</v>
      </c>
      <c r="V69" s="21"/>
      <c r="W69" s="142">
        <f t="shared" si="40"/>
        <v>0</v>
      </c>
    </row>
    <row r="70" spans="1:23" x14ac:dyDescent="0.25">
      <c r="A70" s="35" t="s">
        <v>26</v>
      </c>
      <c r="B70" s="46" t="s">
        <v>27</v>
      </c>
      <c r="C70" s="51"/>
      <c r="D70" s="31">
        <f t="shared" ref="D70:K70" si="49">SUMIF($B$71:$B$94,"=02",D71:D94)</f>
        <v>147093.6</v>
      </c>
      <c r="E70" s="31">
        <f t="shared" si="49"/>
        <v>147093.6</v>
      </c>
      <c r="F70" s="31">
        <f t="shared" si="49"/>
        <v>147093.6</v>
      </c>
      <c r="G70" s="31">
        <f t="shared" si="49"/>
        <v>147093.6</v>
      </c>
      <c r="H70" s="31">
        <f t="shared" si="49"/>
        <v>147093.6</v>
      </c>
      <c r="I70" s="31">
        <f t="shared" si="49"/>
        <v>147093.6</v>
      </c>
      <c r="J70" s="31">
        <f t="shared" si="49"/>
        <v>147093.6</v>
      </c>
      <c r="K70" s="31">
        <f t="shared" si="49"/>
        <v>147093.6</v>
      </c>
      <c r="L70" s="129">
        <v>3124.6477299999997</v>
      </c>
      <c r="M70" s="129">
        <v>2.1242581118417112</v>
      </c>
      <c r="N70" s="129">
        <v>3124.6477299999997</v>
      </c>
      <c r="O70" s="129">
        <v>0</v>
      </c>
      <c r="P70" s="129">
        <v>143968.95227000001</v>
      </c>
      <c r="Q70" s="31">
        <f t="shared" ref="Q70:U70" si="50">SUMIF($B$71:$B$94,"=02",Q71:Q94)</f>
        <v>0</v>
      </c>
      <c r="R70" s="31">
        <f t="shared" si="50"/>
        <v>143968.95227000001</v>
      </c>
      <c r="S70" s="31">
        <f t="shared" si="50"/>
        <v>147093.6</v>
      </c>
      <c r="T70" s="31">
        <f t="shared" si="50"/>
        <v>0</v>
      </c>
      <c r="U70" s="31">
        <f t="shared" si="50"/>
        <v>0</v>
      </c>
      <c r="V70" s="21"/>
      <c r="W70" s="142">
        <f t="shared" si="40"/>
        <v>0</v>
      </c>
    </row>
    <row r="71" spans="1:23" ht="63" x14ac:dyDescent="0.25">
      <c r="A71" s="61" t="s">
        <v>94</v>
      </c>
      <c r="B71" s="50" t="s">
        <v>25</v>
      </c>
      <c r="C71" s="51" t="s">
        <v>95</v>
      </c>
      <c r="D71" s="52">
        <v>32720</v>
      </c>
      <c r="E71" s="53">
        <f t="shared" ref="E71:K84" si="51">D71</f>
        <v>32720</v>
      </c>
      <c r="F71" s="53">
        <f t="shared" si="51"/>
        <v>32720</v>
      </c>
      <c r="G71" s="53">
        <f t="shared" si="51"/>
        <v>32720</v>
      </c>
      <c r="H71" s="53">
        <f t="shared" si="51"/>
        <v>32720</v>
      </c>
      <c r="I71" s="53">
        <f t="shared" si="51"/>
        <v>32720</v>
      </c>
      <c r="J71" s="53">
        <f t="shared" si="51"/>
        <v>32720</v>
      </c>
      <c r="K71" s="69">
        <f>J71+41752</f>
        <v>74472</v>
      </c>
      <c r="L71" s="132">
        <v>32674.97611</v>
      </c>
      <c r="M71" s="132">
        <v>99.862396424205386</v>
      </c>
      <c r="N71" s="132">
        <v>32674.97611</v>
      </c>
      <c r="O71" s="132">
        <v>0</v>
      </c>
      <c r="P71" s="132">
        <v>45.023890000000392</v>
      </c>
      <c r="Q71" s="54"/>
      <c r="R71" s="54">
        <f>P71+Q71</f>
        <v>45.023890000000392</v>
      </c>
      <c r="S71" s="55">
        <v>74472</v>
      </c>
      <c r="T71" s="56" t="str">
        <f t="shared" ref="T71:T94" si="52">IF(S71-K71&gt;0,S71-K71,"")</f>
        <v/>
      </c>
      <c r="U71" s="56" t="str">
        <f t="shared" ref="U71:U94" si="53">IF(S71-K71&lt;0,S71-K71,"")</f>
        <v/>
      </c>
      <c r="V71" s="60" t="s">
        <v>58</v>
      </c>
      <c r="W71" s="142">
        <f t="shared" si="40"/>
        <v>0</v>
      </c>
    </row>
    <row r="72" spans="1:23" ht="63" x14ac:dyDescent="0.25">
      <c r="A72" s="61" t="s">
        <v>96</v>
      </c>
      <c r="B72" s="50" t="s">
        <v>25</v>
      </c>
      <c r="C72" s="51" t="s">
        <v>97</v>
      </c>
      <c r="D72" s="52">
        <v>10890</v>
      </c>
      <c r="E72" s="53">
        <f t="shared" si="51"/>
        <v>10890</v>
      </c>
      <c r="F72" s="53">
        <f t="shared" si="51"/>
        <v>10890</v>
      </c>
      <c r="G72" s="53">
        <f t="shared" si="51"/>
        <v>10890</v>
      </c>
      <c r="H72" s="53">
        <f t="shared" si="51"/>
        <v>10890</v>
      </c>
      <c r="I72" s="53">
        <f t="shared" si="51"/>
        <v>10890</v>
      </c>
      <c r="J72" s="53">
        <f t="shared" si="51"/>
        <v>10890</v>
      </c>
      <c r="K72" s="69">
        <f>J72+52241.3</f>
        <v>63131.3</v>
      </c>
      <c r="L72" s="132">
        <v>10026.838800000001</v>
      </c>
      <c r="M72" s="132">
        <v>92.073818181818183</v>
      </c>
      <c r="N72" s="132">
        <v>10026.8388</v>
      </c>
      <c r="O72" s="132">
        <v>0</v>
      </c>
      <c r="P72" s="135">
        <v>863.16119999999864</v>
      </c>
      <c r="Q72" s="54"/>
      <c r="R72" s="54">
        <f>P72+Q72</f>
        <v>863.16119999999864</v>
      </c>
      <c r="S72" s="55">
        <v>63131.3</v>
      </c>
      <c r="T72" s="56" t="str">
        <f t="shared" si="52"/>
        <v/>
      </c>
      <c r="U72" s="56" t="str">
        <f t="shared" si="53"/>
        <v/>
      </c>
      <c r="V72" s="21"/>
      <c r="W72" s="142">
        <f t="shared" si="40"/>
        <v>0</v>
      </c>
    </row>
    <row r="73" spans="1:23" ht="47.25" x14ac:dyDescent="0.25">
      <c r="A73" s="61" t="s">
        <v>98</v>
      </c>
      <c r="B73" s="50" t="s">
        <v>25</v>
      </c>
      <c r="C73" s="51" t="s">
        <v>99</v>
      </c>
      <c r="D73" s="52">
        <v>125351.2</v>
      </c>
      <c r="E73" s="53">
        <f t="shared" si="51"/>
        <v>125351.2</v>
      </c>
      <c r="F73" s="53">
        <f t="shared" si="51"/>
        <v>125351.2</v>
      </c>
      <c r="G73" s="53">
        <f t="shared" si="51"/>
        <v>125351.2</v>
      </c>
      <c r="H73" s="53">
        <f t="shared" si="51"/>
        <v>125351.2</v>
      </c>
      <c r="I73" s="53">
        <f t="shared" si="51"/>
        <v>125351.2</v>
      </c>
      <c r="J73" s="53">
        <f t="shared" si="51"/>
        <v>125351.2</v>
      </c>
      <c r="K73" s="53">
        <f t="shared" si="51"/>
        <v>125351.2</v>
      </c>
      <c r="L73" s="132">
        <v>46642.890599999992</v>
      </c>
      <c r="M73" s="132">
        <v>37.209767916063022</v>
      </c>
      <c r="N73" s="132">
        <v>46642.890599999999</v>
      </c>
      <c r="O73" s="132">
        <v>0</v>
      </c>
      <c r="P73" s="132">
        <v>78708.309399999998</v>
      </c>
      <c r="Q73" s="54"/>
      <c r="R73" s="54">
        <f>P73+Q73</f>
        <v>78708.309399999998</v>
      </c>
      <c r="S73" s="55">
        <f>J73</f>
        <v>125351.2</v>
      </c>
      <c r="T73" s="56" t="str">
        <f t="shared" si="52"/>
        <v/>
      </c>
      <c r="U73" s="56" t="str">
        <f t="shared" si="53"/>
        <v/>
      </c>
      <c r="V73" s="21"/>
      <c r="W73" s="142">
        <f t="shared" si="40"/>
        <v>0</v>
      </c>
    </row>
    <row r="74" spans="1:23" ht="31.5" x14ac:dyDescent="0.25">
      <c r="A74" s="61" t="s">
        <v>100</v>
      </c>
      <c r="B74" s="50" t="s">
        <v>25</v>
      </c>
      <c r="C74" s="51" t="s">
        <v>101</v>
      </c>
      <c r="D74" s="52">
        <v>15000</v>
      </c>
      <c r="E74" s="53">
        <f t="shared" si="51"/>
        <v>15000</v>
      </c>
      <c r="F74" s="53">
        <f t="shared" si="51"/>
        <v>15000</v>
      </c>
      <c r="G74" s="53">
        <f t="shared" si="51"/>
        <v>15000</v>
      </c>
      <c r="H74" s="53">
        <f t="shared" si="51"/>
        <v>15000</v>
      </c>
      <c r="I74" s="53">
        <f t="shared" si="51"/>
        <v>15000</v>
      </c>
      <c r="J74" s="53">
        <f t="shared" si="51"/>
        <v>15000</v>
      </c>
      <c r="K74" s="53">
        <f t="shared" si="51"/>
        <v>15000</v>
      </c>
      <c r="L74" s="132">
        <v>0</v>
      </c>
      <c r="M74" s="132">
        <v>0</v>
      </c>
      <c r="N74" s="132"/>
      <c r="O74" s="132">
        <v>0</v>
      </c>
      <c r="P74" s="132">
        <v>15000</v>
      </c>
      <c r="Q74" s="54">
        <v>-15000</v>
      </c>
      <c r="R74" s="54">
        <f t="shared" si="38"/>
        <v>0</v>
      </c>
      <c r="S74" s="55">
        <f t="shared" ref="S74:S75" si="54">J74</f>
        <v>15000</v>
      </c>
      <c r="T74" s="56" t="str">
        <f t="shared" si="52"/>
        <v/>
      </c>
      <c r="U74" s="56" t="str">
        <f t="shared" si="53"/>
        <v/>
      </c>
      <c r="V74" s="21"/>
      <c r="W74" s="142">
        <f t="shared" si="40"/>
        <v>0</v>
      </c>
    </row>
    <row r="75" spans="1:23" ht="47.25" x14ac:dyDescent="0.25">
      <c r="A75" s="61" t="s">
        <v>102</v>
      </c>
      <c r="B75" s="50" t="s">
        <v>25</v>
      </c>
      <c r="C75" s="51" t="s">
        <v>103</v>
      </c>
      <c r="D75" s="52">
        <v>14382.2</v>
      </c>
      <c r="E75" s="53">
        <f t="shared" si="51"/>
        <v>14382.2</v>
      </c>
      <c r="F75" s="58">
        <f>E75-13162</f>
        <v>1220.2000000000007</v>
      </c>
      <c r="G75" s="53">
        <f t="shared" si="51"/>
        <v>1220.2000000000007</v>
      </c>
      <c r="H75" s="53">
        <f t="shared" si="51"/>
        <v>1220.2000000000007</v>
      </c>
      <c r="I75" s="53">
        <f t="shared" si="51"/>
        <v>1220.2000000000007</v>
      </c>
      <c r="J75" s="53">
        <f t="shared" si="51"/>
        <v>1220.2000000000007</v>
      </c>
      <c r="K75" s="53">
        <f t="shared" si="51"/>
        <v>1220.2000000000007</v>
      </c>
      <c r="L75" s="132">
        <v>945.40292999999997</v>
      </c>
      <c r="M75" s="132">
        <v>77.479341911162052</v>
      </c>
      <c r="N75" s="132">
        <v>945.40292999999997</v>
      </c>
      <c r="O75" s="132">
        <v>0</v>
      </c>
      <c r="P75" s="132">
        <v>274.79707000000076</v>
      </c>
      <c r="Q75" s="54"/>
      <c r="R75" s="54">
        <f t="shared" si="38"/>
        <v>274.79707000000076</v>
      </c>
      <c r="S75" s="55">
        <f t="shared" si="54"/>
        <v>1220.2000000000007</v>
      </c>
      <c r="T75" s="56" t="str">
        <f t="shared" si="52"/>
        <v/>
      </c>
      <c r="U75" s="56" t="str">
        <f t="shared" si="53"/>
        <v/>
      </c>
      <c r="V75" s="21"/>
      <c r="W75" s="142">
        <f t="shared" si="40"/>
        <v>0</v>
      </c>
    </row>
    <row r="76" spans="1:23" ht="94.5" x14ac:dyDescent="0.25">
      <c r="A76" s="61" t="s">
        <v>104</v>
      </c>
      <c r="B76" s="50" t="s">
        <v>25</v>
      </c>
      <c r="C76" s="51" t="s">
        <v>105</v>
      </c>
      <c r="D76" s="52"/>
      <c r="E76" s="53"/>
      <c r="F76" s="58">
        <v>12281.5</v>
      </c>
      <c r="G76" s="53">
        <f t="shared" si="51"/>
        <v>12281.5</v>
      </c>
      <c r="H76" s="53">
        <f t="shared" si="51"/>
        <v>12281.5</v>
      </c>
      <c r="I76" s="53">
        <f t="shared" si="51"/>
        <v>12281.5</v>
      </c>
      <c r="J76" s="53">
        <f t="shared" si="51"/>
        <v>12281.5</v>
      </c>
      <c r="K76" s="53">
        <f t="shared" si="51"/>
        <v>12281.5</v>
      </c>
      <c r="L76" s="132">
        <v>0</v>
      </c>
      <c r="M76" s="132"/>
      <c r="N76" s="132"/>
      <c r="O76" s="132">
        <v>0</v>
      </c>
      <c r="P76" s="132">
        <v>12281.5</v>
      </c>
      <c r="Q76" s="54">
        <v>-10000</v>
      </c>
      <c r="R76" s="54">
        <f t="shared" si="38"/>
        <v>2281.5</v>
      </c>
      <c r="S76" s="55">
        <v>616.6</v>
      </c>
      <c r="T76" s="56" t="str">
        <f t="shared" si="52"/>
        <v/>
      </c>
      <c r="U76" s="56">
        <f t="shared" si="53"/>
        <v>-11664.9</v>
      </c>
      <c r="V76" s="21"/>
      <c r="W76" s="142">
        <f t="shared" si="40"/>
        <v>0</v>
      </c>
    </row>
    <row r="77" spans="1:23" ht="47.25" x14ac:dyDescent="0.25">
      <c r="A77" s="61" t="s">
        <v>106</v>
      </c>
      <c r="B77" s="50" t="s">
        <v>25</v>
      </c>
      <c r="C77" s="51" t="s">
        <v>107</v>
      </c>
      <c r="D77" s="52">
        <v>612.1</v>
      </c>
      <c r="E77" s="53">
        <f t="shared" si="51"/>
        <v>612.1</v>
      </c>
      <c r="F77" s="58">
        <f>E77+880.5</f>
        <v>1492.6</v>
      </c>
      <c r="G77" s="53">
        <f t="shared" si="51"/>
        <v>1492.6</v>
      </c>
      <c r="H77" s="53">
        <f t="shared" si="51"/>
        <v>1492.6</v>
      </c>
      <c r="I77" s="53">
        <f t="shared" si="51"/>
        <v>1492.6</v>
      </c>
      <c r="J77" s="53">
        <f t="shared" si="51"/>
        <v>1492.6</v>
      </c>
      <c r="K77" s="53">
        <f t="shared" si="51"/>
        <v>1492.6</v>
      </c>
      <c r="L77" s="132">
        <v>525.96424999999999</v>
      </c>
      <c r="M77" s="132">
        <v>35.238124748760555</v>
      </c>
      <c r="N77" s="132">
        <v>525.96424999999999</v>
      </c>
      <c r="O77" s="132">
        <v>0</v>
      </c>
      <c r="P77" s="132">
        <v>966.63574999999992</v>
      </c>
      <c r="Q77" s="54"/>
      <c r="R77" s="54">
        <f t="shared" si="38"/>
        <v>966.63574999999992</v>
      </c>
      <c r="S77" s="55">
        <v>850</v>
      </c>
      <c r="T77" s="56" t="str">
        <f t="shared" si="52"/>
        <v/>
      </c>
      <c r="U77" s="56">
        <f t="shared" si="53"/>
        <v>-642.59999999999991</v>
      </c>
      <c r="V77" s="21"/>
      <c r="W77" s="142">
        <f t="shared" si="40"/>
        <v>0</v>
      </c>
    </row>
    <row r="78" spans="1:23" ht="31.5" x14ac:dyDescent="0.25">
      <c r="A78" s="61" t="s">
        <v>108</v>
      </c>
      <c r="B78" s="50" t="s">
        <v>25</v>
      </c>
      <c r="C78" s="51" t="s">
        <v>109</v>
      </c>
      <c r="D78" s="52">
        <v>20000</v>
      </c>
      <c r="E78" s="53">
        <f t="shared" si="51"/>
        <v>20000</v>
      </c>
      <c r="F78" s="53">
        <f t="shared" si="51"/>
        <v>20000</v>
      </c>
      <c r="G78" s="53">
        <f t="shared" si="51"/>
        <v>20000</v>
      </c>
      <c r="H78" s="53">
        <f t="shared" si="51"/>
        <v>20000</v>
      </c>
      <c r="I78" s="53">
        <f t="shared" si="51"/>
        <v>20000</v>
      </c>
      <c r="J78" s="53">
        <f t="shared" si="51"/>
        <v>20000</v>
      </c>
      <c r="K78" s="69">
        <f>J78+55000</f>
        <v>75000</v>
      </c>
      <c r="L78" s="132">
        <v>0</v>
      </c>
      <c r="M78" s="132">
        <v>0</v>
      </c>
      <c r="N78" s="132"/>
      <c r="O78" s="132">
        <v>0</v>
      </c>
      <c r="P78" s="132">
        <v>20000</v>
      </c>
      <c r="Q78" s="54"/>
      <c r="R78" s="54">
        <f t="shared" si="38"/>
        <v>20000</v>
      </c>
      <c r="S78" s="55">
        <v>75000</v>
      </c>
      <c r="T78" s="56" t="str">
        <f t="shared" si="52"/>
        <v/>
      </c>
      <c r="U78" s="56" t="str">
        <f t="shared" si="53"/>
        <v/>
      </c>
      <c r="V78" s="21"/>
      <c r="W78" s="142">
        <f t="shared" si="40"/>
        <v>0</v>
      </c>
    </row>
    <row r="79" spans="1:23" ht="31.5" x14ac:dyDescent="0.25">
      <c r="A79" s="57" t="s">
        <v>110</v>
      </c>
      <c r="B79" s="50"/>
      <c r="C79" s="51"/>
      <c r="D79" s="52"/>
      <c r="E79" s="53">
        <f t="shared" si="51"/>
        <v>0</v>
      </c>
      <c r="F79" s="53">
        <f t="shared" si="51"/>
        <v>0</v>
      </c>
      <c r="G79" s="53">
        <f t="shared" si="51"/>
        <v>0</v>
      </c>
      <c r="H79" s="53">
        <f t="shared" si="51"/>
        <v>0</v>
      </c>
      <c r="I79" s="53">
        <f t="shared" si="51"/>
        <v>0</v>
      </c>
      <c r="J79" s="53">
        <f t="shared" si="51"/>
        <v>0</v>
      </c>
      <c r="K79" s="53">
        <f t="shared" si="51"/>
        <v>0</v>
      </c>
      <c r="L79" s="132"/>
      <c r="M79" s="132"/>
      <c r="N79" s="132"/>
      <c r="O79" s="132">
        <v>0</v>
      </c>
      <c r="P79" s="132">
        <v>0</v>
      </c>
      <c r="Q79" s="54"/>
      <c r="R79" s="54">
        <f t="shared" si="38"/>
        <v>0</v>
      </c>
      <c r="S79" s="55">
        <f t="shared" ref="S79:S84" si="55">J79</f>
        <v>0</v>
      </c>
      <c r="T79" s="56" t="str">
        <f t="shared" si="52"/>
        <v/>
      </c>
      <c r="U79" s="56" t="str">
        <f t="shared" si="53"/>
        <v/>
      </c>
      <c r="V79" s="21"/>
      <c r="W79" s="142">
        <f t="shared" si="40"/>
        <v>0</v>
      </c>
    </row>
    <row r="80" spans="1:23" x14ac:dyDescent="0.25">
      <c r="A80" s="35" t="s">
        <v>24</v>
      </c>
      <c r="B80" s="50" t="s">
        <v>25</v>
      </c>
      <c r="C80" s="70" t="s">
        <v>111</v>
      </c>
      <c r="D80" s="52">
        <v>22500</v>
      </c>
      <c r="E80" s="53">
        <f t="shared" si="51"/>
        <v>22500</v>
      </c>
      <c r="F80" s="53">
        <f t="shared" si="51"/>
        <v>22500</v>
      </c>
      <c r="G80" s="53">
        <f t="shared" si="51"/>
        <v>22500</v>
      </c>
      <c r="H80" s="53">
        <f t="shared" si="51"/>
        <v>22500</v>
      </c>
      <c r="I80" s="53">
        <f t="shared" si="51"/>
        <v>22500</v>
      </c>
      <c r="J80" s="53">
        <f t="shared" si="51"/>
        <v>22500</v>
      </c>
      <c r="K80" s="53">
        <f t="shared" si="51"/>
        <v>22500</v>
      </c>
      <c r="L80" s="132">
        <v>0</v>
      </c>
      <c r="M80" s="132">
        <v>0</v>
      </c>
      <c r="N80" s="132"/>
      <c r="O80" s="132">
        <v>0</v>
      </c>
      <c r="P80" s="132">
        <v>22500</v>
      </c>
      <c r="Q80" s="54"/>
      <c r="R80" s="54">
        <f t="shared" si="38"/>
        <v>22500</v>
      </c>
      <c r="S80" s="55">
        <f t="shared" si="55"/>
        <v>22500</v>
      </c>
      <c r="T80" s="56" t="str">
        <f t="shared" si="52"/>
        <v/>
      </c>
      <c r="U80" s="56" t="str">
        <f t="shared" si="53"/>
        <v/>
      </c>
      <c r="V80" s="21"/>
      <c r="W80" s="142">
        <f t="shared" si="40"/>
        <v>0</v>
      </c>
    </row>
    <row r="81" spans="1:23" x14ac:dyDescent="0.25">
      <c r="A81" s="35" t="s">
        <v>26</v>
      </c>
      <c r="B81" s="50" t="s">
        <v>27</v>
      </c>
      <c r="C81" s="70" t="s">
        <v>111</v>
      </c>
      <c r="D81" s="52">
        <v>67500</v>
      </c>
      <c r="E81" s="53">
        <f t="shared" si="51"/>
        <v>67500</v>
      </c>
      <c r="F81" s="53">
        <f t="shared" si="51"/>
        <v>67500</v>
      </c>
      <c r="G81" s="53">
        <f t="shared" si="51"/>
        <v>67500</v>
      </c>
      <c r="H81" s="53">
        <f t="shared" si="51"/>
        <v>67500</v>
      </c>
      <c r="I81" s="53">
        <f t="shared" si="51"/>
        <v>67500</v>
      </c>
      <c r="J81" s="53">
        <f t="shared" si="51"/>
        <v>67500</v>
      </c>
      <c r="K81" s="53">
        <f t="shared" si="51"/>
        <v>67500</v>
      </c>
      <c r="L81" s="132">
        <v>0</v>
      </c>
      <c r="M81" s="132">
        <v>0</v>
      </c>
      <c r="N81" s="132"/>
      <c r="O81" s="132">
        <v>0</v>
      </c>
      <c r="P81" s="132">
        <v>67500</v>
      </c>
      <c r="Q81" s="54"/>
      <c r="R81" s="54">
        <f t="shared" si="38"/>
        <v>67500</v>
      </c>
      <c r="S81" s="55">
        <f t="shared" si="55"/>
        <v>67500</v>
      </c>
      <c r="T81" s="56" t="str">
        <f t="shared" si="52"/>
        <v/>
      </c>
      <c r="U81" s="56" t="str">
        <f t="shared" si="53"/>
        <v/>
      </c>
      <c r="V81" s="21"/>
      <c r="W81" s="142">
        <f t="shared" si="40"/>
        <v>0</v>
      </c>
    </row>
    <row r="82" spans="1:23" ht="47.25" x14ac:dyDescent="0.25">
      <c r="A82" s="57" t="s">
        <v>112</v>
      </c>
      <c r="B82" s="50"/>
      <c r="C82" s="51"/>
      <c r="D82" s="52"/>
      <c r="E82" s="53">
        <f t="shared" si="51"/>
        <v>0</v>
      </c>
      <c r="F82" s="53">
        <f t="shared" si="51"/>
        <v>0</v>
      </c>
      <c r="G82" s="53">
        <f t="shared" si="51"/>
        <v>0</v>
      </c>
      <c r="H82" s="53">
        <f t="shared" si="51"/>
        <v>0</v>
      </c>
      <c r="I82" s="53">
        <f t="shared" si="51"/>
        <v>0</v>
      </c>
      <c r="J82" s="53">
        <f t="shared" si="51"/>
        <v>0</v>
      </c>
      <c r="K82" s="53">
        <f t="shared" si="51"/>
        <v>0</v>
      </c>
      <c r="L82" s="132"/>
      <c r="M82" s="132"/>
      <c r="N82" s="132"/>
      <c r="O82" s="132">
        <v>0</v>
      </c>
      <c r="P82" s="132">
        <v>0</v>
      </c>
      <c r="Q82" s="54"/>
      <c r="R82" s="54">
        <f t="shared" si="38"/>
        <v>0</v>
      </c>
      <c r="S82" s="55">
        <f t="shared" si="55"/>
        <v>0</v>
      </c>
      <c r="T82" s="56" t="str">
        <f t="shared" si="52"/>
        <v/>
      </c>
      <c r="U82" s="56" t="str">
        <f t="shared" si="53"/>
        <v/>
      </c>
      <c r="V82" s="21"/>
      <c r="W82" s="142">
        <f t="shared" si="40"/>
        <v>0</v>
      </c>
    </row>
    <row r="83" spans="1:23" x14ac:dyDescent="0.25">
      <c r="A83" s="35" t="s">
        <v>24</v>
      </c>
      <c r="B83" s="50" t="s">
        <v>25</v>
      </c>
      <c r="C83" s="70" t="s">
        <v>113</v>
      </c>
      <c r="D83" s="52">
        <v>17500</v>
      </c>
      <c r="E83" s="53">
        <f t="shared" si="51"/>
        <v>17500</v>
      </c>
      <c r="F83" s="53">
        <f t="shared" si="51"/>
        <v>17500</v>
      </c>
      <c r="G83" s="53">
        <f t="shared" si="51"/>
        <v>17500</v>
      </c>
      <c r="H83" s="53">
        <f t="shared" si="51"/>
        <v>17500</v>
      </c>
      <c r="I83" s="53">
        <f t="shared" si="51"/>
        <v>17500</v>
      </c>
      <c r="J83" s="53">
        <f t="shared" si="51"/>
        <v>17500</v>
      </c>
      <c r="K83" s="53">
        <f t="shared" si="51"/>
        <v>17500</v>
      </c>
      <c r="L83" s="132">
        <v>0</v>
      </c>
      <c r="M83" s="132">
        <v>0</v>
      </c>
      <c r="N83" s="132"/>
      <c r="O83" s="132">
        <v>0</v>
      </c>
      <c r="P83" s="132">
        <v>17500</v>
      </c>
      <c r="Q83" s="54"/>
      <c r="R83" s="54">
        <f t="shared" si="38"/>
        <v>17500</v>
      </c>
      <c r="S83" s="55">
        <f t="shared" si="55"/>
        <v>17500</v>
      </c>
      <c r="T83" s="56" t="str">
        <f t="shared" si="52"/>
        <v/>
      </c>
      <c r="U83" s="56" t="str">
        <f t="shared" si="53"/>
        <v/>
      </c>
      <c r="V83" s="21"/>
      <c r="W83" s="142">
        <f t="shared" si="40"/>
        <v>0</v>
      </c>
    </row>
    <row r="84" spans="1:23" x14ac:dyDescent="0.25">
      <c r="A84" s="35" t="s">
        <v>26</v>
      </c>
      <c r="B84" s="50" t="s">
        <v>27</v>
      </c>
      <c r="C84" s="70" t="s">
        <v>113</v>
      </c>
      <c r="D84" s="52">
        <v>52500</v>
      </c>
      <c r="E84" s="53">
        <f t="shared" si="51"/>
        <v>52500</v>
      </c>
      <c r="F84" s="53">
        <f t="shared" si="51"/>
        <v>52500</v>
      </c>
      <c r="G84" s="53">
        <f t="shared" si="51"/>
        <v>52500</v>
      </c>
      <c r="H84" s="53">
        <f t="shared" si="51"/>
        <v>52500</v>
      </c>
      <c r="I84" s="53">
        <f t="shared" si="51"/>
        <v>52500</v>
      </c>
      <c r="J84" s="53">
        <f t="shared" si="51"/>
        <v>52500</v>
      </c>
      <c r="K84" s="53">
        <f t="shared" si="51"/>
        <v>52500</v>
      </c>
      <c r="L84" s="132">
        <v>0</v>
      </c>
      <c r="M84" s="132">
        <v>0</v>
      </c>
      <c r="N84" s="132"/>
      <c r="O84" s="132">
        <v>0</v>
      </c>
      <c r="P84" s="132">
        <v>52500</v>
      </c>
      <c r="Q84" s="54"/>
      <c r="R84" s="54">
        <f t="shared" si="38"/>
        <v>52500</v>
      </c>
      <c r="S84" s="55">
        <f t="shared" si="55"/>
        <v>52500</v>
      </c>
      <c r="T84" s="56" t="str">
        <f t="shared" si="52"/>
        <v/>
      </c>
      <c r="U84" s="56" t="str">
        <f t="shared" si="53"/>
        <v/>
      </c>
      <c r="V84" s="21"/>
      <c r="W84" s="142">
        <f t="shared" si="40"/>
        <v>0</v>
      </c>
    </row>
    <row r="85" spans="1:23" ht="47.25" x14ac:dyDescent="0.25">
      <c r="A85" s="57" t="s">
        <v>114</v>
      </c>
      <c r="B85" s="50"/>
      <c r="C85" s="51"/>
      <c r="D85" s="52"/>
      <c r="E85" s="53"/>
      <c r="F85" s="53"/>
      <c r="G85" s="53"/>
      <c r="H85" s="53"/>
      <c r="I85" s="53"/>
      <c r="J85" s="53"/>
      <c r="K85" s="53"/>
      <c r="L85" s="132"/>
      <c r="M85" s="132"/>
      <c r="N85" s="132"/>
      <c r="O85" s="132">
        <v>0</v>
      </c>
      <c r="P85" s="132"/>
      <c r="Q85" s="54"/>
      <c r="R85" s="54">
        <f t="shared" ref="R85:R148" si="56">P85+Q85</f>
        <v>0</v>
      </c>
      <c r="S85" s="55"/>
      <c r="T85" s="56" t="str">
        <f t="shared" si="52"/>
        <v/>
      </c>
      <c r="U85" s="56" t="str">
        <f t="shared" si="53"/>
        <v/>
      </c>
      <c r="V85" s="21"/>
      <c r="W85" s="142">
        <f t="shared" ref="W85:W148" si="57">G85-L85-P85</f>
        <v>0</v>
      </c>
    </row>
    <row r="86" spans="1:23" x14ac:dyDescent="0.25">
      <c r="A86" s="35" t="s">
        <v>24</v>
      </c>
      <c r="B86" s="50" t="s">
        <v>25</v>
      </c>
      <c r="C86" s="70" t="s">
        <v>115</v>
      </c>
      <c r="D86" s="52">
        <v>1050</v>
      </c>
      <c r="E86" s="71">
        <f>D86+36826.08695</f>
        <v>37876.086949999997</v>
      </c>
      <c r="F86" s="53">
        <v>37876.1</v>
      </c>
      <c r="G86" s="53">
        <f t="shared" ref="G86:K94" si="58">F86</f>
        <v>37876.1</v>
      </c>
      <c r="H86" s="53">
        <f t="shared" si="58"/>
        <v>37876.1</v>
      </c>
      <c r="I86" s="53">
        <f t="shared" si="58"/>
        <v>37876.1</v>
      </c>
      <c r="J86" s="53">
        <f t="shared" si="58"/>
        <v>37876.1</v>
      </c>
      <c r="K86" s="53">
        <f t="shared" si="58"/>
        <v>37876.1</v>
      </c>
      <c r="L86" s="132">
        <v>0</v>
      </c>
      <c r="M86" s="132">
        <v>0</v>
      </c>
      <c r="N86" s="132"/>
      <c r="O86" s="132">
        <v>0</v>
      </c>
      <c r="P86" s="132">
        <v>37876.1</v>
      </c>
      <c r="Q86" s="54"/>
      <c r="R86" s="54">
        <f t="shared" si="56"/>
        <v>37876.1</v>
      </c>
      <c r="S86" s="55">
        <f t="shared" ref="S86:S98" si="59">J86</f>
        <v>37876.1</v>
      </c>
      <c r="T86" s="56" t="str">
        <f t="shared" si="52"/>
        <v/>
      </c>
      <c r="U86" s="56" t="str">
        <f t="shared" si="53"/>
        <v/>
      </c>
      <c r="V86" s="21"/>
      <c r="W86" s="142">
        <f t="shared" si="57"/>
        <v>0</v>
      </c>
    </row>
    <row r="87" spans="1:23" x14ac:dyDescent="0.25">
      <c r="A87" s="35" t="s">
        <v>26</v>
      </c>
      <c r="B87" s="50" t="s">
        <v>27</v>
      </c>
      <c r="C87" s="70" t="s">
        <v>115</v>
      </c>
      <c r="D87" s="52">
        <v>19950</v>
      </c>
      <c r="E87" s="53">
        <f t="shared" ref="E87:F94" si="60">D87</f>
        <v>19950</v>
      </c>
      <c r="F87" s="53">
        <f t="shared" si="60"/>
        <v>19950</v>
      </c>
      <c r="G87" s="53">
        <f t="shared" si="58"/>
        <v>19950</v>
      </c>
      <c r="H87" s="53">
        <f t="shared" si="58"/>
        <v>19950</v>
      </c>
      <c r="I87" s="53">
        <f t="shared" si="58"/>
        <v>19950</v>
      </c>
      <c r="J87" s="53">
        <f t="shared" si="58"/>
        <v>19950</v>
      </c>
      <c r="K87" s="53">
        <f t="shared" si="58"/>
        <v>19950</v>
      </c>
      <c r="L87" s="132">
        <v>0</v>
      </c>
      <c r="M87" s="132">
        <v>0</v>
      </c>
      <c r="N87" s="132"/>
      <c r="O87" s="132">
        <v>0</v>
      </c>
      <c r="P87" s="132">
        <v>19950</v>
      </c>
      <c r="Q87" s="54"/>
      <c r="R87" s="54">
        <f t="shared" si="56"/>
        <v>19950</v>
      </c>
      <c r="S87" s="55">
        <f t="shared" si="59"/>
        <v>19950</v>
      </c>
      <c r="T87" s="56" t="str">
        <f t="shared" si="52"/>
        <v/>
      </c>
      <c r="U87" s="56" t="str">
        <f t="shared" si="53"/>
        <v/>
      </c>
      <c r="V87" s="21"/>
      <c r="W87" s="142">
        <f t="shared" si="57"/>
        <v>0</v>
      </c>
    </row>
    <row r="88" spans="1:23" ht="31.5" x14ac:dyDescent="0.25">
      <c r="A88" s="57" t="s">
        <v>116</v>
      </c>
      <c r="B88" s="50"/>
      <c r="D88" s="52"/>
      <c r="E88" s="53">
        <f t="shared" si="60"/>
        <v>0</v>
      </c>
      <c r="F88" s="53">
        <f t="shared" si="60"/>
        <v>0</v>
      </c>
      <c r="G88" s="53">
        <f t="shared" si="58"/>
        <v>0</v>
      </c>
      <c r="H88" s="53">
        <f t="shared" si="58"/>
        <v>0</v>
      </c>
      <c r="I88" s="53">
        <f t="shared" si="58"/>
        <v>0</v>
      </c>
      <c r="J88" s="53">
        <f t="shared" si="58"/>
        <v>0</v>
      </c>
      <c r="K88" s="53">
        <f t="shared" si="58"/>
        <v>0</v>
      </c>
      <c r="L88" s="132"/>
      <c r="M88" s="132"/>
      <c r="N88" s="132"/>
      <c r="O88" s="132">
        <v>0</v>
      </c>
      <c r="P88" s="132">
        <v>0</v>
      </c>
      <c r="Q88" s="54"/>
      <c r="R88" s="54">
        <f t="shared" si="56"/>
        <v>0</v>
      </c>
      <c r="S88" s="55">
        <f t="shared" si="59"/>
        <v>0</v>
      </c>
      <c r="T88" s="56" t="str">
        <f t="shared" si="52"/>
        <v/>
      </c>
      <c r="U88" s="56" t="str">
        <f t="shared" si="53"/>
        <v/>
      </c>
      <c r="V88" s="21"/>
      <c r="W88" s="142">
        <f t="shared" si="57"/>
        <v>0</v>
      </c>
    </row>
    <row r="89" spans="1:23" x14ac:dyDescent="0.25">
      <c r="A89" s="35" t="s">
        <v>24</v>
      </c>
      <c r="B89" s="50" t="s">
        <v>25</v>
      </c>
      <c r="C89" s="72" t="s">
        <v>117</v>
      </c>
      <c r="D89" s="52">
        <v>218.1</v>
      </c>
      <c r="E89" s="71">
        <f>D89+7648.73478</f>
        <v>7866.8347800000001</v>
      </c>
      <c r="F89" s="53">
        <v>7866.8</v>
      </c>
      <c r="G89" s="53">
        <f t="shared" si="58"/>
        <v>7866.8</v>
      </c>
      <c r="H89" s="53">
        <f t="shared" si="58"/>
        <v>7866.8</v>
      </c>
      <c r="I89" s="53">
        <f t="shared" si="58"/>
        <v>7866.8</v>
      </c>
      <c r="J89" s="53">
        <f t="shared" si="58"/>
        <v>7866.8</v>
      </c>
      <c r="K89" s="53">
        <f t="shared" si="58"/>
        <v>7866.8</v>
      </c>
      <c r="L89" s="132">
        <v>3427.9043700000002</v>
      </c>
      <c r="M89" s="132">
        <v>43.57431700310164</v>
      </c>
      <c r="N89" s="132">
        <v>3427.9043700000002</v>
      </c>
      <c r="O89" s="132">
        <v>0</v>
      </c>
      <c r="P89" s="132">
        <v>4438.89563</v>
      </c>
      <c r="Q89" s="54"/>
      <c r="R89" s="54">
        <f t="shared" si="56"/>
        <v>4438.89563</v>
      </c>
      <c r="S89" s="55">
        <f t="shared" si="59"/>
        <v>7866.8</v>
      </c>
      <c r="T89" s="56" t="str">
        <f t="shared" si="52"/>
        <v/>
      </c>
      <c r="U89" s="56" t="str">
        <f t="shared" si="53"/>
        <v/>
      </c>
      <c r="V89" s="21"/>
      <c r="W89" s="142">
        <f t="shared" si="57"/>
        <v>0</v>
      </c>
    </row>
    <row r="90" spans="1:23" x14ac:dyDescent="0.25">
      <c r="A90" s="35" t="s">
        <v>26</v>
      </c>
      <c r="B90" s="50" t="s">
        <v>27</v>
      </c>
      <c r="C90" s="72" t="s">
        <v>117</v>
      </c>
      <c r="D90" s="52">
        <v>4143.6000000000004</v>
      </c>
      <c r="E90" s="53">
        <f t="shared" si="60"/>
        <v>4143.6000000000004</v>
      </c>
      <c r="F90" s="53">
        <f t="shared" si="60"/>
        <v>4143.6000000000004</v>
      </c>
      <c r="G90" s="53">
        <f t="shared" si="58"/>
        <v>4143.6000000000004</v>
      </c>
      <c r="H90" s="53">
        <f t="shared" si="58"/>
        <v>4143.6000000000004</v>
      </c>
      <c r="I90" s="53">
        <f t="shared" si="58"/>
        <v>4143.6000000000004</v>
      </c>
      <c r="J90" s="53">
        <f t="shared" si="58"/>
        <v>4143.6000000000004</v>
      </c>
      <c r="K90" s="53">
        <f t="shared" si="58"/>
        <v>4143.6000000000004</v>
      </c>
      <c r="L90" s="137">
        <v>1805.5374199999999</v>
      </c>
      <c r="M90" s="132">
        <v>43.574124432860309</v>
      </c>
      <c r="N90" s="132">
        <v>1805.5374199999999</v>
      </c>
      <c r="O90" s="132">
        <v>0</v>
      </c>
      <c r="P90" s="132">
        <v>2338.0625800000007</v>
      </c>
      <c r="Q90" s="54"/>
      <c r="R90" s="54">
        <f t="shared" si="56"/>
        <v>2338.0625800000007</v>
      </c>
      <c r="S90" s="55">
        <f t="shared" si="59"/>
        <v>4143.6000000000004</v>
      </c>
      <c r="T90" s="56" t="str">
        <f t="shared" si="52"/>
        <v/>
      </c>
      <c r="U90" s="56" t="str">
        <f t="shared" si="53"/>
        <v/>
      </c>
      <c r="V90" s="21"/>
      <c r="W90" s="142">
        <f t="shared" si="57"/>
        <v>0</v>
      </c>
    </row>
    <row r="91" spans="1:23" ht="47.25" x14ac:dyDescent="0.25">
      <c r="A91" s="61" t="s">
        <v>118</v>
      </c>
      <c r="B91" s="50" t="s">
        <v>25</v>
      </c>
      <c r="C91" s="51" t="s">
        <v>119</v>
      </c>
      <c r="D91" s="52"/>
      <c r="E91" s="53"/>
      <c r="F91" s="58">
        <v>8272.2999999999993</v>
      </c>
      <c r="G91" s="53">
        <f t="shared" si="58"/>
        <v>8272.2999999999993</v>
      </c>
      <c r="H91" s="53">
        <f t="shared" si="58"/>
        <v>8272.2999999999993</v>
      </c>
      <c r="I91" s="53">
        <f t="shared" si="58"/>
        <v>8272.2999999999993</v>
      </c>
      <c r="J91" s="53">
        <f t="shared" si="58"/>
        <v>8272.2999999999993</v>
      </c>
      <c r="K91" s="53">
        <f t="shared" si="58"/>
        <v>8272.2999999999993</v>
      </c>
      <c r="L91" s="132">
        <v>1231.8770300000001</v>
      </c>
      <c r="M91" s="132">
        <v>14.891590367854166</v>
      </c>
      <c r="N91" s="132">
        <v>1231.8770300000001</v>
      </c>
      <c r="O91" s="132">
        <v>0</v>
      </c>
      <c r="P91" s="132">
        <v>7040.4229699999996</v>
      </c>
      <c r="Q91" s="54"/>
      <c r="R91" s="54">
        <f t="shared" si="56"/>
        <v>7040.4229699999996</v>
      </c>
      <c r="S91" s="55"/>
      <c r="T91" s="56" t="str">
        <f t="shared" si="52"/>
        <v/>
      </c>
      <c r="U91" s="56">
        <f t="shared" si="53"/>
        <v>-8272.2999999999993</v>
      </c>
      <c r="V91" s="21"/>
      <c r="W91" s="142">
        <f t="shared" si="57"/>
        <v>0</v>
      </c>
    </row>
    <row r="92" spans="1:23" ht="47.25" x14ac:dyDescent="0.25">
      <c r="A92" s="57" t="s">
        <v>120</v>
      </c>
      <c r="B92" s="50"/>
      <c r="C92" s="51"/>
      <c r="D92" s="52"/>
      <c r="E92" s="53">
        <f t="shared" si="60"/>
        <v>0</v>
      </c>
      <c r="F92" s="53">
        <f t="shared" si="60"/>
        <v>0</v>
      </c>
      <c r="G92" s="53">
        <f t="shared" si="58"/>
        <v>0</v>
      </c>
      <c r="H92" s="53">
        <f t="shared" si="58"/>
        <v>0</v>
      </c>
      <c r="I92" s="53">
        <f t="shared" si="58"/>
        <v>0</v>
      </c>
      <c r="J92" s="53">
        <f t="shared" si="58"/>
        <v>0</v>
      </c>
      <c r="K92" s="53">
        <f t="shared" si="58"/>
        <v>0</v>
      </c>
      <c r="L92" s="132"/>
      <c r="M92" s="132"/>
      <c r="N92" s="132"/>
      <c r="O92" s="132">
        <v>0</v>
      </c>
      <c r="P92" s="132">
        <v>0</v>
      </c>
      <c r="Q92" s="54"/>
      <c r="R92" s="54">
        <f t="shared" si="56"/>
        <v>0</v>
      </c>
      <c r="S92" s="55">
        <f t="shared" si="59"/>
        <v>0</v>
      </c>
      <c r="T92" s="56" t="str">
        <f t="shared" si="52"/>
        <v/>
      </c>
      <c r="U92" s="56" t="str">
        <f t="shared" si="53"/>
        <v/>
      </c>
      <c r="V92" s="21"/>
      <c r="W92" s="142">
        <f t="shared" si="57"/>
        <v>0</v>
      </c>
    </row>
    <row r="93" spans="1:23" x14ac:dyDescent="0.25">
      <c r="A93" s="35" t="s">
        <v>24</v>
      </c>
      <c r="B93" s="50" t="s">
        <v>25</v>
      </c>
      <c r="C93" s="72" t="s">
        <v>121</v>
      </c>
      <c r="D93" s="52">
        <v>157.9</v>
      </c>
      <c r="E93" s="71">
        <f>D93+5537.75217</f>
        <v>5695.6521699999994</v>
      </c>
      <c r="F93" s="53">
        <v>5695.7</v>
      </c>
      <c r="G93" s="53">
        <f t="shared" si="58"/>
        <v>5695.7</v>
      </c>
      <c r="H93" s="53">
        <f t="shared" si="58"/>
        <v>5695.7</v>
      </c>
      <c r="I93" s="53">
        <f t="shared" si="58"/>
        <v>5695.7</v>
      </c>
      <c r="J93" s="53">
        <f t="shared" si="58"/>
        <v>5695.7</v>
      </c>
      <c r="K93" s="53">
        <f t="shared" si="58"/>
        <v>5695.7</v>
      </c>
      <c r="L93" s="132">
        <v>2504.3978199999997</v>
      </c>
      <c r="M93" s="132">
        <v>43.969974191056401</v>
      </c>
      <c r="N93" s="132">
        <v>2504.3978199999997</v>
      </c>
      <c r="O93" s="132">
        <v>0</v>
      </c>
      <c r="P93" s="132">
        <v>3191.3021800000001</v>
      </c>
      <c r="Q93" s="54"/>
      <c r="R93" s="54">
        <f t="shared" si="56"/>
        <v>3191.3021800000001</v>
      </c>
      <c r="S93" s="55">
        <f t="shared" si="59"/>
        <v>5695.7</v>
      </c>
      <c r="T93" s="56" t="str">
        <f t="shared" si="52"/>
        <v/>
      </c>
      <c r="U93" s="56" t="str">
        <f t="shared" si="53"/>
        <v/>
      </c>
      <c r="V93" s="21"/>
      <c r="W93" s="142">
        <f t="shared" si="57"/>
        <v>0</v>
      </c>
    </row>
    <row r="94" spans="1:23" x14ac:dyDescent="0.25">
      <c r="A94" s="35" t="s">
        <v>26</v>
      </c>
      <c r="B94" s="50" t="s">
        <v>27</v>
      </c>
      <c r="C94" s="72" t="s">
        <v>121</v>
      </c>
      <c r="D94" s="52">
        <v>3000</v>
      </c>
      <c r="E94" s="53">
        <f t="shared" si="60"/>
        <v>3000</v>
      </c>
      <c r="F94" s="53">
        <f t="shared" si="60"/>
        <v>3000</v>
      </c>
      <c r="G94" s="53">
        <f t="shared" si="58"/>
        <v>3000</v>
      </c>
      <c r="H94" s="53">
        <f t="shared" si="58"/>
        <v>3000</v>
      </c>
      <c r="I94" s="53">
        <f t="shared" si="58"/>
        <v>3000</v>
      </c>
      <c r="J94" s="53">
        <f t="shared" si="58"/>
        <v>3000</v>
      </c>
      <c r="K94" s="53">
        <f t="shared" si="58"/>
        <v>3000</v>
      </c>
      <c r="L94" s="132">
        <v>1319.11031</v>
      </c>
      <c r="M94" s="132">
        <v>43.970343666666665</v>
      </c>
      <c r="N94" s="132">
        <v>1319.11031</v>
      </c>
      <c r="O94" s="132">
        <v>0</v>
      </c>
      <c r="P94" s="132">
        <v>1680.88969</v>
      </c>
      <c r="Q94" s="54"/>
      <c r="R94" s="54">
        <f t="shared" si="56"/>
        <v>1680.88969</v>
      </c>
      <c r="S94" s="55">
        <f t="shared" si="59"/>
        <v>3000</v>
      </c>
      <c r="T94" s="56" t="str">
        <f t="shared" si="52"/>
        <v/>
      </c>
      <c r="U94" s="56" t="str">
        <f t="shared" si="53"/>
        <v/>
      </c>
      <c r="V94" s="21"/>
      <c r="W94" s="142">
        <f t="shared" si="57"/>
        <v>0</v>
      </c>
    </row>
    <row r="95" spans="1:23" s="45" customFormat="1" ht="31.5" hidden="1" customHeight="1" x14ac:dyDescent="0.25">
      <c r="A95" s="41" t="s">
        <v>122</v>
      </c>
      <c r="B95" s="46" t="s">
        <v>25</v>
      </c>
      <c r="C95" s="73">
        <f>SUM(C97:C98)</f>
        <v>0</v>
      </c>
      <c r="D95" s="43">
        <f>D96</f>
        <v>89126.9</v>
      </c>
      <c r="E95" s="43">
        <f t="shared" ref="E95" si="61">E96</f>
        <v>89126.9</v>
      </c>
      <c r="F95" s="43"/>
      <c r="G95" s="43"/>
      <c r="H95" s="43"/>
      <c r="I95" s="43"/>
      <c r="J95" s="43"/>
      <c r="K95" s="43"/>
      <c r="L95" s="146"/>
      <c r="M95" s="146"/>
      <c r="N95" s="146"/>
      <c r="O95" s="146"/>
      <c r="P95" s="146"/>
      <c r="Q95" s="43">
        <f t="shared" ref="Q95:U95" si="62">Q96</f>
        <v>0</v>
      </c>
      <c r="R95" s="43">
        <f t="shared" si="62"/>
        <v>0</v>
      </c>
      <c r="S95" s="43">
        <f t="shared" si="62"/>
        <v>0</v>
      </c>
      <c r="T95" s="43">
        <f t="shared" si="62"/>
        <v>0</v>
      </c>
      <c r="U95" s="43">
        <f t="shared" si="62"/>
        <v>0</v>
      </c>
      <c r="V95" s="74"/>
      <c r="W95" s="142">
        <f t="shared" si="57"/>
        <v>0</v>
      </c>
    </row>
    <row r="96" spans="1:23" s="45" customFormat="1" ht="15.75" hidden="1" customHeight="1" x14ac:dyDescent="0.25">
      <c r="A96" s="35" t="s">
        <v>24</v>
      </c>
      <c r="B96" s="46" t="s">
        <v>25</v>
      </c>
      <c r="C96" s="75"/>
      <c r="D96" s="31">
        <f t="shared" ref="D96:E96" si="63">SUMIF($B$97:$B$98,"=01",D97:D98)</f>
        <v>89126.9</v>
      </c>
      <c r="E96" s="31">
        <f t="shared" si="63"/>
        <v>89126.9</v>
      </c>
      <c r="F96" s="31"/>
      <c r="G96" s="31"/>
      <c r="H96" s="31"/>
      <c r="I96" s="31"/>
      <c r="J96" s="31"/>
      <c r="K96" s="31"/>
      <c r="L96" s="147"/>
      <c r="M96" s="147"/>
      <c r="N96" s="147"/>
      <c r="O96" s="147"/>
      <c r="P96" s="147"/>
      <c r="Q96" s="31">
        <f t="shared" ref="Q96:U96" si="64">SUMIF($B$97:$B$98,"=01",Q97:Q98)</f>
        <v>0</v>
      </c>
      <c r="R96" s="31">
        <f t="shared" si="64"/>
        <v>0</v>
      </c>
      <c r="S96" s="31">
        <f t="shared" si="64"/>
        <v>0</v>
      </c>
      <c r="T96" s="31">
        <f t="shared" si="64"/>
        <v>0</v>
      </c>
      <c r="U96" s="31">
        <f t="shared" si="64"/>
        <v>0</v>
      </c>
      <c r="V96" s="74"/>
      <c r="W96" s="142">
        <f t="shared" si="57"/>
        <v>0</v>
      </c>
    </row>
    <row r="97" spans="1:23" ht="63" hidden="1" customHeight="1" x14ac:dyDescent="0.25">
      <c r="A97" s="57" t="s">
        <v>123</v>
      </c>
      <c r="B97" s="50" t="s">
        <v>25</v>
      </c>
      <c r="C97" s="76" t="s">
        <v>124</v>
      </c>
      <c r="D97" s="52">
        <v>66000</v>
      </c>
      <c r="E97" s="53">
        <f t="shared" ref="E97:E98" si="65">D97</f>
        <v>66000</v>
      </c>
      <c r="F97" s="53"/>
      <c r="G97" s="53"/>
      <c r="H97" s="53"/>
      <c r="I97" s="53"/>
      <c r="J97" s="53"/>
      <c r="K97" s="53"/>
      <c r="L97" s="143"/>
      <c r="M97" s="143"/>
      <c r="N97" s="143"/>
      <c r="O97" s="143"/>
      <c r="P97" s="143"/>
      <c r="Q97" s="54"/>
      <c r="R97" s="54">
        <f t="shared" si="56"/>
        <v>0</v>
      </c>
      <c r="S97" s="55">
        <f t="shared" si="59"/>
        <v>0</v>
      </c>
      <c r="T97" s="56"/>
      <c r="U97" s="56" t="str">
        <f>IF(S97-K97&lt;0,S97-K97,"")</f>
        <v/>
      </c>
      <c r="V97" s="21"/>
      <c r="W97" s="142">
        <f t="shared" si="57"/>
        <v>0</v>
      </c>
    </row>
    <row r="98" spans="1:23" ht="78.75" hidden="1" customHeight="1" x14ac:dyDescent="0.25">
      <c r="A98" s="77" t="s">
        <v>125</v>
      </c>
      <c r="B98" s="50" t="s">
        <v>25</v>
      </c>
      <c r="C98" s="76" t="s">
        <v>126</v>
      </c>
      <c r="D98" s="52">
        <v>23126.9</v>
      </c>
      <c r="E98" s="53">
        <f t="shared" si="65"/>
        <v>23126.9</v>
      </c>
      <c r="F98" s="53"/>
      <c r="G98" s="53"/>
      <c r="H98" s="53"/>
      <c r="I98" s="53"/>
      <c r="J98" s="53"/>
      <c r="K98" s="53"/>
      <c r="L98" s="143"/>
      <c r="M98" s="143"/>
      <c r="N98" s="143"/>
      <c r="O98" s="143"/>
      <c r="P98" s="143"/>
      <c r="Q98" s="54"/>
      <c r="R98" s="54">
        <f t="shared" si="56"/>
        <v>0</v>
      </c>
      <c r="S98" s="55">
        <f t="shared" si="59"/>
        <v>0</v>
      </c>
      <c r="T98" s="56" t="str">
        <f>IF(S98-K98&gt;0,S98-K98,"")</f>
        <v/>
      </c>
      <c r="U98" s="56"/>
      <c r="V98" s="21"/>
      <c r="W98" s="142">
        <f t="shared" si="57"/>
        <v>0</v>
      </c>
    </row>
    <row r="99" spans="1:23" s="45" customFormat="1" ht="31.5" x14ac:dyDescent="0.25">
      <c r="A99" s="41" t="s">
        <v>234</v>
      </c>
      <c r="B99" s="50" t="s">
        <v>31</v>
      </c>
      <c r="C99" s="73">
        <f>SUM(C102:C115)</f>
        <v>0</v>
      </c>
      <c r="D99" s="43">
        <f>D100+D101</f>
        <v>1032310.7</v>
      </c>
      <c r="E99" s="43">
        <f t="shared" ref="E99:U99" si="66">E100+E101</f>
        <v>1032310.7</v>
      </c>
      <c r="F99" s="43">
        <f t="shared" si="66"/>
        <v>1036506.1</v>
      </c>
      <c r="G99" s="43">
        <f t="shared" si="66"/>
        <v>1127550.6000000001</v>
      </c>
      <c r="H99" s="43">
        <f t="shared" si="66"/>
        <v>1127550.6000000001</v>
      </c>
      <c r="I99" s="43">
        <f t="shared" si="66"/>
        <v>1127550.6000000001</v>
      </c>
      <c r="J99" s="43">
        <f t="shared" si="66"/>
        <v>1127550.6000000001</v>
      </c>
      <c r="K99" s="43">
        <f t="shared" si="66"/>
        <v>978557.3</v>
      </c>
      <c r="L99" s="130">
        <v>243527.73611</v>
      </c>
      <c r="M99" s="130">
        <v>21.59794302002943</v>
      </c>
      <c r="N99" s="130">
        <v>243527.73611</v>
      </c>
      <c r="O99" s="130">
        <v>0</v>
      </c>
      <c r="P99" s="130">
        <v>884022.86389000004</v>
      </c>
      <c r="Q99" s="43">
        <f t="shared" ref="Q99:R99" si="67">Q100+Q101</f>
        <v>0</v>
      </c>
      <c r="R99" s="43">
        <f t="shared" si="67"/>
        <v>884022.86389000004</v>
      </c>
      <c r="S99" s="43">
        <f t="shared" si="66"/>
        <v>1038346.3432899999</v>
      </c>
      <c r="T99" s="43">
        <f t="shared" si="66"/>
        <v>74699.3</v>
      </c>
      <c r="U99" s="43">
        <f t="shared" si="66"/>
        <v>-10714.856710000058</v>
      </c>
      <c r="V99" s="74"/>
      <c r="W99" s="142">
        <f t="shared" si="57"/>
        <v>0</v>
      </c>
    </row>
    <row r="100" spans="1:23" s="45" customFormat="1" x14ac:dyDescent="0.25">
      <c r="A100" s="35" t="s">
        <v>24</v>
      </c>
      <c r="B100" s="46" t="s">
        <v>25</v>
      </c>
      <c r="C100" s="73"/>
      <c r="D100" s="31">
        <f t="shared" ref="D100:K100" si="68">SUMIF($B$102:$B$115,"=01",D102:D115)</f>
        <v>903562.6</v>
      </c>
      <c r="E100" s="31">
        <f t="shared" si="68"/>
        <v>903562.6</v>
      </c>
      <c r="F100" s="31">
        <f t="shared" si="68"/>
        <v>907758</v>
      </c>
      <c r="G100" s="31">
        <f t="shared" si="68"/>
        <v>907758</v>
      </c>
      <c r="H100" s="31">
        <f t="shared" si="68"/>
        <v>907758</v>
      </c>
      <c r="I100" s="31">
        <f t="shared" si="68"/>
        <v>907758</v>
      </c>
      <c r="J100" s="31">
        <f t="shared" si="68"/>
        <v>907758</v>
      </c>
      <c r="K100" s="31">
        <f t="shared" si="68"/>
        <v>758764.70000000007</v>
      </c>
      <c r="L100" s="129">
        <v>129844.37698</v>
      </c>
      <c r="M100" s="129">
        <v>14.303853778209611</v>
      </c>
      <c r="N100" s="129">
        <v>129844.37698</v>
      </c>
      <c r="O100" s="129">
        <v>0</v>
      </c>
      <c r="P100" s="129">
        <v>777913.62302000006</v>
      </c>
      <c r="Q100" s="31">
        <f t="shared" ref="Q100:U100" si="69">SUMIF($B$102:$B$115,"=01",Q102:Q115)</f>
        <v>0</v>
      </c>
      <c r="R100" s="31">
        <f t="shared" si="69"/>
        <v>777913.62302000006</v>
      </c>
      <c r="S100" s="31">
        <f t="shared" si="69"/>
        <v>821455.78581999987</v>
      </c>
      <c r="T100" s="31">
        <f t="shared" si="69"/>
        <v>74699.3</v>
      </c>
      <c r="U100" s="31">
        <f t="shared" si="69"/>
        <v>-7812.8141800000585</v>
      </c>
      <c r="V100" s="74"/>
      <c r="W100" s="142">
        <f t="shared" si="57"/>
        <v>0</v>
      </c>
    </row>
    <row r="101" spans="1:23" s="45" customFormat="1" x14ac:dyDescent="0.25">
      <c r="A101" s="35" t="s">
        <v>26</v>
      </c>
      <c r="B101" s="46" t="s">
        <v>27</v>
      </c>
      <c r="C101" s="73"/>
      <c r="D101" s="31">
        <f t="shared" ref="D101:K101" si="70">SUMIF($B$102:$B$115,"=02",D102:D115)</f>
        <v>128748.1</v>
      </c>
      <c r="E101" s="31">
        <f t="shared" si="70"/>
        <v>128748.1</v>
      </c>
      <c r="F101" s="31">
        <f t="shared" si="70"/>
        <v>128748.1</v>
      </c>
      <c r="G101" s="31">
        <f t="shared" si="70"/>
        <v>219792.6</v>
      </c>
      <c r="H101" s="31">
        <f t="shared" si="70"/>
        <v>219792.6</v>
      </c>
      <c r="I101" s="31">
        <f t="shared" si="70"/>
        <v>219792.6</v>
      </c>
      <c r="J101" s="31">
        <f t="shared" si="70"/>
        <v>219792.6</v>
      </c>
      <c r="K101" s="31">
        <f t="shared" si="70"/>
        <v>219792.6</v>
      </c>
      <c r="L101" s="129">
        <v>113683.35913000001</v>
      </c>
      <c r="M101" s="129">
        <v>51.723014846723693</v>
      </c>
      <c r="N101" s="129">
        <v>113683.35913000001</v>
      </c>
      <c r="O101" s="129">
        <v>0</v>
      </c>
      <c r="P101" s="129">
        <v>106109.24086999999</v>
      </c>
      <c r="Q101" s="31">
        <f t="shared" ref="Q101:U101" si="71">SUMIF($B$102:$B$115,"=02",Q102:Q115)</f>
        <v>0</v>
      </c>
      <c r="R101" s="31">
        <f t="shared" si="71"/>
        <v>106109.24086999999</v>
      </c>
      <c r="S101" s="31">
        <f t="shared" si="71"/>
        <v>216890.55747</v>
      </c>
      <c r="T101" s="31">
        <f t="shared" si="71"/>
        <v>0</v>
      </c>
      <c r="U101" s="31">
        <f t="shared" si="71"/>
        <v>-2902.0425299999988</v>
      </c>
      <c r="V101" s="74"/>
      <c r="W101" s="142">
        <f t="shared" si="57"/>
        <v>0</v>
      </c>
    </row>
    <row r="102" spans="1:23" ht="31.5" x14ac:dyDescent="0.25">
      <c r="A102" s="78" t="s">
        <v>127</v>
      </c>
      <c r="B102" s="64" t="s">
        <v>25</v>
      </c>
      <c r="C102" s="79" t="s">
        <v>128</v>
      </c>
      <c r="D102" s="52">
        <v>23782.799999999999</v>
      </c>
      <c r="E102" s="53">
        <f t="shared" ref="E102:K115" si="72">D102</f>
        <v>23782.799999999999</v>
      </c>
      <c r="F102" s="53">
        <f t="shared" si="72"/>
        <v>23782.799999999999</v>
      </c>
      <c r="G102" s="53">
        <f t="shared" si="72"/>
        <v>23782.799999999999</v>
      </c>
      <c r="H102" s="53">
        <f t="shared" si="72"/>
        <v>23782.799999999999</v>
      </c>
      <c r="I102" s="53">
        <f t="shared" si="72"/>
        <v>23782.799999999999</v>
      </c>
      <c r="J102" s="53">
        <f t="shared" si="72"/>
        <v>23782.799999999999</v>
      </c>
      <c r="K102" s="53">
        <f t="shared" si="72"/>
        <v>23782.799999999999</v>
      </c>
      <c r="L102" s="132">
        <v>8242.5936999999994</v>
      </c>
      <c r="M102" s="132">
        <v>34.657793447365322</v>
      </c>
      <c r="N102" s="132">
        <v>8242.5936999999994</v>
      </c>
      <c r="O102" s="132">
        <v>0</v>
      </c>
      <c r="P102" s="132">
        <v>15540.2063</v>
      </c>
      <c r="Q102" s="54"/>
      <c r="R102" s="54">
        <f t="shared" si="56"/>
        <v>15540.2063</v>
      </c>
      <c r="S102" s="55">
        <v>16937.3</v>
      </c>
      <c r="T102" s="56" t="str">
        <f>IF(S102-K102&gt;0,S102-K102,"")</f>
        <v/>
      </c>
      <c r="U102" s="56">
        <f t="shared" ref="U102:U115" si="73">IF(S102-K102&lt;0,S102-K102,"")</f>
        <v>-6845.5</v>
      </c>
      <c r="V102" s="80" t="s">
        <v>129</v>
      </c>
      <c r="W102" s="142">
        <f t="shared" si="57"/>
        <v>0</v>
      </c>
    </row>
    <row r="103" spans="1:23" ht="63" x14ac:dyDescent="0.25">
      <c r="A103" s="78" t="s">
        <v>130</v>
      </c>
      <c r="B103" s="64" t="s">
        <v>25</v>
      </c>
      <c r="C103" s="79" t="s">
        <v>131</v>
      </c>
      <c r="D103" s="52"/>
      <c r="E103" s="53"/>
      <c r="F103" s="58">
        <v>4195.3999999999996</v>
      </c>
      <c r="G103" s="53">
        <f t="shared" si="72"/>
        <v>4195.3999999999996</v>
      </c>
      <c r="H103" s="53">
        <f t="shared" si="72"/>
        <v>4195.3999999999996</v>
      </c>
      <c r="I103" s="53">
        <f t="shared" si="72"/>
        <v>4195.3999999999996</v>
      </c>
      <c r="J103" s="53">
        <f t="shared" si="72"/>
        <v>4195.3999999999996</v>
      </c>
      <c r="K103" s="53">
        <f t="shared" si="72"/>
        <v>4195.3999999999996</v>
      </c>
      <c r="L103" s="132"/>
      <c r="M103" s="132"/>
      <c r="N103" s="132"/>
      <c r="O103" s="132"/>
      <c r="P103" s="132">
        <v>4195.3999999999996</v>
      </c>
      <c r="Q103" s="54"/>
      <c r="R103" s="54">
        <f>P103+Q103</f>
        <v>4195.3999999999996</v>
      </c>
      <c r="S103" s="55"/>
      <c r="T103" s="56"/>
      <c r="U103" s="56"/>
      <c r="V103" s="81"/>
      <c r="W103" s="142">
        <f t="shared" si="57"/>
        <v>0</v>
      </c>
    </row>
    <row r="104" spans="1:23" ht="126" x14ac:dyDescent="0.25">
      <c r="A104" s="61" t="s">
        <v>132</v>
      </c>
      <c r="B104" s="50" t="s">
        <v>25</v>
      </c>
      <c r="C104" s="76" t="s">
        <v>133</v>
      </c>
      <c r="D104" s="52">
        <v>23241.200000000001</v>
      </c>
      <c r="E104" s="53">
        <f t="shared" si="72"/>
        <v>23241.200000000001</v>
      </c>
      <c r="F104" s="53">
        <f t="shared" si="72"/>
        <v>23241.200000000001</v>
      </c>
      <c r="G104" s="53">
        <f t="shared" si="72"/>
        <v>23241.200000000001</v>
      </c>
      <c r="H104" s="53">
        <f t="shared" si="72"/>
        <v>23241.200000000001</v>
      </c>
      <c r="I104" s="53">
        <f t="shared" si="72"/>
        <v>23241.200000000001</v>
      </c>
      <c r="J104" s="53">
        <f t="shared" si="72"/>
        <v>23241.200000000001</v>
      </c>
      <c r="K104" s="53">
        <f t="shared" si="72"/>
        <v>23241.200000000001</v>
      </c>
      <c r="L104" s="132">
        <v>2187.1574799999999</v>
      </c>
      <c r="M104" s="132">
        <v>9.4106908421251916</v>
      </c>
      <c r="N104" s="132">
        <v>2187.1574799999999</v>
      </c>
      <c r="O104" s="132">
        <v>0</v>
      </c>
      <c r="P104" s="132">
        <v>21054.042520000003</v>
      </c>
      <c r="Q104" s="54"/>
      <c r="R104" s="54">
        <f t="shared" si="56"/>
        <v>21054.042520000003</v>
      </c>
      <c r="S104" s="55">
        <f>J104</f>
        <v>23241.200000000001</v>
      </c>
      <c r="T104" s="56"/>
      <c r="U104" s="56" t="str">
        <f t="shared" si="73"/>
        <v/>
      </c>
      <c r="V104" s="81"/>
      <c r="W104" s="142">
        <f t="shared" si="57"/>
        <v>0</v>
      </c>
    </row>
    <row r="105" spans="1:23" ht="110.25" x14ac:dyDescent="0.25">
      <c r="A105" s="82" t="s">
        <v>134</v>
      </c>
      <c r="B105" s="83" t="s">
        <v>25</v>
      </c>
      <c r="C105" s="76" t="s">
        <v>135</v>
      </c>
      <c r="D105" s="52">
        <v>571303.30000000005</v>
      </c>
      <c r="E105" s="53">
        <f t="shared" si="72"/>
        <v>571303.30000000005</v>
      </c>
      <c r="F105" s="53">
        <f t="shared" si="72"/>
        <v>571303.30000000005</v>
      </c>
      <c r="G105" s="148">
        <f>F105-34697.1</f>
        <v>536606.20000000007</v>
      </c>
      <c r="H105" s="53">
        <f t="shared" si="72"/>
        <v>536606.20000000007</v>
      </c>
      <c r="I105" s="53">
        <f t="shared" si="72"/>
        <v>536606.20000000007</v>
      </c>
      <c r="J105" s="53">
        <f t="shared" si="72"/>
        <v>536606.20000000007</v>
      </c>
      <c r="K105" s="69">
        <f>J105-148993.3</f>
        <v>387612.90000000008</v>
      </c>
      <c r="L105" s="132"/>
      <c r="M105" s="132"/>
      <c r="N105" s="132"/>
      <c r="O105" s="132"/>
      <c r="P105" s="132">
        <v>536606.20000000007</v>
      </c>
      <c r="Q105" s="54"/>
      <c r="R105" s="54">
        <f t="shared" si="56"/>
        <v>536606.20000000007</v>
      </c>
      <c r="S105" s="55">
        <v>387612.9</v>
      </c>
      <c r="T105" s="56" t="str">
        <f t="shared" ref="T105:T115" si="74">IF(S105-K105&gt;0,S105-K105,"")</f>
        <v/>
      </c>
      <c r="U105" s="56">
        <f t="shared" si="73"/>
        <v>-5.8207660913467407E-11</v>
      </c>
      <c r="V105" s="81"/>
      <c r="W105" s="142">
        <f t="shared" si="57"/>
        <v>0</v>
      </c>
    </row>
    <row r="106" spans="1:23" ht="51.75" customHeight="1" x14ac:dyDescent="0.25">
      <c r="A106" s="78" t="s">
        <v>136</v>
      </c>
      <c r="B106" s="50" t="s">
        <v>25</v>
      </c>
      <c r="C106" s="79" t="s">
        <v>137</v>
      </c>
      <c r="D106" s="52">
        <v>82685.7</v>
      </c>
      <c r="E106" s="53">
        <f t="shared" si="72"/>
        <v>82685.7</v>
      </c>
      <c r="F106" s="53">
        <f t="shared" si="72"/>
        <v>82685.7</v>
      </c>
      <c r="G106" s="53">
        <f t="shared" si="72"/>
        <v>82685.7</v>
      </c>
      <c r="H106" s="53">
        <f t="shared" si="72"/>
        <v>82685.7</v>
      </c>
      <c r="I106" s="53">
        <f t="shared" si="72"/>
        <v>82685.7</v>
      </c>
      <c r="J106" s="53">
        <f t="shared" si="72"/>
        <v>82685.7</v>
      </c>
      <c r="K106" s="53">
        <f t="shared" si="72"/>
        <v>82685.7</v>
      </c>
      <c r="L106" s="132">
        <v>23724.624609999999</v>
      </c>
      <c r="M106" s="132">
        <v>28.692536448261308</v>
      </c>
      <c r="N106" s="132">
        <v>23724.624609999999</v>
      </c>
      <c r="O106" s="132">
        <v>0</v>
      </c>
      <c r="P106" s="132">
        <v>58961.075389999998</v>
      </c>
      <c r="Q106" s="54"/>
      <c r="R106" s="54">
        <f t="shared" si="56"/>
        <v>58961.075389999998</v>
      </c>
      <c r="S106" s="55">
        <v>118975.7</v>
      </c>
      <c r="T106" s="56">
        <f t="shared" si="74"/>
        <v>36290</v>
      </c>
      <c r="U106" s="56" t="str">
        <f t="shared" si="73"/>
        <v/>
      </c>
      <c r="V106" s="60" t="s">
        <v>138</v>
      </c>
      <c r="W106" s="142">
        <f t="shared" si="57"/>
        <v>0</v>
      </c>
    </row>
    <row r="107" spans="1:23" ht="115.5" customHeight="1" x14ac:dyDescent="0.25">
      <c r="A107" s="78" t="s">
        <v>139</v>
      </c>
      <c r="B107" s="64" t="s">
        <v>25</v>
      </c>
      <c r="C107" s="79" t="s">
        <v>140</v>
      </c>
      <c r="D107" s="52">
        <v>33057.199999999997</v>
      </c>
      <c r="E107" s="53">
        <f t="shared" si="72"/>
        <v>33057.199999999997</v>
      </c>
      <c r="F107" s="53">
        <f t="shared" si="72"/>
        <v>33057.199999999997</v>
      </c>
      <c r="G107" s="53">
        <f t="shared" si="72"/>
        <v>33057.199999999997</v>
      </c>
      <c r="H107" s="53">
        <f t="shared" si="72"/>
        <v>33057.199999999997</v>
      </c>
      <c r="I107" s="53">
        <f t="shared" si="72"/>
        <v>33057.199999999997</v>
      </c>
      <c r="J107" s="53">
        <f t="shared" si="72"/>
        <v>33057.199999999997</v>
      </c>
      <c r="K107" s="53">
        <f t="shared" si="72"/>
        <v>33057.199999999997</v>
      </c>
      <c r="L107" s="132">
        <v>33057.199999999997</v>
      </c>
      <c r="M107" s="132">
        <v>100</v>
      </c>
      <c r="N107" s="132">
        <v>33057.199999999997</v>
      </c>
      <c r="O107" s="132">
        <v>0</v>
      </c>
      <c r="P107" s="132">
        <v>0</v>
      </c>
      <c r="Q107" s="54"/>
      <c r="R107" s="54">
        <f t="shared" si="56"/>
        <v>0</v>
      </c>
      <c r="S107" s="55">
        <v>71466.5</v>
      </c>
      <c r="T107" s="56">
        <f t="shared" si="74"/>
        <v>38409.300000000003</v>
      </c>
      <c r="U107" s="56" t="str">
        <f t="shared" si="73"/>
        <v/>
      </c>
      <c r="V107" s="60" t="s">
        <v>141</v>
      </c>
      <c r="W107" s="142">
        <f t="shared" si="57"/>
        <v>0</v>
      </c>
    </row>
    <row r="108" spans="1:23" ht="47.25" x14ac:dyDescent="0.25">
      <c r="A108" s="78" t="s">
        <v>142</v>
      </c>
      <c r="B108" s="50" t="s">
        <v>25</v>
      </c>
      <c r="C108" s="79" t="s">
        <v>143</v>
      </c>
      <c r="D108" s="52">
        <v>35159</v>
      </c>
      <c r="E108" s="53">
        <f t="shared" si="72"/>
        <v>35159</v>
      </c>
      <c r="F108" s="53">
        <f t="shared" si="72"/>
        <v>35159</v>
      </c>
      <c r="G108" s="148">
        <f>F108+13341</f>
        <v>48500</v>
      </c>
      <c r="H108" s="53">
        <f t="shared" si="72"/>
        <v>48500</v>
      </c>
      <c r="I108" s="53">
        <f t="shared" si="72"/>
        <v>48500</v>
      </c>
      <c r="J108" s="53">
        <f t="shared" si="72"/>
        <v>48500</v>
      </c>
      <c r="K108" s="53">
        <f>J108</f>
        <v>48500</v>
      </c>
      <c r="L108" s="132">
        <v>35159</v>
      </c>
      <c r="M108" s="132">
        <v>72.492783505154634</v>
      </c>
      <c r="N108" s="132">
        <v>35159</v>
      </c>
      <c r="O108" s="132">
        <v>0</v>
      </c>
      <c r="P108" s="132">
        <v>13341</v>
      </c>
      <c r="Q108" s="54"/>
      <c r="R108" s="54">
        <f t="shared" si="56"/>
        <v>13341</v>
      </c>
      <c r="S108" s="55">
        <v>48500</v>
      </c>
      <c r="T108" s="56" t="str">
        <f t="shared" si="74"/>
        <v/>
      </c>
      <c r="U108" s="56" t="str">
        <f t="shared" si="73"/>
        <v/>
      </c>
      <c r="V108" s="60"/>
      <c r="W108" s="142">
        <f t="shared" si="57"/>
        <v>0</v>
      </c>
    </row>
    <row r="109" spans="1:23" ht="63" x14ac:dyDescent="0.25">
      <c r="A109" s="49" t="s">
        <v>144</v>
      </c>
      <c r="B109" s="50" t="s">
        <v>25</v>
      </c>
      <c r="C109" s="79" t="s">
        <v>145</v>
      </c>
      <c r="D109" s="52">
        <v>101838</v>
      </c>
      <c r="E109" s="53">
        <f t="shared" si="72"/>
        <v>101838</v>
      </c>
      <c r="F109" s="53">
        <f t="shared" si="72"/>
        <v>101838</v>
      </c>
      <c r="G109" s="148">
        <f t="shared" si="72"/>
        <v>101838</v>
      </c>
      <c r="H109" s="53">
        <f t="shared" si="72"/>
        <v>101838</v>
      </c>
      <c r="I109" s="53">
        <f t="shared" si="72"/>
        <v>101838</v>
      </c>
      <c r="J109" s="53">
        <f t="shared" si="72"/>
        <v>101838</v>
      </c>
      <c r="K109" s="53">
        <f t="shared" si="72"/>
        <v>101838</v>
      </c>
      <c r="L109" s="132"/>
      <c r="M109" s="132"/>
      <c r="N109" s="132"/>
      <c r="O109" s="132"/>
      <c r="P109" s="132">
        <v>101838</v>
      </c>
      <c r="Q109" s="54"/>
      <c r="R109" s="54">
        <f t="shared" si="56"/>
        <v>101838</v>
      </c>
      <c r="S109" s="55">
        <f>J109</f>
        <v>101838</v>
      </c>
      <c r="T109" s="56" t="str">
        <f t="shared" si="74"/>
        <v/>
      </c>
      <c r="U109" s="56" t="str">
        <f t="shared" si="73"/>
        <v/>
      </c>
      <c r="V109" s="60"/>
      <c r="W109" s="142">
        <f t="shared" si="57"/>
        <v>0</v>
      </c>
    </row>
    <row r="110" spans="1:23" ht="31.5" x14ac:dyDescent="0.25">
      <c r="A110" s="78" t="s">
        <v>146</v>
      </c>
      <c r="B110" s="50" t="s">
        <v>31</v>
      </c>
      <c r="C110" s="79" t="s">
        <v>147</v>
      </c>
      <c r="D110" s="52"/>
      <c r="E110" s="53">
        <f t="shared" si="72"/>
        <v>0</v>
      </c>
      <c r="F110" s="53">
        <f t="shared" si="72"/>
        <v>0</v>
      </c>
      <c r="G110" s="148">
        <f t="shared" si="72"/>
        <v>0</v>
      </c>
      <c r="H110" s="53">
        <f t="shared" si="72"/>
        <v>0</v>
      </c>
      <c r="I110" s="53">
        <f t="shared" si="72"/>
        <v>0</v>
      </c>
      <c r="J110" s="53">
        <f t="shared" si="72"/>
        <v>0</v>
      </c>
      <c r="K110" s="53">
        <f t="shared" si="72"/>
        <v>0</v>
      </c>
      <c r="L110" s="132"/>
      <c r="M110" s="132"/>
      <c r="N110" s="132"/>
      <c r="O110" s="132">
        <v>0</v>
      </c>
      <c r="P110" s="132">
        <v>0</v>
      </c>
      <c r="Q110" s="54"/>
      <c r="R110" s="54">
        <f t="shared" si="56"/>
        <v>0</v>
      </c>
      <c r="S110" s="55">
        <f>J110</f>
        <v>0</v>
      </c>
      <c r="T110" s="56" t="str">
        <f t="shared" si="74"/>
        <v/>
      </c>
      <c r="U110" s="56" t="str">
        <f t="shared" si="73"/>
        <v/>
      </c>
      <c r="V110" s="60"/>
      <c r="W110" s="142">
        <f t="shared" si="57"/>
        <v>0</v>
      </c>
    </row>
    <row r="111" spans="1:23" x14ac:dyDescent="0.25">
      <c r="A111" s="84" t="s">
        <v>24</v>
      </c>
      <c r="B111" s="50" t="s">
        <v>25</v>
      </c>
      <c r="C111" s="79" t="s">
        <v>147</v>
      </c>
      <c r="D111" s="52">
        <v>24749.1</v>
      </c>
      <c r="E111" s="53">
        <f t="shared" si="72"/>
        <v>24749.1</v>
      </c>
      <c r="F111" s="53">
        <f t="shared" si="72"/>
        <v>24749.1</v>
      </c>
      <c r="G111" s="148">
        <f>F111+21356.1</f>
        <v>46105.2</v>
      </c>
      <c r="H111" s="53">
        <f t="shared" si="72"/>
        <v>46105.2</v>
      </c>
      <c r="I111" s="53">
        <f t="shared" si="72"/>
        <v>46105.2</v>
      </c>
      <c r="J111" s="53">
        <f t="shared" si="72"/>
        <v>46105.2</v>
      </c>
      <c r="K111" s="53">
        <f>J111</f>
        <v>46105.2</v>
      </c>
      <c r="L111" s="132">
        <v>24749.048149999999</v>
      </c>
      <c r="M111" s="132">
        <v>53.679515868058267</v>
      </c>
      <c r="N111" s="132">
        <v>24749.048149999999</v>
      </c>
      <c r="O111" s="132">
        <v>0</v>
      </c>
      <c r="P111" s="132">
        <v>21356.151849999998</v>
      </c>
      <c r="Q111" s="54"/>
      <c r="R111" s="54">
        <f t="shared" si="56"/>
        <v>21356.151849999998</v>
      </c>
      <c r="S111" s="55">
        <v>46105.2</v>
      </c>
      <c r="T111" s="56" t="str">
        <f t="shared" si="74"/>
        <v/>
      </c>
      <c r="U111" s="56" t="str">
        <f t="shared" si="73"/>
        <v/>
      </c>
      <c r="V111" s="150" t="s">
        <v>148</v>
      </c>
      <c r="W111" s="142">
        <f t="shared" si="57"/>
        <v>0</v>
      </c>
    </row>
    <row r="112" spans="1:23" x14ac:dyDescent="0.25">
      <c r="A112" s="84" t="s">
        <v>26</v>
      </c>
      <c r="B112" s="50" t="s">
        <v>27</v>
      </c>
      <c r="C112" s="79" t="s">
        <v>147</v>
      </c>
      <c r="D112" s="52">
        <v>105509.1</v>
      </c>
      <c r="E112" s="53">
        <f t="shared" si="72"/>
        <v>105509.1</v>
      </c>
      <c r="F112" s="53">
        <f t="shared" si="72"/>
        <v>105509.1</v>
      </c>
      <c r="G112" s="148">
        <f>F112+91044.5</f>
        <v>196553.60000000001</v>
      </c>
      <c r="H112" s="53">
        <f t="shared" si="72"/>
        <v>196553.60000000001</v>
      </c>
      <c r="I112" s="53">
        <f t="shared" si="72"/>
        <v>196553.60000000001</v>
      </c>
      <c r="J112" s="53">
        <f t="shared" si="72"/>
        <v>196553.60000000001</v>
      </c>
      <c r="K112" s="53">
        <f t="shared" si="72"/>
        <v>196553.60000000001</v>
      </c>
      <c r="L112" s="132">
        <v>105509.1</v>
      </c>
      <c r="M112" s="132">
        <v>53.679556110903079</v>
      </c>
      <c r="N112" s="132">
        <v>105509.1</v>
      </c>
      <c r="O112" s="132">
        <v>0</v>
      </c>
      <c r="P112" s="132">
        <v>91044.5</v>
      </c>
      <c r="Q112" s="54"/>
      <c r="R112" s="54">
        <f t="shared" si="56"/>
        <v>91044.5</v>
      </c>
      <c r="S112" s="55">
        <v>196553.60000000001</v>
      </c>
      <c r="T112" s="56" t="str">
        <f t="shared" si="74"/>
        <v/>
      </c>
      <c r="U112" s="56" t="str">
        <f t="shared" si="73"/>
        <v/>
      </c>
      <c r="V112" s="151"/>
      <c r="W112" s="142">
        <f t="shared" si="57"/>
        <v>0</v>
      </c>
    </row>
    <row r="113" spans="1:23" ht="47.25" x14ac:dyDescent="0.25">
      <c r="A113" s="85" t="s">
        <v>149</v>
      </c>
      <c r="B113" s="50" t="s">
        <v>31</v>
      </c>
      <c r="C113" s="79" t="s">
        <v>150</v>
      </c>
      <c r="D113" s="52"/>
      <c r="E113" s="53">
        <f t="shared" si="72"/>
        <v>0</v>
      </c>
      <c r="F113" s="53">
        <f t="shared" si="72"/>
        <v>0</v>
      </c>
      <c r="G113" s="53">
        <f t="shared" si="72"/>
        <v>0</v>
      </c>
      <c r="H113" s="53">
        <f t="shared" si="72"/>
        <v>0</v>
      </c>
      <c r="I113" s="53">
        <f t="shared" si="72"/>
        <v>0</v>
      </c>
      <c r="J113" s="53">
        <f t="shared" si="72"/>
        <v>0</v>
      </c>
      <c r="K113" s="53">
        <f t="shared" si="72"/>
        <v>0</v>
      </c>
      <c r="L113" s="132"/>
      <c r="M113" s="132"/>
      <c r="N113" s="132"/>
      <c r="O113" s="132">
        <v>0</v>
      </c>
      <c r="P113" s="132">
        <v>0</v>
      </c>
      <c r="Q113" s="54"/>
      <c r="R113" s="54">
        <f t="shared" si="56"/>
        <v>0</v>
      </c>
      <c r="S113" s="55">
        <f>J113</f>
        <v>0</v>
      </c>
      <c r="T113" s="56" t="str">
        <f t="shared" si="74"/>
        <v/>
      </c>
      <c r="U113" s="56" t="str">
        <f t="shared" si="73"/>
        <v/>
      </c>
      <c r="V113" s="86"/>
      <c r="W113" s="142">
        <f t="shared" si="57"/>
        <v>0</v>
      </c>
    </row>
    <row r="114" spans="1:23" x14ac:dyDescent="0.25">
      <c r="A114" s="84" t="s">
        <v>24</v>
      </c>
      <c r="B114" s="50" t="s">
        <v>25</v>
      </c>
      <c r="C114" s="79" t="s">
        <v>150</v>
      </c>
      <c r="D114" s="52">
        <v>7746.3</v>
      </c>
      <c r="E114" s="53">
        <f t="shared" si="72"/>
        <v>7746.3</v>
      </c>
      <c r="F114" s="53">
        <f t="shared" si="72"/>
        <v>7746.3</v>
      </c>
      <c r="G114" s="53">
        <f t="shared" si="72"/>
        <v>7746.3</v>
      </c>
      <c r="H114" s="53">
        <f t="shared" si="72"/>
        <v>7746.3</v>
      </c>
      <c r="I114" s="53">
        <f t="shared" si="72"/>
        <v>7746.3</v>
      </c>
      <c r="J114" s="53">
        <f t="shared" si="72"/>
        <v>7746.3</v>
      </c>
      <c r="K114" s="53">
        <f t="shared" si="72"/>
        <v>7746.3</v>
      </c>
      <c r="L114" s="132">
        <v>2724.7530400000001</v>
      </c>
      <c r="M114" s="132">
        <v>35.174896918528844</v>
      </c>
      <c r="N114" s="132">
        <v>2724.7530400000001</v>
      </c>
      <c r="O114" s="132">
        <v>0</v>
      </c>
      <c r="P114" s="132">
        <v>5021.5469599999997</v>
      </c>
      <c r="Q114" s="54"/>
      <c r="R114" s="54">
        <f t="shared" si="56"/>
        <v>5021.5469599999997</v>
      </c>
      <c r="S114" s="55">
        <v>6778.9858199999999</v>
      </c>
      <c r="T114" s="56" t="str">
        <f t="shared" si="74"/>
        <v/>
      </c>
      <c r="U114" s="56">
        <f t="shared" si="73"/>
        <v>-967.31418000000031</v>
      </c>
      <c r="V114" s="87"/>
      <c r="W114" s="142">
        <f t="shared" si="57"/>
        <v>0</v>
      </c>
    </row>
    <row r="115" spans="1:23" x14ac:dyDescent="0.25">
      <c r="A115" s="84" t="s">
        <v>26</v>
      </c>
      <c r="B115" s="50" t="s">
        <v>27</v>
      </c>
      <c r="C115" s="79" t="s">
        <v>150</v>
      </c>
      <c r="D115" s="52">
        <v>23239</v>
      </c>
      <c r="E115" s="53">
        <f t="shared" si="72"/>
        <v>23239</v>
      </c>
      <c r="F115" s="53">
        <f t="shared" si="72"/>
        <v>23239</v>
      </c>
      <c r="G115" s="53">
        <f t="shared" si="72"/>
        <v>23239</v>
      </c>
      <c r="H115" s="53">
        <f t="shared" si="72"/>
        <v>23239</v>
      </c>
      <c r="I115" s="53">
        <f t="shared" si="72"/>
        <v>23239</v>
      </c>
      <c r="J115" s="53">
        <f t="shared" si="72"/>
        <v>23239</v>
      </c>
      <c r="K115" s="53">
        <f t="shared" si="72"/>
        <v>23239</v>
      </c>
      <c r="L115" s="132">
        <v>8174.2591300000004</v>
      </c>
      <c r="M115" s="132">
        <v>35.174745600068853</v>
      </c>
      <c r="N115" s="132">
        <v>8174.2591300000004</v>
      </c>
      <c r="O115" s="132">
        <v>0</v>
      </c>
      <c r="P115" s="132">
        <v>15064.74087</v>
      </c>
      <c r="Q115" s="54"/>
      <c r="R115" s="54">
        <f t="shared" si="56"/>
        <v>15064.74087</v>
      </c>
      <c r="S115" s="55">
        <v>20336.957470000001</v>
      </c>
      <c r="T115" s="56" t="str">
        <f t="shared" si="74"/>
        <v/>
      </c>
      <c r="U115" s="56">
        <f t="shared" si="73"/>
        <v>-2902.0425299999988</v>
      </c>
      <c r="V115" s="87"/>
      <c r="W115" s="142">
        <f t="shared" si="57"/>
        <v>0</v>
      </c>
    </row>
    <row r="116" spans="1:23" s="45" customFormat="1" x14ac:dyDescent="0.25">
      <c r="A116" s="41" t="s">
        <v>235</v>
      </c>
      <c r="B116" s="46" t="s">
        <v>25</v>
      </c>
      <c r="C116" s="73">
        <f>SUM(C118:C124)</f>
        <v>0</v>
      </c>
      <c r="D116" s="43">
        <f>D117</f>
        <v>898137.9</v>
      </c>
      <c r="E116" s="43">
        <f t="shared" ref="E116:U116" si="75">E117</f>
        <v>848125.32609999995</v>
      </c>
      <c r="F116" s="43">
        <f t="shared" si="75"/>
        <v>848125.3</v>
      </c>
      <c r="G116" s="43">
        <f t="shared" si="75"/>
        <v>848125.3</v>
      </c>
      <c r="H116" s="43">
        <f t="shared" si="75"/>
        <v>848125.3</v>
      </c>
      <c r="I116" s="43">
        <f t="shared" si="75"/>
        <v>848125.3</v>
      </c>
      <c r="J116" s="43">
        <f t="shared" si="75"/>
        <v>848125.3</v>
      </c>
      <c r="K116" s="43">
        <f t="shared" si="75"/>
        <v>848125.3</v>
      </c>
      <c r="L116" s="130">
        <v>728075.69803000009</v>
      </c>
      <c r="M116" s="130">
        <v>85.845298805494892</v>
      </c>
      <c r="N116" s="130">
        <v>727736.18594</v>
      </c>
      <c r="O116" s="130">
        <v>339.51209000000381</v>
      </c>
      <c r="P116" s="130">
        <v>120049.60197</v>
      </c>
      <c r="Q116" s="43">
        <f t="shared" si="75"/>
        <v>-14865.4</v>
      </c>
      <c r="R116" s="43">
        <f t="shared" si="75"/>
        <v>105184.20197000001</v>
      </c>
      <c r="S116" s="43">
        <f t="shared" si="75"/>
        <v>855334.3</v>
      </c>
      <c r="T116" s="43">
        <f t="shared" si="75"/>
        <v>7209</v>
      </c>
      <c r="U116" s="43">
        <f t="shared" si="75"/>
        <v>0</v>
      </c>
      <c r="V116" s="74"/>
      <c r="W116" s="142">
        <f t="shared" si="57"/>
        <v>0</v>
      </c>
    </row>
    <row r="117" spans="1:23" s="45" customFormat="1" x14ac:dyDescent="0.25">
      <c r="A117" s="35" t="s">
        <v>24</v>
      </c>
      <c r="B117" s="46" t="s">
        <v>25</v>
      </c>
      <c r="C117" s="75"/>
      <c r="D117" s="31">
        <f t="shared" ref="D117:K117" si="76">SUMIF($B$118:$B$124,"=01",D118:D124)</f>
        <v>898137.9</v>
      </c>
      <c r="E117" s="31">
        <f t="shared" si="76"/>
        <v>848125.32609999995</v>
      </c>
      <c r="F117" s="31">
        <f t="shared" si="76"/>
        <v>848125.3</v>
      </c>
      <c r="G117" s="31">
        <f t="shared" si="76"/>
        <v>848125.3</v>
      </c>
      <c r="H117" s="31">
        <f t="shared" si="76"/>
        <v>848125.3</v>
      </c>
      <c r="I117" s="31">
        <f t="shared" si="76"/>
        <v>848125.3</v>
      </c>
      <c r="J117" s="31">
        <f t="shared" si="76"/>
        <v>848125.3</v>
      </c>
      <c r="K117" s="31">
        <f t="shared" si="76"/>
        <v>848125.3</v>
      </c>
      <c r="L117" s="129">
        <v>728075.69803000009</v>
      </c>
      <c r="M117" s="129">
        <v>85.845298805494892</v>
      </c>
      <c r="N117" s="129">
        <v>727736.18594</v>
      </c>
      <c r="O117" s="129">
        <v>339.51209000000381</v>
      </c>
      <c r="P117" s="129">
        <v>120049.60197</v>
      </c>
      <c r="Q117" s="31">
        <f t="shared" ref="Q117:U117" si="77">SUMIF($B$118:$B$124,"=01",Q118:Q124)</f>
        <v>-14865.4</v>
      </c>
      <c r="R117" s="31">
        <f t="shared" si="77"/>
        <v>105184.20197000001</v>
      </c>
      <c r="S117" s="31">
        <f t="shared" si="77"/>
        <v>855334.3</v>
      </c>
      <c r="T117" s="31">
        <f t="shared" si="77"/>
        <v>7209</v>
      </c>
      <c r="U117" s="31">
        <f t="shared" si="77"/>
        <v>0</v>
      </c>
      <c r="V117" s="74"/>
      <c r="W117" s="142">
        <f t="shared" si="57"/>
        <v>0</v>
      </c>
    </row>
    <row r="118" spans="1:23" ht="63" x14ac:dyDescent="0.25">
      <c r="A118" s="88" t="s">
        <v>151</v>
      </c>
      <c r="B118" s="89" t="s">
        <v>25</v>
      </c>
      <c r="C118" s="90" t="s">
        <v>152</v>
      </c>
      <c r="D118" s="52">
        <v>299771.7</v>
      </c>
      <c r="E118" s="53">
        <f t="shared" ref="E118:K124" si="78">D118</f>
        <v>299771.7</v>
      </c>
      <c r="F118" s="53">
        <f t="shared" si="78"/>
        <v>299771.7</v>
      </c>
      <c r="G118" s="53">
        <f t="shared" si="78"/>
        <v>299771.7</v>
      </c>
      <c r="H118" s="53">
        <f t="shared" si="78"/>
        <v>299771.7</v>
      </c>
      <c r="I118" s="53">
        <f t="shared" si="78"/>
        <v>299771.7</v>
      </c>
      <c r="J118" s="53">
        <f t="shared" si="78"/>
        <v>299771.7</v>
      </c>
      <c r="K118" s="53">
        <f t="shared" si="78"/>
        <v>299771.7</v>
      </c>
      <c r="L118" s="132">
        <v>299771.7</v>
      </c>
      <c r="M118" s="132">
        <v>100</v>
      </c>
      <c r="N118" s="132">
        <v>299771.7</v>
      </c>
      <c r="O118" s="132">
        <v>0</v>
      </c>
      <c r="P118" s="134">
        <v>0</v>
      </c>
      <c r="Q118" s="54"/>
      <c r="R118" s="54">
        <f t="shared" si="56"/>
        <v>0</v>
      </c>
      <c r="S118" s="55">
        <f t="shared" ref="S118:S123" si="79">J118</f>
        <v>299771.7</v>
      </c>
      <c r="T118" s="91" t="str">
        <f>IF(S118-K118&gt;0,S118-K118,"")</f>
        <v/>
      </c>
      <c r="U118" s="91" t="str">
        <f t="shared" ref="U118:U124" si="80">IF(S118-K118&lt;0,S118-K118,"")</f>
        <v/>
      </c>
      <c r="V118" s="86"/>
      <c r="W118" s="142">
        <f t="shared" si="57"/>
        <v>0</v>
      </c>
    </row>
    <row r="119" spans="1:23" ht="63" x14ac:dyDescent="0.25">
      <c r="A119" s="88" t="s">
        <v>153</v>
      </c>
      <c r="B119" s="89" t="s">
        <v>25</v>
      </c>
      <c r="C119" s="90" t="s">
        <v>154</v>
      </c>
      <c r="D119" s="52">
        <v>14865.4</v>
      </c>
      <c r="E119" s="53">
        <f t="shared" si="78"/>
        <v>14865.4</v>
      </c>
      <c r="F119" s="53">
        <f t="shared" si="78"/>
        <v>14865.4</v>
      </c>
      <c r="G119" s="53">
        <f t="shared" si="78"/>
        <v>14865.4</v>
      </c>
      <c r="H119" s="53">
        <f t="shared" si="78"/>
        <v>14865.4</v>
      </c>
      <c r="I119" s="53">
        <f t="shared" si="78"/>
        <v>14865.4</v>
      </c>
      <c r="J119" s="53">
        <f t="shared" si="78"/>
        <v>14865.4</v>
      </c>
      <c r="K119" s="53">
        <f t="shared" si="78"/>
        <v>14865.4</v>
      </c>
      <c r="L119" s="132">
        <v>0</v>
      </c>
      <c r="M119" s="132">
        <v>0</v>
      </c>
      <c r="N119" s="132"/>
      <c r="O119" s="132">
        <v>0</v>
      </c>
      <c r="P119" s="132">
        <v>14865.4</v>
      </c>
      <c r="Q119" s="54">
        <v>-14865.4</v>
      </c>
      <c r="R119" s="54">
        <f t="shared" si="56"/>
        <v>0</v>
      </c>
      <c r="S119" s="55">
        <f t="shared" si="79"/>
        <v>14865.4</v>
      </c>
      <c r="T119" s="91"/>
      <c r="U119" s="91" t="str">
        <f t="shared" si="80"/>
        <v/>
      </c>
      <c r="V119" s="21"/>
      <c r="W119" s="142">
        <f t="shared" si="57"/>
        <v>0</v>
      </c>
    </row>
    <row r="120" spans="1:23" ht="31.5" x14ac:dyDescent="0.25">
      <c r="A120" s="88" t="s">
        <v>155</v>
      </c>
      <c r="B120" s="92" t="s">
        <v>25</v>
      </c>
      <c r="C120" s="90" t="s">
        <v>156</v>
      </c>
      <c r="D120" s="52">
        <v>40026.5</v>
      </c>
      <c r="E120" s="53">
        <f t="shared" si="78"/>
        <v>40026.5</v>
      </c>
      <c r="F120" s="53">
        <f t="shared" si="78"/>
        <v>40026.5</v>
      </c>
      <c r="G120" s="53">
        <f t="shared" si="78"/>
        <v>40026.5</v>
      </c>
      <c r="H120" s="53">
        <f t="shared" si="78"/>
        <v>40026.5</v>
      </c>
      <c r="I120" s="53">
        <f t="shared" si="78"/>
        <v>40026.5</v>
      </c>
      <c r="J120" s="53">
        <f t="shared" si="78"/>
        <v>40026.5</v>
      </c>
      <c r="K120" s="53">
        <f t="shared" si="78"/>
        <v>40026.5</v>
      </c>
      <c r="L120" s="132">
        <v>28278.857120000001</v>
      </c>
      <c r="M120" s="132">
        <v>70.650336951769461</v>
      </c>
      <c r="N120" s="132">
        <v>28278.857120000001</v>
      </c>
      <c r="O120" s="132">
        <v>0</v>
      </c>
      <c r="P120" s="132">
        <v>11747.642879999999</v>
      </c>
      <c r="Q120" s="54"/>
      <c r="R120" s="54">
        <f t="shared" si="56"/>
        <v>11747.642879999999</v>
      </c>
      <c r="S120" s="55">
        <f t="shared" si="79"/>
        <v>40026.5</v>
      </c>
      <c r="T120" s="56" t="str">
        <f>IF(S120-K120&gt;0,S120-K120,"")</f>
        <v/>
      </c>
      <c r="U120" s="56" t="str">
        <f t="shared" si="80"/>
        <v/>
      </c>
      <c r="V120" s="21"/>
      <c r="W120" s="142">
        <f t="shared" si="57"/>
        <v>0</v>
      </c>
    </row>
    <row r="121" spans="1:23" ht="47.25" x14ac:dyDescent="0.25">
      <c r="A121" s="63" t="s">
        <v>157</v>
      </c>
      <c r="B121" s="64" t="s">
        <v>25</v>
      </c>
      <c r="C121" s="79" t="s">
        <v>158</v>
      </c>
      <c r="D121" s="52">
        <v>182194.3</v>
      </c>
      <c r="E121" s="71">
        <f>D121-50012.5739</f>
        <v>132181.72609999997</v>
      </c>
      <c r="F121" s="53">
        <v>132181.70000000001</v>
      </c>
      <c r="G121" s="53">
        <f t="shared" si="78"/>
        <v>132181.70000000001</v>
      </c>
      <c r="H121" s="53">
        <f t="shared" si="78"/>
        <v>132181.70000000001</v>
      </c>
      <c r="I121" s="53">
        <f t="shared" si="78"/>
        <v>132181.70000000001</v>
      </c>
      <c r="J121" s="53">
        <f t="shared" si="78"/>
        <v>132181.70000000001</v>
      </c>
      <c r="K121" s="53">
        <f t="shared" si="78"/>
        <v>132181.70000000001</v>
      </c>
      <c r="L121" s="132">
        <v>64097.445450000007</v>
      </c>
      <c r="M121" s="132">
        <v>48.49192093156617</v>
      </c>
      <c r="N121" s="132">
        <v>63757.933360000003</v>
      </c>
      <c r="O121" s="132">
        <v>339.51209000000381</v>
      </c>
      <c r="P121" s="132">
        <v>68084.254550000012</v>
      </c>
      <c r="Q121" s="54"/>
      <c r="R121" s="54">
        <f t="shared" si="56"/>
        <v>68084.254550000012</v>
      </c>
      <c r="S121" s="55">
        <f t="shared" si="79"/>
        <v>132181.70000000001</v>
      </c>
      <c r="T121" s="56" t="str">
        <f>IF(S121-K121&gt;0,S121-K121,"")</f>
        <v/>
      </c>
      <c r="U121" s="56" t="str">
        <f t="shared" si="80"/>
        <v/>
      </c>
      <c r="V121" s="86"/>
      <c r="W121" s="142">
        <f t="shared" si="57"/>
        <v>0</v>
      </c>
    </row>
    <row r="122" spans="1:23" ht="118.5" customHeight="1" x14ac:dyDescent="0.25">
      <c r="A122" s="93" t="s">
        <v>159</v>
      </c>
      <c r="B122" s="92" t="s">
        <v>25</v>
      </c>
      <c r="C122" s="94" t="s">
        <v>160</v>
      </c>
      <c r="D122" s="52">
        <v>51730</v>
      </c>
      <c r="E122" s="53">
        <f t="shared" ref="E122:K122" si="81">D122</f>
        <v>51730</v>
      </c>
      <c r="F122" s="53">
        <f t="shared" si="81"/>
        <v>51730</v>
      </c>
      <c r="G122" s="53">
        <f t="shared" si="81"/>
        <v>51730</v>
      </c>
      <c r="H122" s="53">
        <f t="shared" si="81"/>
        <v>51730</v>
      </c>
      <c r="I122" s="53">
        <f t="shared" si="81"/>
        <v>51730</v>
      </c>
      <c r="J122" s="53">
        <f t="shared" si="81"/>
        <v>51730</v>
      </c>
      <c r="K122" s="53">
        <f t="shared" si="81"/>
        <v>51730</v>
      </c>
      <c r="L122" s="132">
        <v>35508.852739999995</v>
      </c>
      <c r="M122" s="132">
        <v>68.642669128165466</v>
      </c>
      <c r="N122" s="132">
        <v>35508.852740000002</v>
      </c>
      <c r="O122" s="132">
        <v>0</v>
      </c>
      <c r="P122" s="132">
        <v>16221.147260000005</v>
      </c>
      <c r="Q122" s="54"/>
      <c r="R122" s="54">
        <f t="shared" si="56"/>
        <v>16221.147260000005</v>
      </c>
      <c r="S122" s="55">
        <f t="shared" si="79"/>
        <v>51730</v>
      </c>
      <c r="T122" s="56" t="str">
        <f>IF(S122-K122&gt;0,S122-K122,"")</f>
        <v/>
      </c>
      <c r="U122" s="56" t="str">
        <f t="shared" si="80"/>
        <v/>
      </c>
      <c r="V122" s="21"/>
      <c r="W122" s="142">
        <f t="shared" si="57"/>
        <v>0</v>
      </c>
    </row>
    <row r="123" spans="1:23" ht="47.25" x14ac:dyDescent="0.25">
      <c r="A123" s="63" t="s">
        <v>161</v>
      </c>
      <c r="B123" s="64" t="s">
        <v>25</v>
      </c>
      <c r="C123" s="79" t="s">
        <v>162</v>
      </c>
      <c r="D123" s="52">
        <v>10000</v>
      </c>
      <c r="E123" s="53">
        <f t="shared" si="78"/>
        <v>10000</v>
      </c>
      <c r="F123" s="53">
        <f t="shared" si="78"/>
        <v>10000</v>
      </c>
      <c r="G123" s="53">
        <f t="shared" si="78"/>
        <v>10000</v>
      </c>
      <c r="H123" s="53">
        <f t="shared" si="78"/>
        <v>10000</v>
      </c>
      <c r="I123" s="53">
        <f t="shared" si="78"/>
        <v>10000</v>
      </c>
      <c r="J123" s="53">
        <f t="shared" si="78"/>
        <v>10000</v>
      </c>
      <c r="K123" s="53">
        <f t="shared" si="78"/>
        <v>10000</v>
      </c>
      <c r="L123" s="132">
        <v>868.84271999999999</v>
      </c>
      <c r="M123" s="132">
        <v>8.6884271999999996</v>
      </c>
      <c r="N123" s="132">
        <v>868.84271999999999</v>
      </c>
      <c r="O123" s="132">
        <v>0</v>
      </c>
      <c r="P123" s="132">
        <v>9131.1572799999994</v>
      </c>
      <c r="Q123" s="54"/>
      <c r="R123" s="54">
        <f t="shared" si="56"/>
        <v>9131.1572799999994</v>
      </c>
      <c r="S123" s="55">
        <f t="shared" si="79"/>
        <v>10000</v>
      </c>
      <c r="T123" s="91" t="str">
        <f>IF(S123-K123&gt;0,S123-K123,"")</f>
        <v/>
      </c>
      <c r="U123" s="56" t="str">
        <f t="shared" si="80"/>
        <v/>
      </c>
      <c r="V123" s="86"/>
      <c r="W123" s="142">
        <f t="shared" si="57"/>
        <v>0</v>
      </c>
    </row>
    <row r="124" spans="1:23" ht="69" customHeight="1" x14ac:dyDescent="0.25">
      <c r="A124" s="49" t="s">
        <v>163</v>
      </c>
      <c r="B124" s="64" t="s">
        <v>25</v>
      </c>
      <c r="C124" s="94" t="s">
        <v>164</v>
      </c>
      <c r="D124" s="52">
        <v>299550</v>
      </c>
      <c r="E124" s="53">
        <f t="shared" si="78"/>
        <v>299550</v>
      </c>
      <c r="F124" s="53">
        <f t="shared" si="78"/>
        <v>299550</v>
      </c>
      <c r="G124" s="53">
        <f t="shared" si="78"/>
        <v>299550</v>
      </c>
      <c r="H124" s="53">
        <f t="shared" si="78"/>
        <v>299550</v>
      </c>
      <c r="I124" s="53">
        <f t="shared" si="78"/>
        <v>299550</v>
      </c>
      <c r="J124" s="53">
        <f t="shared" si="78"/>
        <v>299550</v>
      </c>
      <c r="K124" s="53">
        <f t="shared" si="78"/>
        <v>299550</v>
      </c>
      <c r="L124" s="132">
        <v>299550</v>
      </c>
      <c r="M124" s="132">
        <v>100</v>
      </c>
      <c r="N124" s="132">
        <v>299550</v>
      </c>
      <c r="O124" s="132">
        <v>0</v>
      </c>
      <c r="P124" s="132">
        <v>0</v>
      </c>
      <c r="Q124" s="54"/>
      <c r="R124" s="54">
        <f t="shared" si="56"/>
        <v>0</v>
      </c>
      <c r="S124" s="55">
        <v>306759</v>
      </c>
      <c r="T124" s="56">
        <f>IF(S124-K124&gt;0,S124-K124,"")</f>
        <v>7209</v>
      </c>
      <c r="U124" s="56" t="str">
        <f t="shared" si="80"/>
        <v/>
      </c>
      <c r="V124" s="60" t="s">
        <v>58</v>
      </c>
      <c r="W124" s="142">
        <f t="shared" si="57"/>
        <v>0</v>
      </c>
    </row>
    <row r="125" spans="1:23" s="45" customFormat="1" ht="31.5" x14ac:dyDescent="0.25">
      <c r="A125" s="41" t="s">
        <v>236</v>
      </c>
      <c r="B125" s="50" t="s">
        <v>31</v>
      </c>
      <c r="C125" s="73">
        <f>SUM(C127:C127)</f>
        <v>0</v>
      </c>
      <c r="D125" s="43">
        <f>D126</f>
        <v>12514.2</v>
      </c>
      <c r="E125" s="43">
        <f t="shared" ref="E125:U125" si="82">E126</f>
        <v>12514.2</v>
      </c>
      <c r="F125" s="43">
        <f t="shared" si="82"/>
        <v>12514.2</v>
      </c>
      <c r="G125" s="43">
        <f t="shared" si="82"/>
        <v>12514.2</v>
      </c>
      <c r="H125" s="43">
        <f t="shared" si="82"/>
        <v>12514.2</v>
      </c>
      <c r="I125" s="43">
        <f t="shared" si="82"/>
        <v>12514.2</v>
      </c>
      <c r="J125" s="43">
        <f t="shared" si="82"/>
        <v>12514.2</v>
      </c>
      <c r="K125" s="43">
        <f t="shared" si="82"/>
        <v>12514.2</v>
      </c>
      <c r="L125" s="130">
        <v>0</v>
      </c>
      <c r="M125" s="130">
        <v>0</v>
      </c>
      <c r="N125" s="130">
        <v>0</v>
      </c>
      <c r="O125" s="130">
        <v>0</v>
      </c>
      <c r="P125" s="130">
        <v>12514.2</v>
      </c>
      <c r="Q125" s="43">
        <f t="shared" si="82"/>
        <v>0</v>
      </c>
      <c r="R125" s="43">
        <f t="shared" si="82"/>
        <v>12514.2</v>
      </c>
      <c r="S125" s="43">
        <f t="shared" si="82"/>
        <v>12514.2</v>
      </c>
      <c r="T125" s="43">
        <f t="shared" si="82"/>
        <v>0</v>
      </c>
      <c r="U125" s="43">
        <f t="shared" si="82"/>
        <v>0</v>
      </c>
      <c r="V125" s="74"/>
      <c r="W125" s="142">
        <f t="shared" si="57"/>
        <v>0</v>
      </c>
    </row>
    <row r="126" spans="1:23" s="45" customFormat="1" x14ac:dyDescent="0.25">
      <c r="A126" s="35" t="s">
        <v>24</v>
      </c>
      <c r="B126" s="46" t="s">
        <v>25</v>
      </c>
      <c r="C126" s="75"/>
      <c r="D126" s="31">
        <f t="shared" ref="D126:K126" si="83">SUMIF($B$127:$B$127,"=01",D127:D127)</f>
        <v>12514.2</v>
      </c>
      <c r="E126" s="31">
        <f t="shared" si="83"/>
        <v>12514.2</v>
      </c>
      <c r="F126" s="31">
        <f t="shared" si="83"/>
        <v>12514.2</v>
      </c>
      <c r="G126" s="31">
        <f t="shared" si="83"/>
        <v>12514.2</v>
      </c>
      <c r="H126" s="31">
        <f t="shared" si="83"/>
        <v>12514.2</v>
      </c>
      <c r="I126" s="31">
        <f t="shared" si="83"/>
        <v>12514.2</v>
      </c>
      <c r="J126" s="31">
        <f t="shared" si="83"/>
        <v>12514.2</v>
      </c>
      <c r="K126" s="31">
        <f t="shared" si="83"/>
        <v>12514.2</v>
      </c>
      <c r="L126" s="129">
        <v>0</v>
      </c>
      <c r="M126" s="129">
        <v>0</v>
      </c>
      <c r="N126" s="129">
        <v>0</v>
      </c>
      <c r="O126" s="129">
        <v>0</v>
      </c>
      <c r="P126" s="129">
        <v>12514.2</v>
      </c>
      <c r="Q126" s="31">
        <f t="shared" ref="Q126:U126" si="84">SUMIF($B$127:$B$127,"=01",Q127:Q127)</f>
        <v>0</v>
      </c>
      <c r="R126" s="31">
        <f t="shared" si="84"/>
        <v>12514.2</v>
      </c>
      <c r="S126" s="31">
        <f t="shared" si="84"/>
        <v>12514.2</v>
      </c>
      <c r="T126" s="31">
        <f t="shared" si="84"/>
        <v>0</v>
      </c>
      <c r="U126" s="31">
        <f t="shared" si="84"/>
        <v>0</v>
      </c>
      <c r="V126" s="74"/>
      <c r="W126" s="142">
        <f t="shared" si="57"/>
        <v>0</v>
      </c>
    </row>
    <row r="127" spans="1:23" ht="31.5" x14ac:dyDescent="0.25">
      <c r="A127" s="77" t="s">
        <v>165</v>
      </c>
      <c r="B127" s="50" t="s">
        <v>25</v>
      </c>
      <c r="C127" s="76" t="s">
        <v>166</v>
      </c>
      <c r="D127" s="52">
        <v>12514.2</v>
      </c>
      <c r="E127" s="53">
        <f t="shared" ref="E127:K127" si="85">D127</f>
        <v>12514.2</v>
      </c>
      <c r="F127" s="53">
        <f t="shared" si="85"/>
        <v>12514.2</v>
      </c>
      <c r="G127" s="53">
        <f t="shared" si="85"/>
        <v>12514.2</v>
      </c>
      <c r="H127" s="53">
        <f t="shared" si="85"/>
        <v>12514.2</v>
      </c>
      <c r="I127" s="53">
        <f t="shared" si="85"/>
        <v>12514.2</v>
      </c>
      <c r="J127" s="53">
        <f t="shared" si="85"/>
        <v>12514.2</v>
      </c>
      <c r="K127" s="53">
        <f t="shared" si="85"/>
        <v>12514.2</v>
      </c>
      <c r="L127" s="132">
        <v>0</v>
      </c>
      <c r="M127" s="132">
        <v>0</v>
      </c>
      <c r="N127" s="132"/>
      <c r="O127" s="132">
        <v>0</v>
      </c>
      <c r="P127" s="132">
        <v>12514.2</v>
      </c>
      <c r="Q127" s="54"/>
      <c r="R127" s="54">
        <f t="shared" si="56"/>
        <v>12514.2</v>
      </c>
      <c r="S127" s="55">
        <f t="shared" ref="S127" si="86">J127</f>
        <v>12514.2</v>
      </c>
      <c r="T127" s="56"/>
      <c r="U127" s="56" t="str">
        <f>IF(S127-K127&lt;0,S127-K127,"")</f>
        <v/>
      </c>
      <c r="V127" s="21"/>
      <c r="W127" s="142">
        <f t="shared" si="57"/>
        <v>0</v>
      </c>
    </row>
    <row r="128" spans="1:23" s="45" customFormat="1" ht="31.5" x14ac:dyDescent="0.25">
      <c r="A128" s="41" t="s">
        <v>237</v>
      </c>
      <c r="B128" s="46" t="s">
        <v>25</v>
      </c>
      <c r="C128" s="95"/>
      <c r="D128" s="43">
        <f>D129</f>
        <v>264323.09999999998</v>
      </c>
      <c r="E128" s="43">
        <f t="shared" ref="E128:U128" si="87">E129</f>
        <v>264323.09999999998</v>
      </c>
      <c r="F128" s="43">
        <f t="shared" si="87"/>
        <v>199823.1</v>
      </c>
      <c r="G128" s="43">
        <f t="shared" si="87"/>
        <v>199823.1</v>
      </c>
      <c r="H128" s="43">
        <f t="shared" si="87"/>
        <v>199823.1</v>
      </c>
      <c r="I128" s="43">
        <f t="shared" si="87"/>
        <v>199823.1</v>
      </c>
      <c r="J128" s="43">
        <f t="shared" si="87"/>
        <v>199823.1</v>
      </c>
      <c r="K128" s="43">
        <f t="shared" si="87"/>
        <v>199823.1</v>
      </c>
      <c r="L128" s="130">
        <f>L129</f>
        <v>109653.60464999999</v>
      </c>
      <c r="M128" s="130">
        <f t="shared" ref="M128:M129" si="88">L128/J128*100</f>
        <v>54.87533956284333</v>
      </c>
      <c r="N128" s="130">
        <f t="shared" si="87"/>
        <v>109588.60464999999</v>
      </c>
      <c r="O128" s="130">
        <f t="shared" si="87"/>
        <v>65</v>
      </c>
      <c r="P128" s="130">
        <f t="shared" si="87"/>
        <v>90169.495350000012</v>
      </c>
      <c r="Q128" s="43">
        <f t="shared" si="87"/>
        <v>0</v>
      </c>
      <c r="R128" s="43">
        <f t="shared" si="87"/>
        <v>90169.495350000012</v>
      </c>
      <c r="S128" s="43">
        <f t="shared" si="87"/>
        <v>199823.1</v>
      </c>
      <c r="T128" s="43">
        <f t="shared" si="87"/>
        <v>0</v>
      </c>
      <c r="U128" s="43">
        <f t="shared" si="87"/>
        <v>0</v>
      </c>
      <c r="V128" s="74"/>
      <c r="W128" s="142">
        <f t="shared" si="57"/>
        <v>0</v>
      </c>
    </row>
    <row r="129" spans="1:23" s="45" customFormat="1" x14ac:dyDescent="0.25">
      <c r="A129" s="35" t="s">
        <v>24</v>
      </c>
      <c r="B129" s="46" t="s">
        <v>25</v>
      </c>
      <c r="C129" s="75"/>
      <c r="D129" s="31">
        <f t="shared" ref="D129:L129" si="89">SUMIF($B$130:$B$139,"=01",D130:D139)</f>
        <v>264323.09999999998</v>
      </c>
      <c r="E129" s="31">
        <f t="shared" si="89"/>
        <v>264323.09999999998</v>
      </c>
      <c r="F129" s="31">
        <f t="shared" si="89"/>
        <v>199823.1</v>
      </c>
      <c r="G129" s="31">
        <f t="shared" si="89"/>
        <v>199823.1</v>
      </c>
      <c r="H129" s="31">
        <f t="shared" si="89"/>
        <v>199823.1</v>
      </c>
      <c r="I129" s="31">
        <f t="shared" si="89"/>
        <v>199823.1</v>
      </c>
      <c r="J129" s="31">
        <f t="shared" si="89"/>
        <v>199823.1</v>
      </c>
      <c r="K129" s="31">
        <f t="shared" si="89"/>
        <v>199823.1</v>
      </c>
      <c r="L129" s="129">
        <f t="shared" si="89"/>
        <v>109653.60464999999</v>
      </c>
      <c r="M129" s="129">
        <f t="shared" si="88"/>
        <v>54.87533956284333</v>
      </c>
      <c r="N129" s="129">
        <f t="shared" ref="N129:P129" si="90">SUMIF($B$130:$B$139,"=01",N130:N139)</f>
        <v>109588.60464999999</v>
      </c>
      <c r="O129" s="129">
        <f t="shared" si="90"/>
        <v>65</v>
      </c>
      <c r="P129" s="129">
        <f t="shared" si="90"/>
        <v>90169.495350000012</v>
      </c>
      <c r="Q129" s="31">
        <f t="shared" ref="Q129:U129" si="91">SUMIF($B$130:$B$139,"=01",Q130:Q139)</f>
        <v>0</v>
      </c>
      <c r="R129" s="31">
        <f t="shared" si="91"/>
        <v>90169.495350000012</v>
      </c>
      <c r="S129" s="31">
        <f t="shared" si="91"/>
        <v>199823.1</v>
      </c>
      <c r="T129" s="31">
        <f t="shared" si="91"/>
        <v>0</v>
      </c>
      <c r="U129" s="31">
        <f t="shared" si="91"/>
        <v>0</v>
      </c>
      <c r="V129" s="74"/>
      <c r="W129" s="142">
        <f t="shared" si="57"/>
        <v>0</v>
      </c>
    </row>
    <row r="130" spans="1:23" ht="126" x14ac:dyDescent="0.25">
      <c r="A130" s="61" t="s">
        <v>167</v>
      </c>
      <c r="B130" s="50" t="s">
        <v>25</v>
      </c>
      <c r="C130" s="76" t="s">
        <v>168</v>
      </c>
      <c r="D130" s="52">
        <v>1295.5999999999999</v>
      </c>
      <c r="E130" s="53">
        <f t="shared" ref="E130:K139" si="92">D130</f>
        <v>1295.5999999999999</v>
      </c>
      <c r="F130" s="53">
        <f t="shared" si="92"/>
        <v>1295.5999999999999</v>
      </c>
      <c r="G130" s="53">
        <f t="shared" si="92"/>
        <v>1295.5999999999999</v>
      </c>
      <c r="H130" s="53">
        <f t="shared" si="92"/>
        <v>1295.5999999999999</v>
      </c>
      <c r="I130" s="53">
        <f t="shared" si="92"/>
        <v>1295.5999999999999</v>
      </c>
      <c r="J130" s="53">
        <f t="shared" si="92"/>
        <v>1295.5999999999999</v>
      </c>
      <c r="K130" s="53">
        <f t="shared" si="92"/>
        <v>1295.5999999999999</v>
      </c>
      <c r="L130" s="132">
        <v>0</v>
      </c>
      <c r="M130" s="132">
        <v>0</v>
      </c>
      <c r="N130" s="132"/>
      <c r="O130" s="132">
        <v>0</v>
      </c>
      <c r="P130" s="132">
        <v>1295.5999999999999</v>
      </c>
      <c r="Q130" s="54"/>
      <c r="R130" s="54">
        <f t="shared" si="56"/>
        <v>1295.5999999999999</v>
      </c>
      <c r="S130" s="55">
        <f t="shared" ref="S130:S139" si="93">J130</f>
        <v>1295.5999999999999</v>
      </c>
      <c r="T130" s="56" t="str">
        <f>IF(S130-K130&gt;0,S130-K130,"")</f>
        <v/>
      </c>
      <c r="U130" s="56" t="str">
        <f t="shared" ref="U130:U139" si="94">IF(S130-K130&lt;0,S130-K130,"")</f>
        <v/>
      </c>
      <c r="V130" s="21"/>
      <c r="W130" s="142">
        <f t="shared" si="57"/>
        <v>0</v>
      </c>
    </row>
    <row r="131" spans="1:23" ht="31.5" x14ac:dyDescent="0.25">
      <c r="A131" s="61" t="s">
        <v>169</v>
      </c>
      <c r="B131" s="50" t="s">
        <v>25</v>
      </c>
      <c r="C131" s="76" t="s">
        <v>170</v>
      </c>
      <c r="D131" s="52">
        <v>127500</v>
      </c>
      <c r="E131" s="53">
        <f t="shared" si="92"/>
        <v>127500</v>
      </c>
      <c r="F131" s="53">
        <f t="shared" si="92"/>
        <v>127500</v>
      </c>
      <c r="G131" s="53">
        <f t="shared" si="92"/>
        <v>127500</v>
      </c>
      <c r="H131" s="53">
        <f t="shared" si="92"/>
        <v>127500</v>
      </c>
      <c r="I131" s="53">
        <f t="shared" si="92"/>
        <v>127500</v>
      </c>
      <c r="J131" s="53">
        <f t="shared" si="92"/>
        <v>127500</v>
      </c>
      <c r="K131" s="53">
        <f t="shared" si="92"/>
        <v>127500</v>
      </c>
      <c r="L131" s="132">
        <v>76500</v>
      </c>
      <c r="M131" s="132">
        <v>60</v>
      </c>
      <c r="N131" s="132">
        <v>76435</v>
      </c>
      <c r="O131" s="132">
        <v>65</v>
      </c>
      <c r="P131" s="132">
        <v>51000</v>
      </c>
      <c r="Q131" s="54"/>
      <c r="R131" s="54">
        <f t="shared" si="56"/>
        <v>51000</v>
      </c>
      <c r="S131" s="55">
        <f t="shared" si="93"/>
        <v>127500</v>
      </c>
      <c r="T131" s="56" t="str">
        <f>IF(S131-K131&gt;0,S131-K131,"")</f>
        <v/>
      </c>
      <c r="U131" s="56" t="str">
        <f t="shared" si="94"/>
        <v/>
      </c>
      <c r="V131" s="21"/>
      <c r="W131" s="142">
        <f t="shared" si="57"/>
        <v>0</v>
      </c>
    </row>
    <row r="132" spans="1:23" ht="47.25" x14ac:dyDescent="0.25">
      <c r="A132" s="57" t="s">
        <v>171</v>
      </c>
      <c r="B132" s="50" t="s">
        <v>25</v>
      </c>
      <c r="C132" s="76" t="s">
        <v>172</v>
      </c>
      <c r="D132" s="52">
        <v>55007.9</v>
      </c>
      <c r="E132" s="53">
        <f t="shared" si="92"/>
        <v>55007.9</v>
      </c>
      <c r="F132" s="53">
        <f t="shared" si="92"/>
        <v>55007.9</v>
      </c>
      <c r="G132" s="53">
        <f t="shared" si="92"/>
        <v>55007.9</v>
      </c>
      <c r="H132" s="53">
        <f t="shared" si="92"/>
        <v>55007.9</v>
      </c>
      <c r="I132" s="53">
        <f t="shared" si="92"/>
        <v>55007.9</v>
      </c>
      <c r="J132" s="53">
        <f t="shared" si="92"/>
        <v>55007.9</v>
      </c>
      <c r="K132" s="53">
        <f t="shared" si="92"/>
        <v>55007.9</v>
      </c>
      <c r="L132" s="132">
        <v>27480.2916</v>
      </c>
      <c r="M132" s="132">
        <v>49.956990904942742</v>
      </c>
      <c r="N132" s="132">
        <v>27480.2916</v>
      </c>
      <c r="O132" s="132">
        <v>0</v>
      </c>
      <c r="P132" s="132">
        <v>27527.608400000001</v>
      </c>
      <c r="Q132" s="68"/>
      <c r="R132" s="54">
        <f t="shared" si="56"/>
        <v>27527.608400000001</v>
      </c>
      <c r="S132" s="55">
        <f t="shared" si="93"/>
        <v>55007.9</v>
      </c>
      <c r="T132" s="56" t="str">
        <f>IF(S132-K132&gt;0,S132-K132,"")</f>
        <v/>
      </c>
      <c r="U132" s="56" t="str">
        <f t="shared" si="94"/>
        <v/>
      </c>
      <c r="V132" s="57"/>
      <c r="W132" s="142">
        <f t="shared" si="57"/>
        <v>0</v>
      </c>
    </row>
    <row r="133" spans="1:23" ht="110.25" x14ac:dyDescent="0.25">
      <c r="A133" s="49" t="s">
        <v>173</v>
      </c>
      <c r="B133" s="50" t="s">
        <v>25</v>
      </c>
      <c r="C133" s="76" t="s">
        <v>174</v>
      </c>
      <c r="D133" s="52">
        <v>780</v>
      </c>
      <c r="E133" s="53">
        <f t="shared" si="92"/>
        <v>780</v>
      </c>
      <c r="F133" s="53">
        <f t="shared" si="92"/>
        <v>780</v>
      </c>
      <c r="G133" s="53">
        <f t="shared" si="92"/>
        <v>780</v>
      </c>
      <c r="H133" s="53">
        <f t="shared" si="92"/>
        <v>780</v>
      </c>
      <c r="I133" s="53">
        <f t="shared" si="92"/>
        <v>780</v>
      </c>
      <c r="J133" s="53">
        <f t="shared" si="92"/>
        <v>780</v>
      </c>
      <c r="K133" s="53">
        <f t="shared" si="92"/>
        <v>780</v>
      </c>
      <c r="L133" s="132">
        <v>70.228709999999992</v>
      </c>
      <c r="M133" s="132">
        <v>9.0036807692307672</v>
      </c>
      <c r="N133" s="132">
        <v>70.228710000000007</v>
      </c>
      <c r="O133" s="132">
        <v>0</v>
      </c>
      <c r="P133" s="138">
        <v>709.77129000000002</v>
      </c>
      <c r="Q133" s="96"/>
      <c r="R133" s="54">
        <f t="shared" si="56"/>
        <v>709.77129000000002</v>
      </c>
      <c r="S133" s="55">
        <f t="shared" si="93"/>
        <v>780</v>
      </c>
      <c r="T133" s="56"/>
      <c r="U133" s="56" t="str">
        <f t="shared" si="94"/>
        <v/>
      </c>
      <c r="V133" s="21"/>
      <c r="W133" s="142">
        <f t="shared" si="57"/>
        <v>0</v>
      </c>
    </row>
    <row r="134" spans="1:23" ht="52.5" customHeight="1" x14ac:dyDescent="0.25">
      <c r="A134" s="61" t="s">
        <v>175</v>
      </c>
      <c r="B134" s="50" t="s">
        <v>25</v>
      </c>
      <c r="C134" s="76" t="s">
        <v>176</v>
      </c>
      <c r="D134" s="52">
        <v>421.5</v>
      </c>
      <c r="E134" s="53">
        <f t="shared" si="92"/>
        <v>421.5</v>
      </c>
      <c r="F134" s="53">
        <f t="shared" si="92"/>
        <v>421.5</v>
      </c>
      <c r="G134" s="53">
        <f t="shared" si="92"/>
        <v>421.5</v>
      </c>
      <c r="H134" s="53">
        <f t="shared" si="92"/>
        <v>421.5</v>
      </c>
      <c r="I134" s="53">
        <f t="shared" si="92"/>
        <v>421.5</v>
      </c>
      <c r="J134" s="53">
        <f t="shared" si="92"/>
        <v>421.5</v>
      </c>
      <c r="K134" s="53">
        <f t="shared" si="92"/>
        <v>421.5</v>
      </c>
      <c r="L134" s="132"/>
      <c r="M134" s="132">
        <v>0</v>
      </c>
      <c r="N134" s="132"/>
      <c r="O134" s="132">
        <v>0</v>
      </c>
      <c r="P134" s="132">
        <v>421.5</v>
      </c>
      <c r="Q134" s="54"/>
      <c r="R134" s="54">
        <f t="shared" si="56"/>
        <v>421.5</v>
      </c>
      <c r="S134" s="55">
        <f t="shared" si="93"/>
        <v>421.5</v>
      </c>
      <c r="T134" s="56" t="str">
        <f t="shared" ref="T134:T139" si="95">IF(S134-K134&gt;0,S134-K134,"")</f>
        <v/>
      </c>
      <c r="U134" s="56" t="str">
        <f t="shared" si="94"/>
        <v/>
      </c>
      <c r="V134" s="21"/>
      <c r="W134" s="142">
        <f t="shared" si="57"/>
        <v>0</v>
      </c>
    </row>
    <row r="135" spans="1:23" ht="63" x14ac:dyDescent="0.25">
      <c r="A135" s="61" t="s">
        <v>177</v>
      </c>
      <c r="B135" s="50" t="s">
        <v>25</v>
      </c>
      <c r="C135" s="76" t="s">
        <v>178</v>
      </c>
      <c r="D135" s="52">
        <v>1083</v>
      </c>
      <c r="E135" s="53">
        <f t="shared" si="92"/>
        <v>1083</v>
      </c>
      <c r="F135" s="53">
        <f t="shared" si="92"/>
        <v>1083</v>
      </c>
      <c r="G135" s="53">
        <f t="shared" si="92"/>
        <v>1083</v>
      </c>
      <c r="H135" s="53">
        <f t="shared" si="92"/>
        <v>1083</v>
      </c>
      <c r="I135" s="53">
        <f t="shared" si="92"/>
        <v>1083</v>
      </c>
      <c r="J135" s="53">
        <f t="shared" si="92"/>
        <v>1083</v>
      </c>
      <c r="K135" s="53">
        <f t="shared" si="92"/>
        <v>1083</v>
      </c>
      <c r="L135" s="132">
        <v>30.038340000000002</v>
      </c>
      <c r="M135" s="132">
        <v>2.7736232686980609</v>
      </c>
      <c r="N135" s="132">
        <v>30.038340000000002</v>
      </c>
      <c r="O135" s="132">
        <v>0</v>
      </c>
      <c r="P135" s="132">
        <v>1052.9616599999999</v>
      </c>
      <c r="Q135" s="54"/>
      <c r="R135" s="54">
        <f t="shared" si="56"/>
        <v>1052.9616599999999</v>
      </c>
      <c r="S135" s="55">
        <f t="shared" si="93"/>
        <v>1083</v>
      </c>
      <c r="T135" s="56" t="str">
        <f t="shared" si="95"/>
        <v/>
      </c>
      <c r="U135" s="56" t="str">
        <f t="shared" si="94"/>
        <v/>
      </c>
      <c r="V135" s="21"/>
      <c r="W135" s="142">
        <f t="shared" si="57"/>
        <v>0</v>
      </c>
    </row>
    <row r="136" spans="1:23" ht="31.5" x14ac:dyDescent="0.25">
      <c r="A136" s="61" t="s">
        <v>179</v>
      </c>
      <c r="B136" s="50" t="s">
        <v>25</v>
      </c>
      <c r="C136" s="76" t="s">
        <v>180</v>
      </c>
      <c r="D136" s="52">
        <v>12500</v>
      </c>
      <c r="E136" s="53">
        <f t="shared" si="92"/>
        <v>12500</v>
      </c>
      <c r="F136" s="53">
        <f t="shared" si="92"/>
        <v>12500</v>
      </c>
      <c r="G136" s="53">
        <f t="shared" si="92"/>
        <v>12500</v>
      </c>
      <c r="H136" s="53">
        <f t="shared" si="92"/>
        <v>12500</v>
      </c>
      <c r="I136" s="53">
        <f t="shared" si="92"/>
        <v>12500</v>
      </c>
      <c r="J136" s="53">
        <f t="shared" si="92"/>
        <v>12500</v>
      </c>
      <c r="K136" s="53">
        <f t="shared" si="92"/>
        <v>12500</v>
      </c>
      <c r="L136" s="132">
        <v>5000</v>
      </c>
      <c r="M136" s="132">
        <v>40</v>
      </c>
      <c r="N136" s="132">
        <v>5000</v>
      </c>
      <c r="O136" s="132">
        <v>0</v>
      </c>
      <c r="P136" s="132">
        <v>7500</v>
      </c>
      <c r="Q136" s="54"/>
      <c r="R136" s="54">
        <f t="shared" si="56"/>
        <v>7500</v>
      </c>
      <c r="S136" s="55">
        <f t="shared" si="93"/>
        <v>12500</v>
      </c>
      <c r="T136" s="56" t="str">
        <f t="shared" si="95"/>
        <v/>
      </c>
      <c r="U136" s="56" t="str">
        <f t="shared" si="94"/>
        <v/>
      </c>
      <c r="V136" s="21"/>
      <c r="W136" s="142">
        <f t="shared" si="57"/>
        <v>0</v>
      </c>
    </row>
    <row r="137" spans="1:23" ht="47.25" x14ac:dyDescent="0.25">
      <c r="A137" s="61" t="s">
        <v>181</v>
      </c>
      <c r="B137" s="50" t="s">
        <v>25</v>
      </c>
      <c r="C137" s="76" t="s">
        <v>182</v>
      </c>
      <c r="D137" s="52">
        <v>1235.0999999999999</v>
      </c>
      <c r="E137" s="53">
        <f t="shared" si="92"/>
        <v>1235.0999999999999</v>
      </c>
      <c r="F137" s="53">
        <f t="shared" si="92"/>
        <v>1235.0999999999999</v>
      </c>
      <c r="G137" s="53">
        <f t="shared" si="92"/>
        <v>1235.0999999999999</v>
      </c>
      <c r="H137" s="53">
        <f t="shared" si="92"/>
        <v>1235.0999999999999</v>
      </c>
      <c r="I137" s="53">
        <f t="shared" si="92"/>
        <v>1235.0999999999999</v>
      </c>
      <c r="J137" s="53">
        <f t="shared" si="92"/>
        <v>1235.0999999999999</v>
      </c>
      <c r="K137" s="53">
        <f t="shared" si="92"/>
        <v>1235.0999999999999</v>
      </c>
      <c r="L137" s="132">
        <v>573.04600000000005</v>
      </c>
      <c r="M137" s="132">
        <v>46.396729009796786</v>
      </c>
      <c r="N137" s="132">
        <v>573.04600000000005</v>
      </c>
      <c r="O137" s="132">
        <v>0</v>
      </c>
      <c r="P137" s="132">
        <v>662.05399999999986</v>
      </c>
      <c r="Q137" s="54"/>
      <c r="R137" s="54">
        <f t="shared" si="56"/>
        <v>662.05399999999986</v>
      </c>
      <c r="S137" s="55">
        <f t="shared" si="93"/>
        <v>1235.0999999999999</v>
      </c>
      <c r="T137" s="56" t="str">
        <f t="shared" si="95"/>
        <v/>
      </c>
      <c r="U137" s="56" t="str">
        <f t="shared" si="94"/>
        <v/>
      </c>
      <c r="V137" s="21"/>
      <c r="W137" s="142">
        <f t="shared" si="57"/>
        <v>0</v>
      </c>
    </row>
    <row r="138" spans="1:23" ht="47.25" hidden="1" x14ac:dyDescent="0.25">
      <c r="A138" s="97" t="s">
        <v>183</v>
      </c>
      <c r="B138" s="50" t="s">
        <v>25</v>
      </c>
      <c r="C138" s="76" t="s">
        <v>184</v>
      </c>
      <c r="D138" s="52">
        <v>4500</v>
      </c>
      <c r="E138" s="53">
        <f t="shared" si="92"/>
        <v>4500</v>
      </c>
      <c r="F138" s="53"/>
      <c r="G138" s="53"/>
      <c r="H138" s="53">
        <f t="shared" si="92"/>
        <v>0</v>
      </c>
      <c r="I138" s="53">
        <f t="shared" si="92"/>
        <v>0</v>
      </c>
      <c r="J138" s="53">
        <f t="shared" si="92"/>
        <v>0</v>
      </c>
      <c r="K138" s="53"/>
      <c r="L138" s="132"/>
      <c r="M138" s="132"/>
      <c r="N138" s="132"/>
      <c r="O138" s="132">
        <v>0</v>
      </c>
      <c r="P138" s="132"/>
      <c r="Q138" s="54"/>
      <c r="R138" s="54">
        <f t="shared" si="56"/>
        <v>0</v>
      </c>
      <c r="S138" s="55">
        <f t="shared" si="93"/>
        <v>0</v>
      </c>
      <c r="T138" s="56" t="str">
        <f t="shared" si="95"/>
        <v/>
      </c>
      <c r="U138" s="56" t="str">
        <f t="shared" si="94"/>
        <v/>
      </c>
      <c r="V138" s="21"/>
      <c r="W138" s="142">
        <f t="shared" si="57"/>
        <v>0</v>
      </c>
    </row>
    <row r="139" spans="1:23" ht="204.75" hidden="1" x14ac:dyDescent="0.25">
      <c r="A139" s="61" t="s">
        <v>185</v>
      </c>
      <c r="B139" s="50" t="s">
        <v>25</v>
      </c>
      <c r="C139" s="76" t="s">
        <v>186</v>
      </c>
      <c r="D139" s="52">
        <f>58335+1665</f>
        <v>60000</v>
      </c>
      <c r="E139" s="53">
        <f t="shared" si="92"/>
        <v>60000</v>
      </c>
      <c r="F139" s="53"/>
      <c r="G139" s="53">
        <f t="shared" si="92"/>
        <v>0</v>
      </c>
      <c r="H139" s="53">
        <f t="shared" si="92"/>
        <v>0</v>
      </c>
      <c r="I139" s="53">
        <f t="shared" si="92"/>
        <v>0</v>
      </c>
      <c r="J139" s="53">
        <f t="shared" si="92"/>
        <v>0</v>
      </c>
      <c r="K139" s="53">
        <f t="shared" si="92"/>
        <v>0</v>
      </c>
      <c r="L139" s="132"/>
      <c r="M139" s="132">
        <v>0</v>
      </c>
      <c r="N139" s="137"/>
      <c r="O139" s="132">
        <v>0</v>
      </c>
      <c r="P139" s="132"/>
      <c r="Q139" s="54"/>
      <c r="R139" s="54">
        <f t="shared" si="56"/>
        <v>0</v>
      </c>
      <c r="S139" s="55">
        <f t="shared" si="93"/>
        <v>0</v>
      </c>
      <c r="T139" s="56" t="str">
        <f t="shared" si="95"/>
        <v/>
      </c>
      <c r="U139" s="56" t="str">
        <f t="shared" si="94"/>
        <v/>
      </c>
      <c r="V139" s="21"/>
      <c r="W139" s="142">
        <f t="shared" si="57"/>
        <v>0</v>
      </c>
    </row>
    <row r="140" spans="1:23" s="45" customFormat="1" x14ac:dyDescent="0.25">
      <c r="A140" s="41" t="s">
        <v>238</v>
      </c>
      <c r="B140" s="50" t="s">
        <v>31</v>
      </c>
      <c r="C140" s="73">
        <f>SUM(C143:C149)</f>
        <v>0</v>
      </c>
      <c r="D140" s="43">
        <f>D141+D142</f>
        <v>348259.69999999995</v>
      </c>
      <c r="E140" s="43">
        <f t="shared" ref="E140:U140" si="96">E141+E142</f>
        <v>348259.69999999995</v>
      </c>
      <c r="F140" s="43">
        <f t="shared" si="96"/>
        <v>348259.69999999995</v>
      </c>
      <c r="G140" s="43">
        <f t="shared" si="96"/>
        <v>348259.69999999995</v>
      </c>
      <c r="H140" s="43">
        <f t="shared" si="96"/>
        <v>348259.69999999995</v>
      </c>
      <c r="I140" s="43">
        <f t="shared" si="96"/>
        <v>348259.69999999995</v>
      </c>
      <c r="J140" s="43">
        <f t="shared" si="96"/>
        <v>348259.69999999995</v>
      </c>
      <c r="K140" s="43">
        <f t="shared" si="96"/>
        <v>348259.69999999995</v>
      </c>
      <c r="L140" s="130">
        <v>344149.74514000001</v>
      </c>
      <c r="M140" s="130">
        <v>98.819859185544601</v>
      </c>
      <c r="N140" s="130">
        <v>344149.74514000001</v>
      </c>
      <c r="O140" s="130">
        <v>0</v>
      </c>
      <c r="P140" s="130">
        <v>4109.9548600000035</v>
      </c>
      <c r="Q140" s="43">
        <f t="shared" si="96"/>
        <v>0</v>
      </c>
      <c r="R140" s="43">
        <f t="shared" si="96"/>
        <v>4109.9548600000035</v>
      </c>
      <c r="S140" s="43">
        <f t="shared" si="96"/>
        <v>348259.69999999995</v>
      </c>
      <c r="T140" s="43">
        <f t="shared" si="96"/>
        <v>0</v>
      </c>
      <c r="U140" s="43">
        <f t="shared" si="96"/>
        <v>0</v>
      </c>
      <c r="V140" s="74"/>
      <c r="W140" s="142"/>
    </row>
    <row r="141" spans="1:23" s="45" customFormat="1" x14ac:dyDescent="0.25">
      <c r="A141" s="35" t="s">
        <v>24</v>
      </c>
      <c r="B141" s="46" t="s">
        <v>25</v>
      </c>
      <c r="C141" s="75"/>
      <c r="D141" s="31">
        <f t="shared" ref="D141:K141" si="97">SUMIF($B$143:$B$149,"=01",D143:D149)</f>
        <v>328206.59999999998</v>
      </c>
      <c r="E141" s="31">
        <f t="shared" si="97"/>
        <v>328206.59999999998</v>
      </c>
      <c r="F141" s="31">
        <f t="shared" si="97"/>
        <v>328206.59999999998</v>
      </c>
      <c r="G141" s="31">
        <f t="shared" si="97"/>
        <v>328206.59999999998</v>
      </c>
      <c r="H141" s="31">
        <f t="shared" si="97"/>
        <v>328206.59999999998</v>
      </c>
      <c r="I141" s="31">
        <f t="shared" si="97"/>
        <v>328206.59999999998</v>
      </c>
      <c r="J141" s="31">
        <f t="shared" si="97"/>
        <v>328206.59999999998</v>
      </c>
      <c r="K141" s="31">
        <f t="shared" si="97"/>
        <v>328206.59999999998</v>
      </c>
      <c r="L141" s="129">
        <v>325102.37239000003</v>
      </c>
      <c r="M141" s="129">
        <v>99.05418489146777</v>
      </c>
      <c r="N141" s="129">
        <v>325102.37239000003</v>
      </c>
      <c r="O141" s="129">
        <v>0</v>
      </c>
      <c r="P141" s="129">
        <v>3104.2276100000036</v>
      </c>
      <c r="Q141" s="31">
        <f t="shared" ref="Q141:U141" si="98">SUMIF($B$143:$B$149,"=01",Q143:Q149)</f>
        <v>0</v>
      </c>
      <c r="R141" s="31">
        <f t="shared" si="98"/>
        <v>3104.2276100000036</v>
      </c>
      <c r="S141" s="31">
        <f t="shared" si="98"/>
        <v>328206.59999999998</v>
      </c>
      <c r="T141" s="31">
        <f t="shared" si="98"/>
        <v>0</v>
      </c>
      <c r="U141" s="31">
        <f t="shared" si="98"/>
        <v>0</v>
      </c>
      <c r="V141" s="74"/>
      <c r="W141" s="142"/>
    </row>
    <row r="142" spans="1:23" s="45" customFormat="1" x14ac:dyDescent="0.25">
      <c r="A142" s="35" t="s">
        <v>26</v>
      </c>
      <c r="B142" s="46" t="s">
        <v>27</v>
      </c>
      <c r="C142" s="75"/>
      <c r="D142" s="31">
        <f t="shared" ref="D142:K142" si="99">SUMIF($B$143:$B$149,"=02",D143:D149)</f>
        <v>20053.099999999999</v>
      </c>
      <c r="E142" s="31">
        <f t="shared" si="99"/>
        <v>20053.099999999999</v>
      </c>
      <c r="F142" s="31">
        <f t="shared" si="99"/>
        <v>20053.099999999999</v>
      </c>
      <c r="G142" s="31">
        <f t="shared" si="99"/>
        <v>20053.099999999999</v>
      </c>
      <c r="H142" s="31">
        <f t="shared" si="99"/>
        <v>20053.099999999999</v>
      </c>
      <c r="I142" s="31">
        <f t="shared" si="99"/>
        <v>20053.099999999999</v>
      </c>
      <c r="J142" s="31">
        <f t="shared" si="99"/>
        <v>20053.099999999999</v>
      </c>
      <c r="K142" s="31">
        <f t="shared" si="99"/>
        <v>20053.099999999999</v>
      </c>
      <c r="L142" s="129">
        <v>19047.372749999999</v>
      </c>
      <c r="M142" s="129">
        <v>94.984679426123648</v>
      </c>
      <c r="N142" s="129">
        <v>19047.372749999999</v>
      </c>
      <c r="O142" s="129">
        <v>0</v>
      </c>
      <c r="P142" s="129">
        <v>1005.7272499999999</v>
      </c>
      <c r="Q142" s="31">
        <f t="shared" ref="Q142:U142" si="100">SUMIF($B$143:$B$149,"=02",Q143:Q149)</f>
        <v>0</v>
      </c>
      <c r="R142" s="31">
        <f t="shared" si="100"/>
        <v>1005.7272499999999</v>
      </c>
      <c r="S142" s="31">
        <f t="shared" si="100"/>
        <v>20053.099999999999</v>
      </c>
      <c r="T142" s="31">
        <f t="shared" si="100"/>
        <v>0</v>
      </c>
      <c r="U142" s="31">
        <f t="shared" si="100"/>
        <v>0</v>
      </c>
      <c r="V142" s="74"/>
      <c r="W142" s="142">
        <f t="shared" si="57"/>
        <v>0</v>
      </c>
    </row>
    <row r="143" spans="1:23" ht="63" x14ac:dyDescent="0.25">
      <c r="A143" s="61" t="s">
        <v>187</v>
      </c>
      <c r="B143" s="50" t="s">
        <v>25</v>
      </c>
      <c r="C143" s="76" t="s">
        <v>188</v>
      </c>
      <c r="D143" s="52">
        <v>233642.6</v>
      </c>
      <c r="E143" s="53">
        <f t="shared" ref="E143:K149" si="101">D143</f>
        <v>233642.6</v>
      </c>
      <c r="F143" s="53">
        <f t="shared" si="101"/>
        <v>233642.6</v>
      </c>
      <c r="G143" s="53">
        <f t="shared" si="101"/>
        <v>233642.6</v>
      </c>
      <c r="H143" s="53">
        <f t="shared" si="101"/>
        <v>233642.6</v>
      </c>
      <c r="I143" s="53">
        <f t="shared" si="101"/>
        <v>233642.6</v>
      </c>
      <c r="J143" s="53">
        <f t="shared" si="101"/>
        <v>233642.6</v>
      </c>
      <c r="K143" s="53">
        <f t="shared" si="101"/>
        <v>233642.6</v>
      </c>
      <c r="L143" s="132">
        <v>232801.2225</v>
      </c>
      <c r="M143" s="132">
        <v>99.63988694698655</v>
      </c>
      <c r="N143" s="132">
        <v>232801.2225</v>
      </c>
      <c r="O143" s="132">
        <v>0</v>
      </c>
      <c r="P143" s="132">
        <v>841.37750000000233</v>
      </c>
      <c r="Q143" s="54"/>
      <c r="R143" s="54">
        <f t="shared" si="56"/>
        <v>841.37750000000233</v>
      </c>
      <c r="S143" s="55">
        <f>J143</f>
        <v>233642.6</v>
      </c>
      <c r="T143" s="56" t="str">
        <f>IF(S143-J143&gt;0,S143-J143,"")</f>
        <v/>
      </c>
      <c r="U143" s="56" t="str">
        <f t="shared" ref="U143:U149" si="102">IF(S143-J143&lt;0,S143-J143,"")</f>
        <v/>
      </c>
      <c r="V143" s="21"/>
      <c r="W143" s="142">
        <f t="shared" si="57"/>
        <v>0</v>
      </c>
    </row>
    <row r="144" spans="1:23" ht="94.5" x14ac:dyDescent="0.25">
      <c r="A144" s="61" t="s">
        <v>189</v>
      </c>
      <c r="B144" s="50" t="s">
        <v>25</v>
      </c>
      <c r="C144" s="76" t="s">
        <v>190</v>
      </c>
      <c r="D144" s="52">
        <v>36910.6</v>
      </c>
      <c r="E144" s="53">
        <f t="shared" si="101"/>
        <v>36910.6</v>
      </c>
      <c r="F144" s="53">
        <f t="shared" si="101"/>
        <v>36910.6</v>
      </c>
      <c r="G144" s="53">
        <f t="shared" si="101"/>
        <v>36910.6</v>
      </c>
      <c r="H144" s="53">
        <f t="shared" si="101"/>
        <v>36910.6</v>
      </c>
      <c r="I144" s="53">
        <f t="shared" si="101"/>
        <v>36910.6</v>
      </c>
      <c r="J144" s="53">
        <f t="shared" si="101"/>
        <v>36910.6</v>
      </c>
      <c r="K144" s="53">
        <f t="shared" si="101"/>
        <v>36910.6</v>
      </c>
      <c r="L144" s="132">
        <v>36506.456639999997</v>
      </c>
      <c r="M144" s="132">
        <v>98.905075073285175</v>
      </c>
      <c r="N144" s="132">
        <v>36506.456639999997</v>
      </c>
      <c r="O144" s="132">
        <v>0</v>
      </c>
      <c r="P144" s="132">
        <v>404.14336000000185</v>
      </c>
      <c r="Q144" s="54"/>
      <c r="R144" s="54">
        <f t="shared" si="56"/>
        <v>404.14336000000185</v>
      </c>
      <c r="S144" s="55">
        <f>J144</f>
        <v>36910.6</v>
      </c>
      <c r="T144" s="56"/>
      <c r="U144" s="56" t="str">
        <f t="shared" si="102"/>
        <v/>
      </c>
      <c r="V144" s="21"/>
      <c r="W144" s="142">
        <f t="shared" si="57"/>
        <v>0</v>
      </c>
    </row>
    <row r="145" spans="1:23" ht="63" x14ac:dyDescent="0.25">
      <c r="A145" s="61" t="s">
        <v>191</v>
      </c>
      <c r="B145" s="50" t="s">
        <v>25</v>
      </c>
      <c r="C145" s="76" t="s">
        <v>192</v>
      </c>
      <c r="D145" s="52">
        <v>14443.3</v>
      </c>
      <c r="E145" s="53">
        <f t="shared" si="101"/>
        <v>14443.3</v>
      </c>
      <c r="F145" s="53">
        <f t="shared" si="101"/>
        <v>14443.3</v>
      </c>
      <c r="G145" s="53">
        <f t="shared" si="101"/>
        <v>14443.3</v>
      </c>
      <c r="H145" s="53">
        <f t="shared" si="101"/>
        <v>14443.3</v>
      </c>
      <c r="I145" s="53">
        <f t="shared" si="101"/>
        <v>14443.3</v>
      </c>
      <c r="J145" s="53">
        <f t="shared" si="101"/>
        <v>14443.3</v>
      </c>
      <c r="K145" s="53">
        <f t="shared" si="101"/>
        <v>14443.3</v>
      </c>
      <c r="L145" s="132">
        <v>13302.927</v>
      </c>
      <c r="M145" s="132">
        <v>92.104484432228091</v>
      </c>
      <c r="N145" s="132">
        <v>13302.927</v>
      </c>
      <c r="O145" s="132"/>
      <c r="P145" s="132">
        <v>1140.3729999999996</v>
      </c>
      <c r="Q145" s="54"/>
      <c r="R145" s="54">
        <f t="shared" si="56"/>
        <v>1140.3729999999996</v>
      </c>
      <c r="S145" s="55">
        <f>J145</f>
        <v>14443.3</v>
      </c>
      <c r="T145" s="56" t="str">
        <f>IF(S145-J145&gt;0,S145-J145,"")</f>
        <v/>
      </c>
      <c r="U145" s="56" t="str">
        <f t="shared" si="102"/>
        <v/>
      </c>
      <c r="V145" s="21"/>
      <c r="W145" s="142">
        <f t="shared" si="57"/>
        <v>0</v>
      </c>
    </row>
    <row r="146" spans="1:23" ht="141.75" x14ac:dyDescent="0.25">
      <c r="A146" s="49" t="s">
        <v>193</v>
      </c>
      <c r="B146" s="50" t="s">
        <v>25</v>
      </c>
      <c r="C146" s="76" t="s">
        <v>194</v>
      </c>
      <c r="D146" s="52">
        <v>28886.5</v>
      </c>
      <c r="E146" s="53">
        <f t="shared" si="101"/>
        <v>28886.5</v>
      </c>
      <c r="F146" s="53">
        <f t="shared" si="101"/>
        <v>28886.5</v>
      </c>
      <c r="G146" s="53">
        <f t="shared" si="101"/>
        <v>28886.5</v>
      </c>
      <c r="H146" s="53">
        <f t="shared" si="101"/>
        <v>28886.5</v>
      </c>
      <c r="I146" s="53">
        <f t="shared" si="101"/>
        <v>28886.5</v>
      </c>
      <c r="J146" s="53">
        <f t="shared" si="101"/>
        <v>28886.5</v>
      </c>
      <c r="K146" s="53">
        <f t="shared" si="101"/>
        <v>28886.5</v>
      </c>
      <c r="L146" s="132">
        <v>28886.5</v>
      </c>
      <c r="M146" s="132">
        <v>100</v>
      </c>
      <c r="N146" s="132">
        <v>28886.5</v>
      </c>
      <c r="O146" s="132">
        <v>0</v>
      </c>
      <c r="P146" s="132">
        <v>0</v>
      </c>
      <c r="Q146" s="54"/>
      <c r="R146" s="54">
        <f t="shared" si="56"/>
        <v>0</v>
      </c>
      <c r="S146" s="55">
        <f t="shared" ref="S146:S149" si="103">J146</f>
        <v>28886.5</v>
      </c>
      <c r="T146" s="56" t="str">
        <f>IF(S146-J146&gt;0,S146-J146,"")</f>
        <v/>
      </c>
      <c r="U146" s="56" t="str">
        <f t="shared" si="102"/>
        <v/>
      </c>
      <c r="V146" s="21"/>
      <c r="W146" s="142">
        <f t="shared" si="57"/>
        <v>0</v>
      </c>
    </row>
    <row r="147" spans="1:23" ht="31.5" x14ac:dyDescent="0.25">
      <c r="A147" s="61" t="s">
        <v>195</v>
      </c>
      <c r="B147" s="50" t="s">
        <v>31</v>
      </c>
      <c r="C147" s="76"/>
      <c r="D147" s="52"/>
      <c r="E147" s="53">
        <f t="shared" si="101"/>
        <v>0</v>
      </c>
      <c r="F147" s="53">
        <f t="shared" si="101"/>
        <v>0</v>
      </c>
      <c r="G147" s="53">
        <f t="shared" si="101"/>
        <v>0</v>
      </c>
      <c r="H147" s="53">
        <f t="shared" si="101"/>
        <v>0</v>
      </c>
      <c r="I147" s="53">
        <f t="shared" si="101"/>
        <v>0</v>
      </c>
      <c r="J147" s="53">
        <f t="shared" si="101"/>
        <v>0</v>
      </c>
      <c r="K147" s="53">
        <f t="shared" si="101"/>
        <v>0</v>
      </c>
      <c r="L147" s="132">
        <v>0</v>
      </c>
      <c r="M147" s="132"/>
      <c r="N147" s="132"/>
      <c r="O147" s="135">
        <v>0</v>
      </c>
      <c r="P147" s="132">
        <v>0</v>
      </c>
      <c r="Q147" s="54"/>
      <c r="R147" s="54">
        <f t="shared" si="56"/>
        <v>0</v>
      </c>
      <c r="S147" s="55">
        <f t="shared" si="103"/>
        <v>0</v>
      </c>
      <c r="T147" s="56" t="str">
        <f>IF(S147-J147&gt;0,S147-J147,"")</f>
        <v/>
      </c>
      <c r="U147" s="56" t="str">
        <f t="shared" si="102"/>
        <v/>
      </c>
      <c r="V147" s="21"/>
      <c r="W147" s="142">
        <f t="shared" si="57"/>
        <v>0</v>
      </c>
    </row>
    <row r="148" spans="1:23" x14ac:dyDescent="0.25">
      <c r="A148" s="35" t="s">
        <v>24</v>
      </c>
      <c r="B148" s="50" t="s">
        <v>25</v>
      </c>
      <c r="C148" s="76" t="s">
        <v>196</v>
      </c>
      <c r="D148" s="52">
        <v>14323.6</v>
      </c>
      <c r="E148" s="53">
        <f t="shared" si="101"/>
        <v>14323.6</v>
      </c>
      <c r="F148" s="53">
        <f t="shared" si="101"/>
        <v>14323.6</v>
      </c>
      <c r="G148" s="53">
        <f t="shared" si="101"/>
        <v>14323.6</v>
      </c>
      <c r="H148" s="53">
        <f t="shared" si="101"/>
        <v>14323.6</v>
      </c>
      <c r="I148" s="53">
        <f t="shared" si="101"/>
        <v>14323.6</v>
      </c>
      <c r="J148" s="53">
        <f t="shared" si="101"/>
        <v>14323.6</v>
      </c>
      <c r="K148" s="53">
        <f t="shared" si="101"/>
        <v>14323.6</v>
      </c>
      <c r="L148" s="132">
        <v>13605.266250000001</v>
      </c>
      <c r="M148" s="132">
        <v>94.98496362646263</v>
      </c>
      <c r="N148" s="132">
        <v>13605.266250000001</v>
      </c>
      <c r="O148" s="132">
        <v>0</v>
      </c>
      <c r="P148" s="132">
        <v>718.33374999999978</v>
      </c>
      <c r="Q148" s="54"/>
      <c r="R148" s="54">
        <f t="shared" si="56"/>
        <v>718.33374999999978</v>
      </c>
      <c r="S148" s="55">
        <f t="shared" si="103"/>
        <v>14323.6</v>
      </c>
      <c r="T148" s="56" t="str">
        <f>IF(S148-J148&gt;0,S148-J148,"")</f>
        <v/>
      </c>
      <c r="U148" s="56" t="str">
        <f t="shared" si="102"/>
        <v/>
      </c>
      <c r="V148" s="21"/>
      <c r="W148" s="142">
        <f t="shared" si="57"/>
        <v>0</v>
      </c>
    </row>
    <row r="149" spans="1:23" x14ac:dyDescent="0.25">
      <c r="A149" s="35" t="s">
        <v>26</v>
      </c>
      <c r="B149" s="50" t="s">
        <v>27</v>
      </c>
      <c r="C149" s="76" t="s">
        <v>196</v>
      </c>
      <c r="D149" s="52">
        <v>20053.099999999999</v>
      </c>
      <c r="E149" s="53">
        <f t="shared" si="101"/>
        <v>20053.099999999999</v>
      </c>
      <c r="F149" s="53">
        <f t="shared" si="101"/>
        <v>20053.099999999999</v>
      </c>
      <c r="G149" s="53">
        <f t="shared" si="101"/>
        <v>20053.099999999999</v>
      </c>
      <c r="H149" s="53">
        <f t="shared" si="101"/>
        <v>20053.099999999999</v>
      </c>
      <c r="I149" s="53">
        <f t="shared" si="101"/>
        <v>20053.099999999999</v>
      </c>
      <c r="J149" s="53">
        <f t="shared" si="101"/>
        <v>20053.099999999999</v>
      </c>
      <c r="K149" s="53">
        <f t="shared" si="101"/>
        <v>20053.099999999999</v>
      </c>
      <c r="L149" s="132">
        <v>19047.372749999999</v>
      </c>
      <c r="M149" s="132">
        <v>94.984679426123648</v>
      </c>
      <c r="N149" s="132">
        <v>19047.372749999999</v>
      </c>
      <c r="O149" s="132">
        <v>0</v>
      </c>
      <c r="P149" s="132">
        <v>1005.7272499999999</v>
      </c>
      <c r="Q149" s="54"/>
      <c r="R149" s="54">
        <f t="shared" ref="R149:R172" si="104">P149+Q149</f>
        <v>1005.7272499999999</v>
      </c>
      <c r="S149" s="55">
        <f t="shared" si="103"/>
        <v>20053.099999999999</v>
      </c>
      <c r="T149" s="56" t="str">
        <f>IF(S149-J149&gt;0,S149-J149,"")</f>
        <v/>
      </c>
      <c r="U149" s="56" t="str">
        <f t="shared" si="102"/>
        <v/>
      </c>
      <c r="V149" s="21"/>
      <c r="W149" s="142">
        <f t="shared" ref="W149:W173" si="105">G149-L149-P149</f>
        <v>0</v>
      </c>
    </row>
    <row r="150" spans="1:23" s="45" customFormat="1" x14ac:dyDescent="0.25">
      <c r="A150" s="41" t="s">
        <v>239</v>
      </c>
      <c r="B150" s="46" t="s">
        <v>25</v>
      </c>
      <c r="C150" s="73">
        <f>SUM(C152:C153)</f>
        <v>0</v>
      </c>
      <c r="D150" s="43">
        <f>D151</f>
        <v>30000</v>
      </c>
      <c r="E150" s="43">
        <f t="shared" ref="E150:U150" si="106">E151</f>
        <v>30000</v>
      </c>
      <c r="F150" s="43">
        <f t="shared" si="106"/>
        <v>42834.3</v>
      </c>
      <c r="G150" s="43">
        <f t="shared" si="106"/>
        <v>42834.3</v>
      </c>
      <c r="H150" s="43">
        <f t="shared" si="106"/>
        <v>42834.3</v>
      </c>
      <c r="I150" s="43">
        <f t="shared" si="106"/>
        <v>42834.3</v>
      </c>
      <c r="J150" s="43">
        <f t="shared" si="106"/>
        <v>42834.3</v>
      </c>
      <c r="K150" s="43">
        <f t="shared" si="106"/>
        <v>42834.3</v>
      </c>
      <c r="L150" s="130">
        <v>635.46799999999996</v>
      </c>
      <c r="M150" s="130">
        <v>1.483549398496065</v>
      </c>
      <c r="N150" s="130">
        <v>635.46799999999996</v>
      </c>
      <c r="O150" s="130">
        <v>0</v>
      </c>
      <c r="P150" s="130">
        <v>42198.831999999995</v>
      </c>
      <c r="Q150" s="43">
        <f t="shared" si="106"/>
        <v>0</v>
      </c>
      <c r="R150" s="43">
        <f t="shared" si="106"/>
        <v>42198.831999999995</v>
      </c>
      <c r="S150" s="43">
        <f t="shared" si="106"/>
        <v>42834.3</v>
      </c>
      <c r="T150" s="43">
        <f t="shared" si="106"/>
        <v>0</v>
      </c>
      <c r="U150" s="43">
        <f t="shared" si="106"/>
        <v>0</v>
      </c>
      <c r="V150" s="74"/>
      <c r="W150" s="142">
        <f t="shared" si="105"/>
        <v>0</v>
      </c>
    </row>
    <row r="151" spans="1:23" s="45" customFormat="1" x14ac:dyDescent="0.25">
      <c r="A151" s="35" t="s">
        <v>24</v>
      </c>
      <c r="B151" s="46" t="s">
        <v>25</v>
      </c>
      <c r="C151" s="75"/>
      <c r="D151" s="31">
        <f t="shared" ref="D151:I151" si="107">SUMIF($B$152:$B$154,"=01",D152:D154)</f>
        <v>30000</v>
      </c>
      <c r="E151" s="31">
        <f>SUMIF($B$152:$B$154,"=01",E152:E154)</f>
        <v>30000</v>
      </c>
      <c r="F151" s="31">
        <f t="shared" si="107"/>
        <v>42834.3</v>
      </c>
      <c r="G151" s="31">
        <f t="shared" si="107"/>
        <v>42834.3</v>
      </c>
      <c r="H151" s="31">
        <f t="shared" si="107"/>
        <v>42834.3</v>
      </c>
      <c r="I151" s="31">
        <f t="shared" si="107"/>
        <v>42834.3</v>
      </c>
      <c r="J151" s="31">
        <f>SUMIF($B$152:$B$154,"=01",J152:J154)</f>
        <v>42834.3</v>
      </c>
      <c r="K151" s="31">
        <f>SUMIF($B$152:$B$154,"=01",K152:K154)</f>
        <v>42834.3</v>
      </c>
      <c r="L151" s="129">
        <v>635.46799999999996</v>
      </c>
      <c r="M151" s="129">
        <v>1.483549398496065</v>
      </c>
      <c r="N151" s="129">
        <v>635.46799999999996</v>
      </c>
      <c r="O151" s="129">
        <v>0</v>
      </c>
      <c r="P151" s="129">
        <v>42198.831999999995</v>
      </c>
      <c r="Q151" s="31">
        <f t="shared" ref="Q151:U151" si="108">SUMIF($B$152:$B$154,"=01",Q152:Q154)</f>
        <v>0</v>
      </c>
      <c r="R151" s="31">
        <f t="shared" si="108"/>
        <v>42198.831999999995</v>
      </c>
      <c r="S151" s="31">
        <f t="shared" si="108"/>
        <v>42834.3</v>
      </c>
      <c r="T151" s="31">
        <f t="shared" si="108"/>
        <v>0</v>
      </c>
      <c r="U151" s="31">
        <f t="shared" si="108"/>
        <v>0</v>
      </c>
      <c r="V151" s="74"/>
      <c r="W151" s="142">
        <f t="shared" si="105"/>
        <v>0</v>
      </c>
    </row>
    <row r="152" spans="1:23" ht="47.25" x14ac:dyDescent="0.25">
      <c r="A152" s="98" t="s">
        <v>197</v>
      </c>
      <c r="B152" s="50" t="s">
        <v>25</v>
      </c>
      <c r="C152" s="76" t="s">
        <v>198</v>
      </c>
      <c r="D152" s="52">
        <v>16000</v>
      </c>
      <c r="E152" s="53">
        <f t="shared" ref="E152:F154" si="109">D152</f>
        <v>16000</v>
      </c>
      <c r="F152" s="58">
        <f>E152+10000</f>
        <v>26000</v>
      </c>
      <c r="G152" s="53">
        <f t="shared" ref="G152:K154" si="110">F152</f>
        <v>26000</v>
      </c>
      <c r="H152" s="53">
        <f t="shared" si="110"/>
        <v>26000</v>
      </c>
      <c r="I152" s="53">
        <f t="shared" si="110"/>
        <v>26000</v>
      </c>
      <c r="J152" s="53">
        <f t="shared" si="110"/>
        <v>26000</v>
      </c>
      <c r="K152" s="53">
        <f t="shared" si="110"/>
        <v>26000</v>
      </c>
      <c r="L152" s="132"/>
      <c r="M152" s="132">
        <v>0</v>
      </c>
      <c r="N152" s="137"/>
      <c r="O152" s="132">
        <v>0</v>
      </c>
      <c r="P152" s="132">
        <v>26000</v>
      </c>
      <c r="Q152" s="54"/>
      <c r="R152" s="54">
        <f t="shared" si="104"/>
        <v>26000</v>
      </c>
      <c r="S152" s="55">
        <f t="shared" ref="S152:S154" si="111">J152</f>
        <v>26000</v>
      </c>
      <c r="T152" s="56" t="str">
        <f>IF(S152-J152&gt;0,S152-J152,"")</f>
        <v/>
      </c>
      <c r="U152" s="56" t="str">
        <f>IF(S152-J152&lt;0,S152-J152,"")</f>
        <v/>
      </c>
      <c r="V152" s="21"/>
      <c r="W152" s="142">
        <f t="shared" si="105"/>
        <v>0</v>
      </c>
    </row>
    <row r="153" spans="1:23" ht="94.5" x14ac:dyDescent="0.25">
      <c r="A153" s="77" t="s">
        <v>199</v>
      </c>
      <c r="B153" s="50" t="s">
        <v>25</v>
      </c>
      <c r="C153" s="76" t="s">
        <v>200</v>
      </c>
      <c r="D153" s="52">
        <v>4000</v>
      </c>
      <c r="E153" s="53">
        <f t="shared" si="109"/>
        <v>4000</v>
      </c>
      <c r="F153" s="53">
        <f t="shared" si="109"/>
        <v>4000</v>
      </c>
      <c r="G153" s="53">
        <f t="shared" si="110"/>
        <v>4000</v>
      </c>
      <c r="H153" s="53">
        <f t="shared" si="110"/>
        <v>4000</v>
      </c>
      <c r="I153" s="53">
        <f t="shared" si="110"/>
        <v>4000</v>
      </c>
      <c r="J153" s="53">
        <f t="shared" si="110"/>
        <v>4000</v>
      </c>
      <c r="K153" s="53">
        <f t="shared" si="110"/>
        <v>4000</v>
      </c>
      <c r="L153" s="132">
        <v>0</v>
      </c>
      <c r="M153" s="132">
        <v>0</v>
      </c>
      <c r="N153" s="137"/>
      <c r="O153" s="132">
        <v>0</v>
      </c>
      <c r="P153" s="132">
        <v>4000</v>
      </c>
      <c r="Q153" s="54"/>
      <c r="R153" s="54">
        <f t="shared" si="104"/>
        <v>4000</v>
      </c>
      <c r="S153" s="55">
        <f t="shared" si="111"/>
        <v>4000</v>
      </c>
      <c r="T153" s="56"/>
      <c r="U153" s="56" t="str">
        <f>IF(S153-J153&lt;0,S153-J153,"")</f>
        <v/>
      </c>
      <c r="V153" s="21"/>
      <c r="W153" s="142">
        <f t="shared" si="105"/>
        <v>0</v>
      </c>
    </row>
    <row r="154" spans="1:23" ht="78.75" x14ac:dyDescent="0.25">
      <c r="A154" s="77" t="s">
        <v>201</v>
      </c>
      <c r="B154" s="50" t="s">
        <v>25</v>
      </c>
      <c r="C154" s="76" t="s">
        <v>202</v>
      </c>
      <c r="D154" s="52">
        <v>10000</v>
      </c>
      <c r="E154" s="53">
        <f t="shared" si="109"/>
        <v>10000</v>
      </c>
      <c r="F154" s="58">
        <f>E154+2834.3</f>
        <v>12834.3</v>
      </c>
      <c r="G154" s="53">
        <f t="shared" si="110"/>
        <v>12834.3</v>
      </c>
      <c r="H154" s="53">
        <f t="shared" si="110"/>
        <v>12834.3</v>
      </c>
      <c r="I154" s="53">
        <f t="shared" si="110"/>
        <v>12834.3</v>
      </c>
      <c r="J154" s="53">
        <f t="shared" si="110"/>
        <v>12834.3</v>
      </c>
      <c r="K154" s="53">
        <f t="shared" si="110"/>
        <v>12834.3</v>
      </c>
      <c r="L154" s="132">
        <v>635.46799999999996</v>
      </c>
      <c r="M154" s="132">
        <v>4.9513257442945857</v>
      </c>
      <c r="N154" s="137">
        <v>635.46799999999996</v>
      </c>
      <c r="O154" s="132">
        <v>0</v>
      </c>
      <c r="P154" s="132">
        <v>12198.831999999999</v>
      </c>
      <c r="Q154" s="54"/>
      <c r="R154" s="54">
        <f t="shared" si="104"/>
        <v>12198.831999999999</v>
      </c>
      <c r="S154" s="55">
        <f t="shared" si="111"/>
        <v>12834.3</v>
      </c>
      <c r="T154" s="56" t="str">
        <f>IF(S154-J154&gt;0,S154-J154,"")</f>
        <v/>
      </c>
      <c r="U154" s="56" t="str">
        <f>IF(S154-J154&lt;0,S154-J154,"")</f>
        <v/>
      </c>
      <c r="V154" s="21"/>
      <c r="W154" s="142">
        <f t="shared" si="105"/>
        <v>0</v>
      </c>
    </row>
    <row r="155" spans="1:23" s="45" customFormat="1" ht="33.75" customHeight="1" x14ac:dyDescent="0.25">
      <c r="A155" s="41" t="s">
        <v>240</v>
      </c>
      <c r="B155" s="46" t="s">
        <v>25</v>
      </c>
      <c r="C155" s="73">
        <f>SUM(C157,C161,C166:C170)</f>
        <v>0</v>
      </c>
      <c r="D155" s="43">
        <f>D156</f>
        <v>1872620.4</v>
      </c>
      <c r="E155" s="43">
        <f t="shared" ref="E155:U155" si="112">E156</f>
        <v>1872620.4</v>
      </c>
      <c r="F155" s="43">
        <f t="shared" si="112"/>
        <v>437146.9</v>
      </c>
      <c r="G155" s="43">
        <f t="shared" si="112"/>
        <v>437146.9</v>
      </c>
      <c r="H155" s="43">
        <f t="shared" si="112"/>
        <v>437146.9</v>
      </c>
      <c r="I155" s="43">
        <f t="shared" si="112"/>
        <v>437146.9</v>
      </c>
      <c r="J155" s="43">
        <f t="shared" si="112"/>
        <v>437146.9</v>
      </c>
      <c r="K155" s="43">
        <f t="shared" si="112"/>
        <v>437146.9</v>
      </c>
      <c r="L155" s="130">
        <f>L156</f>
        <v>164568.34587000002</v>
      </c>
      <c r="M155" s="130">
        <f t="shared" ref="M155:M157" si="113">L155/J155*100</f>
        <v>37.646005466354673</v>
      </c>
      <c r="N155" s="130">
        <f t="shared" si="112"/>
        <v>163440.58710999999</v>
      </c>
      <c r="O155" s="130">
        <f t="shared" si="112"/>
        <v>1127.7587600000115</v>
      </c>
      <c r="P155" s="130">
        <f t="shared" si="112"/>
        <v>272578.55413</v>
      </c>
      <c r="Q155" s="43">
        <f t="shared" si="112"/>
        <v>0</v>
      </c>
      <c r="R155" s="43">
        <f t="shared" si="112"/>
        <v>272578.55413</v>
      </c>
      <c r="S155" s="43">
        <f t="shared" si="112"/>
        <v>0</v>
      </c>
      <c r="T155" s="43">
        <f t="shared" si="112"/>
        <v>0</v>
      </c>
      <c r="U155" s="43">
        <f t="shared" si="112"/>
        <v>0</v>
      </c>
      <c r="V155" s="74"/>
      <c r="W155" s="142">
        <f t="shared" si="105"/>
        <v>0</v>
      </c>
    </row>
    <row r="156" spans="1:23" s="45" customFormat="1" x14ac:dyDescent="0.25">
      <c r="A156" s="35" t="s">
        <v>24</v>
      </c>
      <c r="B156" s="46" t="s">
        <v>25</v>
      </c>
      <c r="C156" s="75"/>
      <c r="D156" s="31">
        <f>SUMIF($B$157:$B$172,"=01",D157:D172)</f>
        <v>1872620.4</v>
      </c>
      <c r="E156" s="31">
        <f t="shared" ref="E156:R156" si="114">SUMIF($B$157:$B$172,"=01",E157:E172)</f>
        <v>1872620.4</v>
      </c>
      <c r="F156" s="31">
        <f t="shared" si="114"/>
        <v>437146.9</v>
      </c>
      <c r="G156" s="31">
        <f t="shared" si="114"/>
        <v>437146.9</v>
      </c>
      <c r="H156" s="31">
        <f t="shared" si="114"/>
        <v>437146.9</v>
      </c>
      <c r="I156" s="31">
        <f t="shared" si="114"/>
        <v>437146.9</v>
      </c>
      <c r="J156" s="31">
        <f t="shared" si="114"/>
        <v>437146.9</v>
      </c>
      <c r="K156" s="31">
        <f t="shared" si="114"/>
        <v>437146.9</v>
      </c>
      <c r="L156" s="129">
        <f t="shared" si="114"/>
        <v>164568.34587000002</v>
      </c>
      <c r="M156" s="129">
        <f t="shared" si="113"/>
        <v>37.646005466354673</v>
      </c>
      <c r="N156" s="129">
        <f t="shared" si="114"/>
        <v>163440.58710999999</v>
      </c>
      <c r="O156" s="129">
        <f t="shared" si="114"/>
        <v>1127.7587600000115</v>
      </c>
      <c r="P156" s="129">
        <f t="shared" si="114"/>
        <v>272578.55413</v>
      </c>
      <c r="Q156" s="31">
        <f t="shared" si="114"/>
        <v>0</v>
      </c>
      <c r="R156" s="31">
        <f t="shared" si="114"/>
        <v>272578.55413</v>
      </c>
      <c r="S156" s="31">
        <f t="shared" ref="S156:U156" si="115">SUMIF($B$157:$B$170,"=01",S157:S170)</f>
        <v>0</v>
      </c>
      <c r="T156" s="31">
        <f t="shared" si="115"/>
        <v>0</v>
      </c>
      <c r="U156" s="31">
        <f t="shared" si="115"/>
        <v>0</v>
      </c>
      <c r="V156" s="74"/>
      <c r="W156" s="142">
        <f t="shared" si="105"/>
        <v>0</v>
      </c>
    </row>
    <row r="157" spans="1:23" s="106" customFormat="1" ht="31.5" x14ac:dyDescent="0.25">
      <c r="A157" s="99" t="s">
        <v>203</v>
      </c>
      <c r="B157" s="100"/>
      <c r="C157" s="101">
        <f>SUM(C158:C160)</f>
        <v>0</v>
      </c>
      <c r="D157" s="102">
        <f>SUM(D158:D160)</f>
        <v>389453.9</v>
      </c>
      <c r="E157" s="102">
        <f>SUM(E158:E160)</f>
        <v>389453.9</v>
      </c>
      <c r="F157" s="102">
        <f t="shared" ref="F157:R157" si="116">SUM(F158:F160)</f>
        <v>229057.5</v>
      </c>
      <c r="G157" s="102">
        <f t="shared" si="116"/>
        <v>229057.5</v>
      </c>
      <c r="H157" s="102">
        <f t="shared" si="116"/>
        <v>229057.5</v>
      </c>
      <c r="I157" s="102">
        <f t="shared" si="116"/>
        <v>229057.5</v>
      </c>
      <c r="J157" s="102">
        <f t="shared" si="116"/>
        <v>229057.5</v>
      </c>
      <c r="K157" s="102">
        <f t="shared" si="116"/>
        <v>229057.5</v>
      </c>
      <c r="L157" s="132">
        <f>SUM(L158:L160)</f>
        <v>96503.112590000004</v>
      </c>
      <c r="M157" s="132">
        <f t="shared" si="113"/>
        <v>42.130518577213152</v>
      </c>
      <c r="N157" s="132">
        <f>SUM(N158:N160)</f>
        <v>95375.353829999993</v>
      </c>
      <c r="O157" s="139">
        <f t="shared" si="116"/>
        <v>1127.7587600000115</v>
      </c>
      <c r="P157" s="140">
        <f t="shared" si="116"/>
        <v>132554.38741</v>
      </c>
      <c r="Q157" s="103">
        <f t="shared" si="116"/>
        <v>0</v>
      </c>
      <c r="R157" s="103">
        <f t="shared" si="116"/>
        <v>132554.38741</v>
      </c>
      <c r="S157" s="104"/>
      <c r="T157" s="56"/>
      <c r="U157" s="56"/>
      <c r="V157" s="105"/>
      <c r="W157" s="142">
        <f t="shared" si="105"/>
        <v>0</v>
      </c>
    </row>
    <row r="158" spans="1:23" x14ac:dyDescent="0.25">
      <c r="A158" s="77" t="s">
        <v>204</v>
      </c>
      <c r="B158" s="50" t="s">
        <v>25</v>
      </c>
      <c r="C158" s="76" t="s">
        <v>205</v>
      </c>
      <c r="D158" s="52">
        <v>206978.5</v>
      </c>
      <c r="E158" s="53">
        <f t="shared" ref="E158:E160" si="117">D158</f>
        <v>206978.5</v>
      </c>
      <c r="F158" s="58">
        <f>E158+22079</f>
        <v>229057.5</v>
      </c>
      <c r="G158" s="53">
        <f t="shared" ref="G158:K173" si="118">F158</f>
        <v>229057.5</v>
      </c>
      <c r="H158" s="53">
        <f t="shared" si="118"/>
        <v>229057.5</v>
      </c>
      <c r="I158" s="53">
        <f t="shared" si="118"/>
        <v>229057.5</v>
      </c>
      <c r="J158" s="53">
        <f t="shared" si="118"/>
        <v>229057.5</v>
      </c>
      <c r="K158" s="53">
        <f t="shared" si="118"/>
        <v>229057.5</v>
      </c>
      <c r="L158" s="132">
        <v>96503.112590000004</v>
      </c>
      <c r="M158" s="132">
        <v>42.130518577213152</v>
      </c>
      <c r="N158" s="132">
        <v>95375.353829999993</v>
      </c>
      <c r="O158" s="132">
        <v>1127.7587600000115</v>
      </c>
      <c r="P158" s="132">
        <v>132554.38741</v>
      </c>
      <c r="Q158" s="54"/>
      <c r="R158" s="54">
        <f t="shared" si="104"/>
        <v>132554.38741</v>
      </c>
      <c r="S158" s="55"/>
      <c r="T158" s="56"/>
      <c r="U158" s="56"/>
      <c r="V158" s="21"/>
      <c r="W158" s="142">
        <f t="shared" si="105"/>
        <v>0</v>
      </c>
    </row>
    <row r="159" spans="1:23" s="10" customFormat="1" hidden="1" x14ac:dyDescent="0.25">
      <c r="A159" s="77" t="s">
        <v>206</v>
      </c>
      <c r="B159" s="50" t="s">
        <v>25</v>
      </c>
      <c r="C159" s="76" t="s">
        <v>205</v>
      </c>
      <c r="D159" s="52">
        <v>58768.800000000003</v>
      </c>
      <c r="E159" s="53">
        <f t="shared" si="117"/>
        <v>58768.800000000003</v>
      </c>
      <c r="F159" s="58"/>
      <c r="G159" s="53"/>
      <c r="H159" s="53"/>
      <c r="I159" s="53"/>
      <c r="J159" s="53"/>
      <c r="K159" s="53"/>
      <c r="L159" s="132"/>
      <c r="M159" s="132"/>
      <c r="N159" s="132"/>
      <c r="O159" s="132"/>
      <c r="P159" s="132"/>
      <c r="Q159" s="54"/>
      <c r="R159" s="54">
        <f t="shared" si="104"/>
        <v>0</v>
      </c>
      <c r="S159" s="55"/>
      <c r="T159" s="56"/>
      <c r="U159" s="56"/>
      <c r="V159" s="107"/>
      <c r="W159" s="142">
        <f t="shared" si="105"/>
        <v>0</v>
      </c>
    </row>
    <row r="160" spans="1:23" s="10" customFormat="1" hidden="1" x14ac:dyDescent="0.25">
      <c r="A160" s="77" t="s">
        <v>207</v>
      </c>
      <c r="B160" s="50" t="s">
        <v>25</v>
      </c>
      <c r="C160" s="76" t="s">
        <v>205</v>
      </c>
      <c r="D160" s="52">
        <v>123706.6</v>
      </c>
      <c r="E160" s="53">
        <f t="shared" si="117"/>
        <v>123706.6</v>
      </c>
      <c r="F160" s="58"/>
      <c r="G160" s="53"/>
      <c r="H160" s="53"/>
      <c r="I160" s="53"/>
      <c r="J160" s="53"/>
      <c r="K160" s="53"/>
      <c r="L160" s="132"/>
      <c r="M160" s="132"/>
      <c r="N160" s="132"/>
      <c r="O160" s="132"/>
      <c r="P160" s="132"/>
      <c r="Q160" s="54"/>
      <c r="R160" s="54">
        <f t="shared" si="104"/>
        <v>0</v>
      </c>
      <c r="S160" s="55"/>
      <c r="T160" s="56"/>
      <c r="U160" s="56"/>
      <c r="V160" s="107"/>
      <c r="W160" s="142">
        <f t="shared" si="105"/>
        <v>0</v>
      </c>
    </row>
    <row r="161" spans="1:23" s="110" customFormat="1" ht="31.5" hidden="1" x14ac:dyDescent="0.25">
      <c r="A161" s="99" t="s">
        <v>208</v>
      </c>
      <c r="B161" s="100"/>
      <c r="C161" s="108"/>
      <c r="D161" s="102">
        <f>SUM(D162:D165)</f>
        <v>1280241.9999999998</v>
      </c>
      <c r="E161" s="102">
        <f t="shared" ref="E161:R161" si="119">SUM(E162:E165)</f>
        <v>1280241.9999999998</v>
      </c>
      <c r="F161" s="102"/>
      <c r="G161" s="102"/>
      <c r="H161" s="102"/>
      <c r="I161" s="66"/>
      <c r="J161" s="102"/>
      <c r="K161" s="102"/>
      <c r="L161" s="132"/>
      <c r="M161" s="132"/>
      <c r="N161" s="132"/>
      <c r="O161" s="139"/>
      <c r="P161" s="139"/>
      <c r="Q161" s="102">
        <f t="shared" si="119"/>
        <v>0</v>
      </c>
      <c r="R161" s="102">
        <f t="shared" si="119"/>
        <v>0</v>
      </c>
      <c r="S161" s="102"/>
      <c r="T161" s="56"/>
      <c r="U161" s="56"/>
      <c r="V161" s="109"/>
      <c r="W161" s="142">
        <f t="shared" si="105"/>
        <v>0</v>
      </c>
    </row>
    <row r="162" spans="1:23" s="10" customFormat="1" ht="33.75" hidden="1" customHeight="1" x14ac:dyDescent="0.25">
      <c r="A162" s="77" t="s">
        <v>209</v>
      </c>
      <c r="B162" s="50" t="s">
        <v>25</v>
      </c>
      <c r="C162" s="76" t="s">
        <v>210</v>
      </c>
      <c r="D162" s="52">
        <v>27701.599999999999</v>
      </c>
      <c r="E162" s="53">
        <f t="shared" ref="E162:E172" si="120">D162</f>
        <v>27701.599999999999</v>
      </c>
      <c r="F162" s="58"/>
      <c r="G162" s="53"/>
      <c r="H162" s="53"/>
      <c r="I162" s="53"/>
      <c r="J162" s="53"/>
      <c r="K162" s="53"/>
      <c r="L162" s="132"/>
      <c r="M162" s="132"/>
      <c r="N162" s="132"/>
      <c r="O162" s="132"/>
      <c r="P162" s="132"/>
      <c r="Q162" s="54"/>
      <c r="R162" s="54">
        <f t="shared" si="104"/>
        <v>0</v>
      </c>
      <c r="S162" s="104"/>
      <c r="T162" s="56"/>
      <c r="U162" s="56"/>
      <c r="V162" s="107"/>
      <c r="W162" s="142">
        <f t="shared" si="105"/>
        <v>0</v>
      </c>
    </row>
    <row r="163" spans="1:23" s="10" customFormat="1" ht="25.5" hidden="1" customHeight="1" x14ac:dyDescent="0.25">
      <c r="A163" s="111" t="s">
        <v>211</v>
      </c>
      <c r="B163" s="112" t="s">
        <v>25</v>
      </c>
      <c r="C163" s="76" t="s">
        <v>210</v>
      </c>
      <c r="D163" s="52">
        <v>1010232.2</v>
      </c>
      <c r="E163" s="53">
        <f t="shared" si="120"/>
        <v>1010232.2</v>
      </c>
      <c r="F163" s="53"/>
      <c r="G163" s="53"/>
      <c r="H163" s="53"/>
      <c r="I163" s="53"/>
      <c r="J163" s="53"/>
      <c r="K163" s="53"/>
      <c r="L163" s="132"/>
      <c r="M163" s="132"/>
      <c r="N163" s="132"/>
      <c r="O163" s="132"/>
      <c r="P163" s="132"/>
      <c r="Q163" s="54"/>
      <c r="R163" s="54">
        <f t="shared" si="104"/>
        <v>0</v>
      </c>
      <c r="S163" s="104"/>
      <c r="T163" s="56"/>
      <c r="U163" s="56"/>
      <c r="V163" s="107"/>
      <c r="W163" s="142">
        <f t="shared" si="105"/>
        <v>0</v>
      </c>
    </row>
    <row r="164" spans="1:23" s="10" customFormat="1" ht="30.75" hidden="1" customHeight="1" x14ac:dyDescent="0.25">
      <c r="A164" s="77" t="s">
        <v>212</v>
      </c>
      <c r="B164" s="50" t="s">
        <v>25</v>
      </c>
      <c r="C164" s="72" t="s">
        <v>213</v>
      </c>
      <c r="D164" s="52">
        <v>241642</v>
      </c>
      <c r="E164" s="53">
        <f t="shared" si="120"/>
        <v>241642</v>
      </c>
      <c r="F164" s="58"/>
      <c r="G164" s="53"/>
      <c r="H164" s="53"/>
      <c r="I164" s="53"/>
      <c r="J164" s="53"/>
      <c r="K164" s="53"/>
      <c r="L164" s="132"/>
      <c r="M164" s="132"/>
      <c r="N164" s="132"/>
      <c r="O164" s="132"/>
      <c r="P164" s="132"/>
      <c r="Q164" s="54"/>
      <c r="R164" s="54">
        <f t="shared" si="104"/>
        <v>0</v>
      </c>
      <c r="S164" s="104"/>
      <c r="T164" s="56"/>
      <c r="U164" s="56"/>
      <c r="V164" s="107"/>
      <c r="W164" s="142">
        <f t="shared" si="105"/>
        <v>0</v>
      </c>
    </row>
    <row r="165" spans="1:23" s="10" customFormat="1" hidden="1" x14ac:dyDescent="0.25">
      <c r="A165" s="113" t="s">
        <v>214</v>
      </c>
      <c r="B165" s="50" t="s">
        <v>25</v>
      </c>
      <c r="C165" s="72" t="s">
        <v>215</v>
      </c>
      <c r="D165" s="52">
        <v>666.2</v>
      </c>
      <c r="E165" s="53">
        <f t="shared" si="120"/>
        <v>666.2</v>
      </c>
      <c r="F165" s="53"/>
      <c r="G165" s="53"/>
      <c r="H165" s="53"/>
      <c r="I165" s="53"/>
      <c r="J165" s="53"/>
      <c r="K165" s="53"/>
      <c r="L165" s="132"/>
      <c r="M165" s="132"/>
      <c r="N165" s="132"/>
      <c r="O165" s="132"/>
      <c r="P165" s="132"/>
      <c r="Q165" s="54"/>
      <c r="R165" s="54">
        <f t="shared" si="104"/>
        <v>0</v>
      </c>
      <c r="S165" s="104"/>
      <c r="T165" s="56"/>
      <c r="U165" s="56"/>
      <c r="V165" s="107"/>
      <c r="W165" s="142">
        <f t="shared" si="105"/>
        <v>0</v>
      </c>
    </row>
    <row r="166" spans="1:23" ht="110.25" x14ac:dyDescent="0.25">
      <c r="A166" s="61" t="s">
        <v>216</v>
      </c>
      <c r="B166" s="50" t="s">
        <v>25</v>
      </c>
      <c r="C166" s="76" t="s">
        <v>217</v>
      </c>
      <c r="D166" s="52">
        <v>2896.8</v>
      </c>
      <c r="E166" s="53">
        <f t="shared" si="120"/>
        <v>2896.8</v>
      </c>
      <c r="F166" s="58">
        <f>E166-1996</f>
        <v>900.80000000000018</v>
      </c>
      <c r="G166" s="53">
        <f t="shared" ref="G166:H172" si="121">F166</f>
        <v>900.80000000000018</v>
      </c>
      <c r="H166" s="53">
        <f t="shared" si="121"/>
        <v>900.80000000000018</v>
      </c>
      <c r="I166" s="53">
        <f t="shared" si="118"/>
        <v>900.80000000000018</v>
      </c>
      <c r="J166" s="53">
        <f t="shared" si="118"/>
        <v>900.80000000000018</v>
      </c>
      <c r="K166" s="53">
        <f t="shared" si="118"/>
        <v>900.80000000000018</v>
      </c>
      <c r="L166" s="132">
        <v>0</v>
      </c>
      <c r="M166" s="132">
        <v>0</v>
      </c>
      <c r="N166" s="132"/>
      <c r="O166" s="132">
        <v>0</v>
      </c>
      <c r="P166" s="132">
        <v>900.80000000000018</v>
      </c>
      <c r="Q166" s="54"/>
      <c r="R166" s="54">
        <f t="shared" si="104"/>
        <v>900.80000000000018</v>
      </c>
      <c r="S166" s="104"/>
      <c r="T166" s="56"/>
      <c r="U166" s="56"/>
      <c r="V166" s="21"/>
      <c r="W166" s="142">
        <f t="shared" si="105"/>
        <v>0</v>
      </c>
    </row>
    <row r="167" spans="1:23" ht="47.25" x14ac:dyDescent="0.25">
      <c r="A167" s="57" t="s">
        <v>218</v>
      </c>
      <c r="B167" s="50" t="s">
        <v>25</v>
      </c>
      <c r="C167" s="76" t="s">
        <v>219</v>
      </c>
      <c r="D167" s="52">
        <v>67015.600000000006</v>
      </c>
      <c r="E167" s="53">
        <f t="shared" si="120"/>
        <v>67015.600000000006</v>
      </c>
      <c r="F167" s="58">
        <f>E167+751</f>
        <v>67766.600000000006</v>
      </c>
      <c r="G167" s="53">
        <f t="shared" si="121"/>
        <v>67766.600000000006</v>
      </c>
      <c r="H167" s="53">
        <f t="shared" si="121"/>
        <v>67766.600000000006</v>
      </c>
      <c r="I167" s="53">
        <f t="shared" si="118"/>
        <v>67766.600000000006</v>
      </c>
      <c r="J167" s="53">
        <f t="shared" si="118"/>
        <v>67766.600000000006</v>
      </c>
      <c r="K167" s="53">
        <f t="shared" si="118"/>
        <v>67766.600000000006</v>
      </c>
      <c r="L167" s="132">
        <v>541.04927999999995</v>
      </c>
      <c r="M167" s="132">
        <v>0.79840110024702415</v>
      </c>
      <c r="N167" s="132">
        <v>541.04927999999995</v>
      </c>
      <c r="O167" s="132">
        <v>0</v>
      </c>
      <c r="P167" s="132">
        <v>67225.550719999999</v>
      </c>
      <c r="Q167" s="54"/>
      <c r="R167" s="54">
        <f t="shared" si="104"/>
        <v>67225.550719999999</v>
      </c>
      <c r="S167" s="104"/>
      <c r="T167" s="56"/>
      <c r="U167" s="56"/>
      <c r="V167" s="86"/>
      <c r="W167" s="142">
        <f t="shared" si="105"/>
        <v>0</v>
      </c>
    </row>
    <row r="168" spans="1:23" ht="63" x14ac:dyDescent="0.25">
      <c r="A168" s="57" t="s">
        <v>220</v>
      </c>
      <c r="B168" s="50" t="s">
        <v>25</v>
      </c>
      <c r="C168" s="76" t="s">
        <v>221</v>
      </c>
      <c r="D168" s="52">
        <v>1501.5</v>
      </c>
      <c r="E168" s="53">
        <f t="shared" si="120"/>
        <v>1501.5</v>
      </c>
      <c r="F168" s="58">
        <f>E168+945</f>
        <v>2446.5</v>
      </c>
      <c r="G168" s="53">
        <f t="shared" si="121"/>
        <v>2446.5</v>
      </c>
      <c r="H168" s="53">
        <f t="shared" si="121"/>
        <v>2446.5</v>
      </c>
      <c r="I168" s="53">
        <f t="shared" si="118"/>
        <v>2446.5</v>
      </c>
      <c r="J168" s="53">
        <f t="shared" si="118"/>
        <v>2446.5</v>
      </c>
      <c r="K168" s="53">
        <f t="shared" si="118"/>
        <v>2446.5</v>
      </c>
      <c r="L168" s="132">
        <v>354.54399999999998</v>
      </c>
      <c r="M168" s="132">
        <v>14.491886368281218</v>
      </c>
      <c r="N168" s="132">
        <v>354.54399999999998</v>
      </c>
      <c r="O168" s="132">
        <v>0</v>
      </c>
      <c r="P168" s="132">
        <v>2091.9560000000001</v>
      </c>
      <c r="Q168" s="54"/>
      <c r="R168" s="54">
        <f t="shared" si="104"/>
        <v>2091.9560000000001</v>
      </c>
      <c r="S168" s="104"/>
      <c r="T168" s="56"/>
      <c r="U168" s="56"/>
      <c r="V168" s="21"/>
      <c r="W168" s="142">
        <f t="shared" si="105"/>
        <v>0</v>
      </c>
    </row>
    <row r="169" spans="1:23" x14ac:dyDescent="0.25">
      <c r="A169" s="57" t="s">
        <v>222</v>
      </c>
      <c r="B169" s="50" t="s">
        <v>25</v>
      </c>
      <c r="C169" s="76" t="s">
        <v>223</v>
      </c>
      <c r="D169" s="52">
        <v>9027.5</v>
      </c>
      <c r="E169" s="53">
        <f t="shared" si="120"/>
        <v>9027.5</v>
      </c>
      <c r="F169" s="58">
        <f>E169-7827.5</f>
        <v>1200</v>
      </c>
      <c r="G169" s="53">
        <f t="shared" si="121"/>
        <v>1200</v>
      </c>
      <c r="H169" s="53">
        <f t="shared" si="121"/>
        <v>1200</v>
      </c>
      <c r="I169" s="53">
        <f t="shared" si="118"/>
        <v>1200</v>
      </c>
      <c r="J169" s="53">
        <f t="shared" si="118"/>
        <v>1200</v>
      </c>
      <c r="K169" s="53">
        <f t="shared" si="118"/>
        <v>1200</v>
      </c>
      <c r="L169" s="132"/>
      <c r="M169" s="132">
        <v>0</v>
      </c>
      <c r="N169" s="132"/>
      <c r="O169" s="132">
        <v>0</v>
      </c>
      <c r="P169" s="132">
        <v>1200</v>
      </c>
      <c r="Q169" s="54"/>
      <c r="R169" s="54">
        <f t="shared" si="104"/>
        <v>1200</v>
      </c>
      <c r="S169" s="104"/>
      <c r="T169" s="56"/>
      <c r="U169" s="56"/>
      <c r="V169" s="21"/>
      <c r="W169" s="142">
        <f t="shared" si="105"/>
        <v>0</v>
      </c>
    </row>
    <row r="170" spans="1:23" ht="47.25" x14ac:dyDescent="0.25">
      <c r="A170" s="77" t="s">
        <v>224</v>
      </c>
      <c r="B170" s="50" t="s">
        <v>25</v>
      </c>
      <c r="C170" s="76" t="s">
        <v>225</v>
      </c>
      <c r="D170" s="52">
        <v>122204.2</v>
      </c>
      <c r="E170" s="53">
        <f t="shared" si="120"/>
        <v>122204.2</v>
      </c>
      <c r="F170" s="58">
        <f>E170+12763.9</f>
        <v>134968.1</v>
      </c>
      <c r="G170" s="53">
        <f t="shared" si="121"/>
        <v>134968.1</v>
      </c>
      <c r="H170" s="53">
        <f t="shared" si="121"/>
        <v>134968.1</v>
      </c>
      <c r="I170" s="53">
        <f t="shared" si="118"/>
        <v>134968.1</v>
      </c>
      <c r="J170" s="53">
        <f t="shared" si="118"/>
        <v>134968.1</v>
      </c>
      <c r="K170" s="53">
        <f t="shared" si="118"/>
        <v>134968.1</v>
      </c>
      <c r="L170" s="132">
        <v>67015.39</v>
      </c>
      <c r="M170" s="132">
        <v>49.652762393484089</v>
      </c>
      <c r="N170" s="132">
        <v>67015.39</v>
      </c>
      <c r="O170" s="141">
        <v>0</v>
      </c>
      <c r="P170" s="132">
        <v>67952.710000000006</v>
      </c>
      <c r="Q170" s="54"/>
      <c r="R170" s="54">
        <f t="shared" si="104"/>
        <v>67952.710000000006</v>
      </c>
      <c r="S170" s="104"/>
      <c r="T170" s="56"/>
      <c r="U170" s="56"/>
      <c r="V170" s="21"/>
      <c r="W170" s="142">
        <f t="shared" si="105"/>
        <v>0</v>
      </c>
    </row>
    <row r="171" spans="1:23" ht="31.5" x14ac:dyDescent="0.25">
      <c r="A171" s="77" t="s">
        <v>226</v>
      </c>
      <c r="B171" s="50" t="s">
        <v>25</v>
      </c>
      <c r="C171" s="76" t="s">
        <v>227</v>
      </c>
      <c r="D171" s="52"/>
      <c r="E171" s="54"/>
      <c r="F171" s="114">
        <v>500</v>
      </c>
      <c r="G171" s="54">
        <f t="shared" si="121"/>
        <v>500</v>
      </c>
      <c r="H171" s="54">
        <f t="shared" si="121"/>
        <v>500</v>
      </c>
      <c r="I171" s="54">
        <f t="shared" si="118"/>
        <v>500</v>
      </c>
      <c r="J171" s="54">
        <f t="shared" si="118"/>
        <v>500</v>
      </c>
      <c r="K171" s="54">
        <f t="shared" si="118"/>
        <v>500</v>
      </c>
      <c r="L171" s="132"/>
      <c r="M171" s="132"/>
      <c r="N171" s="132"/>
      <c r="O171" s="132"/>
      <c r="P171" s="132">
        <v>500</v>
      </c>
      <c r="Q171" s="54"/>
      <c r="R171" s="54">
        <f t="shared" si="104"/>
        <v>500</v>
      </c>
      <c r="S171" s="104"/>
      <c r="T171" s="56"/>
      <c r="U171" s="56"/>
      <c r="V171" s="21"/>
      <c r="W171" s="142">
        <f t="shared" si="105"/>
        <v>0</v>
      </c>
    </row>
    <row r="172" spans="1:23" ht="78.75" x14ac:dyDescent="0.25">
      <c r="A172" s="98" t="s">
        <v>228</v>
      </c>
      <c r="B172" s="50" t="s">
        <v>25</v>
      </c>
      <c r="C172" s="76" t="s">
        <v>229</v>
      </c>
      <c r="D172" s="52">
        <v>278.89999999999998</v>
      </c>
      <c r="E172" s="54">
        <f t="shared" si="120"/>
        <v>278.89999999999998</v>
      </c>
      <c r="F172" s="114">
        <f>E172+28.5</f>
        <v>307.39999999999998</v>
      </c>
      <c r="G172" s="54">
        <f t="shared" si="121"/>
        <v>307.39999999999998</v>
      </c>
      <c r="H172" s="54">
        <f t="shared" si="121"/>
        <v>307.39999999999998</v>
      </c>
      <c r="I172" s="54">
        <f t="shared" si="118"/>
        <v>307.39999999999998</v>
      </c>
      <c r="J172" s="54">
        <f t="shared" si="118"/>
        <v>307.39999999999998</v>
      </c>
      <c r="K172" s="54">
        <f t="shared" si="118"/>
        <v>307.39999999999998</v>
      </c>
      <c r="L172" s="132">
        <v>154.25</v>
      </c>
      <c r="M172" s="132">
        <v>50.178919973975276</v>
      </c>
      <c r="N172" s="132">
        <v>154.25</v>
      </c>
      <c r="O172" s="132">
        <v>0</v>
      </c>
      <c r="P172" s="132">
        <v>153.14999999999998</v>
      </c>
      <c r="Q172" s="54"/>
      <c r="R172" s="54">
        <f t="shared" si="104"/>
        <v>153.14999999999998</v>
      </c>
      <c r="S172" s="104"/>
      <c r="T172" s="56"/>
      <c r="U172" s="56"/>
      <c r="V172" s="21"/>
      <c r="W172" s="142">
        <f t="shared" si="105"/>
        <v>0</v>
      </c>
    </row>
    <row r="173" spans="1:23" s="117" customFormat="1" x14ac:dyDescent="0.25">
      <c r="A173" s="115"/>
      <c r="B173" s="116"/>
      <c r="C173" s="115"/>
      <c r="D173" s="115"/>
      <c r="E173" s="115"/>
      <c r="J173" s="115"/>
      <c r="K173" s="118">
        <f t="shared" si="118"/>
        <v>0</v>
      </c>
      <c r="L173" s="115"/>
      <c r="M173" s="115"/>
      <c r="N173" s="119"/>
      <c r="O173" s="120"/>
      <c r="P173" s="115"/>
      <c r="Q173" s="115"/>
      <c r="R173" s="115"/>
      <c r="W173" s="142">
        <f t="shared" si="105"/>
        <v>0</v>
      </c>
    </row>
    <row r="174" spans="1:23" x14ac:dyDescent="0.25">
      <c r="A174" s="121"/>
      <c r="B174" s="122"/>
      <c r="C174" s="123"/>
      <c r="D174" s="123"/>
      <c r="E174" s="123"/>
      <c r="F174" s="124"/>
      <c r="G174" s="124"/>
      <c r="H174" s="124"/>
      <c r="I174" s="124"/>
      <c r="J174" s="125"/>
      <c r="K174" s="125"/>
      <c r="L174" s="125"/>
      <c r="M174" s="125"/>
      <c r="N174" s="126"/>
      <c r="P174" s="125"/>
      <c r="Q174" s="125"/>
      <c r="R174" s="125"/>
    </row>
    <row r="175" spans="1:23" x14ac:dyDescent="0.25">
      <c r="A175" s="121"/>
      <c r="B175" s="122"/>
      <c r="C175" s="123"/>
      <c r="D175" s="123"/>
      <c r="E175" s="123"/>
      <c r="F175" s="124"/>
      <c r="G175" s="124"/>
      <c r="H175" s="124"/>
      <c r="I175" s="124"/>
      <c r="J175" s="125"/>
      <c r="K175" s="125"/>
      <c r="L175" s="125"/>
      <c r="M175" s="125"/>
      <c r="N175" s="126"/>
      <c r="P175" s="125"/>
      <c r="Q175" s="125"/>
      <c r="R175" s="125"/>
    </row>
    <row r="176" spans="1:23" x14ac:dyDescent="0.25">
      <c r="A176" s="121"/>
      <c r="B176" s="122"/>
      <c r="C176" s="121"/>
      <c r="D176" s="121"/>
      <c r="E176" s="121"/>
    </row>
    <row r="177" spans="1:5" x14ac:dyDescent="0.25">
      <c r="A177" s="121"/>
      <c r="B177" s="122"/>
      <c r="C177" s="121"/>
      <c r="D177" s="121"/>
      <c r="E177" s="121"/>
    </row>
    <row r="178" spans="1:5" x14ac:dyDescent="0.25">
      <c r="A178" s="121"/>
      <c r="B178" s="122"/>
      <c r="C178" s="121"/>
      <c r="D178" s="121"/>
      <c r="E178" s="121"/>
    </row>
    <row r="179" spans="1:5" x14ac:dyDescent="0.25">
      <c r="A179" s="127"/>
      <c r="B179" s="122"/>
      <c r="C179" s="121"/>
      <c r="D179" s="121"/>
      <c r="E179" s="121"/>
    </row>
    <row r="180" spans="1:5" x14ac:dyDescent="0.25">
      <c r="A180" s="121"/>
      <c r="B180" s="122"/>
      <c r="C180" s="121"/>
      <c r="D180" s="121"/>
      <c r="E180" s="121"/>
    </row>
    <row r="181" spans="1:5" x14ac:dyDescent="0.25">
      <c r="A181" s="121"/>
      <c r="B181" s="122"/>
      <c r="C181" s="121"/>
      <c r="D181" s="121"/>
      <c r="E181" s="121"/>
    </row>
    <row r="182" spans="1:5" x14ac:dyDescent="0.25">
      <c r="A182" s="121"/>
      <c r="B182" s="122"/>
      <c r="C182" s="121"/>
      <c r="D182" s="121"/>
      <c r="E182" s="121"/>
    </row>
    <row r="183" spans="1:5" x14ac:dyDescent="0.25">
      <c r="A183" s="121"/>
      <c r="B183" s="122"/>
      <c r="C183" s="121"/>
      <c r="D183" s="121"/>
      <c r="E183" s="121"/>
    </row>
    <row r="184" spans="1:5" x14ac:dyDescent="0.25">
      <c r="A184" s="121"/>
      <c r="B184" s="122"/>
      <c r="C184" s="121"/>
      <c r="D184" s="121"/>
      <c r="E184" s="121"/>
    </row>
    <row r="185" spans="1:5" x14ac:dyDescent="0.25">
      <c r="A185" s="121"/>
      <c r="B185" s="122"/>
      <c r="C185" s="121"/>
      <c r="D185" s="121"/>
      <c r="E185" s="121"/>
    </row>
    <row r="186" spans="1:5" x14ac:dyDescent="0.25">
      <c r="A186" s="121"/>
      <c r="B186" s="122"/>
      <c r="C186" s="121"/>
      <c r="D186" s="121"/>
      <c r="E186" s="121"/>
    </row>
    <row r="187" spans="1:5" x14ac:dyDescent="0.25">
      <c r="A187" s="121"/>
      <c r="B187" s="122"/>
      <c r="C187" s="121"/>
      <c r="D187" s="121"/>
      <c r="E187" s="121"/>
    </row>
    <row r="188" spans="1:5" x14ac:dyDescent="0.25">
      <c r="A188" s="121"/>
      <c r="B188" s="122"/>
      <c r="C188" s="121"/>
      <c r="D188" s="121"/>
      <c r="E188" s="121"/>
    </row>
    <row r="189" spans="1:5" x14ac:dyDescent="0.25">
      <c r="A189" s="121"/>
      <c r="B189" s="122"/>
      <c r="C189" s="121"/>
      <c r="D189" s="121"/>
      <c r="E189" s="121"/>
    </row>
    <row r="190" spans="1:5" x14ac:dyDescent="0.25">
      <c r="A190" s="121"/>
      <c r="B190" s="122"/>
      <c r="C190" s="121"/>
      <c r="D190" s="121"/>
      <c r="E190" s="121"/>
    </row>
    <row r="191" spans="1:5" x14ac:dyDescent="0.25">
      <c r="A191" s="121"/>
      <c r="B191" s="122"/>
      <c r="C191" s="121"/>
      <c r="D191" s="121"/>
      <c r="E191" s="121"/>
    </row>
  </sheetData>
  <autoFilter ref="A7:V173">
    <filterColumn colId="1">
      <filters blank="1">
        <filter val="01"/>
        <filter val="02"/>
        <filter val="соф"/>
      </filters>
    </filterColumn>
  </autoFilter>
  <mergeCells count="24">
    <mergeCell ref="N5:N6"/>
    <mergeCell ref="A1:P1"/>
    <mergeCell ref="A2:P2"/>
    <mergeCell ref="A3:P3"/>
    <mergeCell ref="A5:A6"/>
    <mergeCell ref="B5:B6"/>
    <mergeCell ref="C5:C6"/>
    <mergeCell ref="D5:D6"/>
    <mergeCell ref="E5:E6"/>
    <mergeCell ref="F5:F6"/>
    <mergeCell ref="G5:G6"/>
    <mergeCell ref="H5:H6"/>
    <mergeCell ref="I5:I6"/>
    <mergeCell ref="J5:J6"/>
    <mergeCell ref="K5:K6"/>
    <mergeCell ref="L5:M5"/>
    <mergeCell ref="V5:V6"/>
    <mergeCell ref="V111:V112"/>
    <mergeCell ref="O5:O6"/>
    <mergeCell ref="P5:P6"/>
    <mergeCell ref="Q5:Q6"/>
    <mergeCell ref="R5:R6"/>
    <mergeCell ref="S5:S6"/>
    <mergeCell ref="T5:U5"/>
  </mergeCells>
  <printOptions horizontalCentered="1"/>
  <pageMargins left="0.15748031496062992" right="0.19685039370078741" top="0.31496062992125984" bottom="0.35433070866141736" header="0.15748031496062992" footer="0.19685039370078741"/>
  <pageSetup paperSize="9" scale="70"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край</vt:lpstr>
      <vt:lpstr>край!Заголовки_для_печати</vt:lpstr>
      <vt:lpstr>край!Область_печати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 В. Черных</dc:creator>
  <cp:lastModifiedBy>Ольга В. Черных</cp:lastModifiedBy>
  <cp:lastPrinted>2020-07-13T05:47:23Z</cp:lastPrinted>
  <dcterms:created xsi:type="dcterms:W3CDTF">2020-07-03T08:56:45Z</dcterms:created>
  <dcterms:modified xsi:type="dcterms:W3CDTF">2020-07-13T05:47:25Z</dcterms:modified>
</cp:coreProperties>
</file>